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9875" windowHeight="7710"/>
  </bookViews>
  <sheets>
    <sheet name="1 " sheetId="1" r:id="rId1"/>
    <sheet name=" 2" sheetId="2" r:id="rId2"/>
    <sheet name="3a" sheetId="3" r:id="rId3"/>
    <sheet name="3b" sheetId="4" r:id="rId4"/>
    <sheet name="4a&amp;4b"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 15" sheetId="16" r:id="rId16"/>
    <sheet name=" 16 a-b" sheetId="17" r:id="rId17"/>
    <sheet name="17" sheetId="18" r:id="rId18"/>
    <sheet name="18a-b" sheetId="19" r:id="rId19"/>
    <sheet name="19-20a-b" sheetId="21" r:id="rId20"/>
    <sheet name="20c" sheetId="20" r:id="rId21"/>
    <sheet name="20d" sheetId="22" r:id="rId22"/>
    <sheet name="20e" sheetId="23" r:id="rId23"/>
    <sheet name="21 &amp;22a" sheetId="24" r:id="rId24"/>
    <sheet name=" 22 b" sheetId="59" r:id="rId25"/>
    <sheet name=" 22 c" sheetId="60" r:id="rId26"/>
    <sheet name="23&amp;24" sheetId="25" r:id="rId27"/>
    <sheet name="25a-b" sheetId="26" r:id="rId28"/>
    <sheet name="26" sheetId="27" r:id="rId29"/>
    <sheet name=" 27a-b" sheetId="28" r:id="rId30"/>
    <sheet name="28" sheetId="29" r:id="rId31"/>
    <sheet name="29" sheetId="30" r:id="rId32"/>
    <sheet name="30" sheetId="31" r:id="rId33"/>
    <sheet name="31" sheetId="32" r:id="rId34"/>
    <sheet name="32a" sheetId="33" r:id="rId35"/>
    <sheet name="32b" sheetId="34" r:id="rId36"/>
    <sheet name="32c" sheetId="35" r:id="rId37"/>
    <sheet name="32d" sheetId="37" r:id="rId38"/>
    <sheet name="32e" sheetId="38" r:id="rId39"/>
    <sheet name="32f" sheetId="39" r:id="rId40"/>
    <sheet name="33" sheetId="40" r:id="rId41"/>
    <sheet name="34a-b " sheetId="41" r:id="rId42"/>
    <sheet name="35a-b" sheetId="42" r:id="rId43"/>
    <sheet name="35c-35d-35e" sheetId="44" r:id="rId44"/>
    <sheet name="36" sheetId="46" r:id="rId45"/>
    <sheet name="37-38" sheetId="45" r:id="rId46"/>
    <sheet name="39" sheetId="47" r:id="rId47"/>
    <sheet name="40-41" sheetId="48" r:id="rId48"/>
    <sheet name="42-43-44" sheetId="49" r:id="rId49"/>
    <sheet name="45-46" sheetId="50" r:id="rId50"/>
    <sheet name="47" sheetId="51" r:id="rId51"/>
    <sheet name="48a-b" sheetId="52" r:id="rId52"/>
    <sheet name="49a-b" sheetId="53" r:id="rId53"/>
    <sheet name="50a" sheetId="54" r:id="rId54"/>
    <sheet name="50b" sheetId="55" r:id="rId55"/>
    <sheet name="51a-b" sheetId="56" r:id="rId56"/>
    <sheet name="52a" sheetId="57" r:id="rId57"/>
    <sheet name="52b" sheetId="58" r:id="rId58"/>
    <sheet name="Sheet1" sheetId="61" r:id="rId59"/>
    <sheet name="Sheet2" sheetId="62"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s>
  <definedNames>
    <definedName name="_xlnm.Database" localSheetId="11">'[1]Table-1'!#REF!</definedName>
    <definedName name="_xlnm.Database" localSheetId="53">'[1]Table-1'!#REF!</definedName>
    <definedName name="_xlnm.Database" localSheetId="54">'[1]Table-1'!#REF!</definedName>
    <definedName name="_xlnm.Database">'[2]Table-1'!#REF!</definedName>
    <definedName name="_xlnm.Print_Area" localSheetId="15">' 15'!$A$2:$K$31</definedName>
    <definedName name="_xlnm.Print_Area" localSheetId="16">' 16 a-b'!$A$1:$AL$67</definedName>
    <definedName name="_xlnm.Print_Area" localSheetId="24">' 22 b'!$A$1:$L$11</definedName>
    <definedName name="_xlnm.Print_Area" localSheetId="25">' 22 c'!$A$1:$G$14</definedName>
    <definedName name="_xlnm.Print_Area" localSheetId="29">' 27a-b'!$B$1:$I$323</definedName>
    <definedName name="_xlnm.Print_Area" localSheetId="0">'1 '!$A$1:$Q$46</definedName>
    <definedName name="_xlnm.Print_Area" localSheetId="10">'10'!$A$1:$CP$66</definedName>
    <definedName name="_xlnm.Print_Area" localSheetId="11">'11'!$A$1:$AL$49</definedName>
    <definedName name="_xlnm.Print_Area" localSheetId="12">'12'!$A$1:$AL$51</definedName>
    <definedName name="_xlnm.Print_Area" localSheetId="13">'13'!$A$1:$AL$42</definedName>
    <definedName name="_xlnm.Print_Area" localSheetId="14">'14'!$A$1:$M$26</definedName>
    <definedName name="_xlnm.Print_Area" localSheetId="17">'17'!$A$1:$Y$76</definedName>
    <definedName name="_xlnm.Print_Area" localSheetId="18">'18a-b'!$A$1:$P$49</definedName>
    <definedName name="_xlnm.Print_Area" localSheetId="19">'19-20a-b'!$A$1:$H$49</definedName>
    <definedName name="_xlnm.Print_Area" localSheetId="20">'20c'!$A$1:$I$34</definedName>
    <definedName name="_xlnm.Print_Area" localSheetId="21">'20d'!$A$1:$H$17</definedName>
    <definedName name="_xlnm.Print_Area" localSheetId="22">'20e'!$A$1:$H$14</definedName>
    <definedName name="_xlnm.Print_Area" localSheetId="23">'21 &amp;22a'!$B$1:$F$32</definedName>
    <definedName name="_xlnm.Print_Area" localSheetId="26">'23&amp;24'!$A$1:$H$63</definedName>
    <definedName name="_xlnm.Print_Area" localSheetId="27">'25a-b'!$A$1:$E$167</definedName>
    <definedName name="_xlnm.Print_Area" localSheetId="28">'26'!$A$1:$I$31</definedName>
    <definedName name="_xlnm.Print_Area" localSheetId="30">'28'!$A$42:$G$275</definedName>
    <definedName name="_xlnm.Print_Area" localSheetId="31">'29'!$A$1:$F$133</definedName>
    <definedName name="_xlnm.Print_Area" localSheetId="32">'30'!$A$2:$CN$66</definedName>
    <definedName name="_xlnm.Print_Area" localSheetId="33">'31'!$A$1:$K$97</definedName>
    <definedName name="_xlnm.Print_Area" localSheetId="34">'32a'!$A$1:$M$36</definedName>
    <definedName name="_xlnm.Print_Area" localSheetId="35">'32b'!$A$1:$M$57</definedName>
    <definedName name="_xlnm.Print_Area" localSheetId="36">'32c'!$A$1:$I$56</definedName>
    <definedName name="_xlnm.Print_Area" localSheetId="37">'32d'!$A$1:$K$35</definedName>
    <definedName name="_xlnm.Print_Area" localSheetId="38">'32e'!$A$1:$O$37</definedName>
    <definedName name="_xlnm.Print_Area" localSheetId="39">'32f'!$A$1:$G$34</definedName>
    <definedName name="_xlnm.Print_Area" localSheetId="40">'33'!$A$1:$K$21</definedName>
    <definedName name="_xlnm.Print_Area" localSheetId="41">'34a-b '!$A$1:$H$185</definedName>
    <definedName name="_xlnm.Print_Area" localSheetId="42">'35a-b'!$A$1:$L$113</definedName>
    <definedName name="_xlnm.Print_Area" localSheetId="43">'35c-35d-35e'!$A$1:$K$127</definedName>
    <definedName name="_xlnm.Print_Area" localSheetId="44">'36'!$A$1:$J$52</definedName>
    <definedName name="_xlnm.Print_Area" localSheetId="45">'37-38'!$A$1:$K$224</definedName>
    <definedName name="_xlnm.Print_Area" localSheetId="46">'39'!$A$1:$G$125</definedName>
    <definedName name="_xlnm.Print_Area" localSheetId="2">'3a'!$A$1:$E$62</definedName>
    <definedName name="_xlnm.Print_Area" localSheetId="3">'3b'!$A$1:$D$206</definedName>
    <definedName name="_xlnm.Print_Area" localSheetId="47">'40-41'!$A$1:$DV$45</definedName>
    <definedName name="_xlnm.Print_Area" localSheetId="48">'42-43-44'!$A$1:$F$62</definedName>
    <definedName name="_xlnm.Print_Area" localSheetId="49">'45-46'!$A$1:$J$44</definedName>
    <definedName name="_xlnm.Print_Area" localSheetId="50">'47'!$A$1:$H$23</definedName>
    <definedName name="_xlnm.Print_Area" localSheetId="51">'48a-b'!$A$1:$I$61</definedName>
    <definedName name="_xlnm.Print_Area" localSheetId="52">'49a-b'!$A$1:$I$61</definedName>
    <definedName name="_xlnm.Print_Area" localSheetId="4">'4a&amp;4b'!$A$1:$Y$212</definedName>
    <definedName name="_xlnm.Print_Area" localSheetId="5">'5'!$A$1:$H$158</definedName>
    <definedName name="_xlnm.Print_Area" localSheetId="53">'50a'!$A$1:$G$125</definedName>
    <definedName name="_xlnm.Print_Area" localSheetId="54">'50b'!$A$1:$G$126</definedName>
    <definedName name="_xlnm.Print_Area" localSheetId="55">'51a-b'!$A$1:$EO$53</definedName>
    <definedName name="_xlnm.Print_Area" localSheetId="56">'52a'!$A$1:$F$129</definedName>
    <definedName name="_xlnm.Print_Area" localSheetId="57">'52b'!$A$1:$F$46</definedName>
    <definedName name="_xlnm.Print_Area" localSheetId="6">'6'!$A$1:$CO$143</definedName>
    <definedName name="_xlnm.Print_Area" localSheetId="7">'7'!$A$1:$AM$66</definedName>
    <definedName name="_xlnm.Print_Area" localSheetId="8">'8'!$A$1:$CP$65</definedName>
    <definedName name="_xlnm.Print_Area" localSheetId="9">'9'!$A$1:$CP$65</definedName>
    <definedName name="Print_Area_MI" localSheetId="0">#REF!</definedName>
    <definedName name="Print_Area_MI" localSheetId="11">#REF!</definedName>
    <definedName name="Print_Area_MI" localSheetId="53">#REF!</definedName>
    <definedName name="Print_Area_MI" localSheetId="54">#REF!</definedName>
    <definedName name="Print_Area_MI">#REF!</definedName>
    <definedName name="_xlnm.Print_Titles" localSheetId="12">'12'!$A:$A,'12'!$1:$3</definedName>
    <definedName name="_xlnm.Print_Titles" localSheetId="13">'13'!$A:$A,'13'!$5:$5</definedName>
    <definedName name="_xlnm.Print_Titles" localSheetId="35">'32b'!$1:$1</definedName>
    <definedName name="_xlnm.Print_Titles" localSheetId="53">'50a'!$A:$B</definedName>
    <definedName name="_xlnm.Print_Titles" localSheetId="54">'50b'!$A:$B</definedName>
  </definedNames>
  <calcPr calcId="145621"/>
</workbook>
</file>

<file path=xl/calcChain.xml><?xml version="1.0" encoding="utf-8"?>
<calcChain xmlns="http://schemas.openxmlformats.org/spreadsheetml/2006/main">
  <c r="AL32" i="17" l="1"/>
  <c r="AK32" i="17"/>
  <c r="AJ32" i="17"/>
  <c r="AI32" i="17"/>
  <c r="AH32" i="17"/>
  <c r="AG32" i="17"/>
  <c r="AF32" i="17"/>
  <c r="AE32" i="17"/>
  <c r="AD32" i="17"/>
  <c r="AC32" i="17"/>
  <c r="AB32" i="17"/>
  <c r="AA32" i="17"/>
  <c r="Z32" i="17"/>
  <c r="Y32" i="17"/>
  <c r="W32" i="17"/>
  <c r="V32" i="17"/>
  <c r="U32" i="17"/>
  <c r="T32" i="17"/>
  <c r="S32" i="17"/>
  <c r="R32" i="17"/>
  <c r="Q32" i="17"/>
  <c r="P32" i="17"/>
  <c r="O32" i="17"/>
  <c r="N32" i="17"/>
  <c r="M32" i="17"/>
  <c r="J32" i="17"/>
  <c r="I32" i="17"/>
  <c r="H32" i="17"/>
  <c r="G32" i="17"/>
  <c r="F32" i="17"/>
  <c r="E32" i="17"/>
  <c r="D32" i="17"/>
  <c r="C32" i="17"/>
  <c r="B32" i="17"/>
  <c r="E98" i="57" l="1"/>
  <c r="C98" i="57"/>
  <c r="F98" i="57" s="1"/>
  <c r="DV50" i="56"/>
  <c r="DV48" i="56"/>
  <c r="DG48" i="56"/>
  <c r="EO41" i="56"/>
  <c r="EN41" i="56"/>
  <c r="EM41" i="56"/>
  <c r="EL41" i="56"/>
  <c r="EK41" i="56"/>
  <c r="EJ41" i="56"/>
  <c r="EI41" i="56"/>
  <c r="EH41" i="56"/>
  <c r="EG41" i="56"/>
  <c r="EF41" i="56"/>
  <c r="EE41" i="56"/>
  <c r="ED41" i="56"/>
  <c r="EC41" i="56"/>
  <c r="EA41" i="56"/>
  <c r="DZ41" i="56"/>
  <c r="DY41" i="56"/>
  <c r="DX41" i="56"/>
  <c r="DW41" i="56"/>
  <c r="DV41" i="56"/>
  <c r="DU41" i="56"/>
  <c r="DT41" i="56"/>
  <c r="DS41" i="56"/>
  <c r="DR41" i="56"/>
  <c r="DQ41" i="56"/>
  <c r="DP41" i="56"/>
  <c r="DO41" i="56"/>
  <c r="DN41" i="56"/>
  <c r="DM41" i="56"/>
  <c r="DL41" i="56"/>
  <c r="DK41" i="56"/>
  <c r="DH41" i="56"/>
  <c r="DG41" i="56"/>
  <c r="DF41" i="56"/>
  <c r="DE41" i="56"/>
  <c r="EL26" i="56"/>
  <c r="EO19" i="56"/>
  <c r="EN19" i="56"/>
  <c r="EM19" i="56"/>
  <c r="EL19" i="56"/>
  <c r="EK19" i="56"/>
  <c r="EJ19" i="56"/>
  <c r="EI19" i="56"/>
  <c r="EH19" i="56"/>
  <c r="EG19" i="56"/>
  <c r="EF19" i="56"/>
  <c r="EE19" i="56"/>
  <c r="ED19" i="56"/>
  <c r="EC19" i="56"/>
  <c r="EB19" i="56"/>
  <c r="DH19" i="56"/>
  <c r="CU19" i="56"/>
  <c r="CT19" i="56"/>
  <c r="CS19" i="56"/>
  <c r="CR19" i="56"/>
  <c r="CQ19" i="56"/>
  <c r="CP19" i="56"/>
  <c r="CO19" i="56"/>
  <c r="CN19" i="56"/>
  <c r="BC19" i="56"/>
  <c r="BB19" i="56"/>
  <c r="BA19" i="56"/>
  <c r="AY19" i="56"/>
  <c r="AU19" i="56"/>
  <c r="AT19" i="56"/>
  <c r="AS19" i="56"/>
  <c r="AR19" i="56"/>
  <c r="AP19" i="56"/>
  <c r="AN19" i="56"/>
  <c r="AK19" i="56"/>
  <c r="AJ19" i="56"/>
  <c r="AH19" i="56"/>
  <c r="AF19" i="56"/>
  <c r="AE19" i="56"/>
  <c r="AD19" i="56"/>
  <c r="AC19" i="56"/>
  <c r="AB19" i="56"/>
  <c r="AA19" i="56"/>
  <c r="Z19" i="56"/>
  <c r="Y19" i="56"/>
  <c r="X19" i="56"/>
  <c r="W19" i="56"/>
  <c r="V19" i="56"/>
  <c r="T19" i="56"/>
  <c r="S19" i="56"/>
  <c r="R19" i="56"/>
  <c r="Q19" i="56"/>
  <c r="P19" i="56"/>
  <c r="O19" i="56"/>
  <c r="N19" i="56"/>
  <c r="M19" i="56"/>
  <c r="L19" i="56"/>
  <c r="K19" i="56"/>
  <c r="J19" i="56"/>
  <c r="I19" i="56"/>
  <c r="H19" i="56"/>
  <c r="G19" i="56"/>
  <c r="F19" i="56"/>
  <c r="E19" i="56"/>
  <c r="D19" i="56"/>
  <c r="C19" i="56"/>
  <c r="B19" i="56"/>
  <c r="EJ18" i="56"/>
  <c r="DU18" i="56"/>
  <c r="DP18" i="56"/>
  <c r="DO18" i="56"/>
  <c r="DM18" i="56"/>
  <c r="DL18" i="56"/>
  <c r="DK18" i="56"/>
  <c r="DJ18" i="56"/>
  <c r="DF18" i="56"/>
  <c r="CT18" i="56"/>
  <c r="CC18" i="56"/>
  <c r="AZ18" i="56"/>
  <c r="AZ19" i="56" s="1"/>
  <c r="AY18" i="56"/>
  <c r="AW18" i="56"/>
  <c r="AW19" i="56" s="1"/>
  <c r="AV18" i="56"/>
  <c r="AV19" i="56" s="1"/>
  <c r="AT18" i="56"/>
  <c r="AS18" i="56"/>
  <c r="AQ18" i="56"/>
  <c r="AQ19" i="56" s="1"/>
  <c r="AP18" i="56"/>
  <c r="AO18" i="56"/>
  <c r="AO19" i="56" s="1"/>
  <c r="AN18" i="56"/>
  <c r="AM18" i="56"/>
  <c r="AM19" i="56" s="1"/>
  <c r="AL18" i="56"/>
  <c r="AL19" i="56" s="1"/>
  <c r="AG18" i="56"/>
  <c r="AG19" i="56" s="1"/>
  <c r="G120" i="55"/>
  <c r="G119" i="55"/>
  <c r="G118" i="55"/>
  <c r="G117" i="55"/>
  <c r="G116" i="55"/>
  <c r="F115" i="55"/>
  <c r="E115" i="55"/>
  <c r="D115" i="55"/>
  <c r="C115" i="55"/>
  <c r="G115" i="55" s="1"/>
  <c r="G114" i="55"/>
  <c r="G113" i="55"/>
  <c r="F112" i="55"/>
  <c r="E112" i="55"/>
  <c r="D112" i="55"/>
  <c r="C112" i="55"/>
  <c r="G112" i="55" s="1"/>
  <c r="G111" i="55"/>
  <c r="G110" i="55"/>
  <c r="G109" i="55"/>
  <c r="F108" i="55"/>
  <c r="E108" i="55"/>
  <c r="D108" i="55"/>
  <c r="C108" i="55"/>
  <c r="G108" i="55" s="1"/>
  <c r="G107" i="55"/>
  <c r="G106" i="55"/>
  <c r="F105" i="55"/>
  <c r="E105" i="55"/>
  <c r="D105" i="55"/>
  <c r="C105" i="55"/>
  <c r="G105" i="55" s="1"/>
  <c r="G104" i="55"/>
  <c r="G103" i="55"/>
  <c r="G102" i="55"/>
  <c r="F101" i="55"/>
  <c r="E101" i="55"/>
  <c r="D101" i="55"/>
  <c r="D100" i="55" s="1"/>
  <c r="C101" i="55"/>
  <c r="G101" i="55" s="1"/>
  <c r="F100" i="55"/>
  <c r="E100" i="55"/>
  <c r="G99" i="55"/>
  <c r="F98" i="55"/>
  <c r="E98" i="55"/>
  <c r="D98" i="55"/>
  <c r="D95" i="55" s="1"/>
  <c r="C98" i="55"/>
  <c r="G97" i="55"/>
  <c r="F96" i="55"/>
  <c r="E96" i="55"/>
  <c r="E95" i="55" s="1"/>
  <c r="D96" i="55"/>
  <c r="C96" i="55"/>
  <c r="G96" i="55" s="1"/>
  <c r="F95" i="55"/>
  <c r="G94" i="55"/>
  <c r="F93" i="55"/>
  <c r="E93" i="55"/>
  <c r="E90" i="55" s="1"/>
  <c r="D93" i="55"/>
  <c r="G93" i="55" s="1"/>
  <c r="C93" i="55"/>
  <c r="G92" i="55"/>
  <c r="F91" i="55"/>
  <c r="F90" i="55" s="1"/>
  <c r="F89" i="55" s="1"/>
  <c r="E91" i="55"/>
  <c r="D91" i="55"/>
  <c r="D90" i="55" s="1"/>
  <c r="D89" i="55" s="1"/>
  <c r="C91" i="55"/>
  <c r="G91" i="55" s="1"/>
  <c r="G88" i="55"/>
  <c r="F87" i="55"/>
  <c r="E87" i="55"/>
  <c r="D87" i="55"/>
  <c r="C87" i="55"/>
  <c r="C84" i="55" s="1"/>
  <c r="G86" i="55"/>
  <c r="F85" i="55"/>
  <c r="E85" i="55"/>
  <c r="D85" i="55"/>
  <c r="D84" i="55" s="1"/>
  <c r="C85" i="55"/>
  <c r="G85" i="55" s="1"/>
  <c r="F84" i="55"/>
  <c r="E84" i="55"/>
  <c r="G82" i="55"/>
  <c r="F81" i="55"/>
  <c r="E81" i="55"/>
  <c r="D81" i="55"/>
  <c r="C81" i="55"/>
  <c r="G81" i="55" s="1"/>
  <c r="G79" i="55"/>
  <c r="F78" i="55"/>
  <c r="F76" i="55" s="1"/>
  <c r="F72" i="55" s="1"/>
  <c r="E78" i="55"/>
  <c r="E76" i="55" s="1"/>
  <c r="E72" i="55" s="1"/>
  <c r="D78" i="55"/>
  <c r="G78" i="55" s="1"/>
  <c r="C78" i="55"/>
  <c r="G77" i="55"/>
  <c r="C76" i="55"/>
  <c r="G75" i="55"/>
  <c r="G74" i="55"/>
  <c r="F73" i="55"/>
  <c r="E73" i="55"/>
  <c r="D73" i="55"/>
  <c r="C73" i="55"/>
  <c r="G73" i="55" s="1"/>
  <c r="G71" i="55"/>
  <c r="F70" i="55"/>
  <c r="E70" i="55"/>
  <c r="D70" i="55"/>
  <c r="G70" i="55" s="1"/>
  <c r="C70" i="55"/>
  <c r="G69" i="55"/>
  <c r="G68" i="55"/>
  <c r="G67" i="55"/>
  <c r="F66" i="55"/>
  <c r="E66" i="55"/>
  <c r="D66" i="55"/>
  <c r="G66" i="55" s="1"/>
  <c r="C66" i="55"/>
  <c r="G65" i="55"/>
  <c r="F64" i="55"/>
  <c r="E64" i="55"/>
  <c r="E60" i="55" s="1"/>
  <c r="D64" i="55"/>
  <c r="C64" i="55"/>
  <c r="G64" i="55" s="1"/>
  <c r="G63" i="55"/>
  <c r="F62" i="55"/>
  <c r="E62" i="55"/>
  <c r="D62" i="55"/>
  <c r="D60" i="55" s="1"/>
  <c r="C62" i="55"/>
  <c r="C60" i="55" s="1"/>
  <c r="G61" i="55"/>
  <c r="F60" i="55"/>
  <c r="G54" i="55"/>
  <c r="F53" i="55"/>
  <c r="E53" i="55"/>
  <c r="D53" i="55"/>
  <c r="G53" i="55" s="1"/>
  <c r="C53" i="55"/>
  <c r="G52" i="55"/>
  <c r="G51" i="55"/>
  <c r="G50" i="55"/>
  <c r="F49" i="55"/>
  <c r="E49" i="55"/>
  <c r="D49" i="55"/>
  <c r="G49" i="55" s="1"/>
  <c r="C49" i="55"/>
  <c r="G48" i="55"/>
  <c r="F47" i="55"/>
  <c r="E47" i="55"/>
  <c r="D47" i="55"/>
  <c r="C47" i="55"/>
  <c r="G47" i="55" s="1"/>
  <c r="G46" i="55"/>
  <c r="F46" i="55"/>
  <c r="F45" i="55" s="1"/>
  <c r="F43" i="55" s="1"/>
  <c r="F42" i="55" s="1"/>
  <c r="E46" i="55"/>
  <c r="D46" i="55"/>
  <c r="C46" i="55"/>
  <c r="E45" i="55"/>
  <c r="E43" i="55" s="1"/>
  <c r="E42" i="55" s="1"/>
  <c r="D45" i="55"/>
  <c r="G45" i="55" s="1"/>
  <c r="C45" i="55"/>
  <c r="G44" i="55"/>
  <c r="C43" i="55"/>
  <c r="G41" i="55"/>
  <c r="G40" i="55"/>
  <c r="E39" i="55"/>
  <c r="G39" i="55" s="1"/>
  <c r="D39" i="55"/>
  <c r="C39" i="55"/>
  <c r="G38" i="55"/>
  <c r="G37" i="55"/>
  <c r="F36" i="55"/>
  <c r="E36" i="55"/>
  <c r="D36" i="55"/>
  <c r="C36" i="55"/>
  <c r="G36" i="55" s="1"/>
  <c r="G35" i="55"/>
  <c r="G34" i="55"/>
  <c r="G33" i="55"/>
  <c r="F32" i="55"/>
  <c r="E32" i="55"/>
  <c r="E31" i="55" s="1"/>
  <c r="D32" i="55"/>
  <c r="D31" i="55" s="1"/>
  <c r="C32" i="55"/>
  <c r="G32" i="55" s="1"/>
  <c r="F31" i="55"/>
  <c r="G30" i="55"/>
  <c r="G29" i="55"/>
  <c r="F28" i="55"/>
  <c r="E28" i="55"/>
  <c r="D28" i="55"/>
  <c r="C28" i="55"/>
  <c r="G28" i="55" s="1"/>
  <c r="G27" i="55"/>
  <c r="G26" i="55"/>
  <c r="G25" i="55"/>
  <c r="F25" i="55"/>
  <c r="E25" i="55"/>
  <c r="D25" i="55"/>
  <c r="C25" i="55"/>
  <c r="G24" i="55"/>
  <c r="G23" i="55"/>
  <c r="G22" i="55"/>
  <c r="G21" i="55"/>
  <c r="F21" i="55"/>
  <c r="F20" i="55" s="1"/>
  <c r="F19" i="55" s="1"/>
  <c r="E21" i="55"/>
  <c r="D21" i="55"/>
  <c r="C21" i="55"/>
  <c r="E20" i="55"/>
  <c r="E19" i="55" s="1"/>
  <c r="D20" i="55"/>
  <c r="C20" i="55"/>
  <c r="G20" i="55" s="1"/>
  <c r="G18" i="55"/>
  <c r="G17" i="55"/>
  <c r="G16" i="55"/>
  <c r="G15" i="55" s="1"/>
  <c r="F15" i="55"/>
  <c r="E15" i="55"/>
  <c r="D15" i="55"/>
  <c r="C15" i="55"/>
  <c r="G14" i="55"/>
  <c r="G13" i="55"/>
  <c r="G12" i="55" s="1"/>
  <c r="F12" i="55"/>
  <c r="E12" i="55"/>
  <c r="D12" i="55"/>
  <c r="C12" i="55"/>
  <c r="F11" i="55"/>
  <c r="F9" i="55" s="1"/>
  <c r="F8" i="55" s="1"/>
  <c r="F7" i="55" s="1"/>
  <c r="E11" i="55"/>
  <c r="D11" i="55"/>
  <c r="D9" i="55" s="1"/>
  <c r="C11" i="55"/>
  <c r="F10" i="55"/>
  <c r="E10" i="55"/>
  <c r="E9" i="55" s="1"/>
  <c r="D10" i="55"/>
  <c r="C10" i="55"/>
  <c r="G10" i="55" s="1"/>
  <c r="G120" i="54"/>
  <c r="G119" i="54"/>
  <c r="G118" i="54"/>
  <c r="G117" i="54"/>
  <c r="G116" i="54"/>
  <c r="F115" i="54"/>
  <c r="E115" i="54"/>
  <c r="D115" i="54"/>
  <c r="C115" i="54"/>
  <c r="G115" i="54" s="1"/>
  <c r="G114" i="54"/>
  <c r="G113" i="54"/>
  <c r="F112" i="54"/>
  <c r="E112" i="54"/>
  <c r="D112" i="54"/>
  <c r="C112" i="54"/>
  <c r="G112" i="54" s="1"/>
  <c r="G111" i="54"/>
  <c r="G110" i="54"/>
  <c r="G109" i="54"/>
  <c r="F108" i="54"/>
  <c r="E108" i="54"/>
  <c r="D108" i="54"/>
  <c r="C108" i="54"/>
  <c r="G108" i="54" s="1"/>
  <c r="G107" i="54"/>
  <c r="G106" i="54"/>
  <c r="F105" i="54"/>
  <c r="E105" i="54"/>
  <c r="D105" i="54"/>
  <c r="C105" i="54"/>
  <c r="G105" i="54" s="1"/>
  <c r="G104" i="54"/>
  <c r="G103" i="54"/>
  <c r="G102" i="54"/>
  <c r="F101" i="54"/>
  <c r="E101" i="54"/>
  <c r="D101" i="54"/>
  <c r="D100" i="54" s="1"/>
  <c r="C101" i="54"/>
  <c r="G101" i="54" s="1"/>
  <c r="F100" i="54"/>
  <c r="E100" i="54"/>
  <c r="G99" i="54"/>
  <c r="F98" i="54"/>
  <c r="E98" i="54"/>
  <c r="D98" i="54"/>
  <c r="D95" i="54" s="1"/>
  <c r="C98" i="54"/>
  <c r="G98" i="54" s="1"/>
  <c r="G97" i="54"/>
  <c r="F96" i="54"/>
  <c r="E96" i="54"/>
  <c r="E95" i="54" s="1"/>
  <c r="D96" i="54"/>
  <c r="C96" i="54"/>
  <c r="G96" i="54" s="1"/>
  <c r="F95" i="54"/>
  <c r="G94" i="54"/>
  <c r="F93" i="54"/>
  <c r="E93" i="54"/>
  <c r="E90" i="54" s="1"/>
  <c r="D93" i="54"/>
  <c r="G93" i="54" s="1"/>
  <c r="C93" i="54"/>
  <c r="G92" i="54"/>
  <c r="F91" i="54"/>
  <c r="F90" i="54" s="1"/>
  <c r="F89" i="54" s="1"/>
  <c r="E91" i="54"/>
  <c r="D91" i="54"/>
  <c r="D90" i="54" s="1"/>
  <c r="D89" i="54" s="1"/>
  <c r="C91" i="54"/>
  <c r="G91" i="54" s="1"/>
  <c r="G88" i="54"/>
  <c r="F87" i="54"/>
  <c r="E87" i="54"/>
  <c r="D87" i="54"/>
  <c r="C87" i="54"/>
  <c r="C84" i="54" s="1"/>
  <c r="G86" i="54"/>
  <c r="F85" i="54"/>
  <c r="E85" i="54"/>
  <c r="D85" i="54"/>
  <c r="D84" i="54" s="1"/>
  <c r="C85" i="54"/>
  <c r="G85" i="54" s="1"/>
  <c r="F84" i="54"/>
  <c r="E84" i="54"/>
  <c r="G82" i="54"/>
  <c r="F81" i="54"/>
  <c r="E81" i="54"/>
  <c r="D81" i="54"/>
  <c r="C81" i="54"/>
  <c r="G81" i="54" s="1"/>
  <c r="G79" i="54"/>
  <c r="F78" i="54"/>
  <c r="F76" i="54" s="1"/>
  <c r="F72" i="54" s="1"/>
  <c r="E78" i="54"/>
  <c r="E76" i="54" s="1"/>
  <c r="E72" i="54" s="1"/>
  <c r="D78" i="54"/>
  <c r="D76" i="54" s="1"/>
  <c r="C78" i="54"/>
  <c r="G78" i="54" s="1"/>
  <c r="G77" i="54"/>
  <c r="C76" i="54"/>
  <c r="G75" i="54"/>
  <c r="G74" i="54"/>
  <c r="F73" i="54"/>
  <c r="E73" i="54"/>
  <c r="D73" i="54"/>
  <c r="D72" i="54" s="1"/>
  <c r="C73" i="54"/>
  <c r="G73" i="54" s="1"/>
  <c r="G71" i="54"/>
  <c r="F70" i="54"/>
  <c r="E70" i="54"/>
  <c r="D70" i="54"/>
  <c r="C70" i="54"/>
  <c r="G70" i="54" s="1"/>
  <c r="G69" i="54"/>
  <c r="G68" i="54"/>
  <c r="G67" i="54"/>
  <c r="F66" i="54"/>
  <c r="E66" i="54"/>
  <c r="E60" i="54" s="1"/>
  <c r="D66" i="54"/>
  <c r="C66" i="54"/>
  <c r="G66" i="54" s="1"/>
  <c r="G65" i="54"/>
  <c r="F64" i="54"/>
  <c r="E64" i="54"/>
  <c r="D64" i="54"/>
  <c r="C64" i="54"/>
  <c r="G64" i="54" s="1"/>
  <c r="G63" i="54"/>
  <c r="G62" i="54"/>
  <c r="F62" i="54"/>
  <c r="E62" i="54"/>
  <c r="D62" i="54"/>
  <c r="D60" i="54" s="1"/>
  <c r="C62" i="54"/>
  <c r="G61" i="54"/>
  <c r="F60" i="54"/>
  <c r="G54" i="54"/>
  <c r="F53" i="54"/>
  <c r="E53" i="54"/>
  <c r="D53" i="54"/>
  <c r="C53" i="54"/>
  <c r="G53" i="54" s="1"/>
  <c r="G52" i="54"/>
  <c r="G51" i="54"/>
  <c r="G50" i="54"/>
  <c r="F49" i="54"/>
  <c r="E49" i="54"/>
  <c r="E43" i="54" s="1"/>
  <c r="D49" i="54"/>
  <c r="C49" i="54"/>
  <c r="G49" i="54" s="1"/>
  <c r="G48" i="54"/>
  <c r="F47" i="54"/>
  <c r="E47" i="54"/>
  <c r="D47" i="54"/>
  <c r="C47" i="54"/>
  <c r="G47" i="54" s="1"/>
  <c r="G46" i="54"/>
  <c r="G45" i="54"/>
  <c r="F45" i="54"/>
  <c r="E45" i="54"/>
  <c r="D45" i="54"/>
  <c r="D43" i="54" s="1"/>
  <c r="D42" i="54" s="1"/>
  <c r="C45" i="54"/>
  <c r="G44" i="54"/>
  <c r="F43" i="54"/>
  <c r="F42" i="54" s="1"/>
  <c r="G41" i="54"/>
  <c r="G40" i="54"/>
  <c r="F39" i="54"/>
  <c r="E39" i="54"/>
  <c r="D39" i="54"/>
  <c r="C39" i="54"/>
  <c r="G39" i="54" s="1"/>
  <c r="G38" i="54"/>
  <c r="G37" i="54"/>
  <c r="F36" i="54"/>
  <c r="E36" i="54"/>
  <c r="D36" i="54"/>
  <c r="C36" i="54"/>
  <c r="G36" i="54" s="1"/>
  <c r="G35" i="54"/>
  <c r="G34" i="54"/>
  <c r="G33" i="54"/>
  <c r="F32" i="54"/>
  <c r="E32" i="54"/>
  <c r="D32" i="54"/>
  <c r="D31" i="54" s="1"/>
  <c r="C32" i="54"/>
  <c r="G32" i="54" s="1"/>
  <c r="F31" i="54"/>
  <c r="E31" i="54"/>
  <c r="G30" i="54"/>
  <c r="G29" i="54"/>
  <c r="F28" i="54"/>
  <c r="E28" i="54"/>
  <c r="D28" i="54"/>
  <c r="G28" i="54" s="1"/>
  <c r="C28" i="54"/>
  <c r="G27" i="54"/>
  <c r="G26" i="54"/>
  <c r="F25" i="54"/>
  <c r="E25" i="54"/>
  <c r="D25" i="54"/>
  <c r="D20" i="54" s="1"/>
  <c r="C25" i="54"/>
  <c r="G25" i="54" s="1"/>
  <c r="D24" i="54"/>
  <c r="G24" i="54" s="1"/>
  <c r="G23" i="54"/>
  <c r="G22" i="54"/>
  <c r="F21" i="54"/>
  <c r="F20" i="54" s="1"/>
  <c r="F19" i="54" s="1"/>
  <c r="E21" i="54"/>
  <c r="E20" i="54" s="1"/>
  <c r="E19" i="54" s="1"/>
  <c r="C21" i="54"/>
  <c r="G21" i="54" s="1"/>
  <c r="G18" i="54"/>
  <c r="G17" i="54"/>
  <c r="G16" i="54"/>
  <c r="F15" i="54"/>
  <c r="G15" i="54" s="1"/>
  <c r="E15" i="54"/>
  <c r="D15" i="54"/>
  <c r="C15" i="54"/>
  <c r="G14" i="54"/>
  <c r="G13" i="54"/>
  <c r="F12" i="54"/>
  <c r="E12" i="54"/>
  <c r="D12" i="54"/>
  <c r="G12" i="54" s="1"/>
  <c r="C12" i="54"/>
  <c r="F11" i="54"/>
  <c r="E11" i="54"/>
  <c r="D11" i="54"/>
  <c r="C11" i="54"/>
  <c r="G11" i="54" s="1"/>
  <c r="G10" i="54"/>
  <c r="F10" i="54"/>
  <c r="F9" i="54" s="1"/>
  <c r="E10" i="54"/>
  <c r="D10" i="54"/>
  <c r="C10" i="54"/>
  <c r="E9" i="54"/>
  <c r="E8" i="54" s="1"/>
  <c r="D9" i="54"/>
  <c r="I56" i="53"/>
  <c r="I55" i="53"/>
  <c r="I54" i="53" s="1"/>
  <c r="I51" i="53" s="1"/>
  <c r="I50" i="53" s="1"/>
  <c r="H54" i="53"/>
  <c r="G54" i="53"/>
  <c r="F54" i="53"/>
  <c r="E54" i="53"/>
  <c r="D54" i="53"/>
  <c r="C54" i="53"/>
  <c r="H53" i="53"/>
  <c r="I52" i="53"/>
  <c r="H52" i="53"/>
  <c r="H51" i="53" s="1"/>
  <c r="H50" i="53" s="1"/>
  <c r="G51" i="53"/>
  <c r="D51" i="53"/>
  <c r="C51" i="53"/>
  <c r="F50" i="53"/>
  <c r="E50" i="53"/>
  <c r="I49" i="53"/>
  <c r="H48" i="53"/>
  <c r="H47" i="53"/>
  <c r="H41" i="53" s="1"/>
  <c r="H40" i="53" s="1"/>
  <c r="H46" i="53"/>
  <c r="H45" i="53"/>
  <c r="H44" i="53"/>
  <c r="I41" i="53"/>
  <c r="I40" i="53" s="1"/>
  <c r="I31" i="53" s="1"/>
  <c r="G41" i="53"/>
  <c r="G40" i="53" s="1"/>
  <c r="G31" i="53" s="1"/>
  <c r="F41" i="53"/>
  <c r="F40" i="53" s="1"/>
  <c r="E41" i="53"/>
  <c r="D41" i="53"/>
  <c r="C41" i="53"/>
  <c r="C40" i="53" s="1"/>
  <c r="C31" i="53" s="1"/>
  <c r="E40" i="53"/>
  <c r="D40" i="53"/>
  <c r="H39" i="53"/>
  <c r="I38" i="53"/>
  <c r="H38" i="53"/>
  <c r="F38" i="53"/>
  <c r="E38" i="53"/>
  <c r="H36" i="53"/>
  <c r="H35" i="53"/>
  <c r="I34" i="53"/>
  <c r="I33" i="53"/>
  <c r="H33" i="53"/>
  <c r="F33" i="53"/>
  <c r="F32" i="53" s="1"/>
  <c r="F31" i="53" s="1"/>
  <c r="E33" i="53"/>
  <c r="E32" i="53" s="1"/>
  <c r="E31" i="53" s="1"/>
  <c r="I32" i="53"/>
  <c r="H32" i="53"/>
  <c r="H31" i="53" s="1"/>
  <c r="G32" i="53"/>
  <c r="D32" i="53"/>
  <c r="D31" i="53" s="1"/>
  <c r="I24" i="53"/>
  <c r="G24" i="53"/>
  <c r="F24" i="53"/>
  <c r="D24" i="53"/>
  <c r="C24" i="53"/>
  <c r="H17" i="53"/>
  <c r="H15" i="53"/>
  <c r="H14" i="53"/>
  <c r="E13" i="53"/>
  <c r="H12" i="53"/>
  <c r="H11" i="53"/>
  <c r="H24" i="53" s="1"/>
  <c r="E11" i="53"/>
  <c r="H10" i="53"/>
  <c r="H7" i="53"/>
  <c r="E7" i="53"/>
  <c r="E6" i="53"/>
  <c r="E24" i="53" s="1"/>
  <c r="H55" i="52"/>
  <c r="G55" i="52"/>
  <c r="F55" i="52"/>
  <c r="E55" i="52"/>
  <c r="D55" i="52"/>
  <c r="C55" i="52"/>
  <c r="C54" i="52"/>
  <c r="C53" i="52" s="1"/>
  <c r="I53" i="52"/>
  <c r="H53" i="52"/>
  <c r="G53" i="52"/>
  <c r="F53" i="52"/>
  <c r="E53" i="52"/>
  <c r="D53" i="52"/>
  <c r="I51" i="52"/>
  <c r="I50" i="52" s="1"/>
  <c r="I49" i="52" s="1"/>
  <c r="F51" i="52"/>
  <c r="E51" i="52"/>
  <c r="F49" i="52"/>
  <c r="E49" i="52"/>
  <c r="I46" i="52"/>
  <c r="F46" i="52"/>
  <c r="E46" i="52"/>
  <c r="I42" i="52"/>
  <c r="H42" i="52"/>
  <c r="G42" i="52"/>
  <c r="F42" i="52"/>
  <c r="F41" i="52" s="1"/>
  <c r="E42" i="52"/>
  <c r="D42" i="52"/>
  <c r="D41" i="52" s="1"/>
  <c r="D28" i="52" s="1"/>
  <c r="C42" i="52"/>
  <c r="C41" i="52" s="1"/>
  <c r="H41" i="52"/>
  <c r="G41" i="52"/>
  <c r="E41" i="52"/>
  <c r="I39" i="52"/>
  <c r="F39" i="52"/>
  <c r="E39" i="52"/>
  <c r="G36" i="52"/>
  <c r="F36" i="52"/>
  <c r="E36" i="52"/>
  <c r="I31" i="52"/>
  <c r="I30" i="52"/>
  <c r="I29" i="52" s="1"/>
  <c r="H30" i="52"/>
  <c r="H29" i="52" s="1"/>
  <c r="H28" i="52" s="1"/>
  <c r="G30" i="52"/>
  <c r="F30" i="52"/>
  <c r="F29" i="52" s="1"/>
  <c r="F28" i="52" s="1"/>
  <c r="E30" i="52"/>
  <c r="D30" i="52"/>
  <c r="C30" i="52"/>
  <c r="C29" i="52" s="1"/>
  <c r="G29" i="52"/>
  <c r="G28" i="52" s="1"/>
  <c r="E29" i="52"/>
  <c r="E28" i="52" s="1"/>
  <c r="D29" i="52"/>
  <c r="I21" i="52"/>
  <c r="H21" i="52"/>
  <c r="G21" i="52"/>
  <c r="F21" i="52"/>
  <c r="E21" i="52"/>
  <c r="D21" i="52"/>
  <c r="C21" i="52"/>
  <c r="H17" i="52"/>
  <c r="G14" i="52"/>
  <c r="F19" i="51"/>
  <c r="D19" i="51"/>
  <c r="C19" i="51"/>
  <c r="B19" i="51"/>
  <c r="C54" i="49"/>
  <c r="D54" i="49" s="1"/>
  <c r="D46" i="49"/>
  <c r="D45" i="49"/>
  <c r="D44" i="49"/>
  <c r="D43" i="49"/>
  <c r="D42" i="49"/>
  <c r="D41" i="49"/>
  <c r="D40" i="49"/>
  <c r="D39" i="49"/>
  <c r="D38" i="49"/>
  <c r="D21" i="49"/>
  <c r="D20" i="49"/>
  <c r="D19" i="49"/>
  <c r="D18" i="49"/>
  <c r="D17" i="49"/>
  <c r="D16" i="49"/>
  <c r="D15" i="49"/>
  <c r="D14" i="49"/>
  <c r="D13" i="49"/>
  <c r="D12" i="49"/>
  <c r="D11" i="49"/>
  <c r="D10" i="49"/>
  <c r="DR28" i="48"/>
  <c r="DQ28" i="48"/>
  <c r="DP28" i="48"/>
  <c r="DO28" i="48"/>
  <c r="DN28" i="48"/>
  <c r="DM28" i="48"/>
  <c r="DL28" i="48"/>
  <c r="DK28" i="48"/>
  <c r="DJ28" i="48"/>
  <c r="DI28" i="48"/>
  <c r="DH28" i="48"/>
  <c r="DG28" i="48"/>
  <c r="DF28" i="48"/>
  <c r="DS6" i="48"/>
  <c r="DS28" i="48" s="1"/>
  <c r="H47" i="46"/>
  <c r="H46" i="46"/>
  <c r="H45" i="46"/>
  <c r="H44" i="46"/>
  <c r="H43" i="46"/>
  <c r="H42" i="46"/>
  <c r="H41" i="46"/>
  <c r="H40" i="46"/>
  <c r="H39" i="46"/>
  <c r="H38" i="46"/>
  <c r="H36" i="46"/>
  <c r="H35" i="46"/>
  <c r="I35" i="46" s="1"/>
  <c r="H34" i="46"/>
  <c r="I34" i="46" s="1"/>
  <c r="E33" i="46"/>
  <c r="H33" i="46" s="1"/>
  <c r="I33" i="46" s="1"/>
  <c r="E32" i="46"/>
  <c r="H32" i="46" s="1"/>
  <c r="I32" i="46" s="1"/>
  <c r="H31" i="46"/>
  <c r="I31" i="46" s="1"/>
  <c r="E31" i="46"/>
  <c r="H30" i="46"/>
  <c r="I30" i="46" s="1"/>
  <c r="E30" i="46"/>
  <c r="E29" i="46"/>
  <c r="H29" i="46" s="1"/>
  <c r="I29" i="46" s="1"/>
  <c r="H28" i="46"/>
  <c r="I28" i="46" s="1"/>
  <c r="E28" i="46"/>
  <c r="E27" i="46"/>
  <c r="H27" i="46" s="1"/>
  <c r="I27" i="46" s="1"/>
  <c r="E26" i="46"/>
  <c r="H26" i="46" s="1"/>
  <c r="I26" i="46" s="1"/>
  <c r="E25" i="46"/>
  <c r="H25" i="46" s="1"/>
  <c r="I25" i="46" s="1"/>
  <c r="E24" i="46"/>
  <c r="H24" i="46" s="1"/>
  <c r="I24" i="46" s="1"/>
  <c r="E23" i="46"/>
  <c r="H23" i="46" s="1"/>
  <c r="I23" i="46" s="1"/>
  <c r="H22" i="46"/>
  <c r="I22" i="46" s="1"/>
  <c r="E22" i="46"/>
  <c r="H21" i="46"/>
  <c r="I21" i="46" s="1"/>
  <c r="H20" i="46"/>
  <c r="I20" i="46" s="1"/>
  <c r="D20" i="46"/>
  <c r="H19" i="46"/>
  <c r="I19" i="46" s="1"/>
  <c r="D19" i="46"/>
  <c r="H18" i="46"/>
  <c r="I18" i="46" s="1"/>
  <c r="I17" i="46"/>
  <c r="I16" i="46"/>
  <c r="I15" i="46"/>
  <c r="I14" i="46"/>
  <c r="H13" i="46"/>
  <c r="I13" i="46" s="1"/>
  <c r="H12" i="46"/>
  <c r="I12" i="46" s="1"/>
  <c r="I10" i="46"/>
  <c r="H9" i="46"/>
  <c r="I9" i="46" s="1"/>
  <c r="H8" i="46"/>
  <c r="I8" i="46" s="1"/>
  <c r="J101" i="44"/>
  <c r="I101" i="44"/>
  <c r="H101" i="44"/>
  <c r="G101" i="44"/>
  <c r="F101" i="44"/>
  <c r="E101" i="44"/>
  <c r="D101" i="44"/>
  <c r="C101" i="44"/>
  <c r="B101" i="44"/>
  <c r="L17" i="42"/>
  <c r="K17" i="42"/>
  <c r="J17" i="42"/>
  <c r="I17" i="42"/>
  <c r="H17" i="42"/>
  <c r="G17" i="42"/>
  <c r="F17" i="42"/>
  <c r="E17" i="42"/>
  <c r="D17" i="42"/>
  <c r="C17" i="42"/>
  <c r="B17" i="42"/>
  <c r="C182" i="41"/>
  <c r="B182" i="41"/>
  <c r="D182" i="41" s="1"/>
  <c r="I18" i="40"/>
  <c r="H18" i="40"/>
  <c r="G18" i="40"/>
  <c r="F18" i="40"/>
  <c r="E18" i="40"/>
  <c r="D18" i="40"/>
  <c r="C18" i="40"/>
  <c r="B18" i="40"/>
  <c r="J17" i="40"/>
  <c r="J16" i="40"/>
  <c r="J15" i="40"/>
  <c r="J14" i="40"/>
  <c r="J13" i="40"/>
  <c r="J12" i="40"/>
  <c r="J11" i="40"/>
  <c r="J10" i="40"/>
  <c r="J9" i="40"/>
  <c r="J8" i="40"/>
  <c r="J7" i="40"/>
  <c r="J18" i="40" s="1"/>
  <c r="DJ57" i="34"/>
  <c r="DI57" i="34"/>
  <c r="DH57" i="34"/>
  <c r="DG57" i="34"/>
  <c r="DF57" i="34"/>
  <c r="DE57" i="34"/>
  <c r="DD57" i="34"/>
  <c r="DC57" i="34"/>
  <c r="DB57" i="34"/>
  <c r="DA57" i="34"/>
  <c r="CZ57" i="34"/>
  <c r="CY57" i="34"/>
  <c r="CX57" i="34"/>
  <c r="CW57" i="34"/>
  <c r="CV57" i="34"/>
  <c r="CU57" i="34"/>
  <c r="CT57" i="34"/>
  <c r="CS57" i="34"/>
  <c r="CR57" i="34"/>
  <c r="CQ57" i="34"/>
  <c r="CP57" i="34"/>
  <c r="CO57" i="34"/>
  <c r="CN57" i="34"/>
  <c r="CM57" i="34"/>
  <c r="CL57" i="34"/>
  <c r="CK57" i="34"/>
  <c r="CJ57" i="34"/>
  <c r="CI57" i="34"/>
  <c r="CH57" i="34"/>
  <c r="CG57" i="34"/>
  <c r="CF57" i="34"/>
  <c r="CE57" i="34"/>
  <c r="CD57" i="34"/>
  <c r="CC57" i="34"/>
  <c r="CB57" i="34"/>
  <c r="CA57" i="34"/>
  <c r="BZ57" i="34"/>
  <c r="BY57" i="34"/>
  <c r="BX57" i="34"/>
  <c r="BW57" i="34"/>
  <c r="BV57" i="34"/>
  <c r="BU57" i="34"/>
  <c r="BT57" i="34"/>
  <c r="BS57" i="34"/>
  <c r="BR57" i="34"/>
  <c r="BQ57" i="34"/>
  <c r="BP57" i="34"/>
  <c r="BO57" i="34"/>
  <c r="M22" i="32"/>
  <c r="M21" i="32"/>
  <c r="M20" i="32"/>
  <c r="M19" i="32"/>
  <c r="M18" i="32"/>
  <c r="M17" i="32"/>
  <c r="M16" i="32"/>
  <c r="M15" i="32"/>
  <c r="M14" i="32"/>
  <c r="M13" i="32"/>
  <c r="M12" i="32"/>
  <c r="G84" i="55" l="1"/>
  <c r="G60" i="55"/>
  <c r="D19" i="55"/>
  <c r="D8" i="55" s="1"/>
  <c r="F83" i="55"/>
  <c r="F80" i="55" s="1"/>
  <c r="F121" i="55" s="1"/>
  <c r="D83" i="55"/>
  <c r="E89" i="55"/>
  <c r="E83" i="55" s="1"/>
  <c r="E80" i="55" s="1"/>
  <c r="D80" i="55"/>
  <c r="E8" i="55"/>
  <c r="E7" i="55" s="1"/>
  <c r="G62" i="55"/>
  <c r="G11" i="55"/>
  <c r="G9" i="55" s="1"/>
  <c r="C31" i="55"/>
  <c r="G31" i="55" s="1"/>
  <c r="D43" i="55"/>
  <c r="D42" i="55" s="1"/>
  <c r="D76" i="55"/>
  <c r="D72" i="55" s="1"/>
  <c r="C90" i="55"/>
  <c r="G98" i="55"/>
  <c r="C9" i="55"/>
  <c r="C42" i="55"/>
  <c r="G87" i="55"/>
  <c r="C95" i="55"/>
  <c r="G95" i="55" s="1"/>
  <c r="C72" i="55"/>
  <c r="C100" i="55"/>
  <c r="G100" i="55" s="1"/>
  <c r="G84" i="54"/>
  <c r="E83" i="54"/>
  <c r="E80" i="54" s="1"/>
  <c r="F83" i="54"/>
  <c r="F80" i="54" s="1"/>
  <c r="F8" i="54"/>
  <c r="F7" i="54" s="1"/>
  <c r="F121" i="54" s="1"/>
  <c r="E42" i="54"/>
  <c r="E7" i="54" s="1"/>
  <c r="E121" i="54" s="1"/>
  <c r="D83" i="54"/>
  <c r="D80" i="54" s="1"/>
  <c r="E89" i="54"/>
  <c r="G76" i="54"/>
  <c r="D19" i="54"/>
  <c r="D8" i="54"/>
  <c r="D7" i="54" s="1"/>
  <c r="C9" i="54"/>
  <c r="C20" i="54"/>
  <c r="C90" i="54"/>
  <c r="G87" i="54"/>
  <c r="C95" i="54"/>
  <c r="G95" i="54" s="1"/>
  <c r="C31" i="54"/>
  <c r="G31" i="54" s="1"/>
  <c r="C43" i="54"/>
  <c r="C60" i="54"/>
  <c r="G60" i="54" s="1"/>
  <c r="C72" i="54"/>
  <c r="G72" i="54" s="1"/>
  <c r="C100" i="54"/>
  <c r="G100" i="54" s="1"/>
  <c r="C28" i="52"/>
  <c r="I41" i="52"/>
  <c r="I28" i="52" s="1"/>
  <c r="DT6" i="48"/>
  <c r="C105" i="30"/>
  <c r="F105" i="30" s="1"/>
  <c r="B105" i="30"/>
  <c r="E105" i="30" s="1"/>
  <c r="F68" i="30"/>
  <c r="F67" i="30"/>
  <c r="F66" i="30"/>
  <c r="F65" i="30"/>
  <c r="F64" i="30"/>
  <c r="F63" i="30"/>
  <c r="F61" i="30"/>
  <c r="E61" i="30"/>
  <c r="F60" i="30"/>
  <c r="E60" i="30"/>
  <c r="F59" i="30"/>
  <c r="E59" i="30"/>
  <c r="F58" i="30"/>
  <c r="E58" i="30"/>
  <c r="F57" i="30"/>
  <c r="E57" i="30"/>
  <c r="F56" i="30"/>
  <c r="E56" i="30"/>
  <c r="F55" i="30"/>
  <c r="E55" i="30"/>
  <c r="F54" i="30"/>
  <c r="E54" i="30"/>
  <c r="F53" i="30"/>
  <c r="E53" i="30"/>
  <c r="F52" i="30"/>
  <c r="E52" i="30"/>
  <c r="F51" i="30"/>
  <c r="E51" i="30"/>
  <c r="F50" i="30"/>
  <c r="E50" i="30"/>
  <c r="F49" i="30"/>
  <c r="E49" i="30"/>
  <c r="F48" i="30"/>
  <c r="E48" i="30"/>
  <c r="F47" i="30"/>
  <c r="E47" i="30"/>
  <c r="F46" i="30"/>
  <c r="E46" i="30"/>
  <c r="F45" i="30"/>
  <c r="E45" i="30"/>
  <c r="F44" i="30"/>
  <c r="E44" i="30"/>
  <c r="F43" i="30"/>
  <c r="E43" i="30"/>
  <c r="F42" i="30"/>
  <c r="E42" i="30"/>
  <c r="F41" i="30"/>
  <c r="E41" i="30"/>
  <c r="F40" i="30"/>
  <c r="E40" i="30"/>
  <c r="F39" i="30"/>
  <c r="E39" i="30"/>
  <c r="F14" i="30"/>
  <c r="E14" i="30"/>
  <c r="M187" i="28"/>
  <c r="N187" i="28" s="1"/>
  <c r="K187" i="28"/>
  <c r="N13" i="28"/>
  <c r="O13" i="28" s="1"/>
  <c r="L13" i="28"/>
  <c r="E27" i="27"/>
  <c r="D27" i="27"/>
  <c r="C27" i="27"/>
  <c r="F14" i="27"/>
  <c r="B14" i="27"/>
  <c r="B27" i="27" s="1"/>
  <c r="F13" i="27"/>
  <c r="E13" i="27"/>
  <c r="B13" i="27"/>
  <c r="F12" i="27"/>
  <c r="B12" i="27"/>
  <c r="F11" i="27"/>
  <c r="F27" i="27" s="1"/>
  <c r="B11" i="27"/>
  <c r="D17" i="26"/>
  <c r="C17" i="26"/>
  <c r="E60" i="25"/>
  <c r="D60" i="25"/>
  <c r="C60" i="25"/>
  <c r="B60" i="25"/>
  <c r="F59" i="25"/>
  <c r="F58" i="25"/>
  <c r="F57" i="25"/>
  <c r="F56" i="25"/>
  <c r="F55" i="25"/>
  <c r="F52" i="25"/>
  <c r="F51" i="25"/>
  <c r="F50" i="25"/>
  <c r="F49" i="25"/>
  <c r="F48" i="25"/>
  <c r="F47" i="25"/>
  <c r="F46" i="25"/>
  <c r="F45" i="25"/>
  <c r="F44" i="25"/>
  <c r="F43" i="25"/>
  <c r="F42" i="25"/>
  <c r="F60" i="25" s="1"/>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D7" i="55" l="1"/>
  <c r="D121" i="55" s="1"/>
  <c r="C89" i="55"/>
  <c r="G90" i="55"/>
  <c r="G43" i="55"/>
  <c r="G76" i="55"/>
  <c r="C19" i="55"/>
  <c r="G19" i="55" s="1"/>
  <c r="G8" i="55" s="1"/>
  <c r="G7" i="55" s="1"/>
  <c r="G72" i="55"/>
  <c r="G42" i="55"/>
  <c r="E121" i="55"/>
  <c r="G20" i="54"/>
  <c r="C19" i="54"/>
  <c r="G19" i="54" s="1"/>
  <c r="C89" i="54"/>
  <c r="G90" i="54"/>
  <c r="G9" i="54"/>
  <c r="C8" i="54"/>
  <c r="D121" i="54"/>
  <c r="G43" i="54"/>
  <c r="C42" i="54"/>
  <c r="G42" i="54" s="1"/>
  <c r="DT28" i="48"/>
  <c r="DU6" i="48"/>
  <c r="F10" i="19"/>
  <c r="E10" i="19"/>
  <c r="D10" i="19"/>
  <c r="C10" i="19"/>
  <c r="H10" i="19" s="1"/>
  <c r="H9" i="19"/>
  <c r="H8" i="19"/>
  <c r="H7" i="19"/>
  <c r="H6" i="19"/>
  <c r="X73" i="18"/>
  <c r="J73" i="18"/>
  <c r="Y73" i="18" s="1"/>
  <c r="X72" i="18"/>
  <c r="J72" i="18"/>
  <c r="Y72" i="18" s="1"/>
  <c r="X71" i="18"/>
  <c r="Y71" i="18" s="1"/>
  <c r="J71" i="18"/>
  <c r="X70" i="18"/>
  <c r="J70" i="18"/>
  <c r="Y70" i="18" s="1"/>
  <c r="X69" i="18"/>
  <c r="J69" i="18"/>
  <c r="Y69" i="18" s="1"/>
  <c r="Y68" i="18"/>
  <c r="X68" i="18"/>
  <c r="J68" i="18"/>
  <c r="Y66" i="18"/>
  <c r="F20" i="16"/>
  <c r="F24" i="16" s="1"/>
  <c r="F28" i="16" s="1"/>
  <c r="K16" i="16"/>
  <c r="I16" i="16"/>
  <c r="H16" i="16"/>
  <c r="F16" i="16"/>
  <c r="E16" i="16"/>
  <c r="D16" i="16"/>
  <c r="F14" i="16"/>
  <c r="E14" i="16"/>
  <c r="E20" i="16" s="1"/>
  <c r="E24" i="16" s="1"/>
  <c r="E28" i="16" s="1"/>
  <c r="D14" i="16"/>
  <c r="D20" i="16" s="1"/>
  <c r="D24" i="16" s="1"/>
  <c r="D28" i="16" s="1"/>
  <c r="K10" i="16"/>
  <c r="I10" i="16"/>
  <c r="H10" i="16"/>
  <c r="F10" i="16"/>
  <c r="E10" i="16"/>
  <c r="D10" i="16"/>
  <c r="K8" i="16"/>
  <c r="K14" i="16" s="1"/>
  <c r="K20" i="16" s="1"/>
  <c r="K24" i="16" s="1"/>
  <c r="K28" i="16" s="1"/>
  <c r="J8" i="16"/>
  <c r="I8" i="16"/>
  <c r="I14" i="16" s="1"/>
  <c r="I20" i="16" s="1"/>
  <c r="I24" i="16" s="1"/>
  <c r="I28" i="16" s="1"/>
  <c r="H8" i="16"/>
  <c r="H14" i="16" s="1"/>
  <c r="H20" i="16" s="1"/>
  <c r="H24" i="16" s="1"/>
  <c r="H28" i="16" s="1"/>
  <c r="F8" i="16"/>
  <c r="E8" i="16"/>
  <c r="D8" i="16"/>
  <c r="O71" i="14"/>
  <c r="O70" i="14"/>
  <c r="O69" i="14"/>
  <c r="O68" i="14"/>
  <c r="G89" i="55" l="1"/>
  <c r="C83" i="55"/>
  <c r="C8" i="55"/>
  <c r="C7" i="55" s="1"/>
  <c r="G8" i="54"/>
  <c r="C7" i="54"/>
  <c r="G89" i="54"/>
  <c r="C83" i="54"/>
  <c r="DU28" i="48"/>
  <c r="DV6" i="48"/>
  <c r="DV28" i="48" s="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CP59" i="11"/>
  <c r="CO59" i="11"/>
  <c r="CN59" i="11"/>
  <c r="CM59" i="11"/>
  <c r="CL59" i="11"/>
  <c r="CK59" i="11"/>
  <c r="CJ59" i="11"/>
  <c r="CI59" i="11"/>
  <c r="CH59" i="11"/>
  <c r="CG59" i="11"/>
  <c r="CF59" i="11"/>
  <c r="CE59" i="11"/>
  <c r="CD59" i="11"/>
  <c r="CC59" i="11"/>
  <c r="CB59" i="11"/>
  <c r="CA59" i="11"/>
  <c r="BZ59" i="11"/>
  <c r="BY59" i="11"/>
  <c r="BX59" i="11"/>
  <c r="BW59" i="11"/>
  <c r="BV59" i="11"/>
  <c r="BU59" i="11"/>
  <c r="BT59" i="11"/>
  <c r="BS59" i="11"/>
  <c r="BR59" i="11"/>
  <c r="BQ59" i="11"/>
  <c r="BP59" i="11"/>
  <c r="BO59" i="11"/>
  <c r="BN59" i="11"/>
  <c r="BM59" i="11"/>
  <c r="BL59" i="11"/>
  <c r="BK59" i="11"/>
  <c r="BJ59" i="11"/>
  <c r="BI59" i="11"/>
  <c r="BH59" i="11"/>
  <c r="BG59" i="11"/>
  <c r="BF59" i="11"/>
  <c r="BE59" i="11"/>
  <c r="BD59" i="11"/>
  <c r="BC59" i="11"/>
  <c r="BB59" i="11"/>
  <c r="BA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CP57" i="11"/>
  <c r="CO57" i="11"/>
  <c r="CN57" i="11"/>
  <c r="CM57" i="11"/>
  <c r="CL57" i="11"/>
  <c r="CK57" i="11"/>
  <c r="CJ57" i="11"/>
  <c r="CI57" i="11"/>
  <c r="CH57" i="11"/>
  <c r="CG57" i="11"/>
  <c r="CF57" i="11"/>
  <c r="CE57" i="11"/>
  <c r="CD57" i="11"/>
  <c r="CC57" i="11"/>
  <c r="CB57" i="11"/>
  <c r="CA57" i="11"/>
  <c r="BZ57" i="11"/>
  <c r="BY57" i="11"/>
  <c r="BX57" i="11"/>
  <c r="BW57" i="11"/>
  <c r="BV57" i="11"/>
  <c r="BU57" i="11"/>
  <c r="BT57" i="11"/>
  <c r="BS57" i="11"/>
  <c r="BR57" i="11"/>
  <c r="BQ57" i="11"/>
  <c r="BP57" i="11"/>
  <c r="BO57" i="11"/>
  <c r="BN57" i="11"/>
  <c r="BM57" i="11"/>
  <c r="BL57" i="11"/>
  <c r="BK57" i="11"/>
  <c r="BJ57" i="11"/>
  <c r="BI57" i="11"/>
  <c r="BH57" i="11"/>
  <c r="BG57" i="11"/>
  <c r="BF57" i="11"/>
  <c r="BE57" i="11"/>
  <c r="BD57" i="11"/>
  <c r="BC57" i="11"/>
  <c r="BB57" i="11"/>
  <c r="BA57" i="11"/>
  <c r="AZ57"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CP55" i="11"/>
  <c r="CO55" i="11"/>
  <c r="CN55" i="11"/>
  <c r="CM55" i="11"/>
  <c r="CL55" i="11"/>
  <c r="CK55" i="11"/>
  <c r="CJ55" i="11"/>
  <c r="CI55" i="11"/>
  <c r="CH55" i="11"/>
  <c r="CG55" i="11"/>
  <c r="CF55" i="11"/>
  <c r="CE55" i="11"/>
  <c r="CD55" i="11"/>
  <c r="CC55" i="11"/>
  <c r="CB55" i="11"/>
  <c r="CA55" i="11"/>
  <c r="BZ55" i="11"/>
  <c r="BY55" i="11"/>
  <c r="BX55" i="11"/>
  <c r="BW55" i="11"/>
  <c r="BV55" i="11"/>
  <c r="BU55" i="11"/>
  <c r="BT55" i="11"/>
  <c r="BS55" i="11"/>
  <c r="BR55" i="11"/>
  <c r="BQ55" i="11"/>
  <c r="BP55" i="11"/>
  <c r="BO55" i="11"/>
  <c r="BN55" i="11"/>
  <c r="BM55" i="11"/>
  <c r="BL55" i="11"/>
  <c r="BK55" i="11"/>
  <c r="BJ55" i="11"/>
  <c r="BI55" i="11"/>
  <c r="BH55"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CP53" i="11"/>
  <c r="CO53" i="11"/>
  <c r="CN53" i="11"/>
  <c r="CM53" i="11"/>
  <c r="CL53" i="11"/>
  <c r="CK53" i="11"/>
  <c r="CJ53" i="11"/>
  <c r="CI53" i="11"/>
  <c r="CH53" i="11"/>
  <c r="CG53" i="11"/>
  <c r="CF53" i="11"/>
  <c r="CE53" i="11"/>
  <c r="CD53" i="11"/>
  <c r="CC53" i="11"/>
  <c r="CB53" i="11"/>
  <c r="CA53" i="11"/>
  <c r="BZ53" i="11"/>
  <c r="BY53" i="11"/>
  <c r="BX53" i="11"/>
  <c r="BW53" i="11"/>
  <c r="BV53" i="11"/>
  <c r="BU53" i="11"/>
  <c r="BT53" i="11"/>
  <c r="BS53" i="11"/>
  <c r="BR53" i="11"/>
  <c r="BQ53" i="11"/>
  <c r="BP53" i="11"/>
  <c r="BO53" i="11"/>
  <c r="BN53" i="11"/>
  <c r="BM53" i="11"/>
  <c r="BL53" i="11"/>
  <c r="BK53" i="11"/>
  <c r="BJ53" i="11"/>
  <c r="BI53" i="11"/>
  <c r="BH53" i="11"/>
  <c r="BG53" i="11"/>
  <c r="BF53" i="11"/>
  <c r="BE53" i="11"/>
  <c r="BD53" i="11"/>
  <c r="BC53" i="11"/>
  <c r="BB53" i="11"/>
  <c r="BA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CP44" i="11"/>
  <c r="CO44" i="11"/>
  <c r="CN44" i="11"/>
  <c r="CM44" i="11"/>
  <c r="CL44" i="11"/>
  <c r="CK44" i="11"/>
  <c r="CJ44" i="11"/>
  <c r="CI44" i="11"/>
  <c r="CH44" i="11"/>
  <c r="CG44" i="11"/>
  <c r="CF44" i="11"/>
  <c r="CE44" i="11"/>
  <c r="CD44" i="11"/>
  <c r="CD42" i="11" s="1"/>
  <c r="CC44" i="11"/>
  <c r="CB44" i="11"/>
  <c r="CA44" i="11"/>
  <c r="BZ44" i="11"/>
  <c r="BY44" i="11"/>
  <c r="BX44" i="11"/>
  <c r="BW44" i="11"/>
  <c r="BV44" i="11"/>
  <c r="BU44" i="11"/>
  <c r="BT44" i="11"/>
  <c r="BS44" i="11"/>
  <c r="BR44" i="11"/>
  <c r="BQ44" i="11"/>
  <c r="BP44" i="11"/>
  <c r="BO44" i="11"/>
  <c r="BN44" i="11"/>
  <c r="BN42" i="11" s="1"/>
  <c r="BM44" i="11"/>
  <c r="BL44" i="11"/>
  <c r="BK44" i="11"/>
  <c r="BJ44" i="11"/>
  <c r="BI44" i="11"/>
  <c r="BH44" i="11"/>
  <c r="BG44" i="11"/>
  <c r="BF44" i="11"/>
  <c r="BE44" i="11"/>
  <c r="BD44" i="11"/>
  <c r="BC44" i="11"/>
  <c r="BB44" i="11"/>
  <c r="BA44" i="11"/>
  <c r="AZ44" i="11"/>
  <c r="AY44" i="11"/>
  <c r="AX44" i="11"/>
  <c r="AX42" i="11" s="1"/>
  <c r="AW44" i="11"/>
  <c r="AV44" i="11"/>
  <c r="AU44" i="11"/>
  <c r="AT44" i="11"/>
  <c r="AS44" i="11"/>
  <c r="AR44" i="11"/>
  <c r="AQ44" i="11"/>
  <c r="AP44" i="11"/>
  <c r="AO44" i="11"/>
  <c r="AO42" i="11" s="1"/>
  <c r="AN44" i="11"/>
  <c r="AM44" i="11"/>
  <c r="AL44" i="11"/>
  <c r="AK44" i="11"/>
  <c r="AJ44" i="11"/>
  <c r="AI44" i="11"/>
  <c r="AH44" i="11"/>
  <c r="AH42" i="11" s="1"/>
  <c r="AG44" i="11"/>
  <c r="AF44" i="11"/>
  <c r="AE44" i="11"/>
  <c r="AD44" i="11"/>
  <c r="AC44" i="11"/>
  <c r="AB44" i="11"/>
  <c r="AA44" i="11"/>
  <c r="Z44" i="11"/>
  <c r="Y44" i="11"/>
  <c r="Y42" i="11" s="1"/>
  <c r="X44" i="11"/>
  <c r="W44" i="11"/>
  <c r="V44" i="11"/>
  <c r="U44" i="11"/>
  <c r="T44" i="11"/>
  <c r="S44" i="11"/>
  <c r="R44" i="11"/>
  <c r="R42" i="11" s="1"/>
  <c r="Q44" i="11"/>
  <c r="P44" i="11"/>
  <c r="O44" i="11"/>
  <c r="N44" i="11"/>
  <c r="M44" i="11"/>
  <c r="L44" i="11"/>
  <c r="K44" i="11"/>
  <c r="J44" i="11"/>
  <c r="I44" i="11"/>
  <c r="I42" i="11" s="1"/>
  <c r="H44" i="11"/>
  <c r="G44" i="11"/>
  <c r="F44" i="11"/>
  <c r="E44" i="11"/>
  <c r="D44" i="11"/>
  <c r="C44" i="11"/>
  <c r="CP43" i="11"/>
  <c r="CP42" i="11" s="1"/>
  <c r="CO43" i="11"/>
  <c r="CO42" i="11" s="1"/>
  <c r="CN43" i="11"/>
  <c r="CM43" i="11"/>
  <c r="CL43" i="11"/>
  <c r="CK43" i="11"/>
  <c r="CJ43" i="11"/>
  <c r="CJ42" i="11" s="1"/>
  <c r="CI43" i="11"/>
  <c r="CI42" i="11" s="1"/>
  <c r="CH43" i="11"/>
  <c r="CH42" i="11" s="1"/>
  <c r="CG43" i="11"/>
  <c r="CG42" i="11" s="1"/>
  <c r="CF43" i="11"/>
  <c r="CE43" i="11"/>
  <c r="CD43" i="11"/>
  <c r="CC43" i="11"/>
  <c r="CC42" i="11" s="1"/>
  <c r="CB43" i="11"/>
  <c r="CB42" i="11" s="1"/>
  <c r="CA43" i="11"/>
  <c r="CA42" i="11" s="1"/>
  <c r="BZ43" i="11"/>
  <c r="BZ42" i="11" s="1"/>
  <c r="BY43" i="11"/>
  <c r="BY42" i="11" s="1"/>
  <c r="BX43" i="11"/>
  <c r="BX42" i="11" s="1"/>
  <c r="BW43" i="11"/>
  <c r="BV43" i="11"/>
  <c r="BU43" i="11"/>
  <c r="BT43" i="11"/>
  <c r="BT42" i="11" s="1"/>
  <c r="BS43" i="11"/>
  <c r="BS42" i="11" s="1"/>
  <c r="BR43" i="11"/>
  <c r="BR42" i="11" s="1"/>
  <c r="BQ43" i="11"/>
  <c r="BQ42" i="11" s="1"/>
  <c r="BP43" i="11"/>
  <c r="BO43" i="11"/>
  <c r="BN43" i="11"/>
  <c r="BM43" i="11"/>
  <c r="BM42" i="11" s="1"/>
  <c r="BL43" i="11"/>
  <c r="BL42" i="11" s="1"/>
  <c r="BK43" i="11"/>
  <c r="BK42" i="11" s="1"/>
  <c r="BJ43" i="11"/>
  <c r="BJ42" i="11" s="1"/>
  <c r="BI43" i="11"/>
  <c r="BI42" i="11" s="1"/>
  <c r="BH43" i="11"/>
  <c r="BH42" i="11" s="1"/>
  <c r="BG43" i="11"/>
  <c r="BF43" i="11"/>
  <c r="BE43" i="11"/>
  <c r="BD43" i="11"/>
  <c r="BD42" i="11" s="1"/>
  <c r="BC43" i="11"/>
  <c r="BC42" i="11" s="1"/>
  <c r="BB43" i="11"/>
  <c r="BB42" i="11" s="1"/>
  <c r="BA43" i="11"/>
  <c r="BA42" i="11" s="1"/>
  <c r="AZ43" i="11"/>
  <c r="AY43" i="11"/>
  <c r="AX43" i="11"/>
  <c r="AW43" i="11"/>
  <c r="AW42" i="11" s="1"/>
  <c r="AV43" i="11"/>
  <c r="AV42" i="11" s="1"/>
  <c r="AU43" i="11"/>
  <c r="AU42" i="11" s="1"/>
  <c r="AT43" i="11"/>
  <c r="AT42" i="11" s="1"/>
  <c r="AS43" i="11"/>
  <c r="AS42" i="11" s="1"/>
  <c r="AR43" i="11"/>
  <c r="AR42" i="11" s="1"/>
  <c r="AQ43" i="11"/>
  <c r="AP43" i="11"/>
  <c r="AO43" i="11"/>
  <c r="AN43" i="11"/>
  <c r="AN42" i="11" s="1"/>
  <c r="AM43" i="11"/>
  <c r="AM42" i="11" s="1"/>
  <c r="AL43" i="11"/>
  <c r="AL42" i="11" s="1"/>
  <c r="AK43" i="11"/>
  <c r="AK42" i="11" s="1"/>
  <c r="AJ43" i="11"/>
  <c r="AI43" i="11"/>
  <c r="AH43" i="11"/>
  <c r="AG43" i="11"/>
  <c r="AG42" i="11" s="1"/>
  <c r="AF43" i="11"/>
  <c r="AF42" i="11" s="1"/>
  <c r="AE43" i="11"/>
  <c r="AE42" i="11" s="1"/>
  <c r="AD43" i="11"/>
  <c r="AD42" i="11" s="1"/>
  <c r="AC43" i="11"/>
  <c r="AC42" i="11" s="1"/>
  <c r="AB43" i="11"/>
  <c r="AB42" i="11" s="1"/>
  <c r="AA43" i="11"/>
  <c r="Z43" i="11"/>
  <c r="Y43" i="11"/>
  <c r="X43" i="11"/>
  <c r="X42" i="11" s="1"/>
  <c r="W43" i="11"/>
  <c r="W42" i="11" s="1"/>
  <c r="V43" i="11"/>
  <c r="V42" i="11" s="1"/>
  <c r="U43" i="11"/>
  <c r="U42" i="11" s="1"/>
  <c r="T43" i="11"/>
  <c r="S43" i="11"/>
  <c r="R43" i="11"/>
  <c r="Q43" i="11"/>
  <c r="Q42" i="11" s="1"/>
  <c r="P43" i="11"/>
  <c r="P42" i="11" s="1"/>
  <c r="O43" i="11"/>
  <c r="O42" i="11" s="1"/>
  <c r="N43" i="11"/>
  <c r="N42" i="11" s="1"/>
  <c r="M43" i="11"/>
  <c r="M42" i="11" s="1"/>
  <c r="L43" i="11"/>
  <c r="L42" i="11" s="1"/>
  <c r="K43" i="11"/>
  <c r="J43" i="11"/>
  <c r="I43" i="11"/>
  <c r="H43" i="11"/>
  <c r="H42" i="11" s="1"/>
  <c r="G43" i="11"/>
  <c r="G42" i="11" s="1"/>
  <c r="F43" i="11"/>
  <c r="F42" i="11" s="1"/>
  <c r="E43" i="11"/>
  <c r="E42" i="11" s="1"/>
  <c r="D43" i="11"/>
  <c r="C43" i="11"/>
  <c r="CN42" i="11"/>
  <c r="CM42" i="11"/>
  <c r="CL42" i="11"/>
  <c r="CK42" i="11"/>
  <c r="CF42" i="11"/>
  <c r="CE42" i="11"/>
  <c r="BW42" i="11"/>
  <c r="BV42" i="11"/>
  <c r="BU42" i="11"/>
  <c r="BP42" i="11"/>
  <c r="BO42" i="11"/>
  <c r="BG42" i="11"/>
  <c r="BF42" i="11"/>
  <c r="BE42" i="11"/>
  <c r="AZ42" i="11"/>
  <c r="AY42" i="11"/>
  <c r="AQ42" i="11"/>
  <c r="AP42" i="11"/>
  <c r="AJ42" i="11"/>
  <c r="AI42" i="11"/>
  <c r="AA42" i="11"/>
  <c r="Z42" i="11"/>
  <c r="T42" i="11"/>
  <c r="S42" i="11"/>
  <c r="K42" i="11"/>
  <c r="J42" i="11"/>
  <c r="D42" i="11"/>
  <c r="C42"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CP39" i="11"/>
  <c r="CO39" i="11"/>
  <c r="CN39" i="11"/>
  <c r="CM39" i="11"/>
  <c r="CL39" i="11"/>
  <c r="CK39" i="11"/>
  <c r="CJ39" i="11"/>
  <c r="CI39" i="11"/>
  <c r="CH39" i="11"/>
  <c r="CG39" i="11"/>
  <c r="CF39" i="11"/>
  <c r="CF37" i="11" s="1"/>
  <c r="CE39" i="11"/>
  <c r="CD39" i="11"/>
  <c r="CC39" i="11"/>
  <c r="CB39" i="11"/>
  <c r="CA39" i="11"/>
  <c r="BZ39" i="11"/>
  <c r="BY39" i="11"/>
  <c r="BX39" i="11"/>
  <c r="BX37" i="11" s="1"/>
  <c r="BW39" i="11"/>
  <c r="BW37" i="11" s="1"/>
  <c r="BV39" i="11"/>
  <c r="BU39" i="11"/>
  <c r="BT39" i="11"/>
  <c r="BS39" i="11"/>
  <c r="BR39" i="11"/>
  <c r="BQ39" i="11"/>
  <c r="BP39" i="11"/>
  <c r="BP37" i="11" s="1"/>
  <c r="BO39" i="11"/>
  <c r="BN39" i="11"/>
  <c r="BM39" i="11"/>
  <c r="BL39" i="11"/>
  <c r="BK39" i="11"/>
  <c r="BJ39" i="11"/>
  <c r="BI39" i="11"/>
  <c r="BH39" i="11"/>
  <c r="BH37" i="11" s="1"/>
  <c r="BG39" i="11"/>
  <c r="BG37" i="11" s="1"/>
  <c r="BF39" i="11"/>
  <c r="BE39" i="11"/>
  <c r="BD39" i="11"/>
  <c r="BC39" i="11"/>
  <c r="BB39" i="11"/>
  <c r="BA39" i="11"/>
  <c r="AZ39" i="11"/>
  <c r="AZ37" i="11" s="1"/>
  <c r="AY39" i="11"/>
  <c r="AX39" i="11"/>
  <c r="AW39" i="11"/>
  <c r="AV39" i="11"/>
  <c r="AU39" i="11"/>
  <c r="AT39" i="11"/>
  <c r="AS39" i="11"/>
  <c r="AR39" i="11"/>
  <c r="AR37" i="11" s="1"/>
  <c r="AQ39" i="11"/>
  <c r="AQ37" i="11" s="1"/>
  <c r="AP39" i="11"/>
  <c r="AO39" i="11"/>
  <c r="AN39" i="11"/>
  <c r="AM39" i="11"/>
  <c r="AL39" i="11"/>
  <c r="AK39" i="11"/>
  <c r="AJ39" i="11"/>
  <c r="AJ37" i="11" s="1"/>
  <c r="AI39" i="11"/>
  <c r="AH39" i="11"/>
  <c r="AG39" i="11"/>
  <c r="AF39" i="11"/>
  <c r="AE39" i="11"/>
  <c r="AD39" i="11"/>
  <c r="AC39" i="11"/>
  <c r="AB39" i="11"/>
  <c r="AB37" i="11" s="1"/>
  <c r="AA39" i="11"/>
  <c r="AA37" i="11" s="1"/>
  <c r="Z39" i="11"/>
  <c r="Y39" i="11"/>
  <c r="X39" i="11"/>
  <c r="W39" i="11"/>
  <c r="V39" i="11"/>
  <c r="U39" i="11"/>
  <c r="T39" i="11"/>
  <c r="T37" i="11" s="1"/>
  <c r="S39" i="11"/>
  <c r="R39" i="11"/>
  <c r="Q39" i="11"/>
  <c r="P39" i="11"/>
  <c r="O39" i="11"/>
  <c r="N39" i="11"/>
  <c r="M39" i="11"/>
  <c r="L39" i="11"/>
  <c r="L37" i="11" s="1"/>
  <c r="K39" i="11"/>
  <c r="K37" i="11" s="1"/>
  <c r="J39" i="11"/>
  <c r="I39" i="11"/>
  <c r="H39" i="11"/>
  <c r="G39" i="11"/>
  <c r="F39" i="11"/>
  <c r="E39" i="11"/>
  <c r="D39" i="11"/>
  <c r="D37" i="11" s="1"/>
  <c r="C39" i="11"/>
  <c r="CP38" i="11"/>
  <c r="CP37" i="11" s="1"/>
  <c r="CO38" i="11"/>
  <c r="CO37" i="11" s="1"/>
  <c r="CN38" i="11"/>
  <c r="CM38" i="11"/>
  <c r="CL38" i="11"/>
  <c r="CK38" i="11"/>
  <c r="CJ38" i="11"/>
  <c r="CJ37" i="11" s="1"/>
  <c r="CI38" i="11"/>
  <c r="CI37" i="11" s="1"/>
  <c r="CH38" i="11"/>
  <c r="CG38" i="11"/>
  <c r="CF38" i="11"/>
  <c r="CE38" i="11"/>
  <c r="CE37" i="11" s="1"/>
  <c r="CD38" i="11"/>
  <c r="CD37" i="11" s="1"/>
  <c r="CC38" i="11"/>
  <c r="CB38" i="11"/>
  <c r="CB37" i="11" s="1"/>
  <c r="CA38" i="11"/>
  <c r="CA37" i="11" s="1"/>
  <c r="BZ38" i="11"/>
  <c r="BY38" i="11"/>
  <c r="BX38" i="11"/>
  <c r="BW38" i="11"/>
  <c r="BV38" i="11"/>
  <c r="BU38" i="11"/>
  <c r="BT38" i="11"/>
  <c r="BT37" i="11" s="1"/>
  <c r="BS38" i="11"/>
  <c r="BS37" i="11" s="1"/>
  <c r="BR38" i="11"/>
  <c r="BQ38" i="11"/>
  <c r="BP38" i="11"/>
  <c r="BO38" i="11"/>
  <c r="BO37" i="11" s="1"/>
  <c r="BN38" i="11"/>
  <c r="BN37" i="11" s="1"/>
  <c r="BM38" i="11"/>
  <c r="BL38" i="11"/>
  <c r="BL37" i="11" s="1"/>
  <c r="BK38" i="11"/>
  <c r="BK37" i="11" s="1"/>
  <c r="BJ38" i="11"/>
  <c r="BI38" i="11"/>
  <c r="BH38" i="11"/>
  <c r="BG38" i="11"/>
  <c r="BF38" i="11"/>
  <c r="BE38" i="11"/>
  <c r="BD38" i="11"/>
  <c r="BD37" i="11" s="1"/>
  <c r="BC38" i="11"/>
  <c r="BC37" i="11" s="1"/>
  <c r="BB38" i="11"/>
  <c r="BA38" i="11"/>
  <c r="AZ38" i="11"/>
  <c r="AY38" i="11"/>
  <c r="AY37" i="11" s="1"/>
  <c r="AX38" i="11"/>
  <c r="AX37" i="11" s="1"/>
  <c r="AW38" i="11"/>
  <c r="AV38" i="11"/>
  <c r="AV37" i="11" s="1"/>
  <c r="AU38" i="11"/>
  <c r="AU37" i="11" s="1"/>
  <c r="AT38" i="11"/>
  <c r="AS38" i="11"/>
  <c r="AR38" i="11"/>
  <c r="AQ38" i="11"/>
  <c r="AP38" i="11"/>
  <c r="AO38" i="11"/>
  <c r="AN38" i="11"/>
  <c r="AN37" i="11" s="1"/>
  <c r="AM38" i="11"/>
  <c r="AM37" i="11" s="1"/>
  <c r="AL38" i="11"/>
  <c r="AK38" i="11"/>
  <c r="AJ38" i="11"/>
  <c r="AI38" i="11"/>
  <c r="AI37" i="11" s="1"/>
  <c r="AH38" i="11"/>
  <c r="AH37" i="11" s="1"/>
  <c r="AG38" i="11"/>
  <c r="AF38" i="11"/>
  <c r="AF37" i="11" s="1"/>
  <c r="AE38" i="11"/>
  <c r="AE37" i="11" s="1"/>
  <c r="AD38" i="11"/>
  <c r="AC38" i="11"/>
  <c r="AB38" i="11"/>
  <c r="AA38" i="11"/>
  <c r="Z38" i="11"/>
  <c r="Y38" i="11"/>
  <c r="X38" i="11"/>
  <c r="X37" i="11" s="1"/>
  <c r="W38" i="11"/>
  <c r="W37" i="11" s="1"/>
  <c r="V38" i="11"/>
  <c r="U38" i="11"/>
  <c r="T38" i="11"/>
  <c r="S38" i="11"/>
  <c r="S37" i="11" s="1"/>
  <c r="R38" i="11"/>
  <c r="R37" i="11" s="1"/>
  <c r="Q38" i="11"/>
  <c r="P38" i="11"/>
  <c r="P37" i="11" s="1"/>
  <c r="O38" i="11"/>
  <c r="O37" i="11" s="1"/>
  <c r="N38" i="11"/>
  <c r="M38" i="11"/>
  <c r="L38" i="11"/>
  <c r="K38" i="11"/>
  <c r="J38" i="11"/>
  <c r="I38" i="11"/>
  <c r="H38" i="11"/>
  <c r="H37" i="11" s="1"/>
  <c r="G38" i="11"/>
  <c r="G37" i="11" s="1"/>
  <c r="F38" i="11"/>
  <c r="E38" i="11"/>
  <c r="D38" i="11"/>
  <c r="C38" i="11"/>
  <c r="C37" i="11" s="1"/>
  <c r="CN37" i="11"/>
  <c r="CM37" i="11"/>
  <c r="CL37" i="11"/>
  <c r="CK37" i="11"/>
  <c r="CC37" i="11"/>
  <c r="BV37" i="11"/>
  <c r="BU37" i="11"/>
  <c r="BM37" i="11"/>
  <c r="BF37" i="11"/>
  <c r="BE37" i="11"/>
  <c r="AW37" i="11"/>
  <c r="AP37" i="11"/>
  <c r="AO37" i="11"/>
  <c r="AG37" i="11"/>
  <c r="Z37" i="11"/>
  <c r="Y37" i="11"/>
  <c r="Q37" i="11"/>
  <c r="J37" i="11"/>
  <c r="I37" i="11"/>
  <c r="CP35" i="11"/>
  <c r="CO35" i="11"/>
  <c r="CO61" i="11" s="1"/>
  <c r="CN35" i="11"/>
  <c r="CN61" i="11" s="1"/>
  <c r="CM35" i="11"/>
  <c r="CM61" i="11" s="1"/>
  <c r="CL35" i="11"/>
  <c r="CL61" i="11" s="1"/>
  <c r="CK35" i="11"/>
  <c r="CK61" i="11" s="1"/>
  <c r="CJ35" i="11"/>
  <c r="CI35" i="11"/>
  <c r="CH35" i="11"/>
  <c r="CG35" i="11"/>
  <c r="CF35" i="11"/>
  <c r="CE35" i="11"/>
  <c r="CD35" i="11"/>
  <c r="CC35" i="11"/>
  <c r="CB35" i="11"/>
  <c r="CA35" i="11"/>
  <c r="BZ35" i="11"/>
  <c r="BY35" i="11"/>
  <c r="BX35" i="11"/>
  <c r="BW35" i="11"/>
  <c r="BV35" i="11"/>
  <c r="BV61" i="11" s="1"/>
  <c r="BU35" i="11"/>
  <c r="BU61" i="11" s="1"/>
  <c r="BT35" i="11"/>
  <c r="BS35" i="11"/>
  <c r="BR35" i="11"/>
  <c r="BQ35" i="11"/>
  <c r="BP35" i="11"/>
  <c r="BO35" i="11"/>
  <c r="BN35" i="11"/>
  <c r="BM35" i="11"/>
  <c r="BL35" i="11"/>
  <c r="BK35" i="11"/>
  <c r="BJ35" i="11"/>
  <c r="BI35" i="11"/>
  <c r="BH35" i="11"/>
  <c r="BG35" i="11"/>
  <c r="BF35" i="11"/>
  <c r="BF61" i="11" s="1"/>
  <c r="BE35" i="11"/>
  <c r="BE61" i="11" s="1"/>
  <c r="BD35" i="11"/>
  <c r="BC35" i="11"/>
  <c r="BB35" i="11"/>
  <c r="BA35" i="11"/>
  <c r="AZ35" i="11"/>
  <c r="AY35" i="11"/>
  <c r="AX35" i="11"/>
  <c r="AW35" i="11"/>
  <c r="AV35" i="11"/>
  <c r="AU35" i="11"/>
  <c r="AT35" i="11"/>
  <c r="AS35" i="11"/>
  <c r="AR35" i="11"/>
  <c r="AQ35" i="11"/>
  <c r="AP35" i="11"/>
  <c r="AP61" i="11" s="1"/>
  <c r="AO35" i="11"/>
  <c r="AN35" i="11"/>
  <c r="AM35" i="11"/>
  <c r="AL35" i="11"/>
  <c r="AK35" i="11"/>
  <c r="AJ35" i="11"/>
  <c r="AI35" i="11"/>
  <c r="AH35" i="11"/>
  <c r="AG35" i="11"/>
  <c r="AF35" i="11"/>
  <c r="AE35" i="11"/>
  <c r="AD35" i="11"/>
  <c r="AC35" i="11"/>
  <c r="AB35" i="11"/>
  <c r="AA35" i="11"/>
  <c r="Z35" i="11"/>
  <c r="Z61" i="11" s="1"/>
  <c r="Y35" i="11"/>
  <c r="X35" i="11"/>
  <c r="W35" i="11"/>
  <c r="V35" i="11"/>
  <c r="U35" i="11"/>
  <c r="T35" i="11"/>
  <c r="S35" i="11"/>
  <c r="R35" i="11"/>
  <c r="Q35" i="11"/>
  <c r="P35" i="11"/>
  <c r="O35" i="11"/>
  <c r="N35" i="11"/>
  <c r="M35" i="11"/>
  <c r="L35" i="11"/>
  <c r="K35" i="11"/>
  <c r="J35" i="11"/>
  <c r="J61" i="11" s="1"/>
  <c r="I35" i="11"/>
  <c r="H35" i="11"/>
  <c r="G35" i="11"/>
  <c r="F35" i="11"/>
  <c r="E35" i="11"/>
  <c r="D35" i="11"/>
  <c r="C35"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CP10" i="11"/>
  <c r="CO10" i="11"/>
  <c r="CN10" i="11"/>
  <c r="CM10" i="11"/>
  <c r="CL10" i="11"/>
  <c r="CK10" i="11"/>
  <c r="CJ10" i="11"/>
  <c r="CI10" i="11"/>
  <c r="CI8" i="11" s="1"/>
  <c r="CH10" i="11"/>
  <c r="CH8" i="11" s="1"/>
  <c r="CH28" i="11" s="1"/>
  <c r="CG10" i="11"/>
  <c r="CG8" i="11" s="1"/>
  <c r="CF10" i="11"/>
  <c r="CF8" i="11" s="1"/>
  <c r="CE10" i="11"/>
  <c r="CD10" i="11"/>
  <c r="CC10" i="11"/>
  <c r="CB10" i="11"/>
  <c r="CA10" i="11"/>
  <c r="BZ10" i="11"/>
  <c r="BY10" i="11"/>
  <c r="BX10" i="11"/>
  <c r="BW10" i="11"/>
  <c r="BV10" i="11"/>
  <c r="BU10" i="11"/>
  <c r="BT10" i="11"/>
  <c r="BS10" i="11"/>
  <c r="BS8" i="11" s="1"/>
  <c r="BR10" i="11"/>
  <c r="BR8" i="11" s="1"/>
  <c r="BR28" i="11" s="1"/>
  <c r="BQ10" i="11"/>
  <c r="BQ8" i="11" s="1"/>
  <c r="BP10" i="11"/>
  <c r="BP8" i="11" s="1"/>
  <c r="BO10" i="11"/>
  <c r="BN10" i="11"/>
  <c r="BM10" i="11"/>
  <c r="BL10" i="11"/>
  <c r="BK10" i="11"/>
  <c r="BJ10" i="11"/>
  <c r="BI10" i="11"/>
  <c r="BH10" i="11"/>
  <c r="BG10" i="11"/>
  <c r="BF10" i="11"/>
  <c r="BE10" i="11"/>
  <c r="BD10" i="11"/>
  <c r="BC10" i="11"/>
  <c r="BC8" i="11" s="1"/>
  <c r="BB10" i="11"/>
  <c r="BB8" i="11" s="1"/>
  <c r="BB28" i="11" s="1"/>
  <c r="BA10" i="11"/>
  <c r="BA8" i="11" s="1"/>
  <c r="AZ10" i="11"/>
  <c r="AZ8" i="11" s="1"/>
  <c r="AY10" i="11"/>
  <c r="AX10" i="11"/>
  <c r="AW10" i="11"/>
  <c r="AV10" i="11"/>
  <c r="AU10" i="11"/>
  <c r="AT10" i="11"/>
  <c r="AS10" i="11"/>
  <c r="AR10" i="11"/>
  <c r="AQ10" i="11"/>
  <c r="AP10" i="11"/>
  <c r="AO10" i="11"/>
  <c r="AN10" i="11"/>
  <c r="AM10" i="11"/>
  <c r="AM8" i="11" s="1"/>
  <c r="AL10" i="11"/>
  <c r="AL8" i="11" s="1"/>
  <c r="AL28" i="11" s="1"/>
  <c r="AK10" i="11"/>
  <c r="AK8" i="11" s="1"/>
  <c r="AJ10" i="11"/>
  <c r="AJ8" i="11" s="1"/>
  <c r="AI10" i="11"/>
  <c r="AH10" i="11"/>
  <c r="AG10" i="11"/>
  <c r="AF10" i="11"/>
  <c r="AE10" i="11"/>
  <c r="AD10" i="11"/>
  <c r="AC10" i="11"/>
  <c r="AB10" i="11"/>
  <c r="AA10" i="11"/>
  <c r="Z10" i="11"/>
  <c r="Y10" i="11"/>
  <c r="X10" i="11"/>
  <c r="W10" i="11"/>
  <c r="W8" i="11" s="1"/>
  <c r="V10" i="11"/>
  <c r="V8" i="11" s="1"/>
  <c r="V28" i="11" s="1"/>
  <c r="U10" i="11"/>
  <c r="U8" i="11" s="1"/>
  <c r="T10" i="11"/>
  <c r="T8" i="11" s="1"/>
  <c r="S10" i="11"/>
  <c r="R10" i="11"/>
  <c r="Q10" i="11"/>
  <c r="P10" i="11"/>
  <c r="O10" i="11"/>
  <c r="N10" i="11"/>
  <c r="M10" i="11"/>
  <c r="L10" i="11"/>
  <c r="K10" i="11"/>
  <c r="J10" i="11"/>
  <c r="I10" i="11"/>
  <c r="H10" i="11"/>
  <c r="G10" i="11"/>
  <c r="G8" i="11" s="1"/>
  <c r="F10" i="11"/>
  <c r="F8" i="11" s="1"/>
  <c r="F28" i="11" s="1"/>
  <c r="E10" i="11"/>
  <c r="E8" i="11" s="1"/>
  <c r="D10" i="11"/>
  <c r="D8" i="11" s="1"/>
  <c r="C10" i="11"/>
  <c r="CP9" i="11"/>
  <c r="CO9" i="11"/>
  <c r="CN9" i="11"/>
  <c r="CM9" i="11"/>
  <c r="CM8" i="11" s="1"/>
  <c r="CL9" i="11"/>
  <c r="CL8" i="11" s="1"/>
  <c r="CK9" i="11"/>
  <c r="CK8" i="11" s="1"/>
  <c r="CJ9" i="11"/>
  <c r="CJ8" i="11" s="1"/>
  <c r="CI9" i="11"/>
  <c r="CH9" i="11"/>
  <c r="CG9" i="11"/>
  <c r="CF9" i="11"/>
  <c r="CE9" i="11"/>
  <c r="CE8" i="11" s="1"/>
  <c r="CD9" i="11"/>
  <c r="CD8" i="11" s="1"/>
  <c r="CC9" i="11"/>
  <c r="CC8" i="11" s="1"/>
  <c r="CB9" i="11"/>
  <c r="CB8" i="11" s="1"/>
  <c r="CA9" i="11"/>
  <c r="BZ9" i="11"/>
  <c r="BY9" i="11"/>
  <c r="BX9" i="11"/>
  <c r="BW9" i="11"/>
  <c r="BW8" i="11" s="1"/>
  <c r="BV9" i="11"/>
  <c r="BV8" i="11" s="1"/>
  <c r="BU9" i="11"/>
  <c r="BU8" i="11" s="1"/>
  <c r="BT9" i="11"/>
  <c r="BT8" i="11" s="1"/>
  <c r="BS9" i="11"/>
  <c r="BR9" i="11"/>
  <c r="BQ9" i="11"/>
  <c r="BP9" i="11"/>
  <c r="BO9" i="11"/>
  <c r="BO8" i="11" s="1"/>
  <c r="BN9" i="11"/>
  <c r="BN8" i="11" s="1"/>
  <c r="BM9" i="11"/>
  <c r="BM8" i="11" s="1"/>
  <c r="BL9" i="11"/>
  <c r="BL8" i="11" s="1"/>
  <c r="BK9" i="11"/>
  <c r="BJ9" i="11"/>
  <c r="BI9" i="11"/>
  <c r="BH9" i="11"/>
  <c r="BG9" i="11"/>
  <c r="BG8" i="11" s="1"/>
  <c r="BF9" i="11"/>
  <c r="BF8" i="11" s="1"/>
  <c r="BE9" i="11"/>
  <c r="BE8" i="11" s="1"/>
  <c r="BD9" i="11"/>
  <c r="BD8" i="11" s="1"/>
  <c r="BC9" i="11"/>
  <c r="BB9" i="11"/>
  <c r="BA9" i="11"/>
  <c r="AZ9" i="11"/>
  <c r="AY9" i="11"/>
  <c r="AY8" i="11" s="1"/>
  <c r="AX9" i="11"/>
  <c r="AX8" i="11" s="1"/>
  <c r="AW9" i="11"/>
  <c r="AW8" i="11" s="1"/>
  <c r="AV9" i="11"/>
  <c r="AV8" i="11" s="1"/>
  <c r="AU9" i="11"/>
  <c r="AT9" i="11"/>
  <c r="AS9" i="11"/>
  <c r="AR9" i="11"/>
  <c r="AQ9" i="11"/>
  <c r="AQ8" i="11" s="1"/>
  <c r="AP9" i="11"/>
  <c r="AP8" i="11" s="1"/>
  <c r="AO9" i="11"/>
  <c r="AO8" i="11" s="1"/>
  <c r="AN9" i="11"/>
  <c r="AN8" i="11" s="1"/>
  <c r="AM9" i="11"/>
  <c r="AL9" i="11"/>
  <c r="AK9" i="11"/>
  <c r="AJ9" i="11"/>
  <c r="AI9" i="11"/>
  <c r="AI8" i="11" s="1"/>
  <c r="AH9" i="11"/>
  <c r="AH8" i="11" s="1"/>
  <c r="AG9" i="11"/>
  <c r="AG8" i="11" s="1"/>
  <c r="AF9" i="11"/>
  <c r="AF8" i="11" s="1"/>
  <c r="AE9" i="11"/>
  <c r="AD9" i="11"/>
  <c r="AC9" i="11"/>
  <c r="AB9" i="11"/>
  <c r="AA9" i="11"/>
  <c r="AA8" i="11" s="1"/>
  <c r="Z9" i="11"/>
  <c r="Z8" i="11" s="1"/>
  <c r="Y9" i="11"/>
  <c r="Y8" i="11" s="1"/>
  <c r="X9" i="11"/>
  <c r="X8" i="11" s="1"/>
  <c r="W9" i="11"/>
  <c r="V9" i="11"/>
  <c r="U9" i="11"/>
  <c r="T9" i="11"/>
  <c r="S9" i="11"/>
  <c r="S8" i="11" s="1"/>
  <c r="R9" i="11"/>
  <c r="R8" i="11" s="1"/>
  <c r="Q9" i="11"/>
  <c r="Q8" i="11" s="1"/>
  <c r="P9" i="11"/>
  <c r="P8" i="11" s="1"/>
  <c r="O9" i="11"/>
  <c r="N9" i="11"/>
  <c r="M9" i="11"/>
  <c r="L9" i="11"/>
  <c r="K9" i="11"/>
  <c r="K8" i="11" s="1"/>
  <c r="J9" i="11"/>
  <c r="J8" i="11" s="1"/>
  <c r="I9" i="11"/>
  <c r="I8" i="11" s="1"/>
  <c r="H9" i="11"/>
  <c r="H8" i="11" s="1"/>
  <c r="G9" i="11"/>
  <c r="F9" i="11"/>
  <c r="E9" i="11"/>
  <c r="D9" i="11"/>
  <c r="C9" i="11"/>
  <c r="C8" i="11" s="1"/>
  <c r="CP8" i="11"/>
  <c r="CP28" i="11" s="1"/>
  <c r="CO8" i="11"/>
  <c r="CN8" i="11"/>
  <c r="CA8" i="11"/>
  <c r="BZ8" i="11"/>
  <c r="BY8" i="11"/>
  <c r="BX8" i="11"/>
  <c r="BK8" i="11"/>
  <c r="BJ8" i="11"/>
  <c r="BI8" i="11"/>
  <c r="BH8" i="11"/>
  <c r="AU8" i="11"/>
  <c r="AT8" i="11"/>
  <c r="AS8" i="11"/>
  <c r="AR8" i="11"/>
  <c r="AE8" i="11"/>
  <c r="AD8" i="11"/>
  <c r="AC8" i="11"/>
  <c r="AB8" i="11"/>
  <c r="O8" i="11"/>
  <c r="N8" i="11"/>
  <c r="M8" i="11"/>
  <c r="L8" i="11"/>
  <c r="CP6" i="11"/>
  <c r="CO6" i="11"/>
  <c r="CO28" i="11" s="1"/>
  <c r="CN6" i="11"/>
  <c r="CN28" i="11" s="1"/>
  <c r="CM6" i="11"/>
  <c r="CL6" i="11"/>
  <c r="CK6" i="11"/>
  <c r="CJ6" i="11"/>
  <c r="CI6" i="11"/>
  <c r="CH6" i="11"/>
  <c r="CG6" i="11"/>
  <c r="CF6" i="11"/>
  <c r="CE6" i="11"/>
  <c r="CD6" i="11"/>
  <c r="CC6" i="11"/>
  <c r="CB6" i="11"/>
  <c r="CA6" i="11"/>
  <c r="BZ6" i="11"/>
  <c r="BY6" i="11"/>
  <c r="BX6" i="11"/>
  <c r="BX28" i="11" s="1"/>
  <c r="BW6" i="11"/>
  <c r="BV6" i="11"/>
  <c r="BU6" i="11"/>
  <c r="BT6" i="11"/>
  <c r="BS6" i="11"/>
  <c r="BR6" i="11"/>
  <c r="BQ6" i="11"/>
  <c r="BP6" i="11"/>
  <c r="BO6" i="11"/>
  <c r="BN6" i="11"/>
  <c r="BM6" i="11"/>
  <c r="BL6" i="11"/>
  <c r="BK6" i="11"/>
  <c r="BJ6" i="11"/>
  <c r="BI6" i="11"/>
  <c r="BH6" i="11"/>
  <c r="BH28" i="11" s="1"/>
  <c r="BG6" i="11"/>
  <c r="BF6" i="11"/>
  <c r="BE6" i="11"/>
  <c r="BD6" i="11"/>
  <c r="BC6" i="11"/>
  <c r="BB6" i="11"/>
  <c r="BA6" i="11"/>
  <c r="AZ6" i="11"/>
  <c r="AY6" i="11"/>
  <c r="AX6" i="11"/>
  <c r="AW6" i="11"/>
  <c r="AV6" i="11"/>
  <c r="AU6" i="11"/>
  <c r="AT6" i="11"/>
  <c r="AS6" i="11"/>
  <c r="AR6" i="11"/>
  <c r="AR28" i="11" s="1"/>
  <c r="AQ6" i="11"/>
  <c r="AP6" i="11"/>
  <c r="AO6" i="11"/>
  <c r="AN6" i="11"/>
  <c r="AM6" i="11"/>
  <c r="AL6" i="11"/>
  <c r="AK6" i="11"/>
  <c r="AJ6" i="11"/>
  <c r="AI6" i="11"/>
  <c r="AH6" i="11"/>
  <c r="AG6" i="11"/>
  <c r="AF6" i="11"/>
  <c r="AE6" i="11"/>
  <c r="AD6" i="11"/>
  <c r="AC6" i="11"/>
  <c r="AB6" i="11"/>
  <c r="AB28" i="11" s="1"/>
  <c r="AA6" i="11"/>
  <c r="Z6" i="11"/>
  <c r="Y6" i="11"/>
  <c r="X6" i="11"/>
  <c r="W6" i="11"/>
  <c r="V6" i="11"/>
  <c r="U6" i="11"/>
  <c r="T6" i="11"/>
  <c r="S6" i="11"/>
  <c r="R6" i="11"/>
  <c r="Q6" i="11"/>
  <c r="P6" i="11"/>
  <c r="O6" i="11"/>
  <c r="N6" i="11"/>
  <c r="M6" i="11"/>
  <c r="L6" i="11"/>
  <c r="L28" i="11" s="1"/>
  <c r="K6" i="11"/>
  <c r="J6" i="11"/>
  <c r="I6" i="11"/>
  <c r="H6" i="11"/>
  <c r="G6" i="11"/>
  <c r="F6" i="11"/>
  <c r="E6" i="11"/>
  <c r="D6" i="11"/>
  <c r="C6" i="11"/>
  <c r="AI133" i="10"/>
  <c r="AH133" i="10"/>
  <c r="AG133" i="10"/>
  <c r="AF133" i="10"/>
  <c r="AE133" i="10"/>
  <c r="AD133" i="10"/>
  <c r="AC133" i="10"/>
  <c r="AB133" i="10"/>
  <c r="AA133"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CP59" i="10"/>
  <c r="CO59" i="10"/>
  <c r="CN59" i="10"/>
  <c r="CM59" i="10"/>
  <c r="CL59"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CP57" i="10"/>
  <c r="CO57" i="10"/>
  <c r="CN57" i="10"/>
  <c r="CM57" i="10"/>
  <c r="CL57"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CP55" i="10"/>
  <c r="CO55" i="10"/>
  <c r="CN55" i="10"/>
  <c r="CM55" i="10"/>
  <c r="CL55"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CP53" i="10"/>
  <c r="CO53" i="10"/>
  <c r="CN53"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CP45" i="10"/>
  <c r="CO45" i="10"/>
  <c r="CN45" i="10"/>
  <c r="CM45" i="10"/>
  <c r="CL45" i="10"/>
  <c r="CK45" i="10"/>
  <c r="CJ45"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CP44" i="10"/>
  <c r="CO44" i="10"/>
  <c r="CN44" i="10"/>
  <c r="CM44" i="10"/>
  <c r="CL44" i="10"/>
  <c r="CK44" i="10"/>
  <c r="CJ44" i="10"/>
  <c r="CJ42" i="10" s="1"/>
  <c r="CI44" i="10"/>
  <c r="CH44" i="10"/>
  <c r="CG44" i="10"/>
  <c r="CF44" i="10"/>
  <c r="CE44" i="10"/>
  <c r="CD44" i="10"/>
  <c r="CC44" i="10"/>
  <c r="CB44" i="10"/>
  <c r="CA44" i="10"/>
  <c r="BZ44" i="10"/>
  <c r="BY44" i="10"/>
  <c r="BX44" i="10"/>
  <c r="BW44" i="10"/>
  <c r="BV44" i="10"/>
  <c r="BU44" i="10"/>
  <c r="BU42" i="10" s="1"/>
  <c r="BT44" i="10"/>
  <c r="BS44" i="10"/>
  <c r="BR44" i="10"/>
  <c r="BQ44" i="10"/>
  <c r="BP44" i="10"/>
  <c r="BO44" i="10"/>
  <c r="BO42" i="10" s="1"/>
  <c r="BN44" i="10"/>
  <c r="BN42" i="10" s="1"/>
  <c r="BM44" i="10"/>
  <c r="BM42" i="10" s="1"/>
  <c r="BL44" i="10"/>
  <c r="BL42" i="10" s="1"/>
  <c r="BK44" i="10"/>
  <c r="BJ44" i="10"/>
  <c r="BI44" i="10"/>
  <c r="BH44" i="10"/>
  <c r="BG44" i="10"/>
  <c r="BG42" i="10" s="1"/>
  <c r="BF44" i="10"/>
  <c r="BE44" i="10"/>
  <c r="BD44" i="10"/>
  <c r="BC44" i="10"/>
  <c r="BB44" i="10"/>
  <c r="BA44" i="10"/>
  <c r="AZ44" i="10"/>
  <c r="AY44" i="10"/>
  <c r="AY42" i="10" s="1"/>
  <c r="AX44" i="10"/>
  <c r="AW44" i="10"/>
  <c r="AW42" i="10" s="1"/>
  <c r="AV44" i="10"/>
  <c r="AU44" i="10"/>
  <c r="AT44" i="10"/>
  <c r="AS44" i="10"/>
  <c r="AR44" i="10"/>
  <c r="AQ44" i="10"/>
  <c r="AP44" i="10"/>
  <c r="AO44" i="10"/>
  <c r="AO42" i="10" s="1"/>
  <c r="AN44" i="10"/>
  <c r="AM44" i="10"/>
  <c r="AL44" i="10"/>
  <c r="AK44" i="10"/>
  <c r="AJ44" i="10"/>
  <c r="AI44" i="10"/>
  <c r="AH44" i="10"/>
  <c r="AG44" i="10"/>
  <c r="AF44" i="10"/>
  <c r="AE44" i="10"/>
  <c r="AD44" i="10"/>
  <c r="AC44" i="10"/>
  <c r="AB44" i="10"/>
  <c r="AA44" i="10"/>
  <c r="AA42" i="10" s="1"/>
  <c r="Z44" i="10"/>
  <c r="Z42" i="10" s="1"/>
  <c r="Y44" i="10"/>
  <c r="Y42" i="10" s="1"/>
  <c r="X44" i="10"/>
  <c r="X42" i="10" s="1"/>
  <c r="W44" i="10"/>
  <c r="V44" i="10"/>
  <c r="U44" i="10"/>
  <c r="T44" i="10"/>
  <c r="S44" i="10"/>
  <c r="R44" i="10"/>
  <c r="Q44" i="10"/>
  <c r="P44" i="10"/>
  <c r="O44" i="10"/>
  <c r="N44" i="10"/>
  <c r="M44" i="10"/>
  <c r="L44" i="10"/>
  <c r="K44" i="10"/>
  <c r="J44" i="10"/>
  <c r="I44" i="10"/>
  <c r="I42" i="10" s="1"/>
  <c r="H44" i="10"/>
  <c r="G44" i="10"/>
  <c r="F44" i="10"/>
  <c r="E44" i="10"/>
  <c r="D44" i="10"/>
  <c r="C44" i="10"/>
  <c r="C42" i="10" s="1"/>
  <c r="CP43" i="10"/>
  <c r="CP42" i="10" s="1"/>
  <c r="CO43" i="10"/>
  <c r="CO42" i="10" s="1"/>
  <c r="CN43" i="10"/>
  <c r="CN42" i="10" s="1"/>
  <c r="CM43" i="10"/>
  <c r="CL43" i="10"/>
  <c r="CK43" i="10"/>
  <c r="CJ43" i="10"/>
  <c r="CI43" i="10"/>
  <c r="CI42" i="10" s="1"/>
  <c r="CH43" i="10"/>
  <c r="CH42" i="10" s="1"/>
  <c r="CG43" i="10"/>
  <c r="CG42" i="10" s="1"/>
  <c r="CF43" i="10"/>
  <c r="CF42" i="10" s="1"/>
  <c r="CE43" i="10"/>
  <c r="CD43" i="10"/>
  <c r="CC43" i="10"/>
  <c r="CC42" i="10" s="1"/>
  <c r="CB43" i="10"/>
  <c r="CB42" i="10" s="1"/>
  <c r="CA43" i="10"/>
  <c r="CA42" i="10" s="1"/>
  <c r="BZ43" i="10"/>
  <c r="BZ42" i="10" s="1"/>
  <c r="BY43" i="10"/>
  <c r="BY42" i="10" s="1"/>
  <c r="BX43" i="10"/>
  <c r="BX42" i="10" s="1"/>
  <c r="BW43" i="10"/>
  <c r="BV43" i="10"/>
  <c r="BU43" i="10"/>
  <c r="BT43" i="10"/>
  <c r="BS43" i="10"/>
  <c r="BR43" i="10"/>
  <c r="BR42" i="10" s="1"/>
  <c r="BQ43" i="10"/>
  <c r="BQ42" i="10" s="1"/>
  <c r="BP43" i="10"/>
  <c r="BP42" i="10" s="1"/>
  <c r="BO43" i="10"/>
  <c r="BN43" i="10"/>
  <c r="BM43" i="10"/>
  <c r="BL43" i="10"/>
  <c r="BK43" i="10"/>
  <c r="BJ43" i="10"/>
  <c r="BJ42" i="10" s="1"/>
  <c r="BI43" i="10"/>
  <c r="BI42" i="10" s="1"/>
  <c r="BH43" i="10"/>
  <c r="BH42" i="10" s="1"/>
  <c r="BG43" i="10"/>
  <c r="BF43" i="10"/>
  <c r="BE43" i="10"/>
  <c r="BD43" i="10"/>
  <c r="BD42" i="10" s="1"/>
  <c r="BC43" i="10"/>
  <c r="BC42" i="10" s="1"/>
  <c r="BB43" i="10"/>
  <c r="BB42" i="10" s="1"/>
  <c r="BA43" i="10"/>
  <c r="BA42" i="10" s="1"/>
  <c r="AZ43" i="10"/>
  <c r="AZ42" i="10" s="1"/>
  <c r="AY43" i="10"/>
  <c r="AX43" i="10"/>
  <c r="AW43" i="10"/>
  <c r="AV43" i="10"/>
  <c r="AV42" i="10" s="1"/>
  <c r="AU43" i="10"/>
  <c r="AT43" i="10"/>
  <c r="AT42" i="10" s="1"/>
  <c r="AS43" i="10"/>
  <c r="AS42" i="10" s="1"/>
  <c r="AR43" i="10"/>
  <c r="AR42" i="10" s="1"/>
  <c r="AQ43" i="10"/>
  <c r="AP43" i="10"/>
  <c r="AP42" i="10" s="1"/>
  <c r="AO43" i="10"/>
  <c r="AN43" i="10"/>
  <c r="AN42" i="10" s="1"/>
  <c r="AM43" i="10"/>
  <c r="AM42" i="10" s="1"/>
  <c r="AL43" i="10"/>
  <c r="AL42" i="10" s="1"/>
  <c r="AK43" i="10"/>
  <c r="AK42" i="10" s="1"/>
  <c r="AJ43" i="10"/>
  <c r="AJ42" i="10" s="1"/>
  <c r="AI43" i="10"/>
  <c r="AH43" i="10"/>
  <c r="AG43" i="10"/>
  <c r="AF43" i="10"/>
  <c r="AE43" i="10"/>
  <c r="AE42" i="10" s="1"/>
  <c r="AD43" i="10"/>
  <c r="AD42" i="10" s="1"/>
  <c r="AC43" i="10"/>
  <c r="AC42" i="10" s="1"/>
  <c r="AB43" i="10"/>
  <c r="AB42" i="10" s="1"/>
  <c r="AA43" i="10"/>
  <c r="Z43" i="10"/>
  <c r="Y43" i="10"/>
  <c r="X43" i="10"/>
  <c r="W43" i="10"/>
  <c r="W42" i="10" s="1"/>
  <c r="V43" i="10"/>
  <c r="V42" i="10" s="1"/>
  <c r="U43" i="10"/>
  <c r="U42" i="10" s="1"/>
  <c r="T43" i="10"/>
  <c r="T42" i="10" s="1"/>
  <c r="S43" i="10"/>
  <c r="R43" i="10"/>
  <c r="Q43" i="10"/>
  <c r="Q42" i="10" s="1"/>
  <c r="P43" i="10"/>
  <c r="P42" i="10" s="1"/>
  <c r="O43" i="10"/>
  <c r="O42" i="10" s="1"/>
  <c r="N43" i="10"/>
  <c r="N42" i="10" s="1"/>
  <c r="M43" i="10"/>
  <c r="M42" i="10" s="1"/>
  <c r="L43" i="10"/>
  <c r="L42" i="10" s="1"/>
  <c r="K43" i="10"/>
  <c r="J43" i="10"/>
  <c r="I43" i="10"/>
  <c r="H43" i="10"/>
  <c r="G43" i="10"/>
  <c r="F43" i="10"/>
  <c r="F42" i="10" s="1"/>
  <c r="E43" i="10"/>
  <c r="E42" i="10" s="1"/>
  <c r="D43" i="10"/>
  <c r="D42" i="10" s="1"/>
  <c r="C43" i="10"/>
  <c r="CM42" i="10"/>
  <c r="CL42" i="10"/>
  <c r="CK42" i="10"/>
  <c r="CE42" i="10"/>
  <c r="CD42" i="10"/>
  <c r="BW42" i="10"/>
  <c r="BV42" i="10"/>
  <c r="BT42" i="10"/>
  <c r="BS42" i="10"/>
  <c r="BK42" i="10"/>
  <c r="BF42" i="10"/>
  <c r="BE42" i="10"/>
  <c r="AX42" i="10"/>
  <c r="AU42" i="10"/>
  <c r="AQ42" i="10"/>
  <c r="AI42" i="10"/>
  <c r="AH42" i="10"/>
  <c r="AG42" i="10"/>
  <c r="AF42" i="10"/>
  <c r="S42" i="10"/>
  <c r="R42" i="10"/>
  <c r="K42" i="10"/>
  <c r="J42" i="10"/>
  <c r="H42" i="10"/>
  <c r="G42"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P39" i="10"/>
  <c r="CO39" i="10"/>
  <c r="CN39" i="10"/>
  <c r="CM39" i="10"/>
  <c r="CL39" i="10"/>
  <c r="CK39" i="10"/>
  <c r="CJ39" i="10"/>
  <c r="CI39" i="10"/>
  <c r="CI37" i="10" s="1"/>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K37" i="10" s="1"/>
  <c r="BJ39" i="10"/>
  <c r="BI39" i="10"/>
  <c r="BH39" i="10"/>
  <c r="BG39" i="10"/>
  <c r="BF39" i="10"/>
  <c r="BE39" i="10"/>
  <c r="BD39" i="10"/>
  <c r="BC39" i="10"/>
  <c r="BC37" i="10" s="1"/>
  <c r="BB39" i="10"/>
  <c r="BA39" i="10"/>
  <c r="AZ39" i="10"/>
  <c r="AY39" i="10"/>
  <c r="AX39" i="10"/>
  <c r="AW39" i="10"/>
  <c r="AV39" i="10"/>
  <c r="AU39" i="10"/>
  <c r="AU37" i="10" s="1"/>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W37" i="10" s="1"/>
  <c r="V39" i="10"/>
  <c r="U39" i="10"/>
  <c r="T39" i="10"/>
  <c r="S39" i="10"/>
  <c r="R39" i="10"/>
  <c r="Q39" i="10"/>
  <c r="P39" i="10"/>
  <c r="O39" i="10"/>
  <c r="N39" i="10"/>
  <c r="M39" i="10"/>
  <c r="L39" i="10"/>
  <c r="K39" i="10"/>
  <c r="J39" i="10"/>
  <c r="I39" i="10"/>
  <c r="H39" i="10"/>
  <c r="G39" i="10"/>
  <c r="F39" i="10"/>
  <c r="E39" i="10"/>
  <c r="D39" i="10"/>
  <c r="C39" i="10"/>
  <c r="CP38" i="10"/>
  <c r="CP37" i="10" s="1"/>
  <c r="CO38" i="10"/>
  <c r="CO37" i="10" s="1"/>
  <c r="CN38" i="10"/>
  <c r="CN37" i="10" s="1"/>
  <c r="CM38" i="10"/>
  <c r="CL38" i="10"/>
  <c r="CK38" i="10"/>
  <c r="CJ38" i="10"/>
  <c r="CJ37" i="10" s="1"/>
  <c r="CI38" i="10"/>
  <c r="CH38" i="10"/>
  <c r="CG38" i="10"/>
  <c r="CF38" i="10"/>
  <c r="CE38" i="10"/>
  <c r="CE37" i="10" s="1"/>
  <c r="CD38" i="10"/>
  <c r="CC38" i="10"/>
  <c r="CC37" i="10" s="1"/>
  <c r="CB38" i="10"/>
  <c r="CB37" i="10" s="1"/>
  <c r="CA38" i="10"/>
  <c r="BZ38" i="10"/>
  <c r="BY38" i="10"/>
  <c r="BX38" i="10"/>
  <c r="BW38" i="10"/>
  <c r="BV38" i="10"/>
  <c r="BV37" i="10" s="1"/>
  <c r="BU38" i="10"/>
  <c r="BU37" i="10" s="1"/>
  <c r="BT38" i="10"/>
  <c r="BT37" i="10" s="1"/>
  <c r="BS38" i="10"/>
  <c r="BR38" i="10"/>
  <c r="BQ38" i="10"/>
  <c r="BP38" i="10"/>
  <c r="BO38" i="10"/>
  <c r="BN38" i="10"/>
  <c r="BM38" i="10"/>
  <c r="BL38" i="10"/>
  <c r="BK38" i="10"/>
  <c r="BJ38" i="10"/>
  <c r="BI38" i="10"/>
  <c r="BH38" i="10"/>
  <c r="BG38" i="10"/>
  <c r="BG37" i="10" s="1"/>
  <c r="BF38" i="10"/>
  <c r="BF37" i="10" s="1"/>
  <c r="BE38" i="10"/>
  <c r="BE37" i="10" s="1"/>
  <c r="BD38" i="10"/>
  <c r="BD37" i="10" s="1"/>
  <c r="BC38" i="10"/>
  <c r="BB38" i="10"/>
  <c r="BA38" i="10"/>
  <c r="AZ38" i="10"/>
  <c r="AY38" i="10"/>
  <c r="AX38" i="10"/>
  <c r="AW38" i="10"/>
  <c r="AW37" i="10" s="1"/>
  <c r="AV38" i="10"/>
  <c r="AV37" i="10" s="1"/>
  <c r="AU38" i="10"/>
  <c r="AT38" i="10"/>
  <c r="AS38" i="10"/>
  <c r="AR38" i="10"/>
  <c r="AQ38" i="10"/>
  <c r="AP38" i="10"/>
  <c r="AO38" i="10"/>
  <c r="AO37" i="10" s="1"/>
  <c r="AN38" i="10"/>
  <c r="AN37" i="10" s="1"/>
  <c r="AM38" i="10"/>
  <c r="AL38" i="10"/>
  <c r="AK38" i="10"/>
  <c r="AJ38" i="10"/>
  <c r="AI38" i="10"/>
  <c r="AI37" i="10" s="1"/>
  <c r="AH38" i="10"/>
  <c r="AH37" i="10" s="1"/>
  <c r="AG38" i="10"/>
  <c r="AG37" i="10" s="1"/>
  <c r="AF38" i="10"/>
  <c r="AF37" i="10" s="1"/>
  <c r="AE38" i="10"/>
  <c r="AD38" i="10"/>
  <c r="AC38" i="10"/>
  <c r="AB38" i="10"/>
  <c r="AA38" i="10"/>
  <c r="AA37" i="10" s="1"/>
  <c r="Z38" i="10"/>
  <c r="Y38" i="10"/>
  <c r="Y37" i="10" s="1"/>
  <c r="X38" i="10"/>
  <c r="X37" i="10" s="1"/>
  <c r="W38" i="10"/>
  <c r="V38" i="10"/>
  <c r="U38" i="10"/>
  <c r="T38" i="10"/>
  <c r="S38" i="10"/>
  <c r="S37" i="10" s="1"/>
  <c r="R38" i="10"/>
  <c r="Q38" i="10"/>
  <c r="Q37" i="10" s="1"/>
  <c r="P38" i="10"/>
  <c r="P37" i="10" s="1"/>
  <c r="O38" i="10"/>
  <c r="N38" i="10"/>
  <c r="M38" i="10"/>
  <c r="L38" i="10"/>
  <c r="K38" i="10"/>
  <c r="J38" i="10"/>
  <c r="J37" i="10" s="1"/>
  <c r="I38" i="10"/>
  <c r="I37" i="10" s="1"/>
  <c r="H38" i="10"/>
  <c r="H37" i="10" s="1"/>
  <c r="G38" i="10"/>
  <c r="F38" i="10"/>
  <c r="E38" i="10"/>
  <c r="D38" i="10"/>
  <c r="C38" i="10"/>
  <c r="CM37" i="10"/>
  <c r="CL37" i="10"/>
  <c r="CK37" i="10"/>
  <c r="CD37" i="10"/>
  <c r="CA37" i="10"/>
  <c r="BW37" i="10"/>
  <c r="BS37" i="10"/>
  <c r="BO37" i="10"/>
  <c r="BN37" i="10"/>
  <c r="BM37" i="10"/>
  <c r="BL37" i="10"/>
  <c r="AY37" i="10"/>
  <c r="AX37" i="10"/>
  <c r="AQ37" i="10"/>
  <c r="AP37" i="10"/>
  <c r="AM37" i="10"/>
  <c r="AE37" i="10"/>
  <c r="Z37" i="10"/>
  <c r="R37" i="10"/>
  <c r="O37" i="10"/>
  <c r="K37" i="10"/>
  <c r="G37" i="10"/>
  <c r="C37" i="10"/>
  <c r="CP35" i="10"/>
  <c r="CP61" i="10" s="1"/>
  <c r="CO35" i="10"/>
  <c r="CO61" i="10" s="1"/>
  <c r="CN35" i="10"/>
  <c r="CM35" i="10"/>
  <c r="CM61" i="10" s="1"/>
  <c r="CL35" i="10"/>
  <c r="CL61" i="10" s="1"/>
  <c r="CK35" i="10"/>
  <c r="CK61" i="10" s="1"/>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CP14"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CP9" i="10"/>
  <c r="CO9" i="10"/>
  <c r="CO8" i="10" s="1"/>
  <c r="CN9" i="10"/>
  <c r="CN8" i="10" s="1"/>
  <c r="CM9" i="10"/>
  <c r="CL9" i="10"/>
  <c r="CK9" i="10"/>
  <c r="CJ9" i="10"/>
  <c r="CJ8" i="10" s="1"/>
  <c r="CI9" i="10"/>
  <c r="CH9" i="10"/>
  <c r="CH8" i="10" s="1"/>
  <c r="CG9" i="10"/>
  <c r="CF9" i="10"/>
  <c r="CE9" i="10"/>
  <c r="CE8" i="10" s="1"/>
  <c r="CD9" i="10"/>
  <c r="CC9" i="10"/>
  <c r="CC8" i="10" s="1"/>
  <c r="CB9" i="10"/>
  <c r="CB8" i="10" s="1"/>
  <c r="CA9" i="10"/>
  <c r="BZ9" i="10"/>
  <c r="BY9" i="10"/>
  <c r="BX9" i="10"/>
  <c r="BW9" i="10"/>
  <c r="BW8" i="10" s="1"/>
  <c r="BV9" i="10"/>
  <c r="BV8" i="10" s="1"/>
  <c r="BU9" i="10"/>
  <c r="BU8" i="10" s="1"/>
  <c r="BT9" i="10"/>
  <c r="BT8" i="10" s="1"/>
  <c r="BS9" i="10"/>
  <c r="BR9" i="10"/>
  <c r="BQ9" i="10"/>
  <c r="BP9" i="10"/>
  <c r="BO9" i="10"/>
  <c r="BO8" i="10" s="1"/>
  <c r="BN9" i="10"/>
  <c r="BM9" i="10"/>
  <c r="BM8" i="10" s="1"/>
  <c r="BL9" i="10"/>
  <c r="BL8" i="10" s="1"/>
  <c r="BK9" i="10"/>
  <c r="BJ9" i="10"/>
  <c r="BI9" i="10"/>
  <c r="BH9" i="10"/>
  <c r="BG9" i="10"/>
  <c r="BG8" i="10" s="1"/>
  <c r="BF9" i="10"/>
  <c r="BE9" i="10"/>
  <c r="BE8" i="10" s="1"/>
  <c r="BD9" i="10"/>
  <c r="BD8" i="10" s="1"/>
  <c r="BC9" i="10"/>
  <c r="BB9" i="10"/>
  <c r="BA9" i="10"/>
  <c r="AZ9" i="10"/>
  <c r="AY9" i="10"/>
  <c r="AY8" i="10" s="1"/>
  <c r="AX9" i="10"/>
  <c r="AX8" i="10" s="1"/>
  <c r="AW9" i="10"/>
  <c r="AW8" i="10" s="1"/>
  <c r="AV9" i="10"/>
  <c r="AV8" i="10" s="1"/>
  <c r="AU9" i="10"/>
  <c r="AT9" i="10"/>
  <c r="AS9" i="10"/>
  <c r="AR9" i="10"/>
  <c r="AQ9" i="10"/>
  <c r="AP9" i="10"/>
  <c r="AO9" i="10"/>
  <c r="AO8" i="10" s="1"/>
  <c r="AN9" i="10"/>
  <c r="AN8" i="10" s="1"/>
  <c r="AM9" i="10"/>
  <c r="AL9" i="10"/>
  <c r="AL8" i="10" s="1"/>
  <c r="AK9" i="10"/>
  <c r="AJ9" i="10"/>
  <c r="AI9" i="10"/>
  <c r="AI8" i="10" s="1"/>
  <c r="AH9" i="10"/>
  <c r="AH8" i="10" s="1"/>
  <c r="AG9" i="10"/>
  <c r="AG8" i="10" s="1"/>
  <c r="AF9" i="10"/>
  <c r="AE9" i="10"/>
  <c r="AD9" i="10"/>
  <c r="AC9" i="10"/>
  <c r="AB9" i="10"/>
  <c r="AA9" i="10"/>
  <c r="Z9" i="10"/>
  <c r="Y9" i="10"/>
  <c r="Y8" i="10" s="1"/>
  <c r="X9" i="10"/>
  <c r="X8" i="10" s="1"/>
  <c r="W9" i="10"/>
  <c r="V9" i="10"/>
  <c r="V8" i="10" s="1"/>
  <c r="U9" i="10"/>
  <c r="T9" i="10"/>
  <c r="S9" i="10"/>
  <c r="S8" i="10" s="1"/>
  <c r="R9" i="10"/>
  <c r="Q9" i="10"/>
  <c r="Q8" i="10" s="1"/>
  <c r="P9" i="10"/>
  <c r="P8" i="10" s="1"/>
  <c r="O9" i="10"/>
  <c r="N9" i="10"/>
  <c r="M9" i="10"/>
  <c r="L9" i="10"/>
  <c r="K9" i="10"/>
  <c r="K8" i="10" s="1"/>
  <c r="J9" i="10"/>
  <c r="J8" i="10" s="1"/>
  <c r="I9" i="10"/>
  <c r="I8" i="10" s="1"/>
  <c r="H9" i="10"/>
  <c r="G9" i="10"/>
  <c r="F9" i="10"/>
  <c r="E9" i="10"/>
  <c r="D9" i="10"/>
  <c r="C9" i="10"/>
  <c r="C8" i="10" s="1"/>
  <c r="CP8" i="10"/>
  <c r="CM8" i="10"/>
  <c r="CL8" i="10"/>
  <c r="CK8" i="10"/>
  <c r="CD8" i="10"/>
  <c r="BZ8" i="10"/>
  <c r="BR8" i="10"/>
  <c r="BN8" i="10"/>
  <c r="BJ8" i="10"/>
  <c r="BF8" i="10"/>
  <c r="BB8" i="10"/>
  <c r="AT8" i="10"/>
  <c r="AQ8" i="10"/>
  <c r="AP8" i="10"/>
  <c r="AF8" i="10"/>
  <c r="AD8" i="10"/>
  <c r="AA8" i="10"/>
  <c r="Z8" i="10"/>
  <c r="R8" i="10"/>
  <c r="N8" i="10"/>
  <c r="H8" i="10"/>
  <c r="F8" i="10"/>
  <c r="CP6" i="10"/>
  <c r="CP28" i="10" s="1"/>
  <c r="CO6" i="10"/>
  <c r="CN6" i="10"/>
  <c r="CM6" i="10"/>
  <c r="CM28" i="10" s="1"/>
  <c r="CL6" i="10"/>
  <c r="CL28" i="10" s="1"/>
  <c r="CK6" i="10"/>
  <c r="CK28" i="10" s="1"/>
  <c r="CJ6" i="10"/>
  <c r="CJ28" i="10" s="1"/>
  <c r="CI6" i="10"/>
  <c r="CH6" i="10"/>
  <c r="CH28" i="10" s="1"/>
  <c r="CG6" i="10"/>
  <c r="CF6" i="10"/>
  <c r="CE6" i="10"/>
  <c r="CD6" i="10"/>
  <c r="CC6" i="10"/>
  <c r="CB6" i="10"/>
  <c r="CA6" i="10"/>
  <c r="BZ6" i="10"/>
  <c r="BZ28" i="10" s="1"/>
  <c r="BY6" i="10"/>
  <c r="BX6" i="10"/>
  <c r="BW6" i="10"/>
  <c r="BV6" i="10"/>
  <c r="BU6" i="10"/>
  <c r="BT6" i="10"/>
  <c r="BS6" i="10"/>
  <c r="BR6" i="10"/>
  <c r="BR28" i="10" s="1"/>
  <c r="BQ6" i="10"/>
  <c r="BP6" i="10"/>
  <c r="BO6" i="10"/>
  <c r="BN6" i="10"/>
  <c r="BM6" i="10"/>
  <c r="BL6" i="10"/>
  <c r="BL28" i="10" s="1"/>
  <c r="BK6" i="10"/>
  <c r="BJ6" i="10"/>
  <c r="BJ28" i="10" s="1"/>
  <c r="BI6" i="10"/>
  <c r="BH6" i="10"/>
  <c r="BG6" i="10"/>
  <c r="BF6" i="10"/>
  <c r="BE6" i="10"/>
  <c r="BD6" i="10"/>
  <c r="BD28" i="10" s="1"/>
  <c r="BC6" i="10"/>
  <c r="BB6" i="10"/>
  <c r="BB28" i="10" s="1"/>
  <c r="BA6" i="10"/>
  <c r="AZ6" i="10"/>
  <c r="AY6" i="10"/>
  <c r="AX6" i="10"/>
  <c r="AW6" i="10"/>
  <c r="AV6" i="10"/>
  <c r="AV28" i="10" s="1"/>
  <c r="AU6" i="10"/>
  <c r="AT6" i="10"/>
  <c r="AT28" i="10" s="1"/>
  <c r="AS6" i="10"/>
  <c r="AR6" i="10"/>
  <c r="AQ6" i="10"/>
  <c r="AP6" i="10"/>
  <c r="AO6" i="10"/>
  <c r="AN6" i="10"/>
  <c r="AM6" i="10"/>
  <c r="AL6" i="10"/>
  <c r="AL28" i="10" s="1"/>
  <c r="AK6" i="10"/>
  <c r="AJ6" i="10"/>
  <c r="AI6" i="10"/>
  <c r="AH6" i="10"/>
  <c r="AG6" i="10"/>
  <c r="AF6" i="10"/>
  <c r="AF28" i="10" s="1"/>
  <c r="AE6" i="10"/>
  <c r="AD6" i="10"/>
  <c r="AD28" i="10" s="1"/>
  <c r="AC6" i="10"/>
  <c r="AB6" i="10"/>
  <c r="AA6" i="10"/>
  <c r="Z6" i="10"/>
  <c r="Y6" i="10"/>
  <c r="X6" i="10"/>
  <c r="X28" i="10" s="1"/>
  <c r="W6" i="10"/>
  <c r="V6" i="10"/>
  <c r="V28" i="10" s="1"/>
  <c r="U6" i="10"/>
  <c r="T6" i="10"/>
  <c r="S6" i="10"/>
  <c r="R6" i="10"/>
  <c r="Q6" i="10"/>
  <c r="P6" i="10"/>
  <c r="O6" i="10"/>
  <c r="N6" i="10"/>
  <c r="N28" i="10" s="1"/>
  <c r="M6" i="10"/>
  <c r="L6" i="10"/>
  <c r="K6" i="10"/>
  <c r="J6" i="10"/>
  <c r="I6" i="10"/>
  <c r="H6" i="10"/>
  <c r="H28" i="10" s="1"/>
  <c r="G6" i="10"/>
  <c r="F6" i="10"/>
  <c r="F28" i="10" s="1"/>
  <c r="E6" i="10"/>
  <c r="D6" i="10"/>
  <c r="C6" i="10"/>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CP59" i="9"/>
  <c r="CO59" i="9"/>
  <c r="CN59" i="9"/>
  <c r="CM59" i="9"/>
  <c r="CL59" i="9"/>
  <c r="CK59" i="9"/>
  <c r="CJ59"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CP57" i="9"/>
  <c r="CO57" i="9"/>
  <c r="CN57" i="9"/>
  <c r="CM57" i="9"/>
  <c r="CL57" i="9"/>
  <c r="CK57" i="9"/>
  <c r="CJ57"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57" i="9"/>
  <c r="CP55" i="9"/>
  <c r="CO55" i="9"/>
  <c r="CN55" i="9"/>
  <c r="CM55" i="9"/>
  <c r="CL55" i="9"/>
  <c r="CK55" i="9"/>
  <c r="CJ55"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CP53" i="9"/>
  <c r="CO53" i="9"/>
  <c r="CN53" i="9"/>
  <c r="CM53" i="9"/>
  <c r="CL53" i="9"/>
  <c r="CK53" i="9"/>
  <c r="CJ53" i="9"/>
  <c r="CI53" i="9"/>
  <c r="CH53" i="9"/>
  <c r="CG53" i="9"/>
  <c r="CF53" i="9"/>
  <c r="CE53" i="9"/>
  <c r="CD53" i="9"/>
  <c r="CC53" i="9"/>
  <c r="CB53" i="9"/>
  <c r="CA53" i="9"/>
  <c r="BZ53" i="9"/>
  <c r="BY53" i="9"/>
  <c r="BX53" i="9"/>
  <c r="BW53" i="9"/>
  <c r="BV53" i="9"/>
  <c r="BU53" i="9"/>
  <c r="BT53" i="9"/>
  <c r="BS53" i="9"/>
  <c r="BR53" i="9"/>
  <c r="BQ53" i="9"/>
  <c r="BP53" i="9"/>
  <c r="BO53" i="9"/>
  <c r="BN53" i="9"/>
  <c r="BM53"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53"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CP45" i="9"/>
  <c r="CO45" i="9"/>
  <c r="CN45" i="9"/>
  <c r="CM45" i="9"/>
  <c r="CL45" i="9"/>
  <c r="CK45" i="9"/>
  <c r="CJ45" i="9"/>
  <c r="CI45" i="9"/>
  <c r="CH45" i="9"/>
  <c r="CG45" i="9"/>
  <c r="CF45" i="9"/>
  <c r="CE45" i="9"/>
  <c r="CD45" i="9"/>
  <c r="CC45" i="9"/>
  <c r="CB45" i="9"/>
  <c r="CA45" i="9"/>
  <c r="BZ45" i="9"/>
  <c r="BY45" i="9"/>
  <c r="BX45" i="9"/>
  <c r="BW45" i="9"/>
  <c r="BV45" i="9"/>
  <c r="BU45" i="9"/>
  <c r="BT45" i="9"/>
  <c r="BS45" i="9"/>
  <c r="BR45" i="9"/>
  <c r="BQ45" i="9"/>
  <c r="BP45" i="9"/>
  <c r="BO45" i="9"/>
  <c r="BN45" i="9"/>
  <c r="BM45"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45" i="9"/>
  <c r="CP44" i="9"/>
  <c r="CO44" i="9"/>
  <c r="CN44" i="9"/>
  <c r="CM44" i="9"/>
  <c r="CL44" i="9"/>
  <c r="CK44" i="9"/>
  <c r="CJ44" i="9"/>
  <c r="CI44" i="9"/>
  <c r="CH44" i="9"/>
  <c r="CG44" i="9"/>
  <c r="CF44" i="9"/>
  <c r="CE44" i="9"/>
  <c r="CD44" i="9"/>
  <c r="CC44" i="9"/>
  <c r="CB44" i="9"/>
  <c r="CA44" i="9"/>
  <c r="BZ44" i="9"/>
  <c r="BY44" i="9"/>
  <c r="BX44" i="9"/>
  <c r="BW44" i="9"/>
  <c r="BV44" i="9"/>
  <c r="BU44" i="9"/>
  <c r="BT44" i="9"/>
  <c r="BS44" i="9"/>
  <c r="BR44" i="9"/>
  <c r="BQ44" i="9"/>
  <c r="BP44" i="9"/>
  <c r="BO44" i="9"/>
  <c r="BO42" i="9" s="1"/>
  <c r="BN44" i="9"/>
  <c r="BN42" i="9" s="1"/>
  <c r="BM44" i="9"/>
  <c r="BL44" i="9"/>
  <c r="BK44" i="9"/>
  <c r="BJ44" i="9"/>
  <c r="BI44" i="9"/>
  <c r="BH44" i="9"/>
  <c r="BG44" i="9"/>
  <c r="BF44" i="9"/>
  <c r="BE44" i="9"/>
  <c r="BD44" i="9"/>
  <c r="BC44" i="9"/>
  <c r="BB44" i="9"/>
  <c r="BA44" i="9"/>
  <c r="AZ44" i="9"/>
  <c r="AY44" i="9"/>
  <c r="AY42" i="9" s="1"/>
  <c r="AX44" i="9"/>
  <c r="AW44" i="9"/>
  <c r="AV44" i="9"/>
  <c r="AU44" i="9"/>
  <c r="AT44" i="9"/>
  <c r="AS44" i="9"/>
  <c r="AR44" i="9"/>
  <c r="AQ44" i="9"/>
  <c r="AQ42" i="9" s="1"/>
  <c r="AP44" i="9"/>
  <c r="AO44" i="9"/>
  <c r="AN44" i="9"/>
  <c r="AM44" i="9"/>
  <c r="AL44" i="9"/>
  <c r="AK44" i="9"/>
  <c r="AJ44" i="9"/>
  <c r="AI44" i="9"/>
  <c r="AI42" i="9" s="1"/>
  <c r="AH44" i="9"/>
  <c r="AG44" i="9"/>
  <c r="AF44" i="9"/>
  <c r="AE44" i="9"/>
  <c r="AD44" i="9"/>
  <c r="AC44" i="9"/>
  <c r="AB44" i="9"/>
  <c r="AA44" i="9"/>
  <c r="Z44" i="9"/>
  <c r="Y44" i="9"/>
  <c r="X44" i="9"/>
  <c r="W44" i="9"/>
  <c r="V44" i="9"/>
  <c r="U44" i="9"/>
  <c r="T44" i="9"/>
  <c r="S44" i="9"/>
  <c r="R44" i="9"/>
  <c r="Q44" i="9"/>
  <c r="P44" i="9"/>
  <c r="O44" i="9"/>
  <c r="N44" i="9"/>
  <c r="M44" i="9"/>
  <c r="L44" i="9"/>
  <c r="K44" i="9"/>
  <c r="K42" i="9" s="1"/>
  <c r="J44" i="9"/>
  <c r="I44" i="9"/>
  <c r="H44" i="9"/>
  <c r="G44" i="9"/>
  <c r="F44" i="9"/>
  <c r="E44" i="9"/>
  <c r="D44" i="9"/>
  <c r="C44" i="9"/>
  <c r="CP43" i="9"/>
  <c r="CO43" i="9"/>
  <c r="CO42" i="9" s="1"/>
  <c r="CN43" i="9"/>
  <c r="CM43" i="9"/>
  <c r="CL43" i="9"/>
  <c r="CK43" i="9"/>
  <c r="CJ43" i="9"/>
  <c r="CJ42" i="9" s="1"/>
  <c r="CI43" i="9"/>
  <c r="CI42" i="9" s="1"/>
  <c r="CH43" i="9"/>
  <c r="CH42" i="9" s="1"/>
  <c r="CG43" i="9"/>
  <c r="CF43" i="9"/>
  <c r="CF42" i="9" s="1"/>
  <c r="CE43" i="9"/>
  <c r="CE42" i="9" s="1"/>
  <c r="CD43" i="9"/>
  <c r="CD42" i="9" s="1"/>
  <c r="CC43" i="9"/>
  <c r="CC42" i="9" s="1"/>
  <c r="CB43" i="9"/>
  <c r="CB42" i="9" s="1"/>
  <c r="CA43" i="9"/>
  <c r="CA42" i="9" s="1"/>
  <c r="BZ43" i="9"/>
  <c r="BY43" i="9"/>
  <c r="BX43" i="9"/>
  <c r="BW43" i="9"/>
  <c r="BV43" i="9"/>
  <c r="BU43" i="9"/>
  <c r="BU42" i="9" s="1"/>
  <c r="BT43" i="9"/>
  <c r="BT42" i="9" s="1"/>
  <c r="BS43" i="9"/>
  <c r="BS42" i="9" s="1"/>
  <c r="BR43" i="9"/>
  <c r="BR42" i="9" s="1"/>
  <c r="BQ43" i="9"/>
  <c r="BP43" i="9"/>
  <c r="BO43" i="9"/>
  <c r="BN43" i="9"/>
  <c r="BM43" i="9"/>
  <c r="BL43" i="9"/>
  <c r="BL42" i="9" s="1"/>
  <c r="BK43" i="9"/>
  <c r="BK42" i="9" s="1"/>
  <c r="BJ43" i="9"/>
  <c r="BJ42" i="9" s="1"/>
  <c r="BI43" i="9"/>
  <c r="BH43" i="9"/>
  <c r="BH42" i="9" s="1"/>
  <c r="BG43" i="9"/>
  <c r="BF43" i="9"/>
  <c r="BE43" i="9"/>
  <c r="BE42" i="9" s="1"/>
  <c r="BD43" i="9"/>
  <c r="BD42" i="9" s="1"/>
  <c r="BC43" i="9"/>
  <c r="BC42" i="9" s="1"/>
  <c r="BB43" i="9"/>
  <c r="BB42" i="9" s="1"/>
  <c r="BA43" i="9"/>
  <c r="AZ43" i="9"/>
  <c r="AY43" i="9"/>
  <c r="AX43" i="9"/>
  <c r="AW43" i="9"/>
  <c r="AW42" i="9" s="1"/>
  <c r="AV43" i="9"/>
  <c r="AV42" i="9" s="1"/>
  <c r="AU43" i="9"/>
  <c r="AU42" i="9" s="1"/>
  <c r="AT43" i="9"/>
  <c r="AT42" i="9" s="1"/>
  <c r="AS43" i="9"/>
  <c r="AR43" i="9"/>
  <c r="AQ43" i="9"/>
  <c r="AP43" i="9"/>
  <c r="AP42" i="9" s="1"/>
  <c r="AO43" i="9"/>
  <c r="AO42" i="9" s="1"/>
  <c r="AN43" i="9"/>
  <c r="AN42" i="9" s="1"/>
  <c r="AM43" i="9"/>
  <c r="AM42" i="9" s="1"/>
  <c r="AL43" i="9"/>
  <c r="AL42" i="9" s="1"/>
  <c r="AK43" i="9"/>
  <c r="AJ43" i="9"/>
  <c r="AI43" i="9"/>
  <c r="AH43" i="9"/>
  <c r="AH42" i="9" s="1"/>
  <c r="AG43" i="9"/>
  <c r="AF43" i="9"/>
  <c r="AF42" i="9" s="1"/>
  <c r="AE43" i="9"/>
  <c r="AE42" i="9" s="1"/>
  <c r="AD43" i="9"/>
  <c r="AC43" i="9"/>
  <c r="AB43" i="9"/>
  <c r="AB42" i="9" s="1"/>
  <c r="AA43" i="9"/>
  <c r="AA42" i="9" s="1"/>
  <c r="Z43" i="9"/>
  <c r="Z42" i="9" s="1"/>
  <c r="Y43" i="9"/>
  <c r="Y42" i="9" s="1"/>
  <c r="X43" i="9"/>
  <c r="X42" i="9" s="1"/>
  <c r="W43" i="9"/>
  <c r="W42" i="9" s="1"/>
  <c r="V43" i="9"/>
  <c r="U43" i="9"/>
  <c r="T43" i="9"/>
  <c r="S43" i="9"/>
  <c r="R43" i="9"/>
  <c r="Q43" i="9"/>
  <c r="Q42" i="9" s="1"/>
  <c r="P43" i="9"/>
  <c r="P42" i="9" s="1"/>
  <c r="O43" i="9"/>
  <c r="O42" i="9" s="1"/>
  <c r="N43" i="9"/>
  <c r="N42" i="9" s="1"/>
  <c r="M43" i="9"/>
  <c r="L43" i="9"/>
  <c r="K43" i="9"/>
  <c r="J43" i="9"/>
  <c r="I43" i="9"/>
  <c r="I42" i="9" s="1"/>
  <c r="H43" i="9"/>
  <c r="H42" i="9" s="1"/>
  <c r="G43" i="9"/>
  <c r="G42" i="9" s="1"/>
  <c r="F43" i="9"/>
  <c r="E43" i="9"/>
  <c r="D43" i="9"/>
  <c r="C43" i="9"/>
  <c r="C42" i="9" s="1"/>
  <c r="CP42" i="9"/>
  <c r="CN42" i="9"/>
  <c r="CM42" i="9"/>
  <c r="CL42" i="9"/>
  <c r="CK42" i="9"/>
  <c r="BZ42" i="9"/>
  <c r="BX42" i="9"/>
  <c r="BW42" i="9"/>
  <c r="BP42" i="9"/>
  <c r="BM42" i="9"/>
  <c r="BG42" i="9"/>
  <c r="BF42" i="9"/>
  <c r="AZ42" i="9"/>
  <c r="AX42" i="9"/>
  <c r="AR42" i="9"/>
  <c r="AJ42" i="9"/>
  <c r="AG42" i="9"/>
  <c r="AD42" i="9"/>
  <c r="V42" i="9"/>
  <c r="T42" i="9"/>
  <c r="S42" i="9"/>
  <c r="R42" i="9"/>
  <c r="L42" i="9"/>
  <c r="J42" i="9"/>
  <c r="F42" i="9"/>
  <c r="D42" i="9"/>
  <c r="CP40"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CP39" i="9"/>
  <c r="CO39" i="9"/>
  <c r="CN39" i="9"/>
  <c r="CM39" i="9"/>
  <c r="CL39" i="9"/>
  <c r="CK39" i="9"/>
  <c r="CJ39" i="9"/>
  <c r="CI39" i="9"/>
  <c r="CH39" i="9"/>
  <c r="CG39" i="9"/>
  <c r="CF39" i="9"/>
  <c r="CF37" i="9" s="1"/>
  <c r="CE39" i="9"/>
  <c r="CD39" i="9"/>
  <c r="CC39" i="9"/>
  <c r="CB39" i="9"/>
  <c r="CA39" i="9"/>
  <c r="BZ39" i="9"/>
  <c r="BY39" i="9"/>
  <c r="BX39" i="9"/>
  <c r="BW39" i="9"/>
  <c r="BV39" i="9"/>
  <c r="BU39" i="9"/>
  <c r="BT39" i="9"/>
  <c r="BS39" i="9"/>
  <c r="BR39" i="9"/>
  <c r="BQ39" i="9"/>
  <c r="BP39" i="9"/>
  <c r="BO39" i="9"/>
  <c r="BN39" i="9"/>
  <c r="BM39" i="9"/>
  <c r="BL39" i="9"/>
  <c r="BK39" i="9"/>
  <c r="BJ39" i="9"/>
  <c r="BI39" i="9"/>
  <c r="BH39" i="9"/>
  <c r="BH37" i="9" s="1"/>
  <c r="BG39" i="9"/>
  <c r="BF39" i="9"/>
  <c r="BE39"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T37" i="9" s="1"/>
  <c r="S39" i="9"/>
  <c r="R39" i="9"/>
  <c r="Q39" i="9"/>
  <c r="P39" i="9"/>
  <c r="O39" i="9"/>
  <c r="N39" i="9"/>
  <c r="M39" i="9"/>
  <c r="L39" i="9"/>
  <c r="K39" i="9"/>
  <c r="J39" i="9"/>
  <c r="I39" i="9"/>
  <c r="H39" i="9"/>
  <c r="G39" i="9"/>
  <c r="F39" i="9"/>
  <c r="E39" i="9"/>
  <c r="D39" i="9"/>
  <c r="C39" i="9"/>
  <c r="CP38" i="9"/>
  <c r="CO38" i="9"/>
  <c r="CO37" i="9" s="1"/>
  <c r="CN38" i="9"/>
  <c r="CM38" i="9"/>
  <c r="CL38" i="9"/>
  <c r="CK38" i="9"/>
  <c r="CJ38" i="9"/>
  <c r="CJ37" i="9" s="1"/>
  <c r="CI38" i="9"/>
  <c r="CH38" i="9"/>
  <c r="CG38" i="9"/>
  <c r="CF38" i="9"/>
  <c r="CE38" i="9"/>
  <c r="CD38" i="9"/>
  <c r="CC38" i="9"/>
  <c r="CB38" i="9"/>
  <c r="CB37" i="9" s="1"/>
  <c r="CA38" i="9"/>
  <c r="BZ38" i="9"/>
  <c r="BY38" i="9"/>
  <c r="BX38" i="9"/>
  <c r="BX37" i="9" s="1"/>
  <c r="BW38" i="9"/>
  <c r="BW37" i="9" s="1"/>
  <c r="BV38" i="9"/>
  <c r="BU38" i="9"/>
  <c r="BU37" i="9" s="1"/>
  <c r="BT38" i="9"/>
  <c r="BT37" i="9" s="1"/>
  <c r="BS38" i="9"/>
  <c r="BR38" i="9"/>
  <c r="BQ38" i="9"/>
  <c r="BP38" i="9"/>
  <c r="BP37" i="9" s="1"/>
  <c r="BO38" i="9"/>
  <c r="BN38" i="9"/>
  <c r="BM38" i="9"/>
  <c r="BM37" i="9" s="1"/>
  <c r="BL38" i="9"/>
  <c r="BL37" i="9" s="1"/>
  <c r="BK38" i="9"/>
  <c r="BJ38" i="9"/>
  <c r="BI38" i="9"/>
  <c r="BH38" i="9"/>
  <c r="BG38" i="9"/>
  <c r="BG37" i="9" s="1"/>
  <c r="BF38" i="9"/>
  <c r="BE38" i="9"/>
  <c r="BE37" i="9" s="1"/>
  <c r="BD38" i="9"/>
  <c r="BD37" i="9" s="1"/>
  <c r="BC38" i="9"/>
  <c r="BB38" i="9"/>
  <c r="BA38" i="9"/>
  <c r="AZ38" i="9"/>
  <c r="AY38" i="9"/>
  <c r="AY37" i="9" s="1"/>
  <c r="AX38" i="9"/>
  <c r="AW38" i="9"/>
  <c r="AW37" i="9" s="1"/>
  <c r="AV38" i="9"/>
  <c r="AV37" i="9" s="1"/>
  <c r="AU38" i="9"/>
  <c r="AT38" i="9"/>
  <c r="AS38" i="9"/>
  <c r="AR38" i="9"/>
  <c r="AQ38" i="9"/>
  <c r="AQ37" i="9" s="1"/>
  <c r="AP38" i="9"/>
  <c r="AO38" i="9"/>
  <c r="AO37" i="9" s="1"/>
  <c r="AN38" i="9"/>
  <c r="AN37" i="9" s="1"/>
  <c r="AM38" i="9"/>
  <c r="AL38" i="9"/>
  <c r="AL37" i="9" s="1"/>
  <c r="AK38" i="9"/>
  <c r="AJ38" i="9"/>
  <c r="AJ37" i="9" s="1"/>
  <c r="AI38" i="9"/>
  <c r="AI37" i="9" s="1"/>
  <c r="AH38" i="9"/>
  <c r="AG38" i="9"/>
  <c r="AG37" i="9" s="1"/>
  <c r="AF38" i="9"/>
  <c r="AF37" i="9" s="1"/>
  <c r="AE38" i="9"/>
  <c r="AD38" i="9"/>
  <c r="AC38" i="9"/>
  <c r="AB38" i="9"/>
  <c r="AA38" i="9"/>
  <c r="Z38" i="9"/>
  <c r="Z37" i="9" s="1"/>
  <c r="Y38" i="9"/>
  <c r="Y37" i="9" s="1"/>
  <c r="X38" i="9"/>
  <c r="X37" i="9" s="1"/>
  <c r="W38" i="9"/>
  <c r="V38" i="9"/>
  <c r="U38" i="9"/>
  <c r="T38" i="9"/>
  <c r="S38" i="9"/>
  <c r="R38" i="9"/>
  <c r="Q38" i="9"/>
  <c r="P38" i="9"/>
  <c r="P37" i="9" s="1"/>
  <c r="O38" i="9"/>
  <c r="N38" i="9"/>
  <c r="M38" i="9"/>
  <c r="L38" i="9"/>
  <c r="L37" i="9" s="1"/>
  <c r="K38" i="9"/>
  <c r="K37" i="9" s="1"/>
  <c r="J38" i="9"/>
  <c r="I38" i="9"/>
  <c r="I37" i="9" s="1"/>
  <c r="H38" i="9"/>
  <c r="H37" i="9" s="1"/>
  <c r="G38" i="9"/>
  <c r="F38" i="9"/>
  <c r="E38" i="9"/>
  <c r="D38" i="9"/>
  <c r="D37" i="9" s="1"/>
  <c r="C38" i="9"/>
  <c r="CP37" i="9"/>
  <c r="CN37" i="9"/>
  <c r="CM37" i="9"/>
  <c r="CL37" i="9"/>
  <c r="CK37" i="9"/>
  <c r="CH37" i="9"/>
  <c r="CE37" i="9"/>
  <c r="CD37" i="9"/>
  <c r="CC37" i="9"/>
  <c r="BZ37" i="9"/>
  <c r="BV37" i="9"/>
  <c r="BR37" i="9"/>
  <c r="BO37" i="9"/>
  <c r="BN37" i="9"/>
  <c r="BJ37" i="9"/>
  <c r="BF37" i="9"/>
  <c r="BB37" i="9"/>
  <c r="AZ37" i="9"/>
  <c r="AX37" i="9"/>
  <c r="AT37" i="9"/>
  <c r="AR37" i="9"/>
  <c r="AP37" i="9"/>
  <c r="AH37" i="9"/>
  <c r="AD37" i="9"/>
  <c r="AB37" i="9"/>
  <c r="AA37" i="9"/>
  <c r="V37" i="9"/>
  <c r="S37" i="9"/>
  <c r="R37" i="9"/>
  <c r="Q37" i="9"/>
  <c r="N37" i="9"/>
  <c r="J37" i="9"/>
  <c r="F37" i="9"/>
  <c r="C37" i="9"/>
  <c r="CP35" i="9"/>
  <c r="CP61" i="9" s="1"/>
  <c r="CO35" i="9"/>
  <c r="CN35" i="9"/>
  <c r="CN61" i="9" s="1"/>
  <c r="CM35" i="9"/>
  <c r="CM61" i="9" s="1"/>
  <c r="CL35" i="9"/>
  <c r="CL61" i="9" s="1"/>
  <c r="CK35" i="9"/>
  <c r="CK61" i="9" s="1"/>
  <c r="CJ35" i="9"/>
  <c r="CI35" i="9"/>
  <c r="CH35" i="9"/>
  <c r="CH61" i="9" s="1"/>
  <c r="CG35" i="9"/>
  <c r="CF35" i="9"/>
  <c r="CE35" i="9"/>
  <c r="CD35" i="9"/>
  <c r="CC35" i="9"/>
  <c r="CB35" i="9"/>
  <c r="CA35" i="9"/>
  <c r="BZ35" i="9"/>
  <c r="BZ61" i="9" s="1"/>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D61" i="9" s="1"/>
  <c r="AC35" i="9"/>
  <c r="AB35" i="9"/>
  <c r="AA35" i="9"/>
  <c r="Z35" i="9"/>
  <c r="Y35" i="9"/>
  <c r="X35" i="9"/>
  <c r="W35" i="9"/>
  <c r="V35" i="9"/>
  <c r="V61" i="9" s="1"/>
  <c r="U35" i="9"/>
  <c r="T35" i="9"/>
  <c r="S35" i="9"/>
  <c r="R35" i="9"/>
  <c r="Q35" i="9"/>
  <c r="P35" i="9"/>
  <c r="O35" i="9"/>
  <c r="N35" i="9"/>
  <c r="M35" i="9"/>
  <c r="L35" i="9"/>
  <c r="K35" i="9"/>
  <c r="J35" i="9"/>
  <c r="I35" i="9"/>
  <c r="H35" i="9"/>
  <c r="G35" i="9"/>
  <c r="F35" i="9"/>
  <c r="F61" i="9" s="1"/>
  <c r="E35" i="9"/>
  <c r="D35" i="9"/>
  <c r="C35"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CP14"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CP10" i="9"/>
  <c r="CO10" i="9"/>
  <c r="CN10" i="9"/>
  <c r="CM10" i="9"/>
  <c r="CL10" i="9"/>
  <c r="CK10" i="9"/>
  <c r="CJ10" i="9"/>
  <c r="CI10" i="9"/>
  <c r="CH10" i="9"/>
  <c r="CG10" i="9"/>
  <c r="CF10" i="9"/>
  <c r="CE10" i="9"/>
  <c r="CD10" i="9"/>
  <c r="CC10" i="9"/>
  <c r="CB10" i="9"/>
  <c r="CA10" i="9"/>
  <c r="BZ10" i="9"/>
  <c r="BY10" i="9"/>
  <c r="BX10" i="9"/>
  <c r="BW10" i="9"/>
  <c r="BV10" i="9"/>
  <c r="BU10" i="9"/>
  <c r="BU8" i="9" s="1"/>
  <c r="BT10" i="9"/>
  <c r="BS10" i="9"/>
  <c r="BR10" i="9"/>
  <c r="BQ10" i="9"/>
  <c r="BP10" i="9"/>
  <c r="BO10" i="9"/>
  <c r="BN10" i="9"/>
  <c r="BM10" i="9"/>
  <c r="BL10" i="9"/>
  <c r="BK10" i="9"/>
  <c r="BJ10" i="9"/>
  <c r="BI10" i="9"/>
  <c r="BH10" i="9"/>
  <c r="BG10" i="9"/>
  <c r="BF10" i="9"/>
  <c r="BE10" i="9"/>
  <c r="BE8" i="9" s="1"/>
  <c r="BD10" i="9"/>
  <c r="BC10" i="9"/>
  <c r="BB10" i="9"/>
  <c r="BA10" i="9"/>
  <c r="AZ10" i="9"/>
  <c r="AY10" i="9"/>
  <c r="AX10" i="9"/>
  <c r="AW10" i="9"/>
  <c r="AV10" i="9"/>
  <c r="AU10" i="9"/>
  <c r="AT10" i="9"/>
  <c r="AS10" i="9"/>
  <c r="AR10" i="9"/>
  <c r="AQ10" i="9"/>
  <c r="AP10" i="9"/>
  <c r="AO10" i="9"/>
  <c r="AO8" i="9" s="1"/>
  <c r="AN10" i="9"/>
  <c r="AM10" i="9"/>
  <c r="AL10" i="9"/>
  <c r="AK10" i="9"/>
  <c r="AJ10" i="9"/>
  <c r="AI10" i="9"/>
  <c r="AH10" i="9"/>
  <c r="AG10" i="9"/>
  <c r="AF10" i="9"/>
  <c r="AE10" i="9"/>
  <c r="AD10" i="9"/>
  <c r="AC10" i="9"/>
  <c r="AB10" i="9"/>
  <c r="AA10" i="9"/>
  <c r="Z10" i="9"/>
  <c r="Y10" i="9"/>
  <c r="Y8" i="9" s="1"/>
  <c r="X10" i="9"/>
  <c r="W10" i="9"/>
  <c r="V10" i="9"/>
  <c r="U10" i="9"/>
  <c r="T10" i="9"/>
  <c r="S10" i="9"/>
  <c r="R10" i="9"/>
  <c r="Q10" i="9"/>
  <c r="P10" i="9"/>
  <c r="O10" i="9"/>
  <c r="N10" i="9"/>
  <c r="M10" i="9"/>
  <c r="L10" i="9"/>
  <c r="K10" i="9"/>
  <c r="J10" i="9"/>
  <c r="I10" i="9"/>
  <c r="I8" i="9" s="1"/>
  <c r="H10" i="9"/>
  <c r="G10" i="9"/>
  <c r="F10" i="9"/>
  <c r="E10" i="9"/>
  <c r="D10" i="9"/>
  <c r="C10" i="9"/>
  <c r="CP9" i="9"/>
  <c r="CP8" i="9" s="1"/>
  <c r="CO9" i="9"/>
  <c r="CO8" i="9" s="1"/>
  <c r="CN9" i="9"/>
  <c r="CM9" i="9"/>
  <c r="CL9" i="9"/>
  <c r="CK9" i="9"/>
  <c r="CJ9" i="9"/>
  <c r="CJ8" i="9" s="1"/>
  <c r="CI9" i="9"/>
  <c r="CH9" i="9"/>
  <c r="CG9" i="9"/>
  <c r="CG8" i="9" s="1"/>
  <c r="CF9" i="9"/>
  <c r="CE9" i="9"/>
  <c r="CE8" i="9" s="1"/>
  <c r="CD9" i="9"/>
  <c r="CD8" i="9" s="1"/>
  <c r="CC9" i="9"/>
  <c r="CB9" i="9"/>
  <c r="CB8" i="9" s="1"/>
  <c r="CA9" i="9"/>
  <c r="BZ9" i="9"/>
  <c r="BY9" i="9"/>
  <c r="BY8" i="9" s="1"/>
  <c r="BX9" i="9"/>
  <c r="BW9" i="9"/>
  <c r="BW8" i="9" s="1"/>
  <c r="BV9" i="9"/>
  <c r="BV8" i="9" s="1"/>
  <c r="BU9" i="9"/>
  <c r="BT9" i="9"/>
  <c r="BT8" i="9" s="1"/>
  <c r="BS9" i="9"/>
  <c r="BR9" i="9"/>
  <c r="BQ9" i="9"/>
  <c r="BQ8" i="9" s="1"/>
  <c r="BP9" i="9"/>
  <c r="BO9" i="9"/>
  <c r="BO8" i="9" s="1"/>
  <c r="BN9" i="9"/>
  <c r="BN8" i="9" s="1"/>
  <c r="BM9" i="9"/>
  <c r="BL9" i="9"/>
  <c r="BL8" i="9" s="1"/>
  <c r="BK9" i="9"/>
  <c r="BJ9" i="9"/>
  <c r="BI9" i="9"/>
  <c r="BI8" i="9" s="1"/>
  <c r="BH9" i="9"/>
  <c r="BG9" i="9"/>
  <c r="BG8" i="9" s="1"/>
  <c r="BF9" i="9"/>
  <c r="BF8" i="9" s="1"/>
  <c r="BE9" i="9"/>
  <c r="BD9" i="9"/>
  <c r="BD8" i="9" s="1"/>
  <c r="BC9" i="9"/>
  <c r="BB9" i="9"/>
  <c r="BA9" i="9"/>
  <c r="BA8" i="9" s="1"/>
  <c r="AZ9" i="9"/>
  <c r="AY9" i="9"/>
  <c r="AY8" i="9" s="1"/>
  <c r="AX9" i="9"/>
  <c r="AX8" i="9" s="1"/>
  <c r="AW9" i="9"/>
  <c r="AV9" i="9"/>
  <c r="AV8" i="9" s="1"/>
  <c r="AU9" i="9"/>
  <c r="AT9" i="9"/>
  <c r="AS9" i="9"/>
  <c r="AS8" i="9" s="1"/>
  <c r="AR9" i="9"/>
  <c r="AQ9" i="9"/>
  <c r="AQ8" i="9" s="1"/>
  <c r="AP9" i="9"/>
  <c r="AP8" i="9" s="1"/>
  <c r="AO9" i="9"/>
  <c r="AN9" i="9"/>
  <c r="AN8" i="9" s="1"/>
  <c r="AM9" i="9"/>
  <c r="AL9" i="9"/>
  <c r="AK9" i="9"/>
  <c r="AK8" i="9" s="1"/>
  <c r="AJ9" i="9"/>
  <c r="AI9" i="9"/>
  <c r="AI8" i="9" s="1"/>
  <c r="AH9" i="9"/>
  <c r="AH8" i="9" s="1"/>
  <c r="AG9" i="9"/>
  <c r="AF9" i="9"/>
  <c r="AF8" i="9" s="1"/>
  <c r="AE9" i="9"/>
  <c r="AD9" i="9"/>
  <c r="AC9" i="9"/>
  <c r="AC8" i="9" s="1"/>
  <c r="AB9" i="9"/>
  <c r="AA9" i="9"/>
  <c r="AA8" i="9" s="1"/>
  <c r="Z9" i="9"/>
  <c r="Z8" i="9" s="1"/>
  <c r="Y9" i="9"/>
  <c r="X9" i="9"/>
  <c r="X8" i="9" s="1"/>
  <c r="W9" i="9"/>
  <c r="V9" i="9"/>
  <c r="U9" i="9"/>
  <c r="U8" i="9" s="1"/>
  <c r="T9" i="9"/>
  <c r="S9" i="9"/>
  <c r="S8" i="9" s="1"/>
  <c r="R9" i="9"/>
  <c r="R8" i="9" s="1"/>
  <c r="Q9" i="9"/>
  <c r="P9" i="9"/>
  <c r="P8" i="9" s="1"/>
  <c r="O9" i="9"/>
  <c r="N9" i="9"/>
  <c r="M9" i="9"/>
  <c r="M8" i="9" s="1"/>
  <c r="L9" i="9"/>
  <c r="K9" i="9"/>
  <c r="K8" i="9" s="1"/>
  <c r="J9" i="9"/>
  <c r="J8" i="9" s="1"/>
  <c r="I9" i="9"/>
  <c r="H9" i="9"/>
  <c r="H8" i="9" s="1"/>
  <c r="G9" i="9"/>
  <c r="F9" i="9"/>
  <c r="E9" i="9"/>
  <c r="E8" i="9" s="1"/>
  <c r="D9" i="9"/>
  <c r="C9" i="9"/>
  <c r="C8" i="9" s="1"/>
  <c r="CN8" i="9"/>
  <c r="CM8" i="9"/>
  <c r="CL8" i="9"/>
  <c r="CK8" i="9"/>
  <c r="CF8" i="9"/>
  <c r="CC8" i="9"/>
  <c r="BX8" i="9"/>
  <c r="BP8" i="9"/>
  <c r="BM8" i="9"/>
  <c r="BH8" i="9"/>
  <c r="AZ8" i="9"/>
  <c r="AW8" i="9"/>
  <c r="AR8" i="9"/>
  <c r="AJ8" i="9"/>
  <c r="AG8" i="9"/>
  <c r="AB8" i="9"/>
  <c r="T8" i="9"/>
  <c r="Q8" i="9"/>
  <c r="L8" i="9"/>
  <c r="D8" i="9"/>
  <c r="CP6" i="9"/>
  <c r="CO6" i="9"/>
  <c r="CN6" i="9"/>
  <c r="CN28" i="9" s="1"/>
  <c r="CM6" i="9"/>
  <c r="CM28" i="9" s="1"/>
  <c r="CL6" i="9"/>
  <c r="CL28" i="9" s="1"/>
  <c r="CK6" i="9"/>
  <c r="CK28" i="9" s="1"/>
  <c r="CJ6" i="9"/>
  <c r="CJ28" i="9" s="1"/>
  <c r="CI6" i="9"/>
  <c r="CH6" i="9"/>
  <c r="CG6" i="9"/>
  <c r="CF6" i="9"/>
  <c r="CF28" i="9" s="1"/>
  <c r="CE6" i="9"/>
  <c r="CD6" i="9"/>
  <c r="CC6" i="9"/>
  <c r="CB6" i="9"/>
  <c r="CB28" i="9" s="1"/>
  <c r="CA6" i="9"/>
  <c r="BZ6" i="9"/>
  <c r="BY6" i="9"/>
  <c r="BX6" i="9"/>
  <c r="BX28" i="9" s="1"/>
  <c r="BW6" i="9"/>
  <c r="BV6" i="9"/>
  <c r="BU6" i="9"/>
  <c r="BT6" i="9"/>
  <c r="BT28" i="9" s="1"/>
  <c r="BS6" i="9"/>
  <c r="BR6" i="9"/>
  <c r="BQ6" i="9"/>
  <c r="BP6" i="9"/>
  <c r="BP28" i="9" s="1"/>
  <c r="BO6" i="9"/>
  <c r="BN6" i="9"/>
  <c r="BM6" i="9"/>
  <c r="BL6" i="9"/>
  <c r="BL28" i="9" s="1"/>
  <c r="BK6" i="9"/>
  <c r="BJ6" i="9"/>
  <c r="BI6" i="9"/>
  <c r="BH6" i="9"/>
  <c r="BH28" i="9" s="1"/>
  <c r="BG6" i="9"/>
  <c r="BF6" i="9"/>
  <c r="BE6" i="9"/>
  <c r="BD6" i="9"/>
  <c r="BD28" i="9" s="1"/>
  <c r="BC6" i="9"/>
  <c r="BB6" i="9"/>
  <c r="BA6" i="9"/>
  <c r="AZ6" i="9"/>
  <c r="AZ28" i="9" s="1"/>
  <c r="AY6" i="9"/>
  <c r="AX6" i="9"/>
  <c r="AW6" i="9"/>
  <c r="AV6" i="9"/>
  <c r="AV28" i="9" s="1"/>
  <c r="AU6" i="9"/>
  <c r="AT6" i="9"/>
  <c r="AS6" i="9"/>
  <c r="AR6" i="9"/>
  <c r="AR28" i="9" s="1"/>
  <c r="AQ6" i="9"/>
  <c r="AP6" i="9"/>
  <c r="AO6" i="9"/>
  <c r="AN6" i="9"/>
  <c r="AN28" i="9" s="1"/>
  <c r="AM6" i="9"/>
  <c r="AL6" i="9"/>
  <c r="AK6" i="9"/>
  <c r="AJ6" i="9"/>
  <c r="AJ28" i="9" s="1"/>
  <c r="AI6" i="9"/>
  <c r="AH6" i="9"/>
  <c r="AG6" i="9"/>
  <c r="AF6" i="9"/>
  <c r="AF28" i="9" s="1"/>
  <c r="AE6" i="9"/>
  <c r="AD6" i="9"/>
  <c r="AC6" i="9"/>
  <c r="AB6" i="9"/>
  <c r="AB28" i="9" s="1"/>
  <c r="AA6" i="9"/>
  <c r="Z6" i="9"/>
  <c r="Y6" i="9"/>
  <c r="X6" i="9"/>
  <c r="X28" i="9" s="1"/>
  <c r="W6" i="9"/>
  <c r="V6" i="9"/>
  <c r="U6" i="9"/>
  <c r="T6" i="9"/>
  <c r="T28" i="9" s="1"/>
  <c r="S6" i="9"/>
  <c r="R6" i="9"/>
  <c r="Q6" i="9"/>
  <c r="P6" i="9"/>
  <c r="P28" i="9" s="1"/>
  <c r="O6" i="9"/>
  <c r="N6" i="9"/>
  <c r="M6" i="9"/>
  <c r="L6" i="9"/>
  <c r="L28" i="9" s="1"/>
  <c r="K6" i="9"/>
  <c r="J6" i="9"/>
  <c r="I6" i="9"/>
  <c r="H6" i="9"/>
  <c r="H28" i="9" s="1"/>
  <c r="G6" i="9"/>
  <c r="F6" i="9"/>
  <c r="E6" i="9"/>
  <c r="D6" i="9"/>
  <c r="D28" i="9" s="1"/>
  <c r="C6" i="9"/>
  <c r="C80" i="55" l="1"/>
  <c r="C121" i="55" s="1"/>
  <c r="G83" i="55"/>
  <c r="G80" i="55" s="1"/>
  <c r="G121" i="55" s="1"/>
  <c r="C80" i="54"/>
  <c r="G80" i="54" s="1"/>
  <c r="G83" i="54"/>
  <c r="C121" i="54"/>
  <c r="G121" i="54" s="1"/>
  <c r="G7" i="54"/>
  <c r="Y61" i="9"/>
  <c r="Y68" i="9" s="1"/>
  <c r="F8" i="9"/>
  <c r="N8" i="9"/>
  <c r="V8" i="9"/>
  <c r="AD8" i="9"/>
  <c r="AL8" i="9"/>
  <c r="AT8" i="9"/>
  <c r="BB8" i="9"/>
  <c r="BJ8" i="9"/>
  <c r="BR8" i="9"/>
  <c r="BZ8" i="9"/>
  <c r="CH8" i="9"/>
  <c r="J61" i="9"/>
  <c r="R61" i="9"/>
  <c r="Z61" i="9"/>
  <c r="AH61" i="9"/>
  <c r="AP61" i="9"/>
  <c r="AX61" i="9"/>
  <c r="BF61" i="9"/>
  <c r="BN61" i="9"/>
  <c r="BV61" i="9"/>
  <c r="CD61" i="9"/>
  <c r="BV42" i="9"/>
  <c r="I28" i="10"/>
  <c r="Q28" i="10"/>
  <c r="Y28" i="10"/>
  <c r="AG28" i="10"/>
  <c r="AO28" i="10"/>
  <c r="AW28" i="10"/>
  <c r="BE28" i="10"/>
  <c r="BM28" i="10"/>
  <c r="BU28" i="10"/>
  <c r="CC28" i="10"/>
  <c r="D8" i="10"/>
  <c r="L8" i="10"/>
  <c r="T8" i="10"/>
  <c r="AB8" i="10"/>
  <c r="AJ8" i="10"/>
  <c r="AR8" i="10"/>
  <c r="AZ8" i="10"/>
  <c r="BH8" i="10"/>
  <c r="BP8" i="10"/>
  <c r="BX8" i="10"/>
  <c r="CF8" i="10"/>
  <c r="BC28" i="9"/>
  <c r="Y28" i="9"/>
  <c r="AW28" i="9"/>
  <c r="BU28" i="9"/>
  <c r="O8" i="9"/>
  <c r="O28" i="9" s="1"/>
  <c r="AU8" i="9"/>
  <c r="AU28" i="9" s="1"/>
  <c r="BS8" i="9"/>
  <c r="C61" i="9"/>
  <c r="K61" i="9"/>
  <c r="S61" i="9"/>
  <c r="AA61" i="9"/>
  <c r="AA68" i="9" s="1"/>
  <c r="AI61" i="9"/>
  <c r="AQ61" i="9"/>
  <c r="AQ68" i="9" s="1"/>
  <c r="AY61" i="9"/>
  <c r="BG61" i="9"/>
  <c r="BO61" i="9"/>
  <c r="BW61" i="9"/>
  <c r="CE61" i="9"/>
  <c r="E37" i="9"/>
  <c r="M37" i="9"/>
  <c r="U37" i="9"/>
  <c r="AC37" i="9"/>
  <c r="AK37" i="9"/>
  <c r="AS37" i="9"/>
  <c r="BA37" i="9"/>
  <c r="BI37" i="9"/>
  <c r="BQ37" i="9"/>
  <c r="BY37" i="9"/>
  <c r="CG37" i="9"/>
  <c r="W28" i="9"/>
  <c r="BS28" i="9"/>
  <c r="I28" i="9"/>
  <c r="AG28" i="9"/>
  <c r="BM28" i="9"/>
  <c r="AM8" i="9"/>
  <c r="AM28" i="9" s="1"/>
  <c r="Z28" i="9"/>
  <c r="AX28" i="9"/>
  <c r="CD28" i="9"/>
  <c r="D61" i="9"/>
  <c r="L61" i="9"/>
  <c r="T61" i="9"/>
  <c r="AB61" i="9"/>
  <c r="AJ61" i="9"/>
  <c r="AR61" i="9"/>
  <c r="AZ61" i="9"/>
  <c r="BH61" i="9"/>
  <c r="BP61" i="9"/>
  <c r="BX61" i="9"/>
  <c r="CF61" i="9"/>
  <c r="Q28" i="9"/>
  <c r="AO28" i="9"/>
  <c r="BE28" i="9"/>
  <c r="CC28" i="9"/>
  <c r="G8" i="9"/>
  <c r="G28" i="9" s="1"/>
  <c r="W8" i="9"/>
  <c r="AE8" i="9"/>
  <c r="BC8" i="9"/>
  <c r="BK8" i="9"/>
  <c r="BK28" i="9" s="1"/>
  <c r="CA8" i="9"/>
  <c r="CI8" i="9"/>
  <c r="CI28" i="9" s="1"/>
  <c r="J28" i="9"/>
  <c r="R28" i="9"/>
  <c r="AH28" i="9"/>
  <c r="AP28" i="9"/>
  <c r="BF28" i="9"/>
  <c r="BN28" i="9"/>
  <c r="BV28" i="9"/>
  <c r="C28" i="9"/>
  <c r="K28" i="9"/>
  <c r="S28" i="9"/>
  <c r="AA28" i="9"/>
  <c r="AI28" i="9"/>
  <c r="AQ28" i="9"/>
  <c r="AY28" i="9"/>
  <c r="BG28" i="9"/>
  <c r="BO28" i="9"/>
  <c r="BW28" i="9"/>
  <c r="CE28" i="9"/>
  <c r="G37" i="9"/>
  <c r="O37" i="9"/>
  <c r="W37" i="9"/>
  <c r="AE37" i="9"/>
  <c r="AM37" i="9"/>
  <c r="AU37" i="9"/>
  <c r="BC37" i="9"/>
  <c r="BK37" i="9"/>
  <c r="BS37" i="9"/>
  <c r="CA37" i="9"/>
  <c r="CI37" i="9"/>
  <c r="N61" i="9"/>
  <c r="AL61" i="9"/>
  <c r="AT61" i="9"/>
  <c r="BB61" i="9"/>
  <c r="BJ61" i="9"/>
  <c r="BR61" i="9"/>
  <c r="AE28" i="9"/>
  <c r="CA28" i="9"/>
  <c r="I61" i="9"/>
  <c r="I68" i="9" s="1"/>
  <c r="Q61" i="9"/>
  <c r="Q68" i="9" s="1"/>
  <c r="AG61" i="9"/>
  <c r="AO61" i="9"/>
  <c r="AW61" i="9"/>
  <c r="AW68" i="9" s="1"/>
  <c r="BE61" i="9"/>
  <c r="BM61" i="9"/>
  <c r="BM68" i="9" s="1"/>
  <c r="BU61" i="9"/>
  <c r="BU68" i="9" s="1"/>
  <c r="CC61" i="9"/>
  <c r="CC68" i="9" s="1"/>
  <c r="P28" i="10"/>
  <c r="AN28" i="10"/>
  <c r="BT28" i="10"/>
  <c r="CB28" i="10"/>
  <c r="E42" i="9"/>
  <c r="M42" i="9"/>
  <c r="U42" i="9"/>
  <c r="AC42" i="9"/>
  <c r="AK42" i="9"/>
  <c r="AS42" i="9"/>
  <c r="BA42" i="9"/>
  <c r="BI42" i="9"/>
  <c r="BQ42" i="9"/>
  <c r="BY42" i="9"/>
  <c r="CG42" i="9"/>
  <c r="G8" i="10"/>
  <c r="G28" i="10" s="1"/>
  <c r="G131" i="10" s="1"/>
  <c r="O8" i="10"/>
  <c r="W8" i="10"/>
  <c r="AE8" i="10"/>
  <c r="AM8" i="10"/>
  <c r="AU8" i="10"/>
  <c r="BC8" i="10"/>
  <c r="BC28" i="10" s="1"/>
  <c r="BC131" i="10" s="1"/>
  <c r="BK8" i="10"/>
  <c r="BS8" i="10"/>
  <c r="BS28" i="10" s="1"/>
  <c r="BS131" i="10" s="1"/>
  <c r="CA8" i="10"/>
  <c r="CI8" i="10"/>
  <c r="C61" i="10"/>
  <c r="K61" i="10"/>
  <c r="S61" i="10"/>
  <c r="AA61" i="10"/>
  <c r="AI61" i="10"/>
  <c r="AQ61" i="10"/>
  <c r="AY61" i="10"/>
  <c r="BG61" i="10"/>
  <c r="BO61" i="10"/>
  <c r="BW61" i="10"/>
  <c r="CE61" i="10"/>
  <c r="F37" i="11"/>
  <c r="N37" i="11"/>
  <c r="V37" i="11"/>
  <c r="AD37" i="11"/>
  <c r="AL37" i="11"/>
  <c r="AT37" i="11"/>
  <c r="BB37" i="11"/>
  <c r="BJ37" i="11"/>
  <c r="BR37" i="11"/>
  <c r="BZ37" i="11"/>
  <c r="CH37" i="11"/>
  <c r="I61" i="11"/>
  <c r="Q61" i="11"/>
  <c r="Y61" i="11"/>
  <c r="AG61" i="11"/>
  <c r="AO61" i="11"/>
  <c r="AW61" i="11"/>
  <c r="BM61" i="11"/>
  <c r="CC61" i="11"/>
  <c r="D28" i="11"/>
  <c r="T28" i="11"/>
  <c r="AJ28" i="11"/>
  <c r="AZ28" i="11"/>
  <c r="BP28" i="11"/>
  <c r="CF28" i="11"/>
  <c r="R61" i="11"/>
  <c r="AH61" i="11"/>
  <c r="AX61" i="11"/>
  <c r="BN61" i="11"/>
  <c r="CD61" i="11"/>
  <c r="O28" i="10"/>
  <c r="W28" i="10"/>
  <c r="AE28" i="10"/>
  <c r="AM28" i="10"/>
  <c r="AU28" i="10"/>
  <c r="BK28" i="10"/>
  <c r="CA28" i="10"/>
  <c r="CI28" i="10"/>
  <c r="AL61" i="10"/>
  <c r="E28" i="11"/>
  <c r="M28" i="11"/>
  <c r="U28" i="11"/>
  <c r="AC28" i="11"/>
  <c r="AK28" i="11"/>
  <c r="AS28" i="11"/>
  <c r="BA28" i="11"/>
  <c r="BI28" i="11"/>
  <c r="BQ28" i="11"/>
  <c r="BY28" i="11"/>
  <c r="CG28" i="11"/>
  <c r="N28" i="11"/>
  <c r="AD28" i="11"/>
  <c r="AT28" i="11"/>
  <c r="BJ28" i="11"/>
  <c r="BZ28" i="11"/>
  <c r="C61" i="11"/>
  <c r="K61" i="11"/>
  <c r="S61" i="11"/>
  <c r="AA61" i="11"/>
  <c r="AI61" i="11"/>
  <c r="AQ61" i="11"/>
  <c r="AY61" i="11"/>
  <c r="BG61" i="11"/>
  <c r="BO61" i="11"/>
  <c r="BW61" i="11"/>
  <c r="CE61" i="11"/>
  <c r="G61" i="10"/>
  <c r="O61" i="10"/>
  <c r="W61" i="10"/>
  <c r="AE61" i="10"/>
  <c r="AM61" i="10"/>
  <c r="AU61" i="10"/>
  <c r="BC61" i="10"/>
  <c r="BK61" i="10"/>
  <c r="BS61" i="10"/>
  <c r="CA61" i="10"/>
  <c r="CI61" i="10"/>
  <c r="D61" i="11"/>
  <c r="L61" i="11"/>
  <c r="T61" i="11"/>
  <c r="AB61" i="11"/>
  <c r="AJ61" i="11"/>
  <c r="AR61" i="11"/>
  <c r="AR68" i="11" s="1"/>
  <c r="AZ61" i="11"/>
  <c r="BH61" i="11"/>
  <c r="BH68" i="11" s="1"/>
  <c r="BP61" i="11"/>
  <c r="BX61" i="11"/>
  <c r="CF61" i="11"/>
  <c r="H61" i="10"/>
  <c r="H131" i="10" s="1"/>
  <c r="P61" i="10"/>
  <c r="P131" i="10" s="1"/>
  <c r="X61" i="10"/>
  <c r="X131" i="10" s="1"/>
  <c r="AF61" i="10"/>
  <c r="AF131" i="10" s="1"/>
  <c r="AN61" i="10"/>
  <c r="AN131" i="10" s="1"/>
  <c r="AV61" i="10"/>
  <c r="AV131" i="10" s="1"/>
  <c r="BD61" i="10"/>
  <c r="BD131" i="10" s="1"/>
  <c r="BL61" i="10"/>
  <c r="BL131" i="10" s="1"/>
  <c r="BT61" i="10"/>
  <c r="BT131" i="10" s="1"/>
  <c r="CB61" i="10"/>
  <c r="CJ61" i="10"/>
  <c r="D37" i="10"/>
  <c r="L37" i="10"/>
  <c r="T37" i="10"/>
  <c r="AB37" i="10"/>
  <c r="AJ37" i="10"/>
  <c r="AR37" i="10"/>
  <c r="AZ37" i="10"/>
  <c r="BH37" i="10"/>
  <c r="BP37" i="10"/>
  <c r="BX37" i="10"/>
  <c r="CF37" i="10"/>
  <c r="G28" i="11"/>
  <c r="O28" i="11"/>
  <c r="W28" i="11"/>
  <c r="AE28" i="11"/>
  <c r="AM28" i="11"/>
  <c r="AU28" i="11"/>
  <c r="BC28" i="11"/>
  <c r="BK28" i="11"/>
  <c r="BS28" i="11"/>
  <c r="CA28" i="11"/>
  <c r="CI28" i="11"/>
  <c r="M61" i="11"/>
  <c r="M68" i="11" s="1"/>
  <c r="AC61" i="11"/>
  <c r="AC68" i="11" s="1"/>
  <c r="BY61" i="11"/>
  <c r="BY68" i="11" s="1"/>
  <c r="J28" i="10"/>
  <c r="J131" i="10" s="1"/>
  <c r="R28" i="10"/>
  <c r="Z28" i="10"/>
  <c r="AH28" i="10"/>
  <c r="AP28" i="10"/>
  <c r="AX28" i="10"/>
  <c r="BF28" i="10"/>
  <c r="BN28" i="10"/>
  <c r="BV28" i="10"/>
  <c r="BV131" i="10" s="1"/>
  <c r="CD28" i="10"/>
  <c r="E8" i="10"/>
  <c r="M8" i="10"/>
  <c r="U8" i="10"/>
  <c r="AC8" i="10"/>
  <c r="AK8" i="10"/>
  <c r="AS8" i="10"/>
  <c r="BA8" i="10"/>
  <c r="BI8" i="10"/>
  <c r="BI28" i="10" s="1"/>
  <c r="BQ8" i="10"/>
  <c r="BY8" i="10"/>
  <c r="CG8" i="10"/>
  <c r="I61" i="10"/>
  <c r="Q61" i="10"/>
  <c r="Y61" i="10"/>
  <c r="AG61" i="10"/>
  <c r="AO61" i="10"/>
  <c r="AW61" i="10"/>
  <c r="BE61" i="10"/>
  <c r="BM61" i="10"/>
  <c r="BU61" i="10"/>
  <c r="CC61" i="10"/>
  <c r="E37" i="10"/>
  <c r="E61" i="10" s="1"/>
  <c r="E131" i="10" s="1"/>
  <c r="M37" i="10"/>
  <c r="M61" i="10" s="1"/>
  <c r="M131" i="10" s="1"/>
  <c r="U37" i="10"/>
  <c r="U61" i="10" s="1"/>
  <c r="U131" i="10" s="1"/>
  <c r="AC37" i="10"/>
  <c r="AC61" i="10" s="1"/>
  <c r="AC131" i="10" s="1"/>
  <c r="AK37" i="10"/>
  <c r="AK61" i="10" s="1"/>
  <c r="AK131" i="10" s="1"/>
  <c r="AS37" i="10"/>
  <c r="AS61" i="10" s="1"/>
  <c r="AS131" i="10" s="1"/>
  <c r="BA37" i="10"/>
  <c r="BA61" i="10" s="1"/>
  <c r="BA131" i="10" s="1"/>
  <c r="BI37" i="10"/>
  <c r="BI61" i="10" s="1"/>
  <c r="BI131" i="10" s="1"/>
  <c r="BQ37" i="10"/>
  <c r="BQ61" i="10" s="1"/>
  <c r="BQ131" i="10" s="1"/>
  <c r="BY37" i="10"/>
  <c r="BY61" i="10" s="1"/>
  <c r="BY131" i="10" s="1"/>
  <c r="CG37" i="10"/>
  <c r="CG61" i="10" s="1"/>
  <c r="CG131" i="10" s="1"/>
  <c r="C28" i="10"/>
  <c r="K28" i="10"/>
  <c r="S28" i="10"/>
  <c r="AA28" i="10"/>
  <c r="AI28" i="10"/>
  <c r="AQ28" i="10"/>
  <c r="AY28" i="10"/>
  <c r="BG28" i="10"/>
  <c r="BO28" i="10"/>
  <c r="BW28" i="10"/>
  <c r="CE28" i="10"/>
  <c r="J61" i="10"/>
  <c r="R61" i="10"/>
  <c r="Z61" i="10"/>
  <c r="Z131" i="10" s="1"/>
  <c r="AH61" i="10"/>
  <c r="AP61" i="10"/>
  <c r="AX61" i="10"/>
  <c r="BF61" i="10"/>
  <c r="BN61" i="10"/>
  <c r="BV61" i="10"/>
  <c r="CD61" i="10"/>
  <c r="F37" i="10"/>
  <c r="F61" i="10" s="1"/>
  <c r="F131" i="10" s="1"/>
  <c r="N37" i="10"/>
  <c r="N61" i="10" s="1"/>
  <c r="N131" i="10" s="1"/>
  <c r="V37" i="10"/>
  <c r="V61" i="10" s="1"/>
  <c r="V131" i="10" s="1"/>
  <c r="AD37" i="10"/>
  <c r="AD61" i="10" s="1"/>
  <c r="AD131" i="10" s="1"/>
  <c r="AL37" i="10"/>
  <c r="AT37" i="10"/>
  <c r="AT61" i="10" s="1"/>
  <c r="AT131" i="10" s="1"/>
  <c r="BB37" i="10"/>
  <c r="BB61" i="10" s="1"/>
  <c r="BB131" i="10" s="1"/>
  <c r="BJ37" i="10"/>
  <c r="BJ61" i="10" s="1"/>
  <c r="BJ131" i="10" s="1"/>
  <c r="BR37" i="10"/>
  <c r="BR61" i="10" s="1"/>
  <c r="BR131" i="10" s="1"/>
  <c r="BZ37" i="10"/>
  <c r="BZ61" i="10" s="1"/>
  <c r="BZ131" i="10" s="1"/>
  <c r="CH37" i="10"/>
  <c r="CH61" i="10" s="1"/>
  <c r="CH131" i="10" s="1"/>
  <c r="E37" i="11"/>
  <c r="E61" i="11" s="1"/>
  <c r="E68" i="11" s="1"/>
  <c r="M37" i="11"/>
  <c r="U37" i="11"/>
  <c r="U61" i="11" s="1"/>
  <c r="U68" i="11" s="1"/>
  <c r="AC37" i="11"/>
  <c r="AK37" i="11"/>
  <c r="AK61" i="11" s="1"/>
  <c r="AK68" i="11" s="1"/>
  <c r="AS37" i="11"/>
  <c r="AS61" i="11" s="1"/>
  <c r="AS68" i="11" s="1"/>
  <c r="BA37" i="11"/>
  <c r="BA61" i="11" s="1"/>
  <c r="BA68" i="11" s="1"/>
  <c r="BI37" i="11"/>
  <c r="BI61" i="11" s="1"/>
  <c r="BI68" i="11" s="1"/>
  <c r="BQ37" i="11"/>
  <c r="BQ61" i="11" s="1"/>
  <c r="BQ68" i="11" s="1"/>
  <c r="BY37" i="11"/>
  <c r="CG37" i="11"/>
  <c r="CG61" i="11" s="1"/>
  <c r="CG68" i="11" s="1"/>
  <c r="J28" i="11"/>
  <c r="R28" i="11"/>
  <c r="R68" i="11" s="1"/>
  <c r="Z28" i="11"/>
  <c r="AH28" i="11"/>
  <c r="AH68" i="11" s="1"/>
  <c r="AP28" i="11"/>
  <c r="AP68" i="11" s="1"/>
  <c r="AX28" i="11"/>
  <c r="AX68" i="11" s="1"/>
  <c r="BF28" i="11"/>
  <c r="BF68" i="11" s="1"/>
  <c r="BN28" i="11"/>
  <c r="BN68" i="11" s="1"/>
  <c r="BV28" i="11"/>
  <c r="CD28" i="11"/>
  <c r="CD68" i="11" s="1"/>
  <c r="CL28" i="11"/>
  <c r="H61" i="11"/>
  <c r="P61" i="11"/>
  <c r="X61" i="11"/>
  <c r="AF61" i="11"/>
  <c r="AN61" i="11"/>
  <c r="AV61" i="11"/>
  <c r="BD61" i="11"/>
  <c r="BL61" i="11"/>
  <c r="BT61" i="11"/>
  <c r="CB61" i="11"/>
  <c r="CJ61" i="11"/>
  <c r="C28" i="11"/>
  <c r="C68" i="11" s="1"/>
  <c r="K28" i="11"/>
  <c r="K68" i="11" s="1"/>
  <c r="S28" i="11"/>
  <c r="AA28" i="11"/>
  <c r="AI28" i="11"/>
  <c r="AQ28" i="11"/>
  <c r="AQ68" i="11" s="1"/>
  <c r="AY28" i="11"/>
  <c r="AY68" i="11" s="1"/>
  <c r="BG28" i="11"/>
  <c r="BG68" i="11" s="1"/>
  <c r="BO28" i="11"/>
  <c r="BO68" i="11" s="1"/>
  <c r="BW28" i="11"/>
  <c r="BW68" i="11" s="1"/>
  <c r="CE28" i="11"/>
  <c r="CM28" i="11"/>
  <c r="J68" i="11"/>
  <c r="Z68" i="11"/>
  <c r="BV68" i="11"/>
  <c r="CL68" i="11"/>
  <c r="S68" i="11"/>
  <c r="AA68" i="11"/>
  <c r="AI68" i="11"/>
  <c r="CE68" i="11"/>
  <c r="CM68" i="11"/>
  <c r="D68" i="11"/>
  <c r="L68" i="11"/>
  <c r="T68" i="11"/>
  <c r="AB68" i="11"/>
  <c r="AJ68" i="11"/>
  <c r="AZ68" i="11"/>
  <c r="BP68" i="11"/>
  <c r="BX68" i="11"/>
  <c r="CF68" i="11"/>
  <c r="CN68" i="11"/>
  <c r="CO68" i="11"/>
  <c r="H28" i="11"/>
  <c r="P28" i="11"/>
  <c r="X28" i="11"/>
  <c r="AF28" i="11"/>
  <c r="AN28" i="11"/>
  <c r="AV28" i="11"/>
  <c r="BD28" i="11"/>
  <c r="BL28" i="11"/>
  <c r="BT28" i="11"/>
  <c r="CB28" i="11"/>
  <c r="CJ28" i="11"/>
  <c r="F61" i="11"/>
  <c r="F68" i="11" s="1"/>
  <c r="N61" i="11"/>
  <c r="N68" i="11" s="1"/>
  <c r="V61" i="11"/>
  <c r="V68" i="11" s="1"/>
  <c r="AD61" i="11"/>
  <c r="AD68" i="11" s="1"/>
  <c r="AL61" i="11"/>
  <c r="AL68" i="11" s="1"/>
  <c r="AT61" i="11"/>
  <c r="AT68" i="11" s="1"/>
  <c r="BB61" i="11"/>
  <c r="BB68" i="11" s="1"/>
  <c r="BJ61" i="11"/>
  <c r="BJ68" i="11" s="1"/>
  <c r="BR61" i="11"/>
  <c r="BR68" i="11" s="1"/>
  <c r="BZ61" i="11"/>
  <c r="BZ68" i="11" s="1"/>
  <c r="CH61" i="11"/>
  <c r="CH68" i="11" s="1"/>
  <c r="CP61" i="11"/>
  <c r="CP68" i="11" s="1"/>
  <c r="I28" i="11"/>
  <c r="I68" i="11" s="1"/>
  <c r="Q28" i="11"/>
  <c r="Q68" i="11" s="1"/>
  <c r="Y28" i="11"/>
  <c r="Y68" i="11" s="1"/>
  <c r="AG28" i="11"/>
  <c r="AG68" i="11" s="1"/>
  <c r="AO28" i="11"/>
  <c r="AO68" i="11" s="1"/>
  <c r="AW28" i="11"/>
  <c r="AW68" i="11" s="1"/>
  <c r="BE28" i="11"/>
  <c r="BE68" i="11" s="1"/>
  <c r="BM28" i="11"/>
  <c r="BM68" i="11" s="1"/>
  <c r="BU28" i="11"/>
  <c r="BU68" i="11" s="1"/>
  <c r="CC28" i="11"/>
  <c r="CC68" i="11" s="1"/>
  <c r="CK28" i="11"/>
  <c r="CK68" i="11" s="1"/>
  <c r="G61" i="11"/>
  <c r="G68" i="11" s="1"/>
  <c r="O61" i="11"/>
  <c r="O68" i="11" s="1"/>
  <c r="W61" i="11"/>
  <c r="W68" i="11" s="1"/>
  <c r="AE61" i="11"/>
  <c r="AE68" i="11" s="1"/>
  <c r="AM61" i="11"/>
  <c r="AM68" i="11" s="1"/>
  <c r="AU61" i="11"/>
  <c r="BC61" i="11"/>
  <c r="BC68" i="11" s="1"/>
  <c r="BK61" i="11"/>
  <c r="BK68" i="11" s="1"/>
  <c r="BS61" i="11"/>
  <c r="BS68" i="11" s="1"/>
  <c r="CA61" i="11"/>
  <c r="CA68" i="11" s="1"/>
  <c r="CI61" i="11"/>
  <c r="CI68" i="11" s="1"/>
  <c r="E28" i="10"/>
  <c r="M28" i="10"/>
  <c r="U28" i="10"/>
  <c r="AC28" i="10"/>
  <c r="AK28" i="10"/>
  <c r="AS28" i="10"/>
  <c r="BA28" i="10"/>
  <c r="BQ28" i="10"/>
  <c r="BY28" i="10"/>
  <c r="CG28" i="10"/>
  <c r="CO28" i="10"/>
  <c r="D61" i="10"/>
  <c r="D131" i="10" s="1"/>
  <c r="L61" i="10"/>
  <c r="L131" i="10" s="1"/>
  <c r="T61" i="10"/>
  <c r="AB61" i="10"/>
  <c r="AJ61" i="10"/>
  <c r="AR61" i="10"/>
  <c r="AZ61" i="10"/>
  <c r="AZ131" i="10" s="1"/>
  <c r="BH61" i="10"/>
  <c r="BH131" i="10" s="1"/>
  <c r="BP61" i="10"/>
  <c r="BP131" i="10" s="1"/>
  <c r="BX61" i="10"/>
  <c r="BX131" i="10" s="1"/>
  <c r="CF61" i="10"/>
  <c r="CN61" i="10"/>
  <c r="CO131" i="10"/>
  <c r="AL131" i="10"/>
  <c r="CP131" i="10"/>
  <c r="O131" i="10"/>
  <c r="W131" i="10"/>
  <c r="AE131" i="10"/>
  <c r="AM131" i="10"/>
  <c r="AU131" i="10"/>
  <c r="BK131" i="10"/>
  <c r="CA131" i="10"/>
  <c r="CI131" i="10"/>
  <c r="CB131" i="10"/>
  <c r="CJ131" i="10"/>
  <c r="I131" i="10"/>
  <c r="Q131" i="10"/>
  <c r="Y131" i="10"/>
  <c r="AG131" i="10"/>
  <c r="AO131" i="10"/>
  <c r="AW131" i="10"/>
  <c r="BE131" i="10"/>
  <c r="BM131" i="10"/>
  <c r="BU131" i="10"/>
  <c r="CC131" i="10"/>
  <c r="CK131" i="10"/>
  <c r="R131" i="10"/>
  <c r="AH131" i="10"/>
  <c r="AP131" i="10"/>
  <c r="AX131" i="10"/>
  <c r="BF131" i="10"/>
  <c r="BN131" i="10"/>
  <c r="CD131" i="10"/>
  <c r="CL131" i="10"/>
  <c r="D28" i="10"/>
  <c r="L28" i="10"/>
  <c r="T28" i="10"/>
  <c r="AB28" i="10"/>
  <c r="AJ28" i="10"/>
  <c r="AR28" i="10"/>
  <c r="AZ28" i="10"/>
  <c r="BH28" i="10"/>
  <c r="BP28" i="10"/>
  <c r="BX28" i="10"/>
  <c r="CF28" i="10"/>
  <c r="CN28" i="10"/>
  <c r="C131" i="10"/>
  <c r="K131" i="10"/>
  <c r="S131" i="10"/>
  <c r="AA131" i="10"/>
  <c r="AI131" i="10"/>
  <c r="AQ131" i="10"/>
  <c r="AY131" i="10"/>
  <c r="BG131" i="10"/>
  <c r="BO131" i="10"/>
  <c r="BW131" i="10"/>
  <c r="CE131" i="10"/>
  <c r="CM131" i="10"/>
  <c r="F28" i="9"/>
  <c r="F68" i="9" s="1"/>
  <c r="N28" i="9"/>
  <c r="N68" i="9" s="1"/>
  <c r="V28" i="9"/>
  <c r="V68" i="9" s="1"/>
  <c r="AD28" i="9"/>
  <c r="AL28" i="9"/>
  <c r="AT28" i="9"/>
  <c r="AT68" i="9" s="1"/>
  <c r="BB28" i="9"/>
  <c r="BB68" i="9" s="1"/>
  <c r="BJ28" i="9"/>
  <c r="BJ68" i="9" s="1"/>
  <c r="BR28" i="9"/>
  <c r="BR68" i="9" s="1"/>
  <c r="BZ28" i="9"/>
  <c r="BZ68" i="9" s="1"/>
  <c r="CH28" i="9"/>
  <c r="CH68" i="9" s="1"/>
  <c r="CP28" i="9"/>
  <c r="H61" i="9"/>
  <c r="H68" i="9" s="1"/>
  <c r="P61" i="9"/>
  <c r="P68" i="9" s="1"/>
  <c r="X61" i="9"/>
  <c r="X68" i="9" s="1"/>
  <c r="AF61" i="9"/>
  <c r="AF68" i="9" s="1"/>
  <c r="AN61" i="9"/>
  <c r="AN68" i="9" s="1"/>
  <c r="AV61" i="9"/>
  <c r="AV68" i="9" s="1"/>
  <c r="BD61" i="9"/>
  <c r="BD68" i="9" s="1"/>
  <c r="BL61" i="9"/>
  <c r="BL68" i="9" s="1"/>
  <c r="BT61" i="9"/>
  <c r="BT68" i="9" s="1"/>
  <c r="CB61" i="9"/>
  <c r="CB68" i="9" s="1"/>
  <c r="CJ61" i="9"/>
  <c r="CJ68" i="9" s="1"/>
  <c r="CK68" i="9"/>
  <c r="J68" i="9"/>
  <c r="R68" i="9"/>
  <c r="Z68" i="9"/>
  <c r="AH68" i="9"/>
  <c r="AP68" i="9"/>
  <c r="AX68" i="9"/>
  <c r="BF68" i="9"/>
  <c r="BN68" i="9"/>
  <c r="BV68" i="9"/>
  <c r="CD68" i="9"/>
  <c r="CL68" i="9"/>
  <c r="AY68" i="9"/>
  <c r="BG68" i="9"/>
  <c r="BO68" i="9"/>
  <c r="BW68" i="9"/>
  <c r="CE68" i="9"/>
  <c r="CM68" i="9"/>
  <c r="L68" i="9"/>
  <c r="AB68" i="9"/>
  <c r="AR68" i="9"/>
  <c r="AZ68" i="9"/>
  <c r="BP68" i="9"/>
  <c r="BX68" i="9"/>
  <c r="CF68" i="9"/>
  <c r="CN68" i="9"/>
  <c r="D68" i="9"/>
  <c r="T68" i="9"/>
  <c r="AJ68" i="9"/>
  <c r="BH68" i="9"/>
  <c r="E61" i="9"/>
  <c r="M61" i="9"/>
  <c r="U61" i="9"/>
  <c r="AC61" i="9"/>
  <c r="AK61" i="9"/>
  <c r="AS61" i="9"/>
  <c r="BA61" i="9"/>
  <c r="BI61" i="9"/>
  <c r="BQ61" i="9"/>
  <c r="BY61" i="9"/>
  <c r="CG61" i="9"/>
  <c r="CO61" i="9"/>
  <c r="CO68" i="9" s="1"/>
  <c r="AL68" i="9"/>
  <c r="CP68" i="9"/>
  <c r="AD68" i="9"/>
  <c r="E28" i="9"/>
  <c r="M28" i="9"/>
  <c r="U28" i="9"/>
  <c r="AC28" i="9"/>
  <c r="AK28" i="9"/>
  <c r="AS28" i="9"/>
  <c r="BA28" i="9"/>
  <c r="BI28" i="9"/>
  <c r="BQ28" i="9"/>
  <c r="BY28" i="9"/>
  <c r="CG28" i="9"/>
  <c r="CO28" i="9"/>
  <c r="G61" i="9"/>
  <c r="O61" i="9"/>
  <c r="W61" i="9"/>
  <c r="W68" i="9" s="1"/>
  <c r="AE61" i="9"/>
  <c r="AE68" i="9" s="1"/>
  <c r="AM61" i="9"/>
  <c r="AU61" i="9"/>
  <c r="BC61" i="9"/>
  <c r="BC68" i="9" s="1"/>
  <c r="BK61" i="9"/>
  <c r="BS61" i="9"/>
  <c r="BS68" i="9" s="1"/>
  <c r="CA61" i="9"/>
  <c r="CA68" i="9" s="1"/>
  <c r="CI61" i="9"/>
  <c r="K68" i="9" l="1"/>
  <c r="O68" i="9"/>
  <c r="AS68" i="9"/>
  <c r="C68" i="9"/>
  <c r="AK68" i="9"/>
  <c r="BK68" i="9"/>
  <c r="AC68" i="9"/>
  <c r="G68" i="9"/>
  <c r="BE68" i="9"/>
  <c r="CI68" i="9"/>
  <c r="AU68" i="9"/>
  <c r="AR131" i="10"/>
  <c r="AU68" i="11"/>
  <c r="AI68" i="9"/>
  <c r="AN68" i="11"/>
  <c r="AO68" i="9"/>
  <c r="AM68" i="9"/>
  <c r="BI68" i="9"/>
  <c r="AF68" i="11"/>
  <c r="AG68" i="9"/>
  <c r="S68" i="9"/>
  <c r="CJ68" i="11"/>
  <c r="X68" i="11"/>
  <c r="CB68" i="11"/>
  <c r="P68" i="11"/>
  <c r="BT68" i="11"/>
  <c r="H68" i="11"/>
  <c r="BL68" i="11"/>
  <c r="BD68" i="11"/>
  <c r="AV68" i="11"/>
  <c r="CF131" i="10"/>
  <c r="T131" i="10"/>
  <c r="AJ131" i="10"/>
  <c r="CN131" i="10"/>
  <c r="AB131" i="10"/>
  <c r="CG68" i="9"/>
  <c r="U68" i="9"/>
  <c r="BY68" i="9"/>
  <c r="M68" i="9"/>
  <c r="BQ68" i="9"/>
  <c r="E68" i="9"/>
  <c r="BA68" i="9"/>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<sst xmlns="http://schemas.openxmlformats.org/spreadsheetml/2006/main" count="8543" uniqueCount="3746">
  <si>
    <t>Table 1: Selected Economic Indicators: 2003 - 2012</t>
  </si>
  <si>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</si>
  <si>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</si>
  <si>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</si>
  <si>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</si>
  <si>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</si>
  <si>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</si>
  <si>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</si>
  <si>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</si>
  <si>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</si>
  <si>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</si>
  <si>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</si>
  <si>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t>(Rs million)</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</si>
  <si>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</si>
  <si>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</si>
  <si>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</si>
  <si>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t>(Per cent)</t>
  </si>
  <si>
    <r>
      <t>3.3</t>
    </r>
    <r>
      <rPr>
        <vertAlign val="superscript"/>
        <sz val="9"/>
        <color indexed="18"/>
        <rFont val="Arial"/>
        <family val="2"/>
      </rPr>
      <t xml:space="preserve"> 4</t>
    </r>
  </si>
  <si>
    <r>
      <t xml:space="preserve">5.   Gross Domestic Product (at market prices)* </t>
    </r>
    <r>
      <rPr>
        <b/>
        <vertAlign val="superscript"/>
        <sz val="10"/>
        <color indexed="18"/>
        <rFont val="Arial"/>
        <family val="2"/>
      </rPr>
      <t>5</t>
    </r>
  </si>
  <si>
    <r>
      <t xml:space="preserve">322,773 </t>
    </r>
    <r>
      <rPr>
        <vertAlign val="superscript"/>
        <sz val="9"/>
        <color indexed="18"/>
        <rFont val="Arial"/>
        <family val="2"/>
      </rPr>
      <t>2</t>
    </r>
  </si>
  <si>
    <r>
      <t xml:space="preserve">344,550 </t>
    </r>
    <r>
      <rPr>
        <vertAlign val="superscript"/>
        <sz val="9"/>
        <color indexed="18"/>
        <rFont val="Arial"/>
        <family val="2"/>
      </rPr>
      <t>4</t>
    </r>
  </si>
  <si>
    <r>
      <t xml:space="preserve">6.   Gross National Income (at market prices)* </t>
    </r>
    <r>
      <rPr>
        <b/>
        <vertAlign val="superscript"/>
        <sz val="10"/>
        <color indexed="18"/>
        <rFont val="Arial"/>
        <family val="2"/>
      </rPr>
      <t>5</t>
    </r>
  </si>
  <si>
    <r>
      <t>325,189</t>
    </r>
    <r>
      <rPr>
        <vertAlign val="superscript"/>
        <sz val="9"/>
        <color indexed="18"/>
        <rFont val="Arial"/>
        <family val="2"/>
      </rPr>
      <t xml:space="preserve"> 2</t>
    </r>
  </si>
  <si>
    <r>
      <t xml:space="preserve">348,314 </t>
    </r>
    <r>
      <rPr>
        <vertAlign val="superscript"/>
        <sz val="9"/>
        <color indexed="18"/>
        <rFont val="Arial"/>
        <family val="2"/>
      </rPr>
      <t>4</t>
    </r>
  </si>
  <si>
    <r>
      <t xml:space="preserve">7.   GNI Per Capita (at market prices)* </t>
    </r>
    <r>
      <rPr>
        <b/>
        <vertAlign val="superscript"/>
        <sz val="10"/>
        <color indexed="18"/>
        <rFont val="Arial"/>
        <family val="2"/>
      </rPr>
      <t>5</t>
    </r>
  </si>
  <si>
    <t xml:space="preserve">Calendar Year </t>
  </si>
  <si>
    <t>(Rupees)</t>
  </si>
  <si>
    <r>
      <t xml:space="preserve">252,802 </t>
    </r>
    <r>
      <rPr>
        <vertAlign val="superscript"/>
        <sz val="9"/>
        <color indexed="18"/>
        <rFont val="Arial"/>
        <family val="2"/>
      </rPr>
      <t>2</t>
    </r>
  </si>
  <si>
    <r>
      <t xml:space="preserve">269,731 </t>
    </r>
    <r>
      <rPr>
        <vertAlign val="superscript"/>
        <sz val="9"/>
        <color indexed="18"/>
        <rFont val="Arial"/>
        <family val="2"/>
      </rPr>
      <t>4</t>
    </r>
  </si>
  <si>
    <t>8. Headline  Inflation Rate*</t>
  </si>
  <si>
    <t>Year ended June</t>
  </si>
  <si>
    <t>9. Headline  Inflation Rate*</t>
  </si>
  <si>
    <r>
      <t>10. Unemployment Rate*</t>
    </r>
    <r>
      <rPr>
        <b/>
        <vertAlign val="superscript"/>
        <sz val="10"/>
        <color indexed="18"/>
        <rFont val="Arial"/>
        <family val="2"/>
      </rPr>
      <t xml:space="preserve"> 8</t>
    </r>
  </si>
  <si>
    <r>
      <t xml:space="preserve">7.9 </t>
    </r>
    <r>
      <rPr>
        <vertAlign val="superscript"/>
        <sz val="9"/>
        <color indexed="18"/>
        <rFont val="Arial"/>
        <family val="2"/>
      </rPr>
      <t>3</t>
    </r>
  </si>
  <si>
    <r>
      <t xml:space="preserve">8.0 </t>
    </r>
    <r>
      <rPr>
        <vertAlign val="superscript"/>
        <sz val="9"/>
        <color indexed="18"/>
        <rFont val="Arial"/>
        <family val="2"/>
      </rPr>
      <t>4</t>
    </r>
  </si>
  <si>
    <t>11. Current Account Balance</t>
  </si>
  <si>
    <t>+7,752</t>
  </si>
  <si>
    <t>+3,554</t>
  </si>
  <si>
    <t>+1,383</t>
  </si>
  <si>
    <t>-6,322</t>
  </si>
  <si>
    <t xml:space="preserve">-10,188 </t>
  </si>
  <si>
    <t>-17,415</t>
  </si>
  <si>
    <r>
      <t>-22,232</t>
    </r>
    <r>
      <rPr>
        <sz val="10"/>
        <rFont val="Arial"/>
        <family val="2"/>
      </rPr>
      <t/>
    </r>
  </si>
  <si>
    <t>-24,771</t>
  </si>
  <si>
    <r>
      <t xml:space="preserve">-24,655 </t>
    </r>
    <r>
      <rPr>
        <vertAlign val="superscript"/>
        <sz val="9"/>
        <color indexed="18"/>
        <rFont val="Arial"/>
        <family val="2"/>
      </rPr>
      <t>10</t>
    </r>
  </si>
  <si>
    <r>
      <t xml:space="preserve">-33,633 </t>
    </r>
    <r>
      <rPr>
        <vertAlign val="superscript"/>
        <sz val="9"/>
        <color indexed="18"/>
        <rFont val="Arial"/>
        <family val="2"/>
      </rPr>
      <t>2 10</t>
    </r>
  </si>
  <si>
    <r>
      <t xml:space="preserve">-39,676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</si>
  <si>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</si>
  <si>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</si>
  <si>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</si>
  <si>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</si>
  <si>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</si>
  <si>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</si>
  <si>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</si>
  <si>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-30,985</t>
    </r>
    <r>
      <rPr>
        <vertAlign val="superscript"/>
        <sz val="9"/>
        <color indexed="18"/>
        <rFont val="Arial"/>
        <family val="2"/>
      </rPr>
      <t xml:space="preserve"> 10</t>
    </r>
  </si>
  <si>
    <r>
      <t xml:space="preserve">-43,086 </t>
    </r>
    <r>
      <rPr>
        <vertAlign val="superscript"/>
        <sz val="9"/>
        <color indexed="18"/>
        <rFont val="Arial"/>
        <family val="2"/>
      </rPr>
      <t>2 10</t>
    </r>
  </si>
  <si>
    <r>
      <t xml:space="preserve">-35,550 </t>
    </r>
    <r>
      <rPr>
        <vertAlign val="superscript"/>
        <sz val="9"/>
        <color indexed="18"/>
        <rFont val="Arial"/>
        <family val="2"/>
      </rPr>
      <t>3 10</t>
    </r>
  </si>
  <si>
    <r>
      <t>13. Overall Balance of Payments</t>
    </r>
    <r>
      <rPr>
        <b/>
        <vertAlign val="superscript"/>
        <sz val="10"/>
        <color indexed="18"/>
        <rFont val="Arial"/>
        <family val="2"/>
      </rPr>
      <t xml:space="preserve"> 6</t>
    </r>
  </si>
  <si>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</si>
  <si>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</si>
  <si>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</si>
  <si>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</si>
  <si>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</si>
  <si>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</si>
  <si>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</si>
  <si>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</si>
  <si>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</si>
  <si>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</si>
  <si>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</si>
  <si>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</si>
  <si>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</si>
  <si>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</si>
  <si>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</si>
  <si>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</si>
  <si>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</si>
  <si>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</si>
  <si>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 Total Exports (f.o.b.)* </t>
    </r>
    <r>
      <rPr>
        <b/>
        <vertAlign val="superscript"/>
        <sz val="10"/>
        <color indexed="18"/>
        <rFont val="Arial"/>
        <family val="2"/>
      </rPr>
      <t>7</t>
    </r>
  </si>
  <si>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</si>
  <si>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</si>
  <si>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</si>
  <si>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t>18. Ratio of Budget Deficit to GDP at market prices**</t>
  </si>
  <si>
    <t>@</t>
  </si>
  <si>
    <t>-5.3</t>
  </si>
  <si>
    <t xml:space="preserve">-4.3 </t>
  </si>
  <si>
    <t>-3.3</t>
  </si>
  <si>
    <t>-3.0</t>
  </si>
  <si>
    <t>-3.2</t>
  </si>
  <si>
    <r>
      <t>-3.2</t>
    </r>
    <r>
      <rPr>
        <vertAlign val="superscript"/>
        <sz val="9"/>
        <color indexed="18"/>
        <rFont val="Arial"/>
        <family val="2"/>
      </rPr>
      <t xml:space="preserve">  </t>
    </r>
  </si>
  <si>
    <r>
      <t>-1.8</t>
    </r>
    <r>
      <rPr>
        <vertAlign val="superscript"/>
        <sz val="9"/>
        <color indexed="18"/>
        <rFont val="Arial"/>
        <family val="2"/>
      </rPr>
      <t xml:space="preserve"> 3</t>
    </r>
  </si>
  <si>
    <t>19. External Debt: Budgetary Central Government</t>
  </si>
  <si>
    <t>#</t>
  </si>
  <si>
    <t>12,451</t>
  </si>
  <si>
    <r>
      <t xml:space="preserve">31,392 </t>
    </r>
    <r>
      <rPr>
        <vertAlign val="superscript"/>
        <sz val="9"/>
        <color indexed="18"/>
        <rFont val="Arial"/>
        <family val="2"/>
      </rPr>
      <t>3</t>
    </r>
  </si>
  <si>
    <t>20. Internal Debt: Budgetary Central Government</t>
  </si>
  <si>
    <r>
      <t>140,806</t>
    </r>
    <r>
      <rPr>
        <vertAlign val="superscript"/>
        <sz val="9"/>
        <color indexed="18"/>
        <rFont val="Arial"/>
        <family val="2"/>
      </rPr>
      <t xml:space="preserve"> 3</t>
    </r>
  </si>
  <si>
    <r>
      <t xml:space="preserve">21. Banks'  Claims on Private Sector (CPS) </t>
    </r>
    <r>
      <rPr>
        <b/>
        <vertAlign val="superscript"/>
        <sz val="10"/>
        <color indexed="18"/>
        <rFont val="Arial"/>
        <family val="2"/>
      </rPr>
      <t>9</t>
    </r>
  </si>
  <si>
    <t>End-December</t>
  </si>
  <si>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</si>
  <si>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</si>
  <si>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</si>
  <si>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</si>
  <si>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</si>
  <si>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</si>
  <si>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</si>
  <si>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</si>
  <si>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</si>
  <si>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</si>
  <si>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</si>
  <si>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</si>
  <si>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</si>
  <si>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</si>
  <si>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</si>
  <si>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</si>
  <si>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</si>
  <si>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 </t>
  </si>
  <si>
    <t>government finance statistics are compiled using the IMF's GFS Manual 2001.</t>
  </si>
  <si>
    <t>* Source:  Statistics  Mauritius.   # As from 2009, data refer to end-December, instead of end-June for previous years.   n.a: not available</t>
  </si>
  <si>
    <t>**Source: Ministry of Finance and Economic Development.</t>
  </si>
  <si>
    <t>*** Source: Ministry of Tourism and Leisure.</t>
  </si>
  <si>
    <t>BML</t>
  </si>
  <si>
    <t>GDP</t>
  </si>
  <si>
    <t>Table 2: Bank of Mauritius Assets and Liabilities as at 28 February 2013</t>
  </si>
  <si>
    <t xml:space="preserve">Rupees        </t>
  </si>
  <si>
    <t>CAPITAL AND RESERVES</t>
  </si>
  <si>
    <t>Authorised and Paid up Capital</t>
  </si>
  <si>
    <t>General Reserve Fund and Other Reserves</t>
  </si>
  <si>
    <t xml:space="preserve"> 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</si>
  <si>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</si>
  <si>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</si>
  <si>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</si>
  <si>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</si>
  <si>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</si>
  <si>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</si>
  <si>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</si>
  <si>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</si>
  <si>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</si>
  <si>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</si>
  <si>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</si>
  <si>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</si>
  <si>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</si>
  <si>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</si>
  <si>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</si>
  <si>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</si>
  <si>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</si>
  <si>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</si>
  <si>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</si>
  <si>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</si>
  <si>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</si>
  <si>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</si>
  <si>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</si>
  <si>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end-January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</si>
  <si>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</si>
  <si>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</si>
  <si>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</si>
  <si>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</si>
  <si>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</si>
  <si>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</si>
  <si>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</si>
  <si>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</si>
  <si>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</si>
  <si>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</si>
  <si>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</si>
  <si>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</si>
  <si>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</si>
  <si>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</si>
  <si>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</si>
  <si>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</si>
  <si>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</si>
  <si>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</si>
  <si>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</si>
  <si>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</si>
  <si>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</si>
  <si>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</si>
  <si>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</si>
  <si>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</si>
  <si>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</si>
  <si>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</si>
  <si>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</si>
  <si>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</si>
  <si>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</si>
  <si>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</si>
  <si>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</si>
  <si>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</si>
  <si>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</si>
  <si>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</si>
  <si>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</si>
  <si>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</si>
  <si>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</si>
  <si>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</si>
  <si>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</si>
  <si>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</si>
  <si>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</si>
  <si>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</si>
  <si>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end-January 2013</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</si>
  <si>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</si>
  <si>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</si>
  <si>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</si>
  <si>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</si>
  <si>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</si>
  <si>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</si>
  <si>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</si>
  <si>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</si>
  <si>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</si>
  <si>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</si>
  <si>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</si>
  <si>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</si>
  <si>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</si>
  <si>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</si>
  <si>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</si>
  <si>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</si>
  <si>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</si>
  <si>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</si>
  <si>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</si>
  <si>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</si>
  <si>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</si>
  <si>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</si>
  <si>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</si>
  <si>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</si>
  <si>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</si>
  <si>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</si>
  <si>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</si>
  <si>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</si>
  <si>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</si>
  <si>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</si>
  <si>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</si>
  <si>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</si>
  <si>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</si>
  <si>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</si>
  <si>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</si>
  <si>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</si>
  <si>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</si>
  <si>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</si>
  <si>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</si>
  <si>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</si>
  <si>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</si>
  <si>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</si>
  <si>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</si>
  <si>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</si>
  <si>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</si>
  <si>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</si>
  <si>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</si>
  <si>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</si>
  <si>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</si>
  <si>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</si>
  <si>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</si>
  <si>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</si>
  <si>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</si>
  <si>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 of which Budgetary Central Government Deposits amount to Rs 2,554.8 mn.</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</si>
  <si>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</si>
  <si>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</si>
  <si>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</si>
  <si>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</si>
  <si>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</si>
  <si>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</si>
  <si>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</si>
  <si>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</si>
  <si>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</si>
  <si>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</si>
  <si>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</si>
  <si>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</si>
  <si>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</si>
  <si>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</si>
  <si>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</si>
  <si>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</si>
  <si>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</si>
  <si>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</si>
  <si>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</si>
  <si>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</si>
  <si>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</si>
  <si>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</si>
  <si>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</si>
  <si>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</si>
  <si>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</si>
  <si>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</si>
  <si>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</si>
  <si>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</si>
  <si>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</si>
  <si>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</si>
  <si>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</si>
  <si>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</si>
  <si>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</si>
  <si>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</si>
  <si>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</si>
  <si>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</si>
  <si>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</si>
  <si>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</si>
  <si>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</si>
  <si>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</si>
  <si>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</si>
  <si>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</si>
  <si>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</si>
  <si>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</si>
  <si>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</si>
  <si>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</si>
  <si>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</si>
  <si>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</si>
  <si>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</si>
  <si>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</si>
  <si>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</si>
  <si>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</si>
  <si>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</si>
  <si>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</si>
  <si>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</si>
  <si>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</si>
  <si>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January 2012 - January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</si>
  <si>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</si>
  <si>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</si>
  <si>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</si>
  <si>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</si>
  <si>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</si>
  <si>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</si>
  <si>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</si>
  <si>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</si>
  <si>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</si>
  <si>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</si>
  <si>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</si>
  <si>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</si>
  <si>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</si>
  <si>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</si>
  <si>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</si>
  <si>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</si>
  <si>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</si>
  <si>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</si>
  <si>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</si>
  <si>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</si>
  <si>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</si>
  <si>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</si>
  <si>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</si>
  <si>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</si>
  <si>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</si>
  <si>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</si>
  <si>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</si>
  <si>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</si>
  <si>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</si>
  <si>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</si>
  <si>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</si>
  <si>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</si>
  <si>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</si>
  <si>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</si>
  <si>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</si>
  <si>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</si>
  <si>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</si>
  <si>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</si>
  <si>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</si>
  <si>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</si>
  <si>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</si>
  <si>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</si>
  <si>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</si>
  <si>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</si>
  <si>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</si>
  <si>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</si>
  <si>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r>
      <t>Guarantees</t>
    </r>
    <r>
      <rPr>
        <b/>
        <vertAlign val="superscript"/>
        <sz val="9"/>
        <rFont val="Arial"/>
        <family val="2"/>
      </rPr>
      <t>3</t>
    </r>
  </si>
  <si>
    <t>Abroad</t>
  </si>
  <si>
    <t>Coins</t>
  </si>
  <si>
    <t>Debentures</t>
  </si>
  <si>
    <t>Holders</t>
  </si>
  <si>
    <t xml:space="preserve">Oct-10 </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</si>
  <si>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</si>
  <si>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</si>
  <si>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</si>
  <si>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</si>
  <si>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Figures may not add up to totals due to rounding.</t>
  </si>
  <si>
    <t>Table 4b*: Banks - Liabilities: January 2012 - January 2013</t>
  </si>
  <si>
    <t>Capital</t>
  </si>
  <si>
    <t>DEPOSITS</t>
  </si>
  <si>
    <t>Budgetary</t>
  </si>
  <si>
    <t xml:space="preserve">Interbank </t>
  </si>
  <si>
    <t>BORROWINGS FROM</t>
  </si>
  <si>
    <t>Other</t>
  </si>
  <si>
    <t>TOTAL</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</si>
  <si>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</si>
  <si>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</si>
  <si>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</si>
  <si>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</si>
  <si>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</si>
  <si>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</si>
  <si>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</si>
  <si>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</si>
  <si>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</si>
  <si>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</si>
  <si>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</si>
  <si>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Currency</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</si>
  <si>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</si>
  <si>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</si>
  <si>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</si>
  <si>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January 2013</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</si>
  <si>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</si>
  <si>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</si>
  <si>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</si>
  <si>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</si>
  <si>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</si>
  <si>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</si>
  <si>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</si>
  <si>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</si>
  <si>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</si>
  <si>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</si>
  <si>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</si>
  <si>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</si>
  <si>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</si>
  <si>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</si>
  <si>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</si>
  <si>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</si>
  <si>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</si>
  <si>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</si>
  <si>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</si>
  <si>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</si>
  <si>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</si>
  <si>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</si>
  <si>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</si>
  <si>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</si>
  <si>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</si>
  <si>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</si>
  <si>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</si>
  <si>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</si>
  <si>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</si>
  <si>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</si>
  <si>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</si>
  <si>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</si>
  <si>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</si>
  <si>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</si>
  <si>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</si>
  <si>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</si>
  <si>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</si>
  <si>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</si>
  <si>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</si>
  <si>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</si>
  <si>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</si>
  <si>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</si>
  <si>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</si>
  <si>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</si>
  <si>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</si>
  <si>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</si>
  <si>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</si>
  <si>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</si>
  <si>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</si>
  <si>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</si>
  <si>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</si>
  <si>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</si>
  <si>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</si>
  <si>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</si>
  <si>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</si>
  <si>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</si>
  <si>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</si>
  <si>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</si>
  <si>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</si>
  <si>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</si>
  <si>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</si>
  <si>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</si>
  <si>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</si>
  <si>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</si>
  <si>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</si>
  <si>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</si>
  <si>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</si>
  <si>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</si>
  <si>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</si>
  <si>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</si>
  <si>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</si>
  <si>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</si>
  <si>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</si>
  <si>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</si>
  <si>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</si>
  <si>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</si>
  <si>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</si>
  <si>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</si>
  <si>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</si>
  <si>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</si>
  <si>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</si>
  <si>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</si>
  <si>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</si>
  <si>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</si>
  <si>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</si>
  <si>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</si>
  <si>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</si>
  <si>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</si>
  <si>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</si>
  <si>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</si>
  <si>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</si>
  <si>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</si>
  <si>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</si>
  <si>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</si>
  <si>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</si>
  <si>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</si>
  <si>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</si>
  <si>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</si>
  <si>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</si>
  <si>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</si>
  <si>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</si>
  <si>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</si>
  <si>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</si>
  <si>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</si>
  <si>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</si>
  <si>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</si>
  <si>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</si>
  <si>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</si>
  <si>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Rs24,587.9 million at the end of January 2013.</t>
  </si>
  <si>
    <t>Source:Statistics division</t>
  </si>
  <si>
    <t>Table 6: Banks - Sectorwise Distribution of Credit to the Private Sector: January 2012 - January 2013</t>
  </si>
  <si>
    <t xml:space="preserve">Nov-10 </t>
  </si>
  <si>
    <t>Dec-10</t>
  </si>
  <si>
    <t>Jan-11</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</si>
  <si>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</si>
  <si>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</si>
  <si>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</si>
  <si>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</si>
  <si>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</si>
  <si>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 xml:space="preserve">Table 7: Sectoral Balance Sheet of Bank of Mauritius </t>
    </r>
    <r>
      <rPr>
        <b/>
        <vertAlign val="superscript"/>
        <sz val="13"/>
        <rFont val="Times New Roman"/>
        <family val="1"/>
      </rPr>
      <t>1 2</t>
    </r>
    <r>
      <rPr>
        <b/>
        <sz val="13"/>
        <rFont val="Times New Roman"/>
        <family val="1"/>
      </rPr>
      <t>: January 2010 - January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</si>
  <si>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</si>
  <si>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</si>
  <si>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</si>
  <si>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</si>
  <si>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</si>
  <si>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</si>
  <si>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</si>
  <si>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</si>
  <si>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</si>
  <si>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</si>
  <si>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</si>
  <si>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</si>
  <si>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</si>
  <si>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</si>
  <si>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</si>
  <si>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</si>
  <si>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</si>
  <si>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</si>
  <si>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</si>
  <si>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</si>
  <si>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</si>
  <si>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</si>
  <si>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</si>
  <si>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</si>
  <si>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</si>
  <si>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</si>
  <si>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</si>
  <si>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</si>
  <si>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</si>
  <si>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</si>
  <si>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</si>
  <si>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</si>
  <si>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</si>
  <si>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</si>
  <si>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</si>
  <si>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</si>
  <si>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</si>
  <si>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</si>
  <si>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</si>
  <si>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</si>
  <si>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</si>
  <si>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</si>
  <si>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</si>
  <si>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</si>
  <si>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</si>
  <si>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</si>
  <si>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</si>
  <si>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</si>
  <si>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</si>
  <si>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</si>
  <si>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</si>
  <si>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</si>
  <si>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</si>
  <si>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</si>
  <si>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</si>
  <si>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</si>
  <si>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2</t>
    </r>
    <r>
      <rPr>
        <i/>
        <sz val="9"/>
        <color indexed="8"/>
        <rFont val="Arial"/>
        <family val="2"/>
      </rPr>
      <t xml:space="preserve"> Data for the period January 2010 - December 2012 have been revised following recommendations made by the IMF Multisector Assessment Mission in January 2013.</t>
    </r>
  </si>
  <si>
    <t>Table 8: Sectoral Balance Sheet of Banks*: January 2012 - January 2013</t>
  </si>
  <si>
    <t>Transferable deposits</t>
  </si>
  <si>
    <t>Savings deposits</t>
  </si>
  <si>
    <t>Time deposits</t>
  </si>
  <si>
    <t xml:space="preserve">Mar-09 </t>
  </si>
  <si>
    <t>Deposits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</si>
  <si>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</si>
  <si>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January 2012 - January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</si>
  <si>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</si>
  <si>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</si>
  <si>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</si>
  <si>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January 2012 - January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</si>
  <si>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</si>
  <si>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</si>
  <si>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</si>
  <si>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</si>
  <si>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 xml:space="preserve">1 2 3 </t>
    </r>
    <r>
      <rPr>
        <b/>
        <sz val="12"/>
        <rFont val="Arial"/>
        <family val="2"/>
      </rPr>
      <t>: January 2010 - January 2013</t>
    </r>
  </si>
  <si>
    <t xml:space="preserve">Net Foreign Assets </t>
  </si>
  <si>
    <t xml:space="preserve">   Claims on Nonresidents </t>
  </si>
  <si>
    <t xml:space="preserve">   less: Liabilities to Nonresidents</t>
  </si>
  <si>
    <t>Claims on Other Depository Corporations</t>
  </si>
  <si>
    <r>
      <t xml:space="preserve">Net Claims on Central Government </t>
    </r>
    <r>
      <rPr>
        <b/>
        <vertAlign val="superscript"/>
        <sz val="10"/>
        <rFont val="Arial"/>
        <family val="2"/>
      </rPr>
      <t>4</t>
    </r>
  </si>
  <si>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</si>
  <si>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</si>
  <si>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</si>
  <si>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</si>
  <si>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</si>
  <si>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</si>
  <si>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</si>
  <si>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</si>
  <si>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</si>
  <si>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</si>
  <si>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</si>
  <si>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</si>
  <si>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</si>
  <si>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</si>
  <si>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</si>
  <si>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</si>
  <si>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</si>
  <si>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</si>
  <si>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3</t>
    </r>
    <r>
      <rPr>
        <i/>
        <sz val="9"/>
        <color indexed="8"/>
        <rFont val="Arial"/>
        <family val="2"/>
      </rPr>
      <t xml:space="preserve"> Data for the period January 2010 - December 2012 have been revised following recommendations made by the IMF Multisector Assessment Mission in January 2013.</t>
    </r>
  </si>
  <si>
    <r>
      <t xml:space="preserve">4 </t>
    </r>
    <r>
      <rPr>
        <i/>
        <sz val="9"/>
        <color indexed="8"/>
        <rFont val="Arial"/>
        <family val="2"/>
      </rPr>
      <t>Central Government comprises budgetary, extra budgetary units and social security funds.</t>
    </r>
  </si>
  <si>
    <r>
      <t xml:space="preserve">Table 12: Other Depository Corporations Survey </t>
    </r>
    <r>
      <rPr>
        <b/>
        <vertAlign val="superscript"/>
        <sz val="12"/>
        <rFont val="Arial"/>
        <family val="2"/>
      </rPr>
      <t xml:space="preserve">1 2  </t>
    </r>
    <r>
      <rPr>
        <b/>
        <sz val="12"/>
        <rFont val="Arial"/>
        <family val="2"/>
      </rPr>
      <t>: January 2010 - January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</si>
  <si>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</si>
  <si>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</si>
  <si>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</si>
  <si>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</si>
  <si>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</si>
  <si>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</si>
  <si>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</si>
  <si>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</si>
  <si>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</si>
  <si>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</si>
  <si>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</si>
  <si>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</si>
  <si>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</si>
  <si>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</si>
  <si>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</si>
  <si>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</si>
  <si>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</si>
  <si>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</si>
  <si>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</si>
  <si>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</si>
  <si>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</si>
  <si>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1  2</t>
    </r>
    <r>
      <rPr>
        <b/>
        <sz val="13"/>
        <rFont val="Times New Roman"/>
        <family val="1"/>
      </rPr>
      <t>: January 2010 - January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</si>
  <si>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</si>
  <si>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</si>
  <si>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</si>
  <si>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</si>
  <si>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</si>
  <si>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</si>
  <si>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</si>
  <si>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</si>
  <si>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</si>
  <si>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</si>
  <si>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</si>
  <si>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</si>
  <si>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</si>
  <si>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</si>
  <si>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</si>
  <si>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</si>
  <si>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t>Table 14: Assets and Liabilities of Non-Bank Deposit Taking Leasing Companies *: January  2012 -  December  2012</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</si>
  <si>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</si>
  <si>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</si>
  <si>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</si>
  <si>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</si>
  <si>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</si>
  <si>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</si>
  <si>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</si>
  <si>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</si>
  <si>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</si>
  <si>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</si>
  <si>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</si>
  <si>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December 2012</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</si>
  <si>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</si>
  <si>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</si>
  <si>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</si>
  <si>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</si>
  <si>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</si>
  <si>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</si>
  <si>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</si>
  <si>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</si>
  <si>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</si>
  <si>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</si>
  <si>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</si>
  <si>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</si>
  <si>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</si>
  <si>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</si>
  <si>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</si>
  <si>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</si>
  <si>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r>
      <t xml:space="preserve">Table 16a: Components and Sources of Monetary Base </t>
    </r>
    <r>
      <rPr>
        <b/>
        <vertAlign val="superscript"/>
        <sz val="13"/>
        <rFont val="Times New Roman"/>
        <family val="1"/>
      </rPr>
      <t>1</t>
    </r>
    <r>
      <rPr>
        <b/>
        <sz val="13"/>
        <rFont val="Times New Roman"/>
        <family val="1"/>
      </rPr>
      <t>: January 2010 - January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</si>
  <si>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</si>
  <si>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</si>
  <si>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</si>
  <si>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</si>
  <si>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</si>
  <si>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</si>
  <si>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</si>
  <si>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</si>
  <si>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</si>
  <si>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</si>
  <si>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</si>
  <si>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</si>
  <si>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</si>
  <si>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</si>
  <si>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</si>
  <si>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Note: Data for the period January 2010 - December 2012 have been revised following recommendations made by the IMF Multisector Assessment Mission in January 2013.</t>
  </si>
  <si>
    <r>
      <t xml:space="preserve">Table 16b: Components and Sources of Broad Money Liabilities </t>
    </r>
    <r>
      <rPr>
        <b/>
        <vertAlign val="superscript"/>
        <sz val="13"/>
        <rFont val="Times New Roman"/>
        <family val="1"/>
      </rPr>
      <t>1 2</t>
    </r>
    <r>
      <rPr>
        <b/>
        <sz val="13"/>
        <rFont val="Times New Roman"/>
        <family val="1"/>
      </rPr>
      <t>: January 2010 - January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</si>
  <si>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</si>
  <si>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</si>
  <si>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</si>
  <si>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</si>
  <si>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</si>
  <si>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</si>
  <si>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</si>
  <si>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</si>
  <si>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</si>
  <si>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</si>
  <si>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</si>
  <si>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</si>
  <si>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</si>
  <si>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</si>
  <si>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</si>
  <si>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</si>
  <si>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Credit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</si>
  <si>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</si>
  <si>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</si>
  <si>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</si>
  <si>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 February 2012 - February 2013</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</si>
  <si>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</si>
  <si>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</si>
  <si>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</si>
  <si>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</si>
  <si>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</si>
  <si>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</si>
  <si>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</si>
  <si>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</si>
  <si>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</si>
  <si>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</si>
  <si>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</si>
  <si>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</si>
  <si>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</si>
  <si>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</si>
  <si>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</si>
  <si>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</si>
  <si>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</si>
  <si>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</si>
  <si>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</si>
  <si>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</si>
  <si>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</si>
  <si>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</si>
  <si>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</si>
  <si>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</si>
  <si>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</si>
  <si>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</si>
  <si>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</si>
  <si>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</si>
  <si>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</si>
  <si>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</si>
  <si>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</si>
  <si>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</si>
  <si>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January 2013 &amp; February 2013</t>
  </si>
  <si>
    <t xml:space="preserve">                (Rs million)</t>
  </si>
  <si>
    <t xml:space="preserve">                                                                    Auctions held for period</t>
  </si>
  <si>
    <t>04-08 Feb 13</t>
  </si>
  <si>
    <t>11-15 Feb 13</t>
  </si>
  <si>
    <t>18-22 Feb 13</t>
  </si>
  <si>
    <t>25-28 Feb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</si>
  <si>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</si>
  <si>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</si>
  <si>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</si>
  <si>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</si>
  <si>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</si>
  <si>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</si>
  <si>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February 2012 - February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</si>
  <si>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</si>
  <si>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</si>
  <si>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</si>
  <si>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</si>
  <si>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</si>
  <si>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</si>
  <si>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</si>
  <si>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</si>
  <si>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</si>
  <si>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</si>
  <si>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</si>
  <si>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</si>
  <si>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t>
  </si>
  <si>
    <t>Overall Weighted Yield</t>
  </si>
  <si>
    <t>Bank Rate (Simple Average)</t>
  </si>
  <si>
    <t>Table 20c: Auction of Ten-Year Government of Mauritius Bonds:   September 2012  &amp; November 2012</t>
  </si>
  <si>
    <t>Auction held on</t>
  </si>
  <si>
    <r>
      <t xml:space="preserve">19-Sep-12 </t>
    </r>
    <r>
      <rPr>
        <b/>
        <vertAlign val="superscript"/>
        <sz val="10"/>
        <rFont val="Times New Roman"/>
        <family val="1"/>
      </rPr>
      <t>1</t>
    </r>
  </si>
  <si>
    <r>
      <t xml:space="preserve">14-Nov-12 </t>
    </r>
    <r>
      <rPr>
        <b/>
        <vertAlign val="superscript"/>
        <sz val="10"/>
        <rFont val="Times New Roman"/>
        <family val="1"/>
      </rPr>
      <t>2</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</si>
  <si>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</si>
  <si>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</si>
  <si>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</si>
  <si>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</si>
  <si>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</si>
  <si>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</si>
  <si>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</si>
  <si>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21 September 2012  due 21 September 2022</t>
    </r>
  </si>
  <si>
    <r>
      <t xml:space="preserve">2 </t>
    </r>
    <r>
      <rPr>
        <i/>
        <sz val="10"/>
        <rFont val="Times New Roman"/>
        <family val="1"/>
      </rPr>
      <t>Issue of  16 November 2012  due 16 November 2022</t>
    </r>
  </si>
  <si>
    <r>
      <t xml:space="preserve">* </t>
    </r>
    <r>
      <rPr>
        <i/>
        <sz val="10"/>
        <rFont val="Times New Roman"/>
        <family val="1"/>
      </rPr>
      <t>Tender Amount was for Rs1,000 mn with option to accept higher amount</t>
    </r>
  </si>
  <si>
    <t>Source: Financial Markets Operations Division.</t>
  </si>
  <si>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</si>
  <si>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</si>
  <si>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</si>
  <si>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</si>
  <si>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</si>
  <si>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</si>
  <si>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</si>
  <si>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</si>
  <si>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</si>
  <si>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</si>
  <si>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</si>
  <si>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</si>
  <si>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</si>
  <si>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</si>
  <si>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</si>
  <si>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</si>
  <si>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</si>
  <si>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</si>
  <si>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</si>
  <si>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</si>
  <si>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</si>
  <si>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19:Bank Rate &amp; Weighted Average Yields on Government of Mauritius Treasury Bills: February 2013</t>
  </si>
  <si>
    <t>(Per cent per annum)</t>
  </si>
  <si>
    <t>Auctions held for period</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</si>
  <si>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</si>
  <si>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</si>
  <si>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</si>
  <si>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</si>
  <si>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</si>
  <si>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</si>
  <si>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</si>
  <si>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Table 20a: Auctions of  Government of Mauritius Treasury Notes:     January 2013 &amp; February 2013</t>
  </si>
  <si>
    <r>
      <t>Amount of Treasury Notes put on Tender</t>
    </r>
    <r>
      <rPr>
        <b/>
        <sz val="11"/>
        <rFont val="Times New Roman"/>
        <family val="1"/>
      </rPr>
      <t xml:space="preserve"> </t>
    </r>
  </si>
  <si>
    <r>
      <t xml:space="preserve">16 January 2013 </t>
    </r>
    <r>
      <rPr>
        <b/>
        <vertAlign val="superscript"/>
        <sz val="8"/>
        <rFont val="Times New Roman"/>
        <family val="1"/>
      </rPr>
      <t xml:space="preserve">1 </t>
    </r>
    <r>
      <rPr>
        <b/>
        <sz val="8"/>
        <rFont val="Times New Roman"/>
        <family val="1"/>
      </rPr>
      <t>- Rs1,400 mn</t>
    </r>
  </si>
  <si>
    <r>
      <t xml:space="preserve">14 February 2013 </t>
    </r>
    <r>
      <rPr>
        <b/>
        <vertAlign val="superscript"/>
        <sz val="8"/>
        <rFont val="Times New Roman"/>
        <family val="1"/>
      </rPr>
      <t xml:space="preserve">2 </t>
    </r>
    <r>
      <rPr>
        <b/>
        <sz val="8"/>
        <rFont val="Times New Roman"/>
        <family val="1"/>
      </rPr>
      <t>- Rs1,200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</si>
  <si>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</si>
  <si>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</si>
  <si>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</si>
  <si>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</si>
  <si>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</si>
  <si>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</si>
  <si>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</si>
  <si>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101.897</t>
  </si>
  <si>
    <t>102.290</t>
  </si>
  <si>
    <r>
      <t>1</t>
    </r>
    <r>
      <rPr>
        <i/>
        <sz val="8"/>
        <rFont val="Times New Roman"/>
        <family val="1"/>
      </rPr>
      <t xml:space="preserve"> Issue of  18 January 2013 (New Benchmark)</t>
    </r>
  </si>
  <si>
    <r>
      <t>2</t>
    </r>
    <r>
      <rPr>
        <i/>
        <sz val="8"/>
        <rFont val="Times New Roman"/>
        <family val="1"/>
      </rPr>
      <t xml:space="preserve"> Issue of  15 February 2013 (Re-Opening)</t>
    </r>
  </si>
  <si>
    <t>3Y-GMTN : 4.90% 3-Year Government of Mauritius Treasury Notes due 18 January 2016</t>
  </si>
  <si>
    <t>Table 20b: Auctions of Five-Year Government of Mauritius Bonds - April 2012 - February 2013</t>
  </si>
  <si>
    <r>
      <t>18 Apr-12</t>
    </r>
    <r>
      <rPr>
        <b/>
        <vertAlign val="superscript"/>
        <sz val="10"/>
        <rFont val="Times New Roman"/>
        <family val="1"/>
      </rPr>
      <t>1</t>
    </r>
  </si>
  <si>
    <r>
      <t>20 Jun-12</t>
    </r>
    <r>
      <rPr>
        <b/>
        <vertAlign val="superscript"/>
        <sz val="10"/>
        <rFont val="Times New Roman"/>
        <family val="1"/>
      </rPr>
      <t>2</t>
    </r>
  </si>
  <si>
    <r>
      <t>22 Aug-12</t>
    </r>
    <r>
      <rPr>
        <b/>
        <vertAlign val="superscript"/>
        <sz val="10"/>
        <rFont val="Times New Roman"/>
        <family val="1"/>
      </rPr>
      <t>3</t>
    </r>
  </si>
  <si>
    <r>
      <t>24 Oct-12</t>
    </r>
    <r>
      <rPr>
        <b/>
        <vertAlign val="superscript"/>
        <sz val="10"/>
        <rFont val="Times New Roman"/>
        <family val="1"/>
      </rPr>
      <t>4</t>
    </r>
  </si>
  <si>
    <r>
      <t>19 Dec-12</t>
    </r>
    <r>
      <rPr>
        <b/>
        <vertAlign val="superscript"/>
        <sz val="10"/>
        <rFont val="Times New Roman"/>
        <family val="1"/>
      </rPr>
      <t>5</t>
    </r>
  </si>
  <si>
    <r>
      <t>20 Feb-13</t>
    </r>
    <r>
      <rPr>
        <b/>
        <vertAlign val="superscript"/>
        <sz val="10"/>
        <rFont val="Times New Roman"/>
        <family val="1"/>
      </rPr>
      <t>6</t>
    </r>
  </si>
  <si>
    <r>
      <t xml:space="preserve">1 </t>
    </r>
    <r>
      <rPr>
        <i/>
        <sz val="10"/>
        <rFont val="Times New Roman"/>
        <family val="1"/>
      </rPr>
      <t xml:space="preserve">Issue of 20 April 2012 </t>
    </r>
  </si>
  <si>
    <r>
      <t xml:space="preserve">2 </t>
    </r>
    <r>
      <rPr>
        <i/>
        <sz val="10"/>
        <rFont val="Times New Roman"/>
        <family val="1"/>
      </rPr>
      <t xml:space="preserve">Issue of 22 June 2012 (Re-opening) </t>
    </r>
  </si>
  <si>
    <r>
      <t xml:space="preserve">3 </t>
    </r>
    <r>
      <rPr>
        <i/>
        <sz val="10"/>
        <rFont val="Times New Roman"/>
        <family val="1"/>
      </rPr>
      <t xml:space="preserve">Issue of 24 August 2012 (Re-opening) </t>
    </r>
  </si>
  <si>
    <r>
      <t xml:space="preserve">4 </t>
    </r>
    <r>
      <rPr>
        <i/>
        <sz val="10"/>
        <rFont val="Times New Roman"/>
        <family val="1"/>
      </rPr>
      <t xml:space="preserve">Issue of 26 October 2012 (New Benchmark) </t>
    </r>
  </si>
  <si>
    <r>
      <t xml:space="preserve">5 </t>
    </r>
    <r>
      <rPr>
        <i/>
        <sz val="10"/>
        <rFont val="Times New Roman"/>
        <family val="1"/>
      </rPr>
      <t>Issue of 21 December 2012 (Re-opening)</t>
    </r>
  </si>
  <si>
    <r>
      <t xml:space="preserve">6 </t>
    </r>
    <r>
      <rPr>
        <i/>
        <sz val="10"/>
        <rFont val="Times New Roman"/>
        <family val="1"/>
      </rPr>
      <t>Issue of 22 February 2013 (New Benchmark)</t>
    </r>
  </si>
  <si>
    <t>Table 20d: Auction of Fifteen -Year Government of Mauritius Bonds:   September 2012 &amp; January 2013</t>
  </si>
  <si>
    <r>
      <t xml:space="preserve">26 September-12 </t>
    </r>
    <r>
      <rPr>
        <b/>
        <vertAlign val="superscript"/>
        <sz val="10"/>
        <rFont val="Times New Roman"/>
        <family val="1"/>
      </rPr>
      <t>1</t>
    </r>
  </si>
  <si>
    <r>
      <t xml:space="preserve">23 January-13 </t>
    </r>
    <r>
      <rPr>
        <b/>
        <vertAlign val="superscript"/>
        <sz val="10"/>
        <rFont val="Times New Roman"/>
        <family val="1"/>
      </rPr>
      <t>2</t>
    </r>
  </si>
  <si>
    <r>
      <t xml:space="preserve">1 </t>
    </r>
    <r>
      <rPr>
        <i/>
        <sz val="10"/>
        <rFont val="Times New Roman"/>
        <family val="1"/>
      </rPr>
      <t>Issue of 28 September 2012  (Re-opening) due 03 August 2027</t>
    </r>
  </si>
  <si>
    <r>
      <t xml:space="preserve">2 </t>
    </r>
    <r>
      <rPr>
        <i/>
        <sz val="10"/>
        <rFont val="Times New Roman"/>
        <family val="1"/>
      </rPr>
      <t>Issue of 25 January 2013 due 25 January 2028</t>
    </r>
  </si>
  <si>
    <t xml:space="preserve">    </t>
  </si>
  <si>
    <t>Table 20e: Auction of Fifteen -Year Inflation-Indexed Government of Mauritius Bonds: November 2012</t>
  </si>
  <si>
    <r>
      <t xml:space="preserve">07-November-2012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</si>
  <si>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</si>
  <si>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</si>
  <si>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</si>
  <si>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</si>
  <si>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t>Table 21: Special Deposits Facility: March 2008 - June 2010</t>
  </si>
  <si>
    <t>Date</t>
  </si>
  <si>
    <t>Amount</t>
  </si>
  <si>
    <t>Rate</t>
  </si>
  <si>
    <t>(Rs mn)</t>
  </si>
  <si>
    <t>(days)</t>
  </si>
  <si>
    <t>(% p.a.)</t>
  </si>
  <si>
    <t>14-21</t>
  </si>
  <si>
    <t>Table 22a: Issue of 28-Day Bank of Mauritius Bills: May 2010</t>
  </si>
  <si>
    <t xml:space="preserve"> Held on</t>
  </si>
  <si>
    <t>Maturity (No. of days)</t>
  </si>
  <si>
    <t xml:space="preserve">Amount of Bills put on Tender (Rs mn) </t>
  </si>
  <si>
    <t>Open</t>
  </si>
  <si>
    <t>Value of Bids Received (Rs mn)</t>
  </si>
  <si>
    <t>Range of  Yields on Bids Received (% p.a)</t>
  </si>
  <si>
    <t>4.00-4.75</t>
  </si>
  <si>
    <t>Value of Bids Accepted (Rs mn)</t>
  </si>
  <si>
    <t>Highest Yield Accepted (% p.a)</t>
  </si>
  <si>
    <t>Weighted Yield on Bids Accepted (% p.a)</t>
  </si>
  <si>
    <t>Table 23: Outstanding Government of Mauritius Securities: February 2012 - February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</si>
  <si>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</si>
  <si>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</si>
  <si>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</si>
  <si>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</si>
  <si>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</si>
  <si>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</si>
  <si>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February 2013</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</si>
  <si>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</si>
  <si>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</si>
  <si>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</si>
  <si>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</si>
  <si>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</si>
  <si>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</si>
  <si>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</si>
  <si>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</si>
  <si>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</si>
  <si>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</si>
  <si>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</si>
  <si>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</si>
  <si>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</si>
  <si>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</si>
  <si>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</si>
  <si>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</si>
  <si>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</si>
  <si>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</si>
  <si>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</si>
  <si>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</si>
  <si>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</si>
  <si>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25a: Primary Dealers Transactions : February 2013</t>
  </si>
  <si>
    <t>Band</t>
  </si>
  <si>
    <t>Duration</t>
  </si>
  <si>
    <t>Number of</t>
  </si>
  <si>
    <t>Value</t>
  </si>
  <si>
    <t>Yield</t>
  </si>
  <si>
    <t>(No of Days)</t>
  </si>
  <si>
    <t>Transactions</t>
  </si>
  <si>
    <t>Up to 30</t>
  </si>
  <si>
    <t xml:space="preserve">31 to 60 </t>
  </si>
  <si>
    <t>61 to 90</t>
  </si>
  <si>
    <t>2.23-2.58</t>
  </si>
  <si>
    <t>91 to 135</t>
  </si>
  <si>
    <t>2.37-2.57</t>
  </si>
  <si>
    <t>136 to 180</t>
  </si>
  <si>
    <t>2.35-2.67</t>
  </si>
  <si>
    <t xml:space="preserve">181 to 240  </t>
  </si>
  <si>
    <t>2.42-2.62</t>
  </si>
  <si>
    <t xml:space="preserve">241 to 300 </t>
  </si>
  <si>
    <t>301 to 364</t>
  </si>
  <si>
    <t>365 to 485</t>
  </si>
  <si>
    <t>486 to 606</t>
  </si>
  <si>
    <t>607 to 728</t>
  </si>
  <si>
    <t>4.65-4.76</t>
  </si>
  <si>
    <t>2.23-2.76</t>
  </si>
  <si>
    <t>Table 25b: Primary Dealers Transactions : February 2012 - February 2013</t>
  </si>
  <si>
    <t>04-08 February</t>
  </si>
  <si>
    <t>2.40-2.67</t>
  </si>
  <si>
    <t>11-15 February</t>
  </si>
  <si>
    <t>18-22 February</t>
  </si>
  <si>
    <t>25-28 February</t>
  </si>
  <si>
    <t>2.35-2.62</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</si>
  <si>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</si>
  <si>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</si>
  <si>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</si>
  <si>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</si>
  <si>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</si>
  <si>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</si>
  <si>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</si>
  <si>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</si>
  <si>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</si>
  <si>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</si>
  <si>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</si>
  <si>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</si>
  <si>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</si>
  <si>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</si>
  <si>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</si>
  <si>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</si>
  <si>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</si>
  <si>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</si>
  <si>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</si>
  <si>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</si>
  <si>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</si>
  <si>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</si>
  <si>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</si>
  <si>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</si>
  <si>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</si>
  <si>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</si>
  <si>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</si>
  <si>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</si>
  <si>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</si>
  <si>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</si>
  <si>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</si>
  <si>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</si>
  <si>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</si>
  <si>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</si>
  <si>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</si>
  <si>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</si>
  <si>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</si>
  <si>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</si>
  <si>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</si>
  <si>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</si>
  <si>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</si>
  <si>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</si>
  <si>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</si>
  <si>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</si>
  <si>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</si>
  <si>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</si>
  <si>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</si>
  <si>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</si>
  <si>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</si>
  <si>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</si>
  <si>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</si>
  <si>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</si>
  <si>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</si>
  <si>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</si>
  <si>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</si>
  <si>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</si>
  <si>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</si>
  <si>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</si>
  <si>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</si>
  <si>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</si>
  <si>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</si>
  <si>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</si>
  <si>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</si>
  <si>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</si>
  <si>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</si>
  <si>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</si>
  <si>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</si>
  <si>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</si>
  <si>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</si>
  <si>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</si>
  <si>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</si>
  <si>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</si>
  <si>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</si>
  <si>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</si>
  <si>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</si>
  <si>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</si>
  <si>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</si>
  <si>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</si>
  <si>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</si>
  <si>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</si>
  <si>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</si>
  <si>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</si>
  <si>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</si>
  <si>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</si>
  <si>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</si>
  <si>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</si>
  <si>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</si>
  <si>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</si>
  <si>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</si>
  <si>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</si>
  <si>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</si>
  <si>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</si>
  <si>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</si>
  <si>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</si>
  <si>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</si>
  <si>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</si>
  <si>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</si>
  <si>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</si>
  <si>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</si>
  <si>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</si>
  <si>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</si>
  <si>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</si>
  <si>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</si>
  <si>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</si>
  <si>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</si>
  <si>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</si>
  <si>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</si>
  <si>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</si>
  <si>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</si>
  <si>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</si>
  <si>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</si>
  <si>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</si>
  <si>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</si>
  <si>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</si>
  <si>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</si>
  <si>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</si>
  <si>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</si>
  <si>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</si>
  <si>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</si>
  <si>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</si>
  <si>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</si>
  <si>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</si>
  <si>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</si>
  <si>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</si>
  <si>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</si>
  <si>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</si>
  <si>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</si>
  <si>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</si>
  <si>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Table 26: Secondary Market Activity: February 2012 - February 2013</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</si>
  <si>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</si>
  <si>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</si>
  <si>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</si>
  <si>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</si>
  <si>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</si>
  <si>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</si>
  <si>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</si>
  <si>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</si>
  <si>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</si>
  <si>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</si>
  <si>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</si>
  <si>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</si>
  <si>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</si>
  <si>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</si>
  <si>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</si>
  <si>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</si>
  <si>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</si>
  <si>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</si>
  <si>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</si>
  <si>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</si>
  <si>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</si>
  <si>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</si>
  <si>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</si>
  <si>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04-08 Feb</t>
  </si>
  <si>
    <t xml:space="preserve">                     </t>
  </si>
  <si>
    <t>11-15 Feb</t>
  </si>
  <si>
    <t>18-22 Feb</t>
  </si>
  <si>
    <t>25-28 Feb</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</si>
  <si>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</si>
  <si>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</si>
  <si>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</si>
  <si>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</si>
  <si>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</si>
  <si>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February 2012 - February 2013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</si>
  <si>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</si>
  <si>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</si>
  <si>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</si>
  <si>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</si>
  <si>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</si>
  <si>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</si>
  <si>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</si>
  <si>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</si>
  <si>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</si>
  <si>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</si>
  <si>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</si>
  <si>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</si>
  <si>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01-07 February</t>
  </si>
  <si>
    <t>1.30-1.80</t>
  </si>
  <si>
    <t>08-14 February</t>
  </si>
  <si>
    <t>1.30-1.45</t>
  </si>
  <si>
    <t>15-21 February</t>
  </si>
  <si>
    <t>1.30-2.00</t>
  </si>
  <si>
    <t>22-28 February</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</si>
  <si>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</si>
  <si>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</si>
  <si>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</si>
  <si>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</si>
  <si>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</si>
  <si>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</si>
  <si>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</si>
  <si>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</si>
  <si>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</si>
  <si>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</si>
  <si>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</si>
  <si>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</si>
  <si>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</si>
  <si>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</si>
  <si>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</si>
  <si>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</si>
  <si>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</si>
  <si>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</si>
  <si>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</si>
  <si>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</si>
  <si>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</si>
  <si>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</si>
  <si>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</si>
  <si>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</si>
  <si>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</si>
  <si>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</si>
  <si>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</si>
  <si>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</si>
  <si>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</si>
  <si>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</si>
  <si>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</si>
  <si>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</si>
  <si>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</si>
  <si>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</si>
  <si>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</si>
  <si>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</si>
  <si>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</si>
  <si>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</si>
  <si>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</si>
  <si>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</si>
  <si>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</si>
  <si>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</si>
  <si>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</si>
  <si>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</si>
  <si>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</si>
  <si>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</si>
  <si>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</si>
  <si>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</si>
  <si>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</si>
  <si>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</si>
  <si>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</si>
  <si>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</si>
  <si>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</si>
  <si>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</si>
  <si>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</si>
  <si>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</si>
  <si>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</si>
  <si>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</si>
  <si>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</si>
  <si>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</si>
  <si>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</si>
  <si>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</si>
  <si>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</si>
  <si>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</si>
  <si>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</si>
  <si>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</si>
  <si>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</si>
  <si>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</si>
  <si>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</si>
  <si>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</si>
  <si>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</si>
  <si>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</si>
  <si>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</si>
  <si>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</si>
  <si>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</si>
  <si>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</si>
  <si>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</si>
  <si>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</si>
  <si>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</si>
  <si>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</si>
  <si>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</si>
  <si>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</si>
  <si>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</si>
  <si>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</si>
  <si>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</si>
  <si>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</si>
  <si>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</si>
  <si>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</si>
  <si>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</si>
  <si>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</si>
  <si>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</si>
  <si>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</si>
  <si>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</si>
  <si>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</si>
  <si>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</si>
  <si>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</si>
  <si>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</si>
  <si>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</si>
  <si>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</si>
  <si>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</si>
  <si>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</si>
  <si>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</si>
  <si>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</si>
  <si>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</si>
  <si>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</si>
  <si>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</si>
  <si>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</si>
  <si>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</si>
  <si>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</si>
  <si>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</si>
  <si>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</si>
  <si>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</si>
  <si>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</si>
  <si>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</si>
  <si>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</si>
  <si>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</si>
  <si>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</si>
  <si>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</si>
  <si>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</si>
  <si>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</si>
  <si>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</si>
  <si>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</si>
  <si>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</si>
  <si>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</si>
  <si>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</si>
  <si>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</si>
  <si>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</si>
  <si>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</si>
  <si>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</si>
  <si>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</si>
  <si>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</si>
  <si>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</si>
  <si>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Market:February 2012 - February 2013  </t>
  </si>
  <si>
    <t>Average</t>
  </si>
  <si>
    <t>Interest Rate</t>
  </si>
  <si>
    <t>1.30-1.40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</si>
  <si>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</si>
  <si>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</si>
  <si>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</si>
  <si>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</si>
  <si>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</si>
  <si>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</si>
  <si>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</si>
  <si>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</si>
  <si>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</si>
  <si>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</si>
  <si>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</si>
  <si>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</si>
  <si>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</si>
  <si>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</si>
  <si>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</si>
  <si>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</si>
  <si>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</si>
  <si>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</si>
  <si>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</si>
  <si>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</si>
  <si>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</si>
  <si>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</si>
  <si>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</si>
  <si>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</si>
  <si>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</si>
  <si>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</si>
  <si>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</si>
  <si>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</si>
  <si>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</si>
  <si>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</si>
  <si>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</si>
  <si>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</si>
  <si>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</si>
  <si>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</si>
  <si>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</si>
  <si>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</si>
  <si>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</si>
  <si>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</si>
  <si>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</si>
  <si>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</si>
  <si>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</si>
  <si>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</si>
  <si>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1.30-1.55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</si>
  <si>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</si>
  <si>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</si>
  <si>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</si>
  <si>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</si>
  <si>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</si>
  <si>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</si>
  <si>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</si>
  <si>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</si>
  <si>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</si>
  <si>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</si>
  <si>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</si>
  <si>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</si>
  <si>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</si>
  <si>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</si>
  <si>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</si>
  <si>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</si>
  <si>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</si>
  <si>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</si>
  <si>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</si>
  <si>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</si>
  <si>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</si>
  <si>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</si>
  <si>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02 June 2011 - 21 February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</si>
  <si>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</si>
  <si>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</si>
  <si>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</si>
  <si>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</si>
  <si>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</si>
  <si>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</si>
  <si>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</si>
  <si>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</si>
  <si>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</si>
  <si>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</si>
  <si>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</si>
  <si>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</si>
  <si>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</si>
  <si>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</si>
  <si>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</si>
  <si>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</si>
  <si>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</si>
  <si>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</si>
  <si>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</si>
  <si>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</si>
  <si>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</si>
  <si>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</si>
  <si>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</si>
  <si>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</si>
  <si>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</si>
  <si>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</si>
  <si>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Table 29: Cheque Clearances: December 2007 - February 2013</t>
  </si>
  <si>
    <t>Number</t>
  </si>
  <si>
    <t>Daily Average</t>
  </si>
  <si>
    <t>(Rs'000)</t>
  </si>
  <si>
    <t xml:space="preserve"> Number  of</t>
  </si>
  <si>
    <t>Cheques</t>
  </si>
  <si>
    <t>Days</t>
  </si>
  <si>
    <t xml:space="preserve"> (Rs'000)</t>
  </si>
  <si>
    <t xml:space="preserve">  </t>
  </si>
  <si>
    <t>20*</t>
  </si>
  <si>
    <t>Source: Payment Systems &amp; MCIB Division.</t>
  </si>
  <si>
    <r>
      <t>1</t>
    </r>
    <r>
      <rPr>
        <i/>
        <sz val="10"/>
        <rFont val="Times New Roman"/>
        <family val="1"/>
      </rPr>
      <t xml:space="preserve"> The key Repo Rate is used as the key policy rate of the Bank of Mauritius. </t>
    </r>
  </si>
  <si>
    <t>* The Lombard Rate has been abolished on 18 December 2006.</t>
  </si>
  <si>
    <t>4.50-10.90</t>
  </si>
  <si>
    <t>4.25-10.90</t>
  </si>
  <si>
    <t>4.65-10.90</t>
  </si>
  <si>
    <t>5.00-11.15</t>
  </si>
  <si>
    <t>5.00-11.50</t>
  </si>
  <si>
    <t>4.95-15.00</t>
  </si>
  <si>
    <t>5.00-12.00</t>
  </si>
  <si>
    <t>5.00-16.00</t>
  </si>
  <si>
    <t>5.00-16.50</t>
  </si>
  <si>
    <t>4.50-16.00</t>
  </si>
  <si>
    <t>4.50-16.50</t>
  </si>
  <si>
    <t>4.50-13.00</t>
  </si>
  <si>
    <t>6.00-13.00</t>
  </si>
  <si>
    <t>5.30-14.75</t>
  </si>
  <si>
    <t>6.00-14.75</t>
  </si>
  <si>
    <t>7.00-14.75</t>
  </si>
  <si>
    <t>8.00-14.75</t>
  </si>
  <si>
    <t>8.25-14.75</t>
  </si>
  <si>
    <t>7.90-14.75</t>
  </si>
  <si>
    <t>7.50-14.75</t>
  </si>
  <si>
    <t>7.73-14.75</t>
  </si>
  <si>
    <t>8.00-16.00</t>
  </si>
  <si>
    <t>8.00-13.00</t>
  </si>
  <si>
    <t>8.00-14.00</t>
  </si>
  <si>
    <t>8.00-15.60</t>
  </si>
  <si>
    <t>8.00-16.50</t>
  </si>
  <si>
    <t>8.75-12.50</t>
  </si>
  <si>
    <t>8.75-14.75</t>
  </si>
  <si>
    <t>8.75-14.50</t>
  </si>
  <si>
    <t>8.75-12.00</t>
  </si>
  <si>
    <t>7.75-12.00</t>
  </si>
  <si>
    <t>7.75-11.00</t>
  </si>
  <si>
    <t>7.25-11.00</t>
  </si>
  <si>
    <t>7.25-10.50</t>
  </si>
  <si>
    <t>6.95-10.50</t>
  </si>
  <si>
    <t>6.25-9.50</t>
  </si>
  <si>
    <t>6.95-9.50</t>
  </si>
  <si>
    <t>5.00-11.61</t>
  </si>
  <si>
    <t>5.25-13.00</t>
  </si>
  <si>
    <t xml:space="preserve">     Exceeding 60 Months</t>
  </si>
  <si>
    <t>3.70-16.04</t>
  </si>
  <si>
    <t>4.04-16.04</t>
  </si>
  <si>
    <t>4.04-16.55</t>
  </si>
  <si>
    <t>4.54-16.55</t>
  </si>
  <si>
    <t>4.54-16.50</t>
  </si>
  <si>
    <t>4.64-16.50</t>
  </si>
  <si>
    <t>4.60-16.50</t>
  </si>
  <si>
    <t>3.90-16.50</t>
  </si>
  <si>
    <t>3.55-16.50</t>
  </si>
  <si>
    <t>3.55-15.00</t>
  </si>
  <si>
    <t>4.65-15.00</t>
  </si>
  <si>
    <t>4.50-15.00</t>
  </si>
  <si>
    <t>5.50-15.00</t>
  </si>
  <si>
    <t>5.30-15.00</t>
  </si>
  <si>
    <t>5.05-15.00</t>
  </si>
  <si>
    <t>5.10-15.00</t>
  </si>
  <si>
    <t>5.25-15.00</t>
  </si>
  <si>
    <t>6.50-15.00</t>
  </si>
  <si>
    <t>6.05-15.00</t>
  </si>
  <si>
    <t>7.05-15.00</t>
  </si>
  <si>
    <t>7.25-15.00</t>
  </si>
  <si>
    <t>5.75-15.00</t>
  </si>
  <si>
    <t>5.00-15.00</t>
  </si>
  <si>
    <t>5.00-14.50</t>
  </si>
  <si>
    <t>5.00-14.75</t>
  </si>
  <si>
    <t>5.00-14.25</t>
  </si>
  <si>
    <t>5.00-13.25</t>
  </si>
  <si>
    <t>5.00-13.00</t>
  </si>
  <si>
    <t xml:space="preserve">     Exceeding 48 Months &amp; Up to 60 Months</t>
  </si>
  <si>
    <t>3.85-9.25</t>
  </si>
  <si>
    <t>3.50-9.25</t>
  </si>
  <si>
    <t>3.85-10.00</t>
  </si>
  <si>
    <t>4.00-11.98</t>
  </si>
  <si>
    <t>4.00-13.50</t>
  </si>
  <si>
    <t>4.15-13.50</t>
  </si>
  <si>
    <t>4.10-13.50</t>
  </si>
  <si>
    <t>4.53-13.50</t>
  </si>
  <si>
    <t>4.50-13.50</t>
  </si>
  <si>
    <t>4.80-15.00</t>
  </si>
  <si>
    <t>4.70-15.00</t>
  </si>
  <si>
    <t>4.25-15.00</t>
  </si>
  <si>
    <t>4.25-14.00</t>
  </si>
  <si>
    <t>4.25-14.50</t>
  </si>
  <si>
    <t>4.20-15.00</t>
  </si>
  <si>
    <t>4.40-15.00</t>
  </si>
  <si>
    <t>4.40-13.75</t>
  </si>
  <si>
    <t>4.40-10.80</t>
  </si>
  <si>
    <t>4.35-10.80</t>
  </si>
  <si>
    <t>4.40-11.00</t>
  </si>
  <si>
    <t>4.15-11.00</t>
  </si>
  <si>
    <t>4.75-11.00</t>
  </si>
  <si>
    <t>4.80-11.00</t>
  </si>
  <si>
    <t>4.75-11.23</t>
  </si>
  <si>
    <t>4.80-11.23</t>
  </si>
  <si>
    <t>4.85-11.23</t>
  </si>
  <si>
    <t>4.80-13.35</t>
  </si>
  <si>
    <t>4.75-13.35</t>
  </si>
  <si>
    <t>5.20-13.35</t>
  </si>
  <si>
    <t>5.95-13.35</t>
  </si>
  <si>
    <t>6.20-13.35</t>
  </si>
  <si>
    <t>6.10-13.35</t>
  </si>
  <si>
    <t>6.80-13.35</t>
  </si>
  <si>
    <t>7.25-13.35</t>
  </si>
  <si>
    <t>6.75-12.25</t>
  </si>
  <si>
    <t>5.75-12.25</t>
  </si>
  <si>
    <t>5.75-12.00</t>
  </si>
  <si>
    <t>6.40-13.35</t>
  </si>
  <si>
    <t>5.00-13.35</t>
  </si>
  <si>
    <t>5.00-13.50</t>
  </si>
  <si>
    <t>5.00-14.00</t>
  </si>
  <si>
    <t>5.00-12.75</t>
  </si>
  <si>
    <t>4.50-11.50</t>
  </si>
  <si>
    <t>4.25-11.00</t>
  </si>
  <si>
    <t xml:space="preserve">     Exceeding 36 Months &amp; Up to 48 Months</t>
  </si>
  <si>
    <t>3.40-9.10</t>
  </si>
  <si>
    <t>3.40-9.25</t>
  </si>
  <si>
    <t>4.12-9.50</t>
  </si>
  <si>
    <t>4.12-10.00</t>
  </si>
  <si>
    <t>4.12-14.75</t>
  </si>
  <si>
    <t>4.22-14.75</t>
  </si>
  <si>
    <t>4.50-14.75</t>
  </si>
  <si>
    <t>4.25-14.75</t>
  </si>
  <si>
    <t>4.00-14.75</t>
  </si>
  <si>
    <t>4.15-14.75</t>
  </si>
  <si>
    <t>4.70-12.00</t>
  </si>
  <si>
    <t>4.45-12.00</t>
  </si>
  <si>
    <t>4.65-12.00</t>
  </si>
  <si>
    <t>5.00-11.45</t>
  </si>
  <si>
    <t>5.00-12.10</t>
  </si>
  <si>
    <t>4.75-12.60</t>
  </si>
  <si>
    <t>4.75-12.50</t>
  </si>
  <si>
    <t>4.75-12.75</t>
  </si>
  <si>
    <t>4.75-14.00</t>
  </si>
  <si>
    <t>4.75-13.50</t>
  </si>
  <si>
    <t>4.75-13.10</t>
  </si>
  <si>
    <t>4.75-12.00</t>
  </si>
  <si>
    <t>4.75-11.50</t>
  </si>
  <si>
    <t>4.75-10.50</t>
  </si>
  <si>
    <t>4.75-10.00</t>
  </si>
  <si>
    <t>4.75-9.25</t>
  </si>
  <si>
    <t>4.50-11.00</t>
  </si>
  <si>
    <t xml:space="preserve">     Exceeding 24 Months &amp; Up to 36 Months</t>
  </si>
  <si>
    <t>2.90-8.75</t>
  </si>
  <si>
    <t>2.75-8.75</t>
  </si>
  <si>
    <t>3.70-8.75</t>
  </si>
  <si>
    <t>3.25-8.75</t>
  </si>
  <si>
    <t>3.50-8.75</t>
  </si>
  <si>
    <t>3.50-9.00</t>
  </si>
  <si>
    <t>3.90-9.00</t>
  </si>
  <si>
    <t>4.25-9.00</t>
  </si>
  <si>
    <t>4.75-9.00</t>
  </si>
  <si>
    <t>4.75-11.75</t>
  </si>
  <si>
    <t>4.50-11.75</t>
  </si>
  <si>
    <t>5.00-9.00</t>
  </si>
  <si>
    <t>4.00-9.00</t>
  </si>
  <si>
    <t>4.00-10.66</t>
  </si>
  <si>
    <t>4.00-11.00</t>
  </si>
  <si>
    <t>4.35-11.00</t>
  </si>
  <si>
    <t>5.00-11.00</t>
  </si>
  <si>
    <t>5.00-10.00</t>
  </si>
  <si>
    <t>5.00-10.50</t>
  </si>
  <si>
    <t>5.00-10.55</t>
  </si>
  <si>
    <t>4.75-13.00</t>
  </si>
  <si>
    <t>4.75-12.25</t>
  </si>
  <si>
    <t>4.75-14.01</t>
  </si>
  <si>
    <t>4.75-11.60</t>
  </si>
  <si>
    <t>4.75-10.30</t>
  </si>
  <si>
    <t>4.75-10.17</t>
  </si>
  <si>
    <t>4.75-9.40</t>
  </si>
  <si>
    <t>4.50-9.00</t>
  </si>
  <si>
    <t>4.50-8.75</t>
  </si>
  <si>
    <t>4.00-9.50</t>
  </si>
  <si>
    <t xml:space="preserve">     Exceeding 18 Months &amp; Up to 24 Months</t>
  </si>
  <si>
    <t>2.50-8.35</t>
  </si>
  <si>
    <t>3.50-8.35</t>
  </si>
  <si>
    <t>3.25-8.35</t>
  </si>
  <si>
    <t>3.40-8.35</t>
  </si>
  <si>
    <t>3.40-8.75</t>
  </si>
  <si>
    <t>3.80-8.75</t>
  </si>
  <si>
    <t>4.00-8.75</t>
  </si>
  <si>
    <t>4.00-14.00</t>
  </si>
  <si>
    <t>4.75-10.25</t>
  </si>
  <si>
    <t>4.00-9.25</t>
  </si>
  <si>
    <t>4.20-8.75</t>
  </si>
  <si>
    <t>4.20-12.05</t>
  </si>
  <si>
    <t>4.25-12.05</t>
  </si>
  <si>
    <t>3.75-12.05</t>
  </si>
  <si>
    <t>3.85-12.05</t>
  </si>
  <si>
    <t>3.80-12.05</t>
  </si>
  <si>
    <t>3.90-8.75</t>
  </si>
  <si>
    <t>4.75-8.75</t>
  </si>
  <si>
    <t>4.75-10.15</t>
  </si>
  <si>
    <t>4.75-10.75</t>
  </si>
  <si>
    <t>5.80-10.75</t>
  </si>
  <si>
    <t>6.25-11.00</t>
  </si>
  <si>
    <t>6.00-11.00</t>
  </si>
  <si>
    <t>5.25-11.00</t>
  </si>
  <si>
    <t>4.75-11.25</t>
  </si>
  <si>
    <t>4.75-9.50</t>
  </si>
  <si>
    <t>4.75-9.75</t>
  </si>
  <si>
    <t>4.75-9.20</t>
  </si>
  <si>
    <t>4.75-9.55</t>
  </si>
  <si>
    <t>4.75-9.10</t>
  </si>
  <si>
    <t>4.50-9.75</t>
  </si>
  <si>
    <t xml:space="preserve">     Exceeding 12 Months &amp; Up to 18 Months</t>
  </si>
  <si>
    <t>3.00-8.35</t>
  </si>
  <si>
    <t>3.60-8.35</t>
  </si>
  <si>
    <t>3.65-8.35</t>
  </si>
  <si>
    <t>3.20-8.35</t>
  </si>
  <si>
    <t>3.05-8.35</t>
  </si>
  <si>
    <t>2.75-8.35</t>
  </si>
  <si>
    <t>2.75-8.50</t>
  </si>
  <si>
    <t>2.75-8.65</t>
  </si>
  <si>
    <t>2.75-9.00</t>
  </si>
  <si>
    <t>3.75-8.35</t>
  </si>
  <si>
    <t>4.00-8.35</t>
  </si>
  <si>
    <t>3.90-8.35</t>
  </si>
  <si>
    <t>3.75-10.30</t>
  </si>
  <si>
    <t>5.50-11.25</t>
  </si>
  <si>
    <t>5.50-10.75</t>
  </si>
  <si>
    <t>4.75-10.95</t>
  </si>
  <si>
    <t>4.63-11.50</t>
  </si>
  <si>
    <t>4.63-12.00</t>
  </si>
  <si>
    <t>4.63-12.25</t>
  </si>
  <si>
    <t>4.63-12.02</t>
  </si>
  <si>
    <t>4.63-12.01</t>
  </si>
  <si>
    <t>4.63-14.00</t>
  </si>
  <si>
    <t>4.63-11.00</t>
  </si>
  <si>
    <t>4.63-10.38</t>
  </si>
  <si>
    <t>4.63-9.38</t>
  </si>
  <si>
    <t>4.63-8.88</t>
  </si>
  <si>
    <t>4.63-9.10</t>
  </si>
  <si>
    <t>4.63-10.15</t>
  </si>
  <si>
    <t>4.63-8.50</t>
  </si>
  <si>
    <t>4.50-9.38</t>
  </si>
  <si>
    <t>3.00-9.38</t>
  </si>
  <si>
    <t xml:space="preserve">     Exceeding 9 Months &amp; Up to 12 Months</t>
  </si>
  <si>
    <t>3.70-8.30</t>
  </si>
  <si>
    <t>3.75-8.30</t>
  </si>
  <si>
    <t>3.70-8.35</t>
  </si>
  <si>
    <t>4.05-8.35</t>
  </si>
  <si>
    <t>3.85-8.35</t>
  </si>
  <si>
    <t>4.10-8.35</t>
  </si>
  <si>
    <t>4.25-8.35</t>
  </si>
  <si>
    <t>4.50-8.35</t>
  </si>
  <si>
    <t>4.40-9.25</t>
  </si>
  <si>
    <t>4.75-8.35</t>
  </si>
  <si>
    <t>4.63-8.14</t>
  </si>
  <si>
    <t>4.63-9.00</t>
  </si>
  <si>
    <t>4.63-9.65</t>
  </si>
  <si>
    <t>4.63-10.85</t>
  </si>
  <si>
    <t>4.63-10.10</t>
  </si>
  <si>
    <t>4.63-11.15</t>
  </si>
  <si>
    <t>4.63-11.25</t>
  </si>
  <si>
    <t>4.63-12.95</t>
  </si>
  <si>
    <t>4.63-10.70</t>
  </si>
  <si>
    <t>4.63-10.50</t>
  </si>
  <si>
    <t>4.63-9.25</t>
  </si>
  <si>
    <t>4.63-9.85</t>
  </si>
  <si>
    <t>4.63-8.55</t>
  </si>
  <si>
    <t>4.63-8.25</t>
  </si>
  <si>
    <t>4.63-8.00</t>
  </si>
  <si>
    <t>4.63-7.87</t>
  </si>
  <si>
    <t>4.63-7.25</t>
  </si>
  <si>
    <t>4.25-6.75</t>
  </si>
  <si>
    <t xml:space="preserve">     Exceeding 6 Months &amp; Up to 9 Months</t>
  </si>
  <si>
    <t>2.00-6.45</t>
  </si>
  <si>
    <t>2.25-6.00</t>
  </si>
  <si>
    <t>2.50-6.00</t>
  </si>
  <si>
    <t>2.50-5.30</t>
  </si>
  <si>
    <t>2.50-5.60</t>
  </si>
  <si>
    <t>2.85-5.60</t>
  </si>
  <si>
    <t>2.85-6.05</t>
  </si>
  <si>
    <t>3.05-8.28</t>
  </si>
  <si>
    <t>3.40-8.28</t>
  </si>
  <si>
    <t>3.50-8.28</t>
  </si>
  <si>
    <t>3.75-8.28</t>
  </si>
  <si>
    <t>3.25-8.28</t>
  </si>
  <si>
    <t>4.00-8.78</t>
  </si>
  <si>
    <t>6.15-8.75</t>
  </si>
  <si>
    <t>6.00-10.15</t>
  </si>
  <si>
    <t>6.00-10.50</t>
  </si>
  <si>
    <t>4.63-10.80</t>
  </si>
  <si>
    <t>4.63-11.75</t>
  </si>
  <si>
    <t>4.63-11.60</t>
  </si>
  <si>
    <t>4.63-12.50</t>
  </si>
  <si>
    <t>7.50-12.75</t>
  </si>
  <si>
    <t>7.35-12.00</t>
  </si>
  <si>
    <t>7.35-11.90</t>
  </si>
  <si>
    <t>7.00-9.50</t>
  </si>
  <si>
    <t>6.50-9.30</t>
  </si>
  <si>
    <t>4.50-8.25</t>
  </si>
  <si>
    <t>4.50-8.00</t>
  </si>
  <si>
    <t>4.50-7.75</t>
  </si>
  <si>
    <t>4.50-6.75</t>
  </si>
  <si>
    <t>4.00-6.25</t>
  </si>
  <si>
    <t xml:space="preserve">     Exceeding 3 Months &amp; Up to 6 Months</t>
  </si>
  <si>
    <t>2.00-6.00</t>
  </si>
  <si>
    <t>2.35-6.00</t>
  </si>
  <si>
    <t>2.30-6.00</t>
  </si>
  <si>
    <t>2.60-6.00</t>
  </si>
  <si>
    <t>2.00-4.62</t>
  </si>
  <si>
    <t>2.10-4.95</t>
  </si>
  <si>
    <t>3.00-5.25</t>
  </si>
  <si>
    <t>3.15-5.37</t>
  </si>
  <si>
    <t>3.15-5.25</t>
  </si>
  <si>
    <t>3.15-5.20</t>
  </si>
  <si>
    <t>3.30-5.10</t>
  </si>
  <si>
    <t>3.30-5.30</t>
  </si>
  <si>
    <t>3.00-5.30</t>
  </si>
  <si>
    <t>3.00-4.50</t>
  </si>
  <si>
    <t>4.00-9.05</t>
  </si>
  <si>
    <t>4.63-7.00</t>
  </si>
  <si>
    <t>5.00-8.00</t>
  </si>
  <si>
    <t>6.00-9.50</t>
  </si>
  <si>
    <t>7.13-8.75</t>
  </si>
  <si>
    <t>7.13-8.60</t>
  </si>
  <si>
    <t>7.00-8.60</t>
  </si>
  <si>
    <t>6.50-10.00</t>
  </si>
  <si>
    <t>7.00-10.00</t>
  </si>
  <si>
    <t>7.25-10.00</t>
  </si>
  <si>
    <t>7.75-10.00</t>
  </si>
  <si>
    <t>8.00-10.65</t>
  </si>
  <si>
    <t>8.00-10.75</t>
  </si>
  <si>
    <t>8.00-10.40</t>
  </si>
  <si>
    <t>8.00-11.16</t>
  </si>
  <si>
    <t>7.50-10.75</t>
  </si>
  <si>
    <t>7.20-11.50</t>
  </si>
  <si>
    <t>7.20-12.00</t>
  </si>
  <si>
    <t>7.20-12.60</t>
  </si>
  <si>
    <t>7.25-12.60</t>
  </si>
  <si>
    <t>7.25-12.95</t>
  </si>
  <si>
    <t>7.20-11.55</t>
  </si>
  <si>
    <t>7.20-10.15</t>
  </si>
  <si>
    <t>6.45-9.50</t>
  </si>
  <si>
    <t>6.25-10.80</t>
  </si>
  <si>
    <t>6.20-8.13</t>
  </si>
  <si>
    <t>6.00-8.13</t>
  </si>
  <si>
    <t>5.50-7.63</t>
  </si>
  <si>
    <t>5.00-7.63</t>
  </si>
  <si>
    <t>4.85-6.75</t>
  </si>
  <si>
    <t>4.70-6.63</t>
  </si>
  <si>
    <t>4.50-6.63</t>
  </si>
  <si>
    <t>4.20-6.13</t>
  </si>
  <si>
    <t xml:space="preserve">     Exceeding 1 Month &amp; Up to 3 Months</t>
  </si>
  <si>
    <t>2.00-4.40</t>
  </si>
  <si>
    <t>2.00-5.15</t>
  </si>
  <si>
    <t>2.00-4.85</t>
  </si>
  <si>
    <t>2.00-5.30</t>
  </si>
  <si>
    <t>2.25-5.00</t>
  </si>
  <si>
    <t>2.40-4.85</t>
  </si>
  <si>
    <t>2.65-5.00</t>
  </si>
  <si>
    <t>2.65-4.90</t>
  </si>
  <si>
    <t>2.65-5.75</t>
  </si>
  <si>
    <t>2.65-5.05</t>
  </si>
  <si>
    <t>3.00-5.00</t>
  </si>
  <si>
    <t>3.00-6.45</t>
  </si>
  <si>
    <t>4.00-8.50</t>
  </si>
  <si>
    <t>4.50-6.25</t>
  </si>
  <si>
    <t>4.40-6.25</t>
  </si>
  <si>
    <t>5.00-8.40</t>
  </si>
  <si>
    <t>6.00-9.40</t>
  </si>
  <si>
    <t>6.25-8.00</t>
  </si>
  <si>
    <t>6.50-8.25</t>
  </si>
  <si>
    <t>7.00-8.35</t>
  </si>
  <si>
    <t>7.85-8.35</t>
  </si>
  <si>
    <t>7.35-11.35</t>
  </si>
  <si>
    <t>8.00-11.35</t>
  </si>
  <si>
    <t>7.20-11.00</t>
  </si>
  <si>
    <t>7.20-12.95</t>
  </si>
  <si>
    <t>7.20-10.90</t>
  </si>
  <si>
    <t>6.50-10.50</t>
  </si>
  <si>
    <t>6.20-9.00</t>
  </si>
  <si>
    <t>6.00-7.00</t>
  </si>
  <si>
    <t>5.70-7.35</t>
  </si>
  <si>
    <t>5.70-6.25</t>
  </si>
  <si>
    <t>5.70-6.50</t>
  </si>
  <si>
    <t>5.00-6.30</t>
  </si>
  <si>
    <t>4.50-6.77</t>
  </si>
  <si>
    <t>4.50-5.75</t>
  </si>
  <si>
    <t>4.25-5.75</t>
  </si>
  <si>
    <t xml:space="preserve">     Exceeding 7 Days &amp; Up to 1 Month</t>
  </si>
  <si>
    <t>2.00-6.15</t>
  </si>
  <si>
    <t>2.40-6.15</t>
  </si>
  <si>
    <t>2.50-6.65</t>
  </si>
  <si>
    <t>2.50-6.75</t>
  </si>
  <si>
    <t>1.75-6.50</t>
  </si>
  <si>
    <t>1.75-6.00</t>
  </si>
  <si>
    <t>2.85-5.50</t>
  </si>
  <si>
    <t>3.25-7.25</t>
  </si>
  <si>
    <t>3.50-7.25</t>
  </si>
  <si>
    <t>3.75-7.25</t>
  </si>
  <si>
    <t>5.00-8.50</t>
  </si>
  <si>
    <t>6.00-9.25</t>
  </si>
  <si>
    <t>6.75-9.75</t>
  </si>
  <si>
    <t>6.50-9.75</t>
  </si>
  <si>
    <t>5.25-9.50</t>
  </si>
  <si>
    <t>5.00-9.50</t>
  </si>
  <si>
    <t>6.75-10.25</t>
  </si>
  <si>
    <t>7.25-10.75</t>
  </si>
  <si>
    <t>7.00-10.25</t>
  </si>
  <si>
    <t>6.50-10.25</t>
  </si>
  <si>
    <t>6.75-12.00</t>
  </si>
  <si>
    <t>6.50-11.00</t>
  </si>
  <si>
    <t>6.25-10.25</t>
  </si>
  <si>
    <t>5.25-9.25</t>
  </si>
  <si>
    <t>5.00-8.75</t>
  </si>
  <si>
    <t>4.00-7.75</t>
  </si>
  <si>
    <t>3.00-7.00</t>
  </si>
  <si>
    <t xml:space="preserve">     7 Days' Notice</t>
  </si>
  <si>
    <t>2.00-3.90</t>
  </si>
  <si>
    <t>2.00-3.65</t>
  </si>
  <si>
    <t>0.95-3.90</t>
  </si>
  <si>
    <t>0.95-3.65</t>
  </si>
  <si>
    <t>1.40-3.70</t>
  </si>
  <si>
    <t>1.40-3.65</t>
  </si>
  <si>
    <t>1.90-3.65</t>
  </si>
  <si>
    <t>2.40-4.15</t>
  </si>
  <si>
    <t>2.40-4.25</t>
  </si>
  <si>
    <t>2.50-4.25</t>
  </si>
  <si>
    <t>2.50-3.50</t>
  </si>
  <si>
    <t>2.50-4.50</t>
  </si>
  <si>
    <t>2.00-4.50</t>
  </si>
  <si>
    <t>5.00-7.00</t>
  </si>
  <si>
    <t>5.25-7.00</t>
  </si>
  <si>
    <t>5.25-6.75</t>
  </si>
  <si>
    <t>6.50-7.25</t>
  </si>
  <si>
    <t>7.00-8.00</t>
  </si>
  <si>
    <t>7.00-7.50</t>
  </si>
  <si>
    <t>6.00-6.50</t>
  </si>
  <si>
    <t>5.50-6.50</t>
  </si>
  <si>
    <t>5.50-6.00</t>
  </si>
  <si>
    <t>3.00-6.00</t>
  </si>
  <si>
    <t>5.50-7.10</t>
  </si>
  <si>
    <t>4.50-5.00</t>
  </si>
  <si>
    <t>4.25-5.50</t>
  </si>
  <si>
    <t>4.25-5.00</t>
  </si>
  <si>
    <t xml:space="preserve">     Call</t>
  </si>
  <si>
    <t>2. Time</t>
  </si>
  <si>
    <t>3.00-3.65</t>
  </si>
  <si>
    <t>3.00-4.15</t>
  </si>
  <si>
    <t>3.50-4.25</t>
  </si>
  <si>
    <t>3.40-4.75</t>
  </si>
  <si>
    <t>4.00-5.75</t>
  </si>
  <si>
    <t>6.00-6.75</t>
  </si>
  <si>
    <t>7.00-7.75</t>
  </si>
  <si>
    <t>7.75-8.25</t>
  </si>
  <si>
    <t>8.00-8.60</t>
  </si>
  <si>
    <t>7.20-7.60</t>
  </si>
  <si>
    <t>6.20-6.80</t>
  </si>
  <si>
    <t>5.70-6.27</t>
  </si>
  <si>
    <t>4.50-4.625</t>
  </si>
  <si>
    <t>1. Savings</t>
  </si>
  <si>
    <t>II. DEPOSITS</t>
  </si>
  <si>
    <t>6.65-19.25</t>
  </si>
  <si>
    <t>6.90-19.25</t>
  </si>
  <si>
    <t>7.00-19.25</t>
  </si>
  <si>
    <t>7.10-19.25</t>
  </si>
  <si>
    <t>7.15-19.25</t>
  </si>
  <si>
    <t>7.50-19.25</t>
  </si>
  <si>
    <t>7.75-19.25</t>
  </si>
  <si>
    <t>7.75-19.75</t>
  </si>
  <si>
    <t>7.25-16.50</t>
  </si>
  <si>
    <t>7.65-17.50</t>
  </si>
  <si>
    <t>7.65-17.00</t>
  </si>
  <si>
    <t>7.65-17.15</t>
  </si>
  <si>
    <t>8.65-18.15</t>
  </si>
  <si>
    <t>8.65-18.50</t>
  </si>
  <si>
    <t>8.65-19.75</t>
  </si>
  <si>
    <t>9.00-22.26</t>
  </si>
  <si>
    <t>9.00-22.11</t>
  </si>
  <si>
    <t>8.75-21.50</t>
  </si>
  <si>
    <t>8.75-21.00</t>
  </si>
  <si>
    <t>9.50-22.18</t>
  </si>
  <si>
    <t>10.00-22.40</t>
  </si>
  <si>
    <t>10.00-22.51</t>
  </si>
  <si>
    <t>10.25-22.74</t>
  </si>
  <si>
    <t>10.25-22.64</t>
  </si>
  <si>
    <t>10.25-22.73</t>
  </si>
  <si>
    <t>10.25-22.50</t>
  </si>
  <si>
    <t>10.25-22.25</t>
  </si>
  <si>
    <t>10.00-21.00</t>
  </si>
  <si>
    <t>10.00-24.25</t>
  </si>
  <si>
    <t>10.00-24.00</t>
  </si>
  <si>
    <t>10.00-22.50</t>
  </si>
  <si>
    <t>9.38-23.00</t>
  </si>
  <si>
    <t>9.50-23.00</t>
  </si>
  <si>
    <t>9.25-22.50</t>
  </si>
  <si>
    <t>8.25-21.50</t>
  </si>
  <si>
    <t>8.00-21.50</t>
  </si>
  <si>
    <t>7.75-21.25</t>
  </si>
  <si>
    <t xml:space="preserve">        21. Other Customers</t>
  </si>
  <si>
    <t>7.15-14.40</t>
  </si>
  <si>
    <t>7.40-14.90</t>
  </si>
  <si>
    <t>7.40-18.67</t>
  </si>
  <si>
    <t>7.40-16.66</t>
  </si>
  <si>
    <t>7.40-18.95</t>
  </si>
  <si>
    <t>7.40-16.65</t>
  </si>
  <si>
    <t>7.40-14.40</t>
  </si>
  <si>
    <t>7.40-15.00</t>
  </si>
  <si>
    <t>7.90-15.00</t>
  </si>
  <si>
    <t>7.90-19.24</t>
  </si>
  <si>
    <t>8.00-19.24</t>
  </si>
  <si>
    <t>8.00-19.23</t>
  </si>
  <si>
    <t>8.00-19.25</t>
  </si>
  <si>
    <t>7.25-19.75</t>
  </si>
  <si>
    <t>7.25-17.50</t>
  </si>
  <si>
    <t>8.13-19.75</t>
  </si>
  <si>
    <t>8.12-19.75</t>
  </si>
  <si>
    <t>9.13-19.75</t>
  </si>
  <si>
    <t>10.13-19.75</t>
  </si>
  <si>
    <t>10.00-19.75</t>
  </si>
  <si>
    <t>9.75-19.80</t>
  </si>
  <si>
    <t>9.75-19.75</t>
  </si>
  <si>
    <t>10.50-19.75</t>
  </si>
  <si>
    <t>9.50-19.75</t>
  </si>
  <si>
    <t>10.50-21.00</t>
  </si>
  <si>
    <t>11.25-22.52</t>
  </si>
  <si>
    <t>11.25-19.75</t>
  </si>
  <si>
    <t>11.25-20.50</t>
  </si>
  <si>
    <t>11.25-22.50</t>
  </si>
  <si>
    <t>11.25-20.52</t>
  </si>
  <si>
    <t>11.25-22.04</t>
  </si>
  <si>
    <t>10.50-19.77</t>
  </si>
  <si>
    <t>7.00-19.75</t>
  </si>
  <si>
    <t>7.00-21.00</t>
  </si>
  <si>
    <t>7.00-21.50</t>
  </si>
  <si>
    <t xml:space="preserve">        20. Media, Entertainment and Recreational Activities</t>
  </si>
  <si>
    <t>7.02-14.90</t>
  </si>
  <si>
    <t>7.50-14.90</t>
  </si>
  <si>
    <t>7.00-14.90</t>
  </si>
  <si>
    <t>7.00-14.50</t>
  </si>
  <si>
    <t>7.00-15.75</t>
  </si>
  <si>
    <t>7.62-15.00</t>
  </si>
  <si>
    <t>7.62-18.00</t>
  </si>
  <si>
    <t>6.75-18.00</t>
  </si>
  <si>
    <t>6.50-18.00</t>
  </si>
  <si>
    <t>7.25-18.00</t>
  </si>
  <si>
    <t>8.13-18.00</t>
  </si>
  <si>
    <t>8.05-18.00</t>
  </si>
  <si>
    <t>9.00-18.00</t>
  </si>
  <si>
    <t>9.00-20.50</t>
  </si>
  <si>
    <t>9.00-21.00</t>
  </si>
  <si>
    <t>8.67-21.00</t>
  </si>
  <si>
    <t>8.67-18.00</t>
  </si>
  <si>
    <t>8.67-21.67</t>
  </si>
  <si>
    <t>7.97-18.00</t>
  </si>
  <si>
    <t>7.97-21.00</t>
  </si>
  <si>
    <t>7.63-19.75</t>
  </si>
  <si>
    <t>9.50-18.00</t>
  </si>
  <si>
    <t>9.50-21.00</t>
  </si>
  <si>
    <t>9.50-22.20</t>
  </si>
  <si>
    <t>8.50-21.00</t>
  </si>
  <si>
    <t>8.50-18.00</t>
  </si>
  <si>
    <t>8.00-18.00</t>
  </si>
  <si>
    <t xml:space="preserve">        19. Education</t>
  </si>
  <si>
    <t>7.65-18.25</t>
  </si>
  <si>
    <t>7.60-18.25</t>
  </si>
  <si>
    <t>7.40-18.25</t>
  </si>
  <si>
    <t>7.40-19.25</t>
  </si>
  <si>
    <t>8.15-17.01</t>
  </si>
  <si>
    <t>8.15-17.03</t>
  </si>
  <si>
    <t>9.63-12.35</t>
  </si>
  <si>
    <t>8.15-12.11</t>
  </si>
  <si>
    <t>8.85-11.89</t>
  </si>
  <si>
    <t>8.35-11.62</t>
  </si>
  <si>
    <t>8.35-11.60</t>
  </si>
  <si>
    <t>8.35-11.73</t>
  </si>
  <si>
    <t>9.35-12.61</t>
  </si>
  <si>
    <t>9.35-12.60</t>
  </si>
  <si>
    <t>8.65-14.75</t>
  </si>
  <si>
    <t>8.65-12.60</t>
  </si>
  <si>
    <t>8.65-12.84</t>
  </si>
  <si>
    <t>8.65-13.03</t>
  </si>
  <si>
    <t>9.50-15.25</t>
  </si>
  <si>
    <t>8.50-15.25</t>
  </si>
  <si>
    <t xml:space="preserve">        18. Human Resource Development Certificate Holders</t>
  </si>
  <si>
    <t>7.15-15.63</t>
  </si>
  <si>
    <t>6.45-15.63</t>
  </si>
  <si>
    <t>7.40-16.00</t>
  </si>
  <si>
    <t>7.40-15.63</t>
  </si>
  <si>
    <t>7.40-17.25</t>
  </si>
  <si>
    <t>7.75-16.90</t>
  </si>
  <si>
    <t>7.75-16.00</t>
  </si>
  <si>
    <t>4.90-15.50</t>
  </si>
  <si>
    <t>4.90-16.00</t>
  </si>
  <si>
    <t>4.90-12.75</t>
  </si>
  <si>
    <t>4.90-12.00</t>
  </si>
  <si>
    <t>4.40-11.50</t>
  </si>
  <si>
    <t>4.40-12.00</t>
  </si>
  <si>
    <t>4.40-13.00</t>
  </si>
  <si>
    <t>5.40-13.75</t>
  </si>
  <si>
    <t>5.40-14.00</t>
  </si>
  <si>
    <t>5.40-13.50</t>
  </si>
  <si>
    <t>6.40-14.50</t>
  </si>
  <si>
    <t>6.40-15.25</t>
  </si>
  <si>
    <t>6.40-16.25</t>
  </si>
  <si>
    <t>6.75-19.00</t>
  </si>
  <si>
    <t>6.50-19.00</t>
  </si>
  <si>
    <t>6.50-18.50</t>
  </si>
  <si>
    <t>6.50-19.75</t>
  </si>
  <si>
    <t>7.25-21.00</t>
  </si>
  <si>
    <t>7.75-21.00</t>
  </si>
  <si>
    <t>7.75-21.50</t>
  </si>
  <si>
    <t>8.00-21.00</t>
  </si>
  <si>
    <t>8.00-21.75</t>
  </si>
  <si>
    <t xml:space="preserve">        17. Professional</t>
  </si>
  <si>
    <t>3.00-16.75</t>
  </si>
  <si>
    <t>3.00-15.50</t>
  </si>
  <si>
    <t>3.00-15.25</t>
  </si>
  <si>
    <t>4.00-15.25</t>
  </si>
  <si>
    <t>4.00-14.50</t>
  </si>
  <si>
    <t>4.00-12.50</t>
  </si>
  <si>
    <t>3.00-12.25</t>
  </si>
  <si>
    <t>3.00-11.90</t>
  </si>
  <si>
    <t>3.00-12.50</t>
  </si>
  <si>
    <t>3.00-14.50</t>
  </si>
  <si>
    <t>3.00-14.75</t>
  </si>
  <si>
    <t>3.00-14.25</t>
  </si>
  <si>
    <t>3.00-14.05</t>
  </si>
  <si>
    <t>3.00-14.00</t>
  </si>
  <si>
    <t>4.00-15.00</t>
  </si>
  <si>
    <t>5.00-15.25</t>
  </si>
  <si>
    <t>6.00-16.25</t>
  </si>
  <si>
    <t>6.75-17.25</t>
  </si>
  <si>
    <t>6.75-17.50</t>
  </si>
  <si>
    <t>6.50-16.75</t>
  </si>
  <si>
    <t>6.50-16.50</t>
  </si>
  <si>
    <t>7.25-19.25</t>
  </si>
  <si>
    <t xml:space="preserve">        16. Personal</t>
  </si>
  <si>
    <t>7.40-11.40</t>
  </si>
  <si>
    <t>8.90-11.90</t>
  </si>
  <si>
    <t>8.90-13.25</t>
  </si>
  <si>
    <t>8.90-11.40</t>
  </si>
  <si>
    <t>8.90-12.00</t>
  </si>
  <si>
    <t>9.40-12.00</t>
  </si>
  <si>
    <t>9.50-12.00</t>
  </si>
  <si>
    <t>9.25-11.75</t>
  </si>
  <si>
    <t>9.75-10.05</t>
  </si>
  <si>
    <t>10.65-11.50</t>
  </si>
  <si>
    <t>10.45-12.50</t>
  </si>
  <si>
    <t>12.25-18.50</t>
  </si>
  <si>
    <t>12.00-18.25</t>
  </si>
  <si>
    <t>10.75-12.13</t>
  </si>
  <si>
    <t>13.38-18.75</t>
  </si>
  <si>
    <t>13.38-18.50</t>
  </si>
  <si>
    <t>13.38-18.25</t>
  </si>
  <si>
    <t>12.50-18.00</t>
  </si>
  <si>
    <t xml:space="preserve">        15. Modernisation and Expansion Entreprise Cert. Holders</t>
  </si>
  <si>
    <t>7.65-12.75</t>
  </si>
  <si>
    <t>7.65-14.00</t>
  </si>
  <si>
    <t>10.15-14.00</t>
  </si>
  <si>
    <t>7.65-13.40</t>
  </si>
  <si>
    <t>8.15-13.40</t>
  </si>
  <si>
    <t>8.15-12.40</t>
  </si>
  <si>
    <t>8.15-14.00</t>
  </si>
  <si>
    <t>8.15-15.00</t>
  </si>
  <si>
    <t>10.15-12.40</t>
  </si>
  <si>
    <t>10.15-11.15</t>
  </si>
  <si>
    <t>9.65-11.15</t>
  </si>
  <si>
    <t>8.35-11.15</t>
  </si>
  <si>
    <t>8.35-9.65</t>
  </si>
  <si>
    <t>9.25-10.65</t>
  </si>
  <si>
    <t>9.08-10.65</t>
  </si>
  <si>
    <t>9.08-12.25</t>
  </si>
  <si>
    <t>9.25-17.75</t>
  </si>
  <si>
    <t>11.25-21.00</t>
  </si>
  <si>
    <t>8.65-12.25</t>
  </si>
  <si>
    <t>8.65-12.00</t>
  </si>
  <si>
    <t>9.65-13.00</t>
  </si>
  <si>
    <t>10.65-13.00</t>
  </si>
  <si>
    <t>11.00-13.00</t>
  </si>
  <si>
    <t>12.50-14.00</t>
  </si>
  <si>
    <t>12.38-14.50</t>
  </si>
  <si>
    <t>11.75-14.25</t>
  </si>
  <si>
    <t>11.50-14.00</t>
  </si>
  <si>
    <t>8.75-14.00</t>
  </si>
  <si>
    <t>9.50-15.00</t>
  </si>
  <si>
    <t>12.38-22.40</t>
  </si>
  <si>
    <t>12.50-22.46</t>
  </si>
  <si>
    <t>12.25-22.50</t>
  </si>
  <si>
    <t>12.25-21.00</t>
  </si>
  <si>
    <t>12.88-22.50</t>
  </si>
  <si>
    <t>12.50-21.00</t>
  </si>
  <si>
    <t>12.00-21.00</t>
  </si>
  <si>
    <t>12.63-21.00</t>
  </si>
  <si>
    <t>9.75-21.00</t>
  </si>
  <si>
    <t>9.75-22.00</t>
  </si>
  <si>
    <t>10.00-16.00</t>
  </si>
  <si>
    <t>8.50-14.45</t>
  </si>
  <si>
    <t xml:space="preserve">        14. Health Development Certificate Holders</t>
  </si>
  <si>
    <t>7.40-11.00</t>
  </si>
  <si>
    <t>8.40-11.77</t>
  </si>
  <si>
    <t>7.40-11.15</t>
  </si>
  <si>
    <t>7.40-12.15</t>
  </si>
  <si>
    <t>7.40-16.74</t>
  </si>
  <si>
    <t>7.40-13.00</t>
  </si>
  <si>
    <t>7.90-13.00</t>
  </si>
  <si>
    <t>8.00-14.80</t>
  </si>
  <si>
    <t>8.00-14.74</t>
  </si>
  <si>
    <t>8.00-14.50</t>
  </si>
  <si>
    <t>8.00-11.75</t>
  </si>
  <si>
    <t>5.90-13.25</t>
  </si>
  <si>
    <t>5.40-13.25</t>
  </si>
  <si>
    <t>6.40-13.25</t>
  </si>
  <si>
    <t>6.40-13.00</t>
  </si>
  <si>
    <t>7.40-14.00</t>
  </si>
  <si>
    <t>7.75-15.75</t>
  </si>
  <si>
    <t>7.50-15.50</t>
  </si>
  <si>
    <t>7.50-21.00</t>
  </si>
  <si>
    <t>8.25-15.75</t>
  </si>
  <si>
    <t>8.75-20.40</t>
  </si>
  <si>
    <t>8.75-20.44</t>
  </si>
  <si>
    <t>9.00-19.00</t>
  </si>
  <si>
    <t>9.00-20.51</t>
  </si>
  <si>
    <t>9.00-20.53</t>
  </si>
  <si>
    <t>9.00-20.44</t>
  </si>
  <si>
    <t>9.00-19.75</t>
  </si>
  <si>
    <t>9.00-15.50</t>
  </si>
  <si>
    <t>9.00-16.50</t>
  </si>
  <si>
    <t>9.00-15.25</t>
  </si>
  <si>
    <t>9.00-14.25</t>
  </si>
  <si>
    <t>9.00-16.00</t>
  </si>
  <si>
    <t>9.00-13.75</t>
  </si>
  <si>
    <t>8.00-12.75</t>
  </si>
  <si>
    <t>7.50-19.75</t>
  </si>
  <si>
    <t xml:space="preserve">        13. Freeport Enterprise Certificate Holders</t>
  </si>
  <si>
    <t>6.59-11.15</t>
  </si>
  <si>
    <t>6.80-11.15</t>
  </si>
  <si>
    <t>6.80-12.25</t>
  </si>
  <si>
    <t>7.15-12.25</t>
  </si>
  <si>
    <t>6.55-12.25</t>
  </si>
  <si>
    <t>6.55-11.15</t>
  </si>
  <si>
    <t>7.05-14.90</t>
  </si>
  <si>
    <t>7.90-11.65</t>
  </si>
  <si>
    <t>8.15-11.75</t>
  </si>
  <si>
    <t>6.61-11.75</t>
  </si>
  <si>
    <t>8.00-11.50</t>
  </si>
  <si>
    <t>7.50-11.00</t>
  </si>
  <si>
    <t>8.00-11.88</t>
  </si>
  <si>
    <t>8.38-11.88</t>
  </si>
  <si>
    <t>8.00-19.90</t>
  </si>
  <si>
    <t>8.75-19.75</t>
  </si>
  <si>
    <t>8.40-19.75</t>
  </si>
  <si>
    <t>9.00-20.20</t>
  </si>
  <si>
    <t>10.25-21.00</t>
  </si>
  <si>
    <t>8.98-21.00</t>
  </si>
  <si>
    <t>11.00-21.00</t>
  </si>
  <si>
    <t>10.80-21.00</t>
  </si>
  <si>
    <t>10.75-21.00</t>
  </si>
  <si>
    <t>8.25-21.00</t>
  </si>
  <si>
    <t>8.25-18.25</t>
  </si>
  <si>
    <t>8.25-13.25</t>
  </si>
  <si>
    <t>7.50-14.25</t>
  </si>
  <si>
    <t>7.50-18.25</t>
  </si>
  <si>
    <t xml:space="preserve">        12. Public Nonfinancial Corporations</t>
  </si>
  <si>
    <t>9.40-11.15</t>
  </si>
  <si>
    <t>9.90-11.15</t>
  </si>
  <si>
    <t>10.00-11.75</t>
  </si>
  <si>
    <t>9.75-11.75</t>
  </si>
  <si>
    <t>8.13-11.88</t>
  </si>
  <si>
    <t>11.88-15.50</t>
  </si>
  <si>
    <t>11.88-12.88</t>
  </si>
  <si>
    <t>11.88-12.13</t>
  </si>
  <si>
    <t>9.13-12.88</t>
  </si>
  <si>
    <t>10.13-13.88</t>
  </si>
  <si>
    <t>14.50-18.00</t>
  </si>
  <si>
    <t>10.75-18.00</t>
  </si>
  <si>
    <t>10.25-14.00</t>
  </si>
  <si>
    <t>11.00-14.75</t>
  </si>
  <si>
    <t>9.25-19.50</t>
  </si>
  <si>
    <t>9.25-19.75</t>
  </si>
  <si>
    <t>9.25-21.00</t>
  </si>
  <si>
    <t>11.00-19.75</t>
  </si>
  <si>
    <t>11.00-20.50</t>
  </si>
  <si>
    <t>10.00-20.25</t>
  </si>
  <si>
    <t>7.20-10.55</t>
  </si>
  <si>
    <t xml:space="preserve">        11. State and Local Government</t>
  </si>
  <si>
    <t>7.40-12.40</t>
  </si>
  <si>
    <t>7.90-14.90</t>
  </si>
  <si>
    <t>7.90-12.90</t>
  </si>
  <si>
    <t>7.75-11.50</t>
  </si>
  <si>
    <t>7.25-16.75</t>
  </si>
  <si>
    <t>7.25-10.25</t>
  </si>
  <si>
    <t>8.13-10.13</t>
  </si>
  <si>
    <t>8.13-15.50</t>
  </si>
  <si>
    <t>8.13-16.50</t>
  </si>
  <si>
    <t>9.13-16.50</t>
  </si>
  <si>
    <t>10.13-16.75</t>
  </si>
  <si>
    <t>10.75-20.28</t>
  </si>
  <si>
    <t>10.50-15.25</t>
  </si>
  <si>
    <t>10.25-15.25</t>
  </si>
  <si>
    <t>11.50-21.00</t>
  </si>
  <si>
    <t>11.75-21.00</t>
  </si>
  <si>
    <t>11.75-21.75</t>
  </si>
  <si>
    <t>11.75-15.50</t>
  </si>
  <si>
    <t>11.75-17.00</t>
  </si>
  <si>
    <t>11.00-16.75</t>
  </si>
  <si>
    <t>14.75-21.00</t>
  </si>
  <si>
    <t>13.75-21.00</t>
  </si>
  <si>
    <t>13.25-21.00</t>
  </si>
  <si>
    <t>9.50-12.25</t>
  </si>
  <si>
    <t xml:space="preserve">        10. Global Business Licence Holders</t>
  </si>
  <si>
    <t>7.40-18.62</t>
  </si>
  <si>
    <t>5.50-19.25</t>
  </si>
  <si>
    <t>5.65-19.25</t>
  </si>
  <si>
    <t>6.00-19.25</t>
  </si>
  <si>
    <t>6.25-19.25</t>
  </si>
  <si>
    <t>8.00-17.50</t>
  </si>
  <si>
    <t>7.75-17.50</t>
  </si>
  <si>
    <t>7.50-17.50</t>
  </si>
  <si>
    <t>8.13-17.50</t>
  </si>
  <si>
    <t>9.13-17.50</t>
  </si>
  <si>
    <t>10.13-18.00</t>
  </si>
  <si>
    <t>10.75-18.50</t>
  </si>
  <si>
    <t>10.58-18.50</t>
  </si>
  <si>
    <t>10.50-18.25</t>
  </si>
  <si>
    <t>10.25-18.00</t>
  </si>
  <si>
    <t>10.00-19.00</t>
  </si>
  <si>
    <t>10.00-19.50</t>
  </si>
  <si>
    <t>8.88-19.92</t>
  </si>
  <si>
    <t>8.88-19.75</t>
  </si>
  <si>
    <t>8.88-19.79</t>
  </si>
  <si>
    <t>8.88-21.00</t>
  </si>
  <si>
    <t>7.50-17.20</t>
  </si>
  <si>
    <t>7.75-17.20</t>
  </si>
  <si>
    <t>8.25-17.20</t>
  </si>
  <si>
    <t xml:space="preserve">          9. Infrastructure</t>
  </si>
  <si>
    <t>5.10-18.96</t>
  </si>
  <si>
    <t>5.00-18.93</t>
  </si>
  <si>
    <t>5.00-18.65</t>
  </si>
  <si>
    <t>5.00-18.63</t>
  </si>
  <si>
    <t>5.00-18.95</t>
  </si>
  <si>
    <t>5.00-18.64</t>
  </si>
  <si>
    <t>5.15-18.95</t>
  </si>
  <si>
    <t>5.00-19.13</t>
  </si>
  <si>
    <t>5.00-19.16</t>
  </si>
  <si>
    <t>5.00-19.22</t>
  </si>
  <si>
    <t>5.00-19.23</t>
  </si>
  <si>
    <t>5.00-19.24</t>
  </si>
  <si>
    <t>4.25-19.75</t>
  </si>
  <si>
    <t>7.90-19.75</t>
  </si>
  <si>
    <t>8.00-19.75</t>
  </si>
  <si>
    <t>4.63-19.75</t>
  </si>
  <si>
    <t>5.63-19.75</t>
  </si>
  <si>
    <t>6.63-20.40</t>
  </si>
  <si>
    <t>7.25-22.25</t>
  </si>
  <si>
    <t>7.25-22.14</t>
  </si>
  <si>
    <t>7.00-21.81</t>
  </si>
  <si>
    <t>6.75-21.80</t>
  </si>
  <si>
    <t>6.75-21.76</t>
  </si>
  <si>
    <t>7.50-22.17</t>
  </si>
  <si>
    <t>7.50-22.40</t>
  </si>
  <si>
    <t>8.00-22.43</t>
  </si>
  <si>
    <t>8.25-22.49</t>
  </si>
  <si>
    <t>8.25-21.75</t>
  </si>
  <si>
    <t>8.25-22.50</t>
  </si>
  <si>
    <t>7.00-21.75</t>
  </si>
  <si>
    <t>7.00-21.90</t>
  </si>
  <si>
    <t>7.00-21.95</t>
  </si>
  <si>
    <t>7.00-21.76</t>
  </si>
  <si>
    <t>7.00-22.00</t>
  </si>
  <si>
    <t xml:space="preserve">          8. Financial and Business Services</t>
  </si>
  <si>
    <t>7.40-18.91</t>
  </si>
  <si>
    <t>7.40-18.93</t>
  </si>
  <si>
    <t>7.40-18.64</t>
  </si>
  <si>
    <t>7.40-18.65</t>
  </si>
  <si>
    <t>6.90-18.69</t>
  </si>
  <si>
    <t>7.40-18.68</t>
  </si>
  <si>
    <t>7.40-19.15</t>
  </si>
  <si>
    <t>7.90-19.15</t>
  </si>
  <si>
    <t>7.90-19.22</t>
  </si>
  <si>
    <t>8.00-19.26</t>
  </si>
  <si>
    <t>8.13-21.00</t>
  </si>
  <si>
    <t>9.05-21.00</t>
  </si>
  <si>
    <t>9.13-21.00</t>
  </si>
  <si>
    <t>10.13-21.95</t>
  </si>
  <si>
    <t>10.75-22.25</t>
  </si>
  <si>
    <t>10.50-21.81</t>
  </si>
  <si>
    <t>10.25-21.80</t>
  </si>
  <si>
    <t>10.25-21.75</t>
  </si>
  <si>
    <t>10.65-22.19</t>
  </si>
  <si>
    <t>10.65-22.45</t>
  </si>
  <si>
    <t>10.75-22.52</t>
  </si>
  <si>
    <t>10.75-22.57</t>
  </si>
  <si>
    <t>10.75-22.50</t>
  </si>
  <si>
    <t>10.75-22.40</t>
  </si>
  <si>
    <t>10.75-22.48</t>
  </si>
  <si>
    <t>10.75-21.88</t>
  </si>
  <si>
    <t>10.75-23.70</t>
  </si>
  <si>
    <t>9.38-21.75</t>
  </si>
  <si>
    <t>10.50-21.75</t>
  </si>
  <si>
    <t>10.50-21.15</t>
  </si>
  <si>
    <t>9.38-21.00</t>
  </si>
  <si>
    <t xml:space="preserve">          7. Information communication and Technology</t>
  </si>
  <si>
    <t>5.25-17.50</t>
  </si>
  <si>
    <t>5.40-17.50</t>
  </si>
  <si>
    <t>6.00-17.65</t>
  </si>
  <si>
    <t>7.40-17.65</t>
  </si>
  <si>
    <t>7.40-17.50</t>
  </si>
  <si>
    <t>7.90-17.50</t>
  </si>
  <si>
    <t>8.00-17.00</t>
  </si>
  <si>
    <t>7.25-17.00</t>
  </si>
  <si>
    <t>8.13-17.70</t>
  </si>
  <si>
    <t>7.05-18.00</t>
  </si>
  <si>
    <t>7.50-18.00</t>
  </si>
  <si>
    <t>7.55-18.00</t>
  </si>
  <si>
    <t>7.55-18.50</t>
  </si>
  <si>
    <t>8.50-19.75</t>
  </si>
  <si>
    <t>8.55-19.75</t>
  </si>
  <si>
    <t>8.75-22.00</t>
  </si>
  <si>
    <t>8.75-21.95</t>
  </si>
  <si>
    <t>8.75-21.78</t>
  </si>
  <si>
    <t>8.75-22.14</t>
  </si>
  <si>
    <t>8.75-22.50</t>
  </si>
  <si>
    <t>8.75-22.75</t>
  </si>
  <si>
    <t>8.75-22.73</t>
  </si>
  <si>
    <t>8.75-22.54</t>
  </si>
  <si>
    <t>8.50-23.00</t>
  </si>
  <si>
    <t>8.50-23.09</t>
  </si>
  <si>
    <t>8.00-22.00</t>
  </si>
  <si>
    <t>8.05-23.00</t>
  </si>
  <si>
    <t>8.00-24.00</t>
  </si>
  <si>
    <t>7.75-24.00</t>
  </si>
  <si>
    <t>7.50-23.00</t>
  </si>
  <si>
    <t>7.50-22.50</t>
  </si>
  <si>
    <t>7.50-22.20</t>
  </si>
  <si>
    <t>7.50-21.50</t>
  </si>
  <si>
    <t xml:space="preserve">          6. Traders</t>
  </si>
  <si>
    <t>2.00-12.50</t>
  </si>
  <si>
    <t>2.00-13.40</t>
  </si>
  <si>
    <t>2.00-13.50</t>
  </si>
  <si>
    <t>2.00-18.50</t>
  </si>
  <si>
    <t>3.00-18.50</t>
  </si>
  <si>
    <t>2.00-18.00</t>
  </si>
  <si>
    <t>3.00-17.25</t>
  </si>
  <si>
    <t>4.00-18.00</t>
  </si>
  <si>
    <t>5.00-18.00</t>
  </si>
  <si>
    <t>6.00-19.00</t>
  </si>
  <si>
    <t>7.00-19.50</t>
  </si>
  <si>
    <t>7.00-20.00</t>
  </si>
  <si>
    <t>7.75-20.00</t>
  </si>
  <si>
    <t>8.00-20.25</t>
  </si>
  <si>
    <t>8.00-20.75</t>
  </si>
  <si>
    <t>8.00-18.50</t>
  </si>
  <si>
    <t>8.00-19.50</t>
  </si>
  <si>
    <t xml:space="preserve">              - Housing</t>
  </si>
  <si>
    <t xml:space="preserve">            of which</t>
  </si>
  <si>
    <t>3.00-19.25</t>
  </si>
  <si>
    <t>2.00-19.25</t>
  </si>
  <si>
    <t>3.00-19.57</t>
  </si>
  <si>
    <t>2.00-19.55</t>
  </si>
  <si>
    <t>2.00-19.75</t>
  </si>
  <si>
    <t>3.00-19.75</t>
  </si>
  <si>
    <t>3.00-19.50</t>
  </si>
  <si>
    <t>4.00-21.00</t>
  </si>
  <si>
    <t>5.00-21.87</t>
  </si>
  <si>
    <t>6.00-22.25</t>
  </si>
  <si>
    <t>5.00-22.00</t>
  </si>
  <si>
    <t>5.00-21.00</t>
  </si>
  <si>
    <t>5.00-21.76</t>
  </si>
  <si>
    <t>5.00-21.75</t>
  </si>
  <si>
    <t>6.00-22.15</t>
  </si>
  <si>
    <t>6.00-22.00</t>
  </si>
  <si>
    <t>6.25-22.51</t>
  </si>
  <si>
    <t>6.25-22.87</t>
  </si>
  <si>
    <t>6.25-22.75</t>
  </si>
  <si>
    <t>6.25-22.57</t>
  </si>
  <si>
    <t>6.25-22.66</t>
  </si>
  <si>
    <t>6.25-22.00</t>
  </si>
  <si>
    <t>6.25-22.22</t>
  </si>
  <si>
    <t>6.25-23.70</t>
  </si>
  <si>
    <t>6.25-21.25</t>
  </si>
  <si>
    <t>6.25-21.00</t>
  </si>
  <si>
    <t>6.20-21.25</t>
  </si>
  <si>
    <t>6.20-21.00</t>
  </si>
  <si>
    <t xml:space="preserve">          5. Construction</t>
  </si>
  <si>
    <t>7.40-18.90</t>
  </si>
  <si>
    <t>7.40-18.66</t>
  </si>
  <si>
    <t>7.00-18.67</t>
  </si>
  <si>
    <t>6.65-18.25</t>
  </si>
  <si>
    <t>7.40-18.00</t>
  </si>
  <si>
    <t>7.75-16.50</t>
  </si>
  <si>
    <t>8.13-17.15</t>
  </si>
  <si>
    <t>8.05-17.15</t>
  </si>
  <si>
    <t>8.13-18.50</t>
  </si>
  <si>
    <t>8.13-20.05</t>
  </si>
  <si>
    <t>8.13-20.75</t>
  </si>
  <si>
    <t>9.40-22.00</t>
  </si>
  <si>
    <t>9.75-22.25</t>
  </si>
  <si>
    <t>9.75-22.20</t>
  </si>
  <si>
    <t>9.50-21.80</t>
  </si>
  <si>
    <t>9.50-21.75</t>
  </si>
  <si>
    <t>10.25-22.19</t>
  </si>
  <si>
    <t>11.00-22.75</t>
  </si>
  <si>
    <t>8.00-22.75</t>
  </si>
  <si>
    <t>8.00-22.51</t>
  </si>
  <si>
    <t>8.00-22.52</t>
  </si>
  <si>
    <t>8.00-22.30</t>
  </si>
  <si>
    <t>8.00-21.77</t>
  </si>
  <si>
    <t>8.00-21.76</t>
  </si>
  <si>
    <t>8.00-21.79</t>
  </si>
  <si>
    <t xml:space="preserve">          4. Transport</t>
  </si>
  <si>
    <t>5.50-16.88</t>
  </si>
  <si>
    <t>5.50-16.74</t>
  </si>
  <si>
    <t>5.50-16.58</t>
  </si>
  <si>
    <t>5.50-17.65</t>
  </si>
  <si>
    <t>5.50-18.64</t>
  </si>
  <si>
    <t>5.90-17.65</t>
  </si>
  <si>
    <t>5.90-17.33</t>
  </si>
  <si>
    <t>5.90-17.15</t>
  </si>
  <si>
    <t>6.25-16.58</t>
  </si>
  <si>
    <t>6.25-16.50</t>
  </si>
  <si>
    <t>5.90-16.85</t>
  </si>
  <si>
    <t>5.15-18.00</t>
  </si>
  <si>
    <t>5.00-17.75</t>
  </si>
  <si>
    <t>4.65-16.88</t>
  </si>
  <si>
    <t>5.65-17.00</t>
  </si>
  <si>
    <t>5.65-18.50</t>
  </si>
  <si>
    <t>6.65-19.50</t>
  </si>
  <si>
    <t>6.65-20.40</t>
  </si>
  <si>
    <t>7.00-22.25</t>
  </si>
  <si>
    <t>7.00-22.08</t>
  </si>
  <si>
    <t>6.75-21.50</t>
  </si>
  <si>
    <t>6.75-21.00</t>
  </si>
  <si>
    <t>8.00-22.44</t>
  </si>
  <si>
    <t>8.00-22.49</t>
  </si>
  <si>
    <t>8.25-22.75</t>
  </si>
  <si>
    <t>8.25-22.55</t>
  </si>
  <si>
    <t>8.15-21.00</t>
  </si>
  <si>
    <t>8.15-21.09</t>
  </si>
  <si>
    <t>8.15-21.77</t>
  </si>
  <si>
    <t>8.25-22.00</t>
  </si>
  <si>
    <t>8.25-21.16</t>
  </si>
  <si>
    <t>7.15-21.00</t>
  </si>
  <si>
    <t>6.65-21.00</t>
  </si>
  <si>
    <t xml:space="preserve">              - Hotels</t>
  </si>
  <si>
    <t>5.65-18.90</t>
  </si>
  <si>
    <t>5.50-18.90</t>
  </si>
  <si>
    <t>5.50-18.66</t>
  </si>
  <si>
    <t>5.50-18.67</t>
  </si>
  <si>
    <t>5.50-18.86</t>
  </si>
  <si>
    <t>5.50-18.79</t>
  </si>
  <si>
    <t>5.75-18.72</t>
  </si>
  <si>
    <t>5.90-19.35</t>
  </si>
  <si>
    <t>5.90-19.38</t>
  </si>
  <si>
    <t>5.15-19.75</t>
  </si>
  <si>
    <t>5.00-19.75</t>
  </si>
  <si>
    <t>4.65-19.75</t>
  </si>
  <si>
    <t>5.65-19.75</t>
  </si>
  <si>
    <t>5.65-20.10</t>
  </si>
  <si>
    <t>6.65-21.75</t>
  </si>
  <si>
    <t>7.00-22.27</t>
  </si>
  <si>
    <t>7.00-22.30</t>
  </si>
  <si>
    <t>6.75-22.22</t>
  </si>
  <si>
    <t>6.75-21.77</t>
  </si>
  <si>
    <t>7.80-22.19</t>
  </si>
  <si>
    <t>8.25-22.52</t>
  </si>
  <si>
    <t>8.25-21.74</t>
  </si>
  <si>
    <t>8.25-22.48</t>
  </si>
  <si>
    <t>8.25-21.76</t>
  </si>
  <si>
    <t>8.25-21.84</t>
  </si>
  <si>
    <t>8.25-24.00</t>
  </si>
  <si>
    <t>8.25-23.70</t>
  </si>
  <si>
    <t>8.00-22.70</t>
  </si>
  <si>
    <t>7.80-21.00</t>
  </si>
  <si>
    <t>7.15-21.50</t>
  </si>
  <si>
    <t xml:space="preserve">          3. Tourism</t>
  </si>
  <si>
    <t>7.40-13.50</t>
  </si>
  <si>
    <t>7.40-16.50</t>
  </si>
  <si>
    <t>7.40-13.65</t>
  </si>
  <si>
    <t>7.90-13.50</t>
  </si>
  <si>
    <t>7.90-13.15</t>
  </si>
  <si>
    <t>8.00-13.15</t>
  </si>
  <si>
    <t>7.75-12.50</t>
  </si>
  <si>
    <t>7.25-12.50</t>
  </si>
  <si>
    <t>7.25-13.75</t>
  </si>
  <si>
    <t>8.13-14.00</t>
  </si>
  <si>
    <t>8.05-14.25</t>
  </si>
  <si>
    <t>8.05-14.00</t>
  </si>
  <si>
    <t>8.05-18.50</t>
  </si>
  <si>
    <t>10.15-19.80</t>
  </si>
  <si>
    <t>11.50-22.40</t>
  </si>
  <si>
    <t>11.20-21.00</t>
  </si>
  <si>
    <t>11.50-21.75</t>
  </si>
  <si>
    <t>10.70-21.00</t>
  </si>
  <si>
    <t>10.70-21.90</t>
  </si>
  <si>
    <t>10.70-21.65</t>
  </si>
  <si>
    <t>10.70-19.75</t>
  </si>
  <si>
    <t>10.70-20.75</t>
  </si>
  <si>
    <t>9.70-19.75</t>
  </si>
  <si>
    <t>8.75-19.25</t>
  </si>
  <si>
    <t xml:space="preserve">              - Export Enterprise Certificate Holders</t>
  </si>
  <si>
    <t>3.65-19.06</t>
  </si>
  <si>
    <t>3.65-18.96</t>
  </si>
  <si>
    <t>3.65-18.92</t>
  </si>
  <si>
    <t>3.65-18.75</t>
  </si>
  <si>
    <t>3.65-18.65</t>
  </si>
  <si>
    <t>3.65-18.64</t>
  </si>
  <si>
    <t>3.65-18.67</t>
  </si>
  <si>
    <t>3.50-18.65</t>
  </si>
  <si>
    <t>3.65-19.20</t>
  </si>
  <si>
    <t>3.65-19.21</t>
  </si>
  <si>
    <t>4.00-19.13</t>
  </si>
  <si>
    <t>4.00-19.23</t>
  </si>
  <si>
    <t>4.00-19.25</t>
  </si>
  <si>
    <t>4.00-19.75</t>
  </si>
  <si>
    <t>3.50-19.75</t>
  </si>
  <si>
    <t>4.50-19.75</t>
  </si>
  <si>
    <t>5.40-19.75</t>
  </si>
  <si>
    <t>5.40-20.00</t>
  </si>
  <si>
    <t>5.40-20.05</t>
  </si>
  <si>
    <t>6.40-21.00</t>
  </si>
  <si>
    <t>7.40-21.00</t>
  </si>
  <si>
    <t>7.90-21.76</t>
  </si>
  <si>
    <t>8.50-22.25</t>
  </si>
  <si>
    <t>8.15-21.84</t>
  </si>
  <si>
    <t>8.15-21.75</t>
  </si>
  <si>
    <t>8.25-22.35</t>
  </si>
  <si>
    <t>8.25-22.56</t>
  </si>
  <si>
    <t>8.25-22.57</t>
  </si>
  <si>
    <t>8.25-22.51</t>
  </si>
  <si>
    <t>8.25-21.90</t>
  </si>
  <si>
    <t>8.25-21.95</t>
  </si>
  <si>
    <t>8.25-22.17</t>
  </si>
  <si>
    <t>8.25-21.25</t>
  </si>
  <si>
    <t>7.25-21.50</t>
  </si>
  <si>
    <t xml:space="preserve">          2. Manufacturing</t>
  </si>
  <si>
    <t>6.00-11.15</t>
  </si>
  <si>
    <t>5.75-11.15</t>
  </si>
  <si>
    <t>5.75-13.71</t>
  </si>
  <si>
    <t>5.75-14.40</t>
  </si>
  <si>
    <t>5.90-16.30</t>
  </si>
  <si>
    <t>6.00-14.20</t>
  </si>
  <si>
    <t>6.00-14.90</t>
  </si>
  <si>
    <t>6.00-17.59</t>
  </si>
  <si>
    <t>6.00-17.61</t>
  </si>
  <si>
    <t>6.00-15.00</t>
  </si>
  <si>
    <t>6.00-17.50</t>
  </si>
  <si>
    <t>6.25-15.00</t>
  </si>
  <si>
    <t>6.25-17.60</t>
  </si>
  <si>
    <t>5.75-19.25</t>
  </si>
  <si>
    <t>5.00-19.25</t>
  </si>
  <si>
    <t>6.50-19.25</t>
  </si>
  <si>
    <t>6.00-20.40</t>
  </si>
  <si>
    <t>6.00-21.00</t>
  </si>
  <si>
    <t>7.00-13.50</t>
  </si>
  <si>
    <t xml:space="preserve">              - Sugar Industry</t>
  </si>
  <si>
    <t>5.90-19.03</t>
  </si>
  <si>
    <t>5.75-18.99</t>
  </si>
  <si>
    <t>5.75-18.65</t>
  </si>
  <si>
    <t>5.75-18.69</t>
  </si>
  <si>
    <t>5.75-18.66</t>
  </si>
  <si>
    <t>5.75-18.64</t>
  </si>
  <si>
    <t>5.90-18.68</t>
  </si>
  <si>
    <t>6.00-19.14</t>
  </si>
  <si>
    <t>6.00-19.15</t>
  </si>
  <si>
    <t>6.00-19.43</t>
  </si>
  <si>
    <t>6.00-19.41</t>
  </si>
  <si>
    <t>6.00-19.36</t>
  </si>
  <si>
    <t>6.00-19.33</t>
  </si>
  <si>
    <t>6.00-19.75</t>
  </si>
  <si>
    <t>4.70-19.75</t>
  </si>
  <si>
    <t>4.70-19.25</t>
  </si>
  <si>
    <t>6.50-22.25</t>
  </si>
  <si>
    <t>6.25-21.92</t>
  </si>
  <si>
    <t>6.00-22.38</t>
  </si>
  <si>
    <t>6.50-22.41</t>
  </si>
  <si>
    <t>7.50-22.51</t>
  </si>
  <si>
    <t>7.50-22.75</t>
  </si>
  <si>
    <t>7.50-22.58</t>
  </si>
  <si>
    <t>7.50-22.59</t>
  </si>
  <si>
    <t>7.50-23.55</t>
  </si>
  <si>
    <t>7.50-22.00</t>
  </si>
  <si>
    <t xml:space="preserve">          1. Agriculture &amp; Fishing</t>
  </si>
  <si>
    <t xml:space="preserve">     B. Sectoral Rates</t>
  </si>
  <si>
    <t>7.00-9.00</t>
  </si>
  <si>
    <t>7.40-9.00</t>
  </si>
  <si>
    <t>7.50-9.00</t>
  </si>
  <si>
    <t>7.30-9.00</t>
  </si>
  <si>
    <t>7.05-9.00</t>
  </si>
  <si>
    <t>7.05-8.50</t>
  </si>
  <si>
    <t>8.05-9.00</t>
  </si>
  <si>
    <t>8.05-10.00</t>
  </si>
  <si>
    <t>9.05-10.00</t>
  </si>
  <si>
    <t>10.05-11.00</t>
  </si>
  <si>
    <t>10.65-11.75</t>
  </si>
  <si>
    <t>10.15-11.50</t>
  </si>
  <si>
    <t>11.15-12.00</t>
  </si>
  <si>
    <t>11.40-12.25</t>
  </si>
  <si>
    <t>11.25-12.25</t>
  </si>
  <si>
    <t>10.70-11.75</t>
  </si>
  <si>
    <t>9.70-10.75</t>
  </si>
  <si>
    <t>9.20-10.25</t>
  </si>
  <si>
    <t>8.50-9.25</t>
  </si>
  <si>
    <t>8.00-8.75</t>
  </si>
  <si>
    <t xml:space="preserve">     A. Prime Lending Rate</t>
  </si>
  <si>
    <t xml:space="preserve">   Banks</t>
  </si>
  <si>
    <r>
      <t xml:space="preserve">       Key Repo Rate</t>
    </r>
    <r>
      <rPr>
        <vertAlign val="superscript"/>
        <sz val="9"/>
        <rFont val="Arial"/>
        <family val="2"/>
      </rPr>
      <t>1</t>
    </r>
  </si>
  <si>
    <t xml:space="preserve">       Bank Rate</t>
  </si>
  <si>
    <t xml:space="preserve">       Lombard Rate*</t>
  </si>
  <si>
    <t>I. LENDING</t>
  </si>
  <si>
    <t>Jan-13</t>
  </si>
  <si>
    <t>Dec-12</t>
  </si>
  <si>
    <t>Nov-12</t>
  </si>
  <si>
    <t>Oct-12</t>
  </si>
  <si>
    <t>Sep-12</t>
  </si>
  <si>
    <t>Aug-12</t>
  </si>
  <si>
    <t>July-12</t>
  </si>
  <si>
    <t>June-12</t>
  </si>
  <si>
    <t>May-12</t>
  </si>
  <si>
    <t>Apr-12</t>
  </si>
  <si>
    <t>Mar-12</t>
  </si>
  <si>
    <t>Feb-12</t>
  </si>
  <si>
    <t>Jan-12</t>
  </si>
  <si>
    <r>
      <t xml:space="preserve">Dec-11 </t>
    </r>
    <r>
      <rPr>
        <sz val="10"/>
        <rFont val="Arial"/>
      </rPr>
      <t/>
    </r>
  </si>
  <si>
    <r>
      <t xml:space="preserve">Nov-11 </t>
    </r>
    <r>
      <rPr>
        <sz val="10"/>
        <rFont val="Arial"/>
      </rPr>
      <t/>
    </r>
  </si>
  <si>
    <r>
      <t xml:space="preserve">Oct-11 </t>
    </r>
    <r>
      <rPr>
        <sz val="10"/>
        <rFont val="Arial"/>
      </rPr>
      <t/>
    </r>
  </si>
  <si>
    <r>
      <t xml:space="preserve">Sep-11 </t>
    </r>
    <r>
      <rPr>
        <sz val="10"/>
        <rFont val="Arial"/>
      </rPr>
      <t/>
    </r>
  </si>
  <si>
    <t xml:space="preserve">Aug-11 </t>
  </si>
  <si>
    <t>Apr-11</t>
  </si>
  <si>
    <t xml:space="preserve">Mar-11 </t>
  </si>
  <si>
    <t xml:space="preserve">Feb-11 </t>
  </si>
  <si>
    <t xml:space="preserve">Jan-11 </t>
  </si>
  <si>
    <t xml:space="preserve">Dec-10 </t>
  </si>
  <si>
    <t xml:space="preserve">                                                              (Per cent per annum)</t>
  </si>
  <si>
    <t>(As on the last day of the month)</t>
  </si>
  <si>
    <t xml:space="preserve">                                           </t>
  </si>
  <si>
    <t>Table 30: Principal Interest Rates:January 2012 - January 2013</t>
  </si>
  <si>
    <t xml:space="preserve">Table 31 : Other Interest Rates: January 2010 - January 2013 </t>
  </si>
  <si>
    <t xml:space="preserve">Weighted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</si>
  <si>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</si>
  <si>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</si>
  <si>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</si>
  <si>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</si>
  <si>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</si>
  <si>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</si>
  <si>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</si>
  <si>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</si>
  <si>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</si>
  <si>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</si>
  <si>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</si>
  <si>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</si>
  <si>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</si>
  <si>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</si>
  <si>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</si>
  <si>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</si>
  <si>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</si>
  <si>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</si>
  <si>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</si>
  <si>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</si>
  <si>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</si>
  <si>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</si>
  <si>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</si>
  <si>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</si>
  <si>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</si>
  <si>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</si>
  <si>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</si>
  <si>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</si>
  <si>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</si>
  <si>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</si>
  <si>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</si>
  <si>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</si>
  <si>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</si>
  <si>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</si>
  <si>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</si>
  <si>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</si>
  <si>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</si>
  <si>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</si>
  <si>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</si>
  <si>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</si>
  <si>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</si>
  <si>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</si>
  <si>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</si>
  <si>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</si>
  <si>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</si>
  <si>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</si>
  <si>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</si>
  <si>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</si>
  <si>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</si>
  <si>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</si>
  <si>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</si>
  <si>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</si>
  <si>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</si>
  <si>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</si>
  <si>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</si>
  <si>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</si>
  <si>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</si>
  <si>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</si>
  <si>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</si>
  <si>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</si>
  <si>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</si>
  <si>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</si>
  <si>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</si>
  <si>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</si>
  <si>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</si>
  <si>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</si>
  <si>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</si>
  <si>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t>
  </si>
  <si>
    <t xml:space="preserve">Table 32a: Value Range of Banks' "Overdrafts", "Loans", " Loans and Other Financing in Foreign Currencies", "Local Bills Discounted" </t>
  </si>
  <si>
    <t xml:space="preserve">   and "Bills Receivable": December 2012</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</si>
  <si>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</si>
  <si>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</si>
  <si>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</si>
  <si>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</si>
  <si>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</si>
  <si>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</si>
  <si>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</si>
  <si>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</si>
  <si>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</si>
  <si>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</si>
  <si>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</si>
  <si>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</si>
  <si>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</si>
  <si>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</si>
  <si>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</si>
  <si>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</si>
  <si>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</si>
  <si>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</si>
  <si>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</si>
  <si>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</si>
  <si>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</si>
  <si>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December 2012</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</si>
  <si>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</si>
  <si>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</si>
  <si>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</si>
  <si>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</si>
  <si>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</si>
  <si>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</si>
  <si>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</si>
  <si>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</si>
  <si>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</si>
  <si>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</si>
  <si>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December 2012</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</si>
  <si>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</si>
  <si>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</si>
  <si>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</si>
  <si>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</si>
  <si>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</si>
  <si>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</si>
  <si>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</si>
  <si>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</si>
  <si>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</si>
  <si>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December 2012</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</si>
  <si>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</si>
  <si>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</si>
  <si>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</si>
  <si>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</si>
  <si>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</si>
  <si>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</si>
  <si>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</si>
  <si>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December 2012</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</si>
  <si>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</si>
  <si>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</si>
  <si>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</si>
  <si>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</si>
  <si>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</si>
  <si>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</si>
  <si>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</si>
  <si>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</si>
  <si>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</si>
  <si>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</si>
  <si>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</si>
  <si>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</si>
  <si>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</si>
  <si>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</si>
  <si>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</si>
  <si>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</si>
  <si>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</si>
  <si>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</si>
  <si>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</si>
  <si>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December 2012</t>
    </r>
  </si>
  <si>
    <t>RUPEE EQUIVALENT OF DEPOSITS DENOMINATED IN FOREIGN CURRENCIES</t>
  </si>
  <si>
    <t>US</t>
  </si>
  <si>
    <t>Pound</t>
  </si>
  <si>
    <t>Euro</t>
  </si>
  <si>
    <t>South African</t>
  </si>
  <si>
    <t>Dollars</t>
  </si>
  <si>
    <t>Sterling</t>
  </si>
  <si>
    <t>Rand</t>
  </si>
  <si>
    <t>1. DEMAND</t>
  </si>
  <si>
    <r>
      <t>2. SAVINGS</t>
    </r>
    <r>
      <rPr>
        <b/>
        <vertAlign val="superscript"/>
        <sz val="10"/>
        <rFont val="Times New Roman"/>
        <family val="1"/>
      </rPr>
      <t>2</t>
    </r>
  </si>
  <si>
    <t>3. TIME</t>
  </si>
  <si>
    <r>
      <t>1</t>
    </r>
    <r>
      <rPr>
        <i/>
        <sz val="9"/>
        <rFont val="Times New Roman"/>
        <family val="1"/>
      </rPr>
      <t xml:space="preserve"> Include deposits mobilised from residents, Global Business Licence Holders and non-residents.</t>
    </r>
  </si>
  <si>
    <r>
      <t xml:space="preserve">2  </t>
    </r>
    <r>
      <rPr>
        <i/>
        <sz val="9"/>
        <rFont val="Times New Roman"/>
        <family val="1"/>
      </rPr>
      <t>Include Margin deposits.</t>
    </r>
  </si>
  <si>
    <t>Table 33: Sectorwise Distribution of Credit to Non Residents: December 2012</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</si>
  <si>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</si>
  <si>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</si>
  <si>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</si>
  <si>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</si>
  <si>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</si>
  <si>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</si>
  <si>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</si>
  <si>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34a: Transactions on the Stock Exchange of Mauritius:February 2012 - February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</si>
  <si>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</si>
  <si>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</si>
  <si>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</si>
  <si>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</si>
  <si>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</si>
  <si>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</si>
  <si>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</si>
  <si>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</si>
  <si>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</si>
  <si>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</si>
  <si>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</si>
  <si>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</si>
  <si>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</si>
  <si>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</si>
  <si>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</si>
  <si>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Mauritius:February 2012 - February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</si>
  <si>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</si>
  <si>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</si>
  <si>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</si>
  <si>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</si>
  <si>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</si>
  <si>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</si>
  <si>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</si>
  <si>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</si>
  <si>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</si>
  <si>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</si>
  <si>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</si>
  <si>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</si>
  <si>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</si>
  <si>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</si>
  <si>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</si>
  <si>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</si>
  <si>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</si>
  <si>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</si>
  <si>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</si>
  <si>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</si>
  <si>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</si>
  <si>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</si>
  <si>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</si>
  <si>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</si>
  <si>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</si>
  <si>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</si>
  <si>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</si>
  <si>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</si>
  <si>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</si>
  <si>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</si>
  <si>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</si>
  <si>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</si>
  <si>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</si>
  <si>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</si>
  <si>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</si>
  <si>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+118.0</t>
  </si>
  <si>
    <t xml:space="preserve">Figures may not add up to total due to rounding. </t>
  </si>
  <si>
    <r>
      <t>Table 35a: Consumer Price Index and Inflation Rate: January 2005 - February 2013</t>
    </r>
    <r>
      <rPr>
        <b/>
        <vertAlign val="superscript"/>
        <sz val="11"/>
        <rFont val="Arial"/>
        <family val="2"/>
      </rPr>
      <t>1</t>
    </r>
  </si>
  <si>
    <t>January</t>
  </si>
  <si>
    <t>February</t>
  </si>
  <si>
    <t>March</t>
  </si>
  <si>
    <t>April</t>
  </si>
  <si>
    <t>May</t>
  </si>
  <si>
    <t>June</t>
  </si>
  <si>
    <t>July</t>
  </si>
  <si>
    <t>August</t>
  </si>
  <si>
    <t>September</t>
  </si>
  <si>
    <t>October</t>
  </si>
  <si>
    <t>November</t>
  </si>
  <si>
    <t>December</t>
  </si>
  <si>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</si>
  <si>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</si>
  <si>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</si>
  <si>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</si>
  <si>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</si>
  <si>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</si>
  <si>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</si>
  <si>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</si>
  <si>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</si>
  <si>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</si>
  <si>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</si>
  <si>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</si>
  <si>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+3.6</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</si>
  <si>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</si>
  <si>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</si>
  <si>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</si>
  <si>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</si>
  <si>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</si>
  <si>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</si>
  <si>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</si>
  <si>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</si>
  <si>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</si>
  <si>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</si>
  <si>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+3.6</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</si>
  <si>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</si>
  <si>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February 2013.</t>
    </r>
  </si>
  <si>
    <r>
      <t>3</t>
    </r>
    <r>
      <rPr>
        <i/>
        <sz val="9"/>
        <rFont val="Arial"/>
        <family val="2"/>
      </rPr>
      <t xml:space="preserve"> Headline Inflation Rate for the twelve-month period ended February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</si>
  <si>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</si>
  <si>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</si>
  <si>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</si>
  <si>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</si>
  <si>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</si>
  <si>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February 2013</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</si>
  <si>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</si>
  <si>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</si>
  <si>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</si>
  <si>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</si>
  <si>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</si>
  <si>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</si>
  <si>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</si>
  <si>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</si>
  <si>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</si>
  <si>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</si>
  <si>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</si>
  <si>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</si>
  <si>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r>
      <t xml:space="preserve">Table 35c: CPI and Core Inflation Rates based on Year-on-Year Methodology </t>
    </r>
    <r>
      <rPr>
        <b/>
        <vertAlign val="superscript"/>
        <sz val="11"/>
        <rFont val="Arial"/>
        <family val="2"/>
      </rPr>
      <t>1</t>
    </r>
    <r>
      <rPr>
        <b/>
        <sz val="11"/>
        <rFont val="Arial"/>
        <family val="2"/>
      </rPr>
      <t>: July 2007 - February 2013</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</si>
  <si>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</si>
  <si>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</si>
  <si>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</si>
  <si>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</si>
  <si>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</si>
  <si>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</si>
  <si>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</si>
  <si>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</si>
  <si>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</si>
  <si>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</si>
  <si>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</si>
  <si>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February 2013</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</si>
  <si>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</si>
  <si>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</si>
  <si>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</si>
  <si>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</si>
  <si>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</si>
  <si>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</si>
  <si>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</si>
  <si>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</si>
  <si>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</si>
  <si>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</si>
  <si>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February 2012 - February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</si>
  <si>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</si>
  <si>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</si>
  <si>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</si>
  <si>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</si>
  <si>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</si>
  <si>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</si>
  <si>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</si>
  <si>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</si>
  <si>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</si>
  <si>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</si>
  <si>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</si>
  <si>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37: Transactions on the Interbank Foreign Exchange Market:</t>
  </si>
  <si>
    <t>February 2012 - February 2013</t>
  </si>
  <si>
    <t xml:space="preserve">Purchase of  </t>
  </si>
  <si>
    <t xml:space="preserve">Purchase of </t>
  </si>
  <si>
    <t>Total Purchases</t>
  </si>
  <si>
    <t>Opening</t>
  </si>
  <si>
    <t>US$ against</t>
  </si>
  <si>
    <t xml:space="preserve">US$ against </t>
  </si>
  <si>
    <t>US$</t>
  </si>
  <si>
    <t xml:space="preserve">Rupee </t>
  </si>
  <si>
    <t>Other Foreign</t>
  </si>
  <si>
    <t>Equivalent</t>
  </si>
  <si>
    <t>Min-Max</t>
  </si>
  <si>
    <t>Currencies</t>
  </si>
  <si>
    <r>
      <t>Ask Rate</t>
    </r>
    <r>
      <rPr>
        <b/>
        <vertAlign val="superscript"/>
        <sz val="9"/>
        <rFont val="Times New Roman"/>
        <family val="1"/>
      </rPr>
      <t>1</t>
    </r>
  </si>
  <si>
    <t>(US$ million)</t>
  </si>
  <si>
    <t>(Rs/US$)</t>
  </si>
  <si>
    <t>04 Feb - 08 Feb</t>
  </si>
  <si>
    <t>35.34#</t>
  </si>
  <si>
    <t>30.4350 - 30.4875</t>
  </si>
  <si>
    <t>11 Feb - 15 Feb</t>
  </si>
  <si>
    <t>25.20#</t>
  </si>
  <si>
    <t>30.5375 - 30.6250</t>
  </si>
  <si>
    <t>18 Feb - 22 Feb</t>
  </si>
  <si>
    <t>27.40#</t>
  </si>
  <si>
    <t>30.6125 - 30.7875</t>
  </si>
  <si>
    <t>25 Feb - 28 Feb</t>
  </si>
  <si>
    <t>28.62#</t>
  </si>
  <si>
    <t>30.8500 - 31.0500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</si>
  <si>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</si>
  <si>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</si>
  <si>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</si>
  <si>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</si>
  <si>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</si>
  <si>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</si>
  <si>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</si>
  <si>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</si>
  <si>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</si>
  <si>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</si>
  <si>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</si>
  <si>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</si>
  <si>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</si>
  <si>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</si>
  <si>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</si>
  <si>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</si>
  <si>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</si>
  <si>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</si>
  <si>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</si>
  <si>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</si>
  <si>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</si>
  <si>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</si>
  <si>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</si>
  <si>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</si>
  <si>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</si>
  <si>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</si>
  <si>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</si>
  <si>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</si>
  <si>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</si>
  <si>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</si>
  <si>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</si>
  <si>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</si>
  <si>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</si>
  <si>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</si>
  <si>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</si>
  <si>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</si>
  <si>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</si>
  <si>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</si>
  <si>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</si>
  <si>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</si>
  <si>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</si>
  <si>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</si>
  <si>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</si>
  <si>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</si>
  <si>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</si>
  <si>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</si>
  <si>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</si>
  <si>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</si>
  <si>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</si>
  <si>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</si>
  <si>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</si>
  <si>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</si>
  <si>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</si>
  <si>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</si>
  <si>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</si>
  <si>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</si>
  <si>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</si>
  <si>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</si>
  <si>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</si>
  <si>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</si>
  <si>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</si>
  <si>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</si>
  <si>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</si>
  <si>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</si>
  <si>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</si>
  <si>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</si>
  <si>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</si>
  <si>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</si>
  <si>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</si>
  <si>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</si>
  <si>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</si>
  <si>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</si>
  <si>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</si>
  <si>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</si>
  <si>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</si>
  <si>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</si>
  <si>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</si>
  <si>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</si>
  <si>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</si>
  <si>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</si>
  <si>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</si>
  <si>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</si>
  <si>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</si>
  <si>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</si>
  <si>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</si>
  <si>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</si>
  <si>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</si>
  <si>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</si>
  <si>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</si>
  <si>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</si>
  <si>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</si>
  <si>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</si>
  <si>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</si>
  <si>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</si>
  <si>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</si>
  <si>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</si>
  <si>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</si>
  <si>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</si>
  <si>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</si>
  <si>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</si>
  <si>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</si>
  <si>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</si>
  <si>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</si>
  <si>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</si>
  <si>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</si>
  <si>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</si>
  <si>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</si>
  <si>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</si>
  <si>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</si>
  <si>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</si>
  <si>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</si>
  <si>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</si>
  <si>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</si>
  <si>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</si>
  <si>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</si>
  <si>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</si>
  <si>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</si>
  <si>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</si>
  <si>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</si>
  <si>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</si>
  <si>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</si>
  <si>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</si>
  <si>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</si>
  <si>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</si>
  <si>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</si>
  <si>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</si>
  <si>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</si>
  <si>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</si>
  <si>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</si>
  <si>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</si>
  <si>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</si>
  <si>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</si>
  <si>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</si>
  <si>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</si>
  <si>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</si>
  <si>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</si>
  <si>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</si>
  <si>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</si>
  <si>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</si>
  <si>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</si>
  <si>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</si>
  <si>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</si>
  <si>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</si>
  <si>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</si>
  <si>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</si>
  <si>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</si>
  <si>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</si>
  <si>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</si>
  <si>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</si>
  <si>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</si>
  <si>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</si>
  <si>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</si>
  <si>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</si>
  <si>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</si>
  <si>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</si>
  <si>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</si>
  <si>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</si>
  <si>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</si>
  <si>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</si>
  <si>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</si>
  <si>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</si>
  <si>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51.65#</t>
  </si>
  <si>
    <t>29.0875 - 29.4000</t>
  </si>
  <si>
    <t>58.45#</t>
  </si>
  <si>
    <t>29.1625 - 29.3875</t>
  </si>
  <si>
    <t>37.87#</t>
  </si>
  <si>
    <t>29.2250 - 30.0875</t>
  </si>
  <si>
    <t>161.48#</t>
  </si>
  <si>
    <t>30.1000 - 31.2500</t>
  </si>
  <si>
    <t>92.16#</t>
  </si>
  <si>
    <t>31.2000 - 31.4375</t>
  </si>
  <si>
    <t>73.48#</t>
  </si>
  <si>
    <t>30.5000 - 31.3500</t>
  </si>
  <si>
    <t>95.18#</t>
  </si>
  <si>
    <t>30.2500 - 30.5500</t>
  </si>
  <si>
    <t>79.24#</t>
  </si>
  <si>
    <t>30.5875 - 31.2875</t>
  </si>
  <si>
    <t>68.89#</t>
  </si>
  <si>
    <t>31.0125 - 31.3000</t>
  </si>
  <si>
    <t>126.57#</t>
  </si>
  <si>
    <t>30.7500 - 31.0125</t>
  </si>
  <si>
    <t>148.71#</t>
  </si>
  <si>
    <t>30.4850 - 30.8250</t>
  </si>
  <si>
    <t>116.56#</t>
  </si>
  <si>
    <t>30.4350 - 31.0500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</si>
  <si>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</si>
  <si>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</si>
  <si>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t>
  </si>
  <si>
    <t>With effect from 01 June 2012 transactions include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</si>
  <si>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</si>
  <si>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</si>
  <si>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</si>
  <si>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</si>
  <si>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</si>
  <si>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r>
      <t xml:space="preserve">US dollar </t>
    </r>
    <r>
      <rPr>
        <b/>
        <vertAlign val="superscript"/>
        <sz val="9"/>
        <rFont val="Times New Roman"/>
        <family val="1"/>
      </rPr>
      <t>2</t>
    </r>
  </si>
  <si>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</si>
  <si>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</si>
  <si>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</si>
  <si>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</si>
  <si>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</si>
  <si>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</si>
  <si>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</si>
  <si>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</si>
  <si>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</si>
  <si>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</si>
  <si>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</si>
  <si>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</si>
  <si>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</si>
  <si>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</si>
  <si>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</si>
  <si>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</si>
  <si>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</si>
  <si>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</si>
  <si>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</si>
  <si>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</si>
  <si>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</si>
  <si>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</si>
  <si>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</si>
  <si>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</si>
  <si>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</si>
  <si>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</si>
  <si>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</si>
  <si>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</si>
  <si>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</si>
  <si>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</si>
  <si>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</si>
  <si>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</si>
  <si>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</si>
  <si>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</si>
  <si>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</si>
  <si>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</si>
  <si>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</si>
  <si>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</si>
  <si>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</si>
  <si>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</si>
  <si>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</si>
  <si>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</si>
  <si>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</si>
  <si>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</si>
  <si>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</si>
  <si>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</si>
  <si>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</si>
  <si>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</si>
  <si>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</si>
  <si>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</si>
  <si>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</si>
  <si>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</si>
  <si>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</si>
  <si>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</si>
  <si>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</si>
  <si>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</si>
  <si>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</si>
  <si>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</si>
  <si>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</si>
  <si>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</si>
  <si>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</si>
  <si>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</si>
  <si>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</si>
  <si>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</si>
  <si>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</si>
  <si>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</si>
  <si>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</si>
  <si>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</si>
  <si>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</si>
  <si>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</si>
  <si>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</si>
  <si>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</si>
  <si>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</si>
  <si>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</si>
  <si>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</si>
  <si>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</si>
  <si>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</si>
  <si>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</si>
  <si>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</si>
  <si>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</si>
  <si>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</si>
  <si>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</si>
  <si>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</si>
  <si>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</si>
  <si>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</si>
  <si>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</si>
  <si>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</si>
  <si>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</si>
  <si>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</si>
  <si>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</si>
  <si>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</si>
  <si>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</si>
  <si>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</si>
  <si>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</si>
  <si>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</si>
  <si>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</si>
  <si>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</si>
  <si>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</si>
  <si>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</si>
  <si>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</si>
  <si>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</si>
  <si>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</si>
  <si>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</si>
  <si>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</si>
  <si>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</si>
  <si>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</si>
  <si>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</si>
  <si>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r>
      <rPr>
        <i/>
        <vertAlign val="superscript"/>
        <sz val="9"/>
        <rFont val="Times New Roman"/>
        <family val="1"/>
      </rPr>
      <t>1</t>
    </r>
    <r>
      <rPr>
        <i/>
        <sz val="9"/>
        <rFont val="Times New Roman"/>
        <family val="1"/>
      </rPr>
      <t xml:space="preserve"> includes Government transactions as from October 2010</t>
    </r>
  </si>
  <si>
    <r>
      <rPr>
        <i/>
        <vertAlign val="superscript"/>
        <sz val="9"/>
        <rFont val="Times New Roman"/>
        <family val="1"/>
      </rPr>
      <t xml:space="preserve">2 </t>
    </r>
    <r>
      <rPr>
        <i/>
        <sz val="9"/>
        <rFont val="Times New Roman"/>
        <family val="1"/>
      </rPr>
      <t>Includes sales to BOM customers as from July 2011</t>
    </r>
  </si>
  <si>
    <r>
      <t>Table 36: Gross Official International Reserves</t>
    </r>
    <r>
      <rPr>
        <b/>
        <vertAlign val="superscript"/>
        <sz val="12"/>
        <rFont val="Arial"/>
        <family val="2"/>
      </rPr>
      <t xml:space="preserve"> #</t>
    </r>
    <r>
      <rPr>
        <b/>
        <sz val="12"/>
        <rFont val="Arial"/>
        <family val="2"/>
      </rPr>
      <t>: February 2012 - February 2013</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</si>
  <si>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</si>
  <si>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</si>
  <si>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</si>
  <si>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</si>
  <si>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</si>
  <si>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</si>
  <si>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</si>
  <si>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</si>
  <si>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</si>
  <si>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</si>
  <si>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</si>
  <si>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</si>
  <si>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</si>
  <si>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</si>
  <si>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</si>
  <si>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</si>
  <si>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</si>
  <si>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</si>
  <si>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</si>
  <si>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</si>
  <si>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</si>
  <si>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</si>
  <si>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</si>
  <si>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r>
      <t xml:space="preserve">Feb-13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</si>
  <si>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</si>
  <si>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</si>
  <si>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Following the release of fourth quarter 2012 external trade data, import cover has been revised based on the value of imports of goods, fob and non-factor services for the year 2012.</t>
    </r>
  </si>
  <si>
    <r>
      <t xml:space="preserve">3 </t>
    </r>
    <r>
      <rPr>
        <i/>
        <sz val="10"/>
        <rFont val="Arial"/>
        <family val="2"/>
      </rPr>
      <t>Provisional.</t>
    </r>
  </si>
  <si>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</si>
  <si>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</si>
  <si>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</si>
  <si>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</si>
  <si>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</si>
  <si>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</si>
  <si>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</si>
  <si>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</si>
  <si>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</si>
  <si>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</si>
  <si>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</si>
  <si>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</si>
  <si>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</si>
  <si>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</si>
  <si>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</si>
  <si>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</si>
  <si>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</si>
  <si>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</si>
  <si>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</si>
  <si>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Source:Financial Markets Analysis Division.</t>
  </si>
  <si>
    <t>Table 40: Exchange Rate of the Rupee (End of Period): February  2012 - February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</si>
  <si>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</si>
  <si>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</si>
  <si>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</si>
  <si>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</si>
  <si>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</si>
  <si>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</si>
  <si>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</si>
  <si>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</si>
  <si>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</si>
  <si>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</si>
  <si>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</si>
  <si>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</si>
  <si>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</si>
  <si>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selling rates for T.T. &amp; D.D. of banks.</t>
  </si>
  <si>
    <t>Source: Financial Markets Analysis Division.</t>
  </si>
  <si>
    <t>Table 41: Exchange Rate of the Rupee (Period Average): February  2012 - February 2013</t>
  </si>
  <si>
    <t xml:space="preserve">Table 42: Exchange Rate of the Rupee vis-à-vis Major Trading Partner Currencies: </t>
  </si>
  <si>
    <t xml:space="preserve">               February  2012 - February 2013</t>
  </si>
  <si>
    <t>Average for</t>
  </si>
  <si>
    <t>Appreciation/</t>
  </si>
  <si>
    <t>12 Months</t>
  </si>
  <si>
    <t>(Depreciation)</t>
  </si>
  <si>
    <t>ended February  2012</t>
  </si>
  <si>
    <t>ended February  2013</t>
  </si>
  <si>
    <t>of Rupee</t>
  </si>
  <si>
    <t>between [1] &amp; [2]</t>
  </si>
  <si>
    <t>[1]</t>
  </si>
  <si>
    <t>[2]</t>
  </si>
  <si>
    <t>Per Cent</t>
  </si>
  <si>
    <t>Hong Kong dollar</t>
  </si>
  <si>
    <t>Notes: (i)   [1] is calculated on the basis of the daily average exchange rates for the period February 2011 to January 2012.</t>
  </si>
  <si>
    <t xml:space="preserve">                   [2] is calculated on the basis of the daily average exchange rates for the period February 2012 to January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</si>
  <si>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</si>
  <si>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</si>
  <si>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</si>
  <si>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</si>
  <si>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February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</si>
  <si>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</si>
  <si>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</si>
  <si>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</si>
  <si>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</si>
  <si>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</si>
  <si>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</si>
  <si>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</si>
  <si>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</si>
  <si>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</si>
  <si>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</si>
  <si>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</si>
  <si>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January 2013 and  February 2013</t>
  </si>
  <si>
    <t>Low</t>
  </si>
  <si>
    <t>High</t>
  </si>
  <si>
    <t>YEN / USD</t>
  </si>
  <si>
    <t>94.10/12</t>
  </si>
  <si>
    <t>91.78/79</t>
  </si>
  <si>
    <t>93.11/14</t>
  </si>
  <si>
    <t>89.05/07</t>
  </si>
  <si>
    <t>USD / EUR</t>
  </si>
  <si>
    <t>1.3049/51</t>
  </si>
  <si>
    <t>1.3624/25</t>
  </si>
  <si>
    <t>1.3347/49</t>
  </si>
  <si>
    <t>1.3287/89</t>
  </si>
  <si>
    <t>USD / GBP</t>
  </si>
  <si>
    <t>1.5104/07</t>
  </si>
  <si>
    <t>1.5797/00</t>
  </si>
  <si>
    <t>1.5478/81</t>
  </si>
  <si>
    <t>1.5954/57</t>
  </si>
  <si>
    <t>Source: Reuters with reference to Asian Markets, 09 30 hrs, Mauritian time.</t>
  </si>
  <si>
    <t>Table 45: Monthly Average Exchange Rates of Selected Currencies vis-à-vis the US Dollar:</t>
  </si>
  <si>
    <t xml:space="preserve">                 January 2011 - February 2013</t>
  </si>
  <si>
    <t>USD/EUR</t>
  </si>
  <si>
    <t>USD/GBP</t>
  </si>
  <si>
    <t>JPY/ USD</t>
  </si>
  <si>
    <t>1.3345/49</t>
  </si>
  <si>
    <t>1.2903/06</t>
  </si>
  <si>
    <t>1.5762/66</t>
  </si>
  <si>
    <t>1.5509/12</t>
  </si>
  <si>
    <t>82.63/66</t>
  </si>
  <si>
    <t>76.91/93</t>
  </si>
  <si>
    <t>1.3650/52</t>
  </si>
  <si>
    <t>1.3244/47</t>
  </si>
  <si>
    <t>1.6133/87</t>
  </si>
  <si>
    <t>1.5795/99</t>
  </si>
  <si>
    <t>82.66/68</t>
  </si>
  <si>
    <t>78.58/61</t>
  </si>
  <si>
    <t>1.4010/12</t>
  </si>
  <si>
    <t>1.3221/23</t>
  </si>
  <si>
    <t>1.6159/63</t>
  </si>
  <si>
    <t>1.5830/32</t>
  </si>
  <si>
    <t>81.75/78</t>
  </si>
  <si>
    <t>82.47/50</t>
  </si>
  <si>
    <t>1.4462/66</t>
  </si>
  <si>
    <t>1.3160/63</t>
  </si>
  <si>
    <t>1.6372/76</t>
  </si>
  <si>
    <t>1.5996/1.6</t>
  </si>
  <si>
    <t>83.20/23</t>
  </si>
  <si>
    <t>81.36/40</t>
  </si>
  <si>
    <t>1.4350/53</t>
  </si>
  <si>
    <t>1.2798/00</t>
  </si>
  <si>
    <t>1.6349/53</t>
  </si>
  <si>
    <t>1.5921/25</t>
  </si>
  <si>
    <t>81.12/15</t>
  </si>
  <si>
    <t>79.72/75</t>
  </si>
  <si>
    <t>1.4388/91</t>
  </si>
  <si>
    <t>1.2549/51</t>
  </si>
  <si>
    <t>1.6225/28</t>
  </si>
  <si>
    <t>1.5552/55</t>
  </si>
  <si>
    <t>80.51/53</t>
  </si>
  <si>
    <t>79.25/28</t>
  </si>
  <si>
    <t>1.4292/94</t>
  </si>
  <si>
    <t>1.2302/04</t>
  </si>
  <si>
    <t>1.6128/32</t>
  </si>
  <si>
    <t>1.5593/97</t>
  </si>
  <si>
    <t>79.46/49</t>
  </si>
  <si>
    <t>78.98/01</t>
  </si>
  <si>
    <t>1.4340/42</t>
  </si>
  <si>
    <t>1.2398/01</t>
  </si>
  <si>
    <t>1.6366/69</t>
  </si>
  <si>
    <t>1.5707/11</t>
  </si>
  <si>
    <t>77.10/14</t>
  </si>
  <si>
    <t>78.61/64</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</si>
  <si>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</si>
  <si>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</si>
  <si>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</si>
  <si>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</si>
  <si>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</si>
  <si>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</si>
  <si>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</si>
  <si>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</si>
  <si>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</si>
  <si>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</si>
  <si>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</si>
  <si>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</si>
  <si>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</si>
  <si>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</si>
  <si>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</si>
  <si>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</si>
  <si>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</si>
  <si>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</si>
  <si>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1.3113/16</t>
  </si>
  <si>
    <t>1.5591/95</t>
  </si>
  <si>
    <t>1.6135/38</t>
  </si>
  <si>
    <t>77.83/86</t>
  </si>
  <si>
    <t>83.73/76</t>
  </si>
  <si>
    <t>Table 46: Mauritius Exchange Rate Index (MERI): January 2010 -  February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</si>
  <si>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</si>
  <si>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</si>
  <si>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</si>
  <si>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</si>
  <si>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</si>
  <si>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</si>
  <si>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</si>
  <si>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</si>
  <si>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July 2010 - January 2013</t>
  </si>
  <si>
    <t xml:space="preserve">Tourist Arrivals* </t>
  </si>
  <si>
    <t>Tourist Earnings ^</t>
  </si>
  <si>
    <r>
      <t>Tourist Arrivals</t>
    </r>
    <r>
      <rPr>
        <b/>
        <sz val="10"/>
        <rFont val="Arial"/>
        <family val="2"/>
      </rPr>
      <t xml:space="preserve">* </t>
    </r>
  </si>
  <si>
    <t xml:space="preserve">(Rs million) </t>
  </si>
  <si>
    <r>
      <t xml:space="preserve">  3,070 </t>
    </r>
    <r>
      <rPr>
        <vertAlign val="superscript"/>
        <sz val="10"/>
        <rFont val="Arial"/>
        <family val="2"/>
      </rPr>
      <t xml:space="preserve"> 2</t>
    </r>
  </si>
  <si>
    <r>
      <t xml:space="preserve"> 2,832  </t>
    </r>
    <r>
      <rPr>
        <vertAlign val="superscript"/>
        <sz val="10"/>
        <rFont val="Arial"/>
        <family val="2"/>
      </rPr>
      <t>2</t>
    </r>
  </si>
  <si>
    <r>
      <t xml:space="preserve"> 2,504  </t>
    </r>
    <r>
      <rPr>
        <vertAlign val="superscript"/>
        <sz val="10"/>
        <rFont val="Arial"/>
        <family val="2"/>
      </rPr>
      <t>2</t>
    </r>
  </si>
  <si>
    <r>
      <t xml:space="preserve"> 3,751  </t>
    </r>
    <r>
      <rPr>
        <vertAlign val="superscript"/>
        <sz val="10"/>
        <rFont val="Arial"/>
        <family val="2"/>
      </rPr>
      <t>2</t>
    </r>
    <r>
      <rPr>
        <sz val="10"/>
        <rFont val="Arial"/>
      </rPr>
      <t/>
    </r>
  </si>
  <si>
    <r>
      <t xml:space="preserve">4,063 </t>
    </r>
    <r>
      <rPr>
        <vertAlign val="superscript"/>
        <sz val="10"/>
        <rFont val="Arial"/>
        <family val="2"/>
      </rPr>
      <t>2</t>
    </r>
  </si>
  <si>
    <r>
      <t xml:space="preserve">4,610 </t>
    </r>
    <r>
      <rPr>
        <vertAlign val="superscript"/>
        <sz val="10"/>
        <rFont val="Arial"/>
        <family val="2"/>
      </rPr>
      <t>2</t>
    </r>
  </si>
  <si>
    <r>
      <t xml:space="preserve">   5,478 </t>
    </r>
    <r>
      <rPr>
        <vertAlign val="superscript"/>
        <sz val="10"/>
        <rFont val="Arial"/>
        <family val="2"/>
      </rPr>
      <t>1</t>
    </r>
  </si>
  <si>
    <r>
      <t xml:space="preserve">4,701 </t>
    </r>
    <r>
      <rPr>
        <vertAlign val="superscript"/>
        <sz val="10"/>
        <rFont val="Arial"/>
        <family val="2"/>
      </rPr>
      <t>2</t>
    </r>
  </si>
  <si>
    <r>
      <t xml:space="preserve">   4,188</t>
    </r>
    <r>
      <rPr>
        <vertAlign val="superscript"/>
        <sz val="10"/>
        <rFont val="Arial"/>
        <family val="2"/>
      </rPr>
      <t xml:space="preserve">  1</t>
    </r>
  </si>
  <si>
    <t xml:space="preserve"> Total</t>
  </si>
  <si>
    <r>
      <rPr>
        <vertAlign val="superscript"/>
        <sz val="10"/>
        <color indexed="18"/>
        <rFont val="Arial"/>
        <family val="2"/>
      </rPr>
      <t xml:space="preserve">1 </t>
    </r>
    <r>
      <rPr>
        <sz val="10"/>
        <color indexed="18"/>
        <rFont val="Arial"/>
        <family val="2"/>
      </rPr>
      <t xml:space="preserve"> Revised</t>
    </r>
  </si>
  <si>
    <t>Provisional</t>
  </si>
  <si>
    <t>* Source: Ministry of Tourism and Leisure.</t>
  </si>
  <si>
    <t>^ Source: Bank of Mauritius Statistics Division.</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</si>
  <si>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</si>
  <si>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</si>
  <si>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</si>
  <si>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</si>
  <si>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</si>
  <si>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</si>
  <si>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</si>
  <si>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</si>
  <si>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</si>
  <si>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</si>
  <si>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</si>
  <si>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</si>
  <si>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</si>
  <si>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</si>
  <si>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</si>
  <si>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</si>
  <si>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</si>
  <si>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</si>
  <si>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</si>
  <si>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</si>
  <si>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</si>
  <si>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</si>
  <si>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</si>
  <si>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</si>
  <si>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</si>
  <si>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</si>
  <si>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</si>
  <si>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</si>
  <si>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</si>
  <si>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</si>
  <si>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</si>
  <si>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</si>
  <si>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</si>
  <si>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</si>
  <si>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</si>
  <si>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</si>
  <si>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</si>
  <si>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</si>
  <si>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</si>
  <si>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</si>
  <si>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</si>
  <si>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</si>
  <si>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</si>
  <si>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</si>
  <si>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</si>
  <si>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</si>
  <si>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</si>
  <si>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</si>
  <si>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</si>
  <si>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</si>
  <si>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</si>
  <si>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</si>
  <si>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</si>
  <si>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</si>
  <si>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</si>
  <si>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</si>
  <si>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</si>
  <si>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</si>
  <si>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</si>
  <si>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</si>
  <si>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</si>
  <si>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</si>
  <si>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</si>
  <si>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</si>
  <si>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</si>
  <si>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</si>
  <si>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</si>
  <si>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</si>
  <si>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</si>
  <si>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</si>
  <si>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</si>
  <si>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</si>
  <si>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</si>
  <si>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</si>
  <si>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</si>
  <si>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</si>
  <si>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</si>
  <si>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</si>
  <si>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</si>
  <si>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</si>
  <si>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</si>
  <si>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</si>
  <si>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</si>
  <si>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</si>
  <si>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</si>
  <si>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</si>
  <si>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</si>
  <si>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</si>
  <si>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</si>
  <si>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</si>
  <si>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27</t>
  </si>
  <si>
    <t xml:space="preserve">           France</t>
  </si>
  <si>
    <t xml:space="preserve">      Switzerland</t>
  </si>
  <si>
    <t xml:space="preserve">    North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</si>
  <si>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</si>
  <si>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</si>
  <si>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</si>
  <si>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</si>
  <si>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</si>
  <si>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</si>
  <si>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</si>
  <si>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</si>
  <si>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</si>
  <si>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</si>
  <si>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</si>
  <si>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</si>
  <si>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</si>
  <si>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</si>
  <si>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</si>
  <si>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</si>
  <si>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</si>
  <si>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</si>
  <si>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t>Table 50a: Balance of Payments - Calendar Year 2012
(including estimates for GBC1s cross-border transactions)</t>
  </si>
  <si>
    <r>
      <t xml:space="preserve">2012 </t>
    </r>
    <r>
      <rPr>
        <b/>
        <vertAlign val="superscript"/>
        <sz val="18"/>
        <rFont val="Times New Roman"/>
        <family val="1"/>
      </rPr>
      <t>1</t>
    </r>
  </si>
  <si>
    <t xml:space="preserve">1st
Quarter </t>
  </si>
  <si>
    <r>
      <t>2nd
Quarter</t>
    </r>
    <r>
      <rPr>
        <b/>
        <vertAlign val="superscript"/>
        <sz val="18"/>
        <rFont val="Times New Roman"/>
        <family val="1"/>
      </rPr>
      <t xml:space="preserve"> </t>
    </r>
    <r>
      <rPr>
        <sz val="10"/>
        <rFont val="Arial"/>
      </rPr>
      <t/>
    </r>
  </si>
  <si>
    <r>
      <t>3rd
Quarter</t>
    </r>
    <r>
      <rPr>
        <b/>
        <vertAlign val="superscript"/>
        <sz val="18"/>
        <rFont val="Times New Roman"/>
        <family val="1"/>
      </rPr>
      <t xml:space="preserve"> </t>
    </r>
    <r>
      <rPr>
        <sz val="10"/>
        <rFont val="Arial"/>
      </rPr>
      <t/>
    </r>
  </si>
  <si>
    <r>
      <t>4th
Quarter</t>
    </r>
    <r>
      <rPr>
        <b/>
        <vertAlign val="superscript"/>
        <sz val="18"/>
        <rFont val="Times New Roman"/>
        <family val="1"/>
      </rPr>
      <t xml:space="preserve"> </t>
    </r>
    <r>
      <rPr>
        <sz val="10"/>
        <rFont val="Arial"/>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</si>
  <si>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</si>
  <si>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</si>
  <si>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</si>
  <si>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</si>
  <si>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</si>
  <si>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</si>
  <si>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</si>
  <si>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</si>
  <si>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</si>
  <si>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</si>
  <si>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</si>
  <si>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</si>
  <si>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</si>
  <si>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</si>
  <si>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</si>
  <si>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</si>
  <si>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</si>
  <si>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</si>
  <si>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</si>
  <si>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</si>
  <si>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</si>
  <si>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</si>
  <si>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</si>
  <si>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</si>
  <si>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</si>
  <si>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</si>
  <si>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</si>
  <si>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</si>
  <si>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</si>
  <si>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</si>
  <si>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</si>
  <si>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</si>
  <si>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</si>
  <si>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</si>
  <si>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</si>
  <si>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</si>
  <si>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</si>
  <si>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</si>
  <si>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</si>
  <si>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</si>
  <si>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</si>
  <si>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</si>
  <si>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</si>
  <si>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</si>
  <si>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</si>
  <si>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</si>
  <si>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</si>
  <si>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</si>
  <si>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</si>
  <si>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</si>
  <si>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</si>
  <si>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</si>
  <si>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</si>
  <si>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</si>
  <si>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</si>
  <si>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</si>
  <si>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</si>
  <si>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</si>
  <si>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</si>
  <si>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</si>
  <si>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</si>
  <si>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</si>
  <si>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</si>
  <si>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</si>
  <si>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</si>
  <si>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</si>
  <si>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</si>
  <si>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</si>
  <si>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</si>
  <si>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</si>
  <si>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</si>
  <si>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</si>
  <si>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</si>
  <si>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</si>
  <si>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</si>
  <si>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Table 50b: Quarterly Balance of Payments - 2011
(including estimates for GBC1s cross-border transactions)</t>
  </si>
  <si>
    <r>
      <t xml:space="preserve">2011 </t>
    </r>
    <r>
      <rPr>
        <b/>
        <vertAlign val="superscript"/>
        <sz val="18"/>
        <rFont val="Times New Roman"/>
        <family val="1"/>
      </rPr>
      <t>1</t>
    </r>
  </si>
  <si>
    <r>
      <t>1st Quarter</t>
    </r>
    <r>
      <rPr>
        <b/>
        <vertAlign val="superscript"/>
        <sz val="18"/>
        <rFont val="Times New Roman"/>
        <family val="1"/>
      </rPr>
      <t xml:space="preserve"> </t>
    </r>
  </si>
  <si>
    <t xml:space="preserve">2nd Quarter </t>
  </si>
  <si>
    <t xml:space="preserve">3rd Quarter </t>
  </si>
  <si>
    <t xml:space="preserve">4th Quarter </t>
  </si>
  <si>
    <r>
      <t xml:space="preserve">1 </t>
    </r>
    <r>
      <rPr>
        <i/>
        <sz val="16"/>
        <rFont val="Times New Roman"/>
        <family val="1"/>
      </rPr>
      <t xml:space="preserve">Revised Estimates.                 </t>
    </r>
    <r>
      <rPr>
        <i/>
        <vertAlign val="superscript"/>
        <sz val="16"/>
        <rFont val="Times New Roman"/>
        <family val="1"/>
      </rPr>
      <t/>
    </r>
  </si>
  <si>
    <t>The 2011 quarterly balance of payments  data include results of cross-border transactions of GBC1s  culled from the survey 2012. For further information, please refer to the release note in the text.</t>
  </si>
  <si>
    <t>Table 51a: Electronic Banking Transactions: December 2007 - January 2013</t>
  </si>
  <si>
    <t>Mar-02*</t>
  </si>
  <si>
    <t>Apr-02*</t>
  </si>
  <si>
    <t>May-02*</t>
  </si>
  <si>
    <t>Jun-02*</t>
  </si>
  <si>
    <t>As at end of Month</t>
  </si>
  <si>
    <t>Number of ATMs in Operation</t>
  </si>
  <si>
    <t>430^</t>
  </si>
  <si>
    <t>Number of Transactions</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</si>
  <si>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</si>
  <si>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</si>
  <si>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</si>
  <si>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</si>
  <si>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</si>
  <si>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</si>
  <si>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</si>
  <si>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</si>
  <si>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</si>
  <si>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</si>
  <si>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</si>
  <si>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</si>
  <si>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</si>
  <si>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</si>
  <si>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</si>
  <si>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</si>
  <si>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</si>
  <si>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</si>
  <si>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</si>
  <si>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</si>
  <si>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</si>
  <si>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</si>
  <si>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</si>
  <si>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xml:space="preserve"># Information disclosed as from March 2008. </t>
  </si>
  <si>
    <t xml:space="preserve">^Jan 2012 restated </t>
  </si>
  <si>
    <t>Table 51b: Internet Banking Transactions: December 2007 - January 2013</t>
  </si>
  <si>
    <t>Number of Customers</t>
  </si>
  <si>
    <t>During the Month</t>
  </si>
  <si>
    <t>Value of Transactions: (Rs mn)</t>
  </si>
  <si>
    <t xml:space="preserve">Average Value of Transactions* (Rs mn) </t>
  </si>
  <si>
    <t>*Average monthly transactions during a calendar year up to the month of reporting.</t>
  </si>
  <si>
    <t>Table 52a: Mauritius Automated Clearing and Settlement System (MACSS)*</t>
  </si>
  <si>
    <t xml:space="preserve">                   Rupee Transactions: December 2007 – February 2013</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</si>
  <si>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</si>
  <si>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</si>
  <si>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</si>
  <si>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</si>
  <si>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</si>
  <si>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</si>
  <si>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February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</si>
  <si>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</si>
  <si>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</si>
  <si>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</si>
  <si>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</si>
  <si>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</si>
  <si>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</si>
  <si>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</si>
  <si>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</si>
  <si>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</si>
  <si>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</si>
  <si>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22b:Issue of 91-Day, 182-Day, 273-Day and 364-Day Bank of Mauritius Bills:    January 2013 &amp; February 2013</t>
  </si>
  <si>
    <t>91-Day</t>
  </si>
  <si>
    <t xml:space="preserve">182-Day </t>
  </si>
  <si>
    <t xml:space="preserve">273-Day </t>
  </si>
  <si>
    <t xml:space="preserve">364-Day </t>
  </si>
  <si>
    <t xml:space="preserve"> Value of Bids Accepted (Rs mn)</t>
  </si>
  <si>
    <t>Range of  Yields  Accepted (% p.a.)</t>
  </si>
  <si>
    <t>2.87 - 3.04</t>
  </si>
  <si>
    <t>Range of  Prices  Accepted (%)</t>
  </si>
  <si>
    <t>98.662</t>
  </si>
  <si>
    <t>97.891</t>
  </si>
  <si>
    <t>97.058 - 97.218</t>
  </si>
  <si>
    <t>98.710</t>
  </si>
  <si>
    <t>97.992</t>
  </si>
  <si>
    <t>Table 22c: Issue of Bank of Mauritius Notes:  July 2011 &amp; September 2012</t>
  </si>
  <si>
    <r>
      <t xml:space="preserve"> Auction held on 20 July 2011</t>
    </r>
    <r>
      <rPr>
        <b/>
        <vertAlign val="superscript"/>
        <sz val="11"/>
        <rFont val="Times New Roman"/>
        <family val="1"/>
      </rPr>
      <t>1</t>
    </r>
  </si>
  <si>
    <r>
      <t xml:space="preserve"> Auction held on 12 September 2012</t>
    </r>
    <r>
      <rPr>
        <b/>
        <vertAlign val="superscript"/>
        <sz val="9"/>
        <rFont val="Times New Roman"/>
        <family val="1"/>
      </rPr>
      <t>2</t>
    </r>
  </si>
  <si>
    <t>2Y-BOMN</t>
  </si>
  <si>
    <t>3Y-BOMN</t>
  </si>
  <si>
    <t>4Y-BOMN</t>
  </si>
  <si>
    <r>
      <t xml:space="preserve"> Yield on Bids Accepted </t>
    </r>
    <r>
      <rPr>
        <b/>
        <i/>
        <sz val="11"/>
        <rFont val="Times New Roman"/>
        <family val="1"/>
      </rPr>
      <t>(% p.a.)</t>
    </r>
  </si>
  <si>
    <r>
      <t xml:space="preserve"> Price of Bids Accepted </t>
    </r>
    <r>
      <rPr>
        <b/>
        <i/>
        <sz val="11"/>
        <rFont val="Times New Roman"/>
        <family val="1"/>
      </rPr>
      <t>(%)</t>
    </r>
  </si>
  <si>
    <t>100.000</t>
  </si>
  <si>
    <t>99.646</t>
  </si>
  <si>
    <r>
      <t>1</t>
    </r>
    <r>
      <rPr>
        <i/>
        <sz val="10"/>
        <rFont val="Times New Roman"/>
        <family val="1"/>
      </rPr>
      <t xml:space="preserve"> Issue of 22 July 2011</t>
    </r>
  </si>
  <si>
    <r>
      <t>2</t>
    </r>
    <r>
      <rPr>
        <i/>
        <sz val="10"/>
        <rFont val="Times New Roman"/>
        <family val="1"/>
      </rPr>
      <t xml:space="preserve"> Issue of 14   September 2012 (Re-opening)</t>
    </r>
  </si>
  <si>
    <t>2Y-BOMN : 5.25% 2-Year Bank  of Mauritius  Notes due 22 July 2013</t>
  </si>
  <si>
    <t>3Y-BOMN : 5.50% 3-Year Bank  of Mauritius  Notes due 25 November 2014</t>
  </si>
  <si>
    <t>3Y-BOMN : 5.50% 3-Year Bank  of Mauritius  Notes due 22 July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</si>
</sst>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43" formatCode="_-* #,##0.00_-;\-* #,##0.00_-;_-* &quot;-&quot;??_-;_-@_-"/>
    <numFmt numFmtId="164" formatCode="0.0"/>
    <numFmt numFmtId="165" formatCode="\+0.0"/>
    <numFmt numFmtId="166" formatCode="#,##0\ \ "/>
    <numFmt numFmtId="167" formatCode="_-* #,##0.0_-;\-* #,##0.0_-;_-* &quot;-&quot;??_-;_-@_-"/>
    <numFmt numFmtId="168" formatCode="_-* #,##0_-;\-* #,##0_-;_-* &quot;-&quot;??_-;_-@_-"/>
    <numFmt numFmtId="169" formatCode="\+#,##0"/>
    <numFmt numFmtId="170" formatCode="#,##0.0"/>
    <numFmt numFmtId="171" formatCode="mmmm\ yyyy"/>
    <numFmt numFmtId="172" formatCode="_(* #,##0_);_(* \(#,##0\);_(* &quot;-&quot;??_);_(@_)"/>
    <numFmt numFmtId="173" formatCode="d\-mmmm\-yyyy"/>
    <numFmt numFmtId="174" formatCode="mmmm\-yy"/>
    <numFmt numFmtId="175" formatCode="dd\-mmm\-yy_)"/>
    <numFmt numFmtId="176" formatCode="0000"/>
    <numFmt numFmtId="177" formatCode="#,##0.000"/>
    <numFmt numFmtId="178" formatCode="#,##0.0,,"/>
    <numFmt numFmtId="179" formatCode="0.0%"/>
    <numFmt numFmtId="180" formatCode="_(* #,##0.00_);_(* \(#,##0.00\);_(* &quot;-&quot;??_);_(@_)"/>
    <numFmt numFmtId="181" formatCode="_-&quot;$&quot;* #,##0.00_-;\-&quot;$&quot;* #,##0.00_-;_-&quot;$&quot;* &quot;-&quot;??_-;_-@_-"/>
    <numFmt numFmtId="182" formatCode="_(* #,##0.0_);_(* \(#,##0.0\);_(* &quot;-&quot;??_);_(@_)"/>
    <numFmt numFmtId="183" formatCode="[$-409]mmm\-yy;@"/>
    <numFmt numFmtId="184" formatCode="#,##0.0_);\(#,##0.0\)"/>
    <numFmt numFmtId="185" formatCode="#,##0.00_);\(#,##0.00\)"/>
    <numFmt numFmtId="186" formatCode="#,##0.000_);\(#,##0.000\)"/>
    <numFmt numFmtId="187" formatCode="0."/>
    <numFmt numFmtId="188" formatCode="0.0."/>
    <numFmt numFmtId="189" formatCode="#,##0;\(#,##0\)"/>
    <numFmt numFmtId="190" formatCode="\-"/>
    <numFmt numFmtId="191" formatCode="#,##0.0;[Red]\-#,##0.0"/>
    <numFmt numFmtId="192" formatCode="#,##0.000_);[Red]\(#,##0.000\)"/>
    <numFmt numFmtId="193" formatCode="#,##0.0_);[Red]\(#,##0.0\)"/>
    <numFmt numFmtId="194" formatCode="[$-409]d\-mmm\-yy;@"/>
    <numFmt numFmtId="195" formatCode="[$-409]dd\-mmm\-yy;@"/>
    <numFmt numFmtId="196" formatCode="#,##0_ ;[Red]\-#,##0\ "/>
    <numFmt numFmtId="197" formatCode="0.000"/>
    <numFmt numFmtId="198" formatCode="[$-409]mmmm\-yy;@"/>
    <numFmt numFmtId="199" formatCode="dd\ mmmm"/>
    <numFmt numFmtId="200" formatCode="d\ mmm"/>
    <numFmt numFmtId="201" formatCode="dd\-mmmm"/>
    <numFmt numFmtId="202" formatCode="mmm\ "/>
    <numFmt numFmtId="203" formatCode="\(0\)"/>
    <numFmt numFmtId="204" formatCode="#,##0.000000000000"/>
    <numFmt numFmtId="205" formatCode="&quot;+&quot;#,##0.0"/>
    <numFmt numFmtId="206" formatCode="0.0000"/>
    <numFmt numFmtId="207" formatCode="[$-409]d\-mmm;@"/>
    <numFmt numFmtId="208" formatCode="#,##0_ ;\-#,##0\ "/>
    <numFmt numFmtId="209" formatCode="_-* #,##0.0000_-;\-* #,##0.0000_-;_-* &quot;-&quot;??_-;_-@_-"/>
    <numFmt numFmtId="210" formatCode="_-* #,##0.000_-;\-* #,##0.000_-;_-* &quot;-&quot;??_-;_-@_-"/>
    <numFmt numFmtId="211" formatCode="#,##0.0000"/>
    <numFmt numFmtId="212" formatCode="0.0_);\(0.0\)"/>
    <numFmt numFmtId="213" formatCode="[$-409]mmmmm;@"/>
    <numFmt numFmtId="214" formatCode="#,##0.00_ ;\-#,##0.00\ "/>
    <numFmt numFmtId="215" formatCode="#\ ###\ ##0;\-#\ ###;&quot;-&quot;"/>
    <numFmt numFmtId="216" formatCode="_(* #,##0_);_(* \(#,##0\);_(* &quot;-&quot;_);_(@_)"/>
  </numFmts>
  <fonts count="188">
    <font>
      <sz val="11"/>
      <color theme="1"/>
      <name val="Calibri"/>
      <family val="2"/>
      <scheme val="minor"/>
    </font>
    <font>
      <sz val="11"/>
      <color theme="1"/>
      <name val="Calibri"/>
      <family val="2"/>
      <scheme val="minor"/>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sz val="9"/>
      <color rgb="FF002060"/>
      <name val="Arial"/>
      <family val="2"/>
    </font>
    <font>
      <i/>
      <vertAlign val="superscript"/>
      <sz val="9"/>
      <color indexed="18"/>
      <name val="Arial"/>
      <family val="2"/>
    </font>
    <font>
      <i/>
      <sz val="9"/>
      <color indexed="18"/>
      <name val="Arial"/>
      <family val="2"/>
    </font>
    <font>
      <u/>
      <sz val="10"/>
      <color indexed="12"/>
      <name val="Arial"/>
      <family val="2"/>
    </font>
    <font>
      <sz val="12"/>
      <name val="Times New Roman"/>
      <family val="1"/>
    </font>
    <font>
      <sz val="10"/>
      <name val="MS Sans Serif"/>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sz val="11"/>
      <name val="Times New Roman"/>
      <family val="1"/>
    </font>
    <font>
      <i/>
      <sz val="9"/>
      <name val="Arial"/>
      <family val="2"/>
    </font>
    <font>
      <u/>
      <sz val="9"/>
      <name val="Arial"/>
      <family val="2"/>
    </font>
    <font>
      <sz val="11"/>
      <name val="MS Sans Serif"/>
      <family val="2"/>
    </font>
    <font>
      <b/>
      <sz val="11"/>
      <name val="MS Sans Serif"/>
      <family val="2"/>
    </font>
    <font>
      <i/>
      <sz val="10"/>
      <name val="MS Sans Serif"/>
      <family val="2"/>
    </font>
    <font>
      <b/>
      <sz val="12"/>
      <name val="Times New Roman"/>
      <family val="1"/>
    </font>
    <font>
      <b/>
      <u/>
      <sz val="10"/>
      <name val="Arial"/>
      <family val="2"/>
    </font>
    <font>
      <b/>
      <i/>
      <sz val="10"/>
      <name val="Arial"/>
      <family val="2"/>
    </font>
    <font>
      <sz val="10"/>
      <name val="Times New Roman"/>
      <family val="1"/>
    </font>
    <font>
      <i/>
      <sz val="10"/>
      <name val="Arial"/>
      <family val="2"/>
    </font>
    <font>
      <sz val="10"/>
      <name val="Arial"/>
    </font>
    <font>
      <b/>
      <sz val="13"/>
      <name val="Times New Roman"/>
      <family val="1"/>
    </font>
    <font>
      <b/>
      <sz val="10"/>
      <name val="Times New Roman"/>
      <family val="1"/>
    </font>
    <font>
      <i/>
      <sz val="10"/>
      <name val="Times New Roman"/>
      <family val="1"/>
    </font>
    <font>
      <b/>
      <i/>
      <sz val="9"/>
      <name val="Times New Roman"/>
      <family val="1"/>
    </font>
    <font>
      <b/>
      <sz val="12"/>
      <name val="Arial"/>
      <family val="2"/>
    </font>
    <font>
      <b/>
      <i/>
      <sz val="9"/>
      <name val="Arial"/>
      <family val="2"/>
    </font>
    <font>
      <i/>
      <sz val="8.5"/>
      <name val="Arial"/>
      <family val="2"/>
    </font>
    <font>
      <sz val="8.5"/>
      <name val="Arial"/>
      <family val="2"/>
    </font>
    <font>
      <b/>
      <sz val="9"/>
      <color indexed="10"/>
      <name val="Arial"/>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i/>
      <vertAlign val="superscript"/>
      <sz val="9"/>
      <color indexed="8"/>
      <name val="Arial"/>
      <family val="2"/>
    </font>
    <font>
      <i/>
      <sz val="9"/>
      <color indexed="8"/>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b/>
      <vertAlign val="superscript"/>
      <sz val="12"/>
      <name val="Arial"/>
      <family val="2"/>
    </font>
    <font>
      <b/>
      <vertAlign val="superscript"/>
      <sz val="10"/>
      <name val="Arial"/>
      <family val="2"/>
    </font>
    <font>
      <b/>
      <sz val="10"/>
      <color indexed="23"/>
      <name val="Arial"/>
      <family val="2"/>
    </font>
    <font>
      <vertAlign val="superscript"/>
      <sz val="10"/>
      <name val="Arial"/>
      <family val="2"/>
    </font>
    <font>
      <i/>
      <sz val="12"/>
      <name val="Arial"/>
      <family val="2"/>
    </font>
    <font>
      <b/>
      <sz val="11"/>
      <name val="Times New Roman"/>
      <family val="1"/>
    </font>
    <font>
      <b/>
      <i/>
      <sz val="10"/>
      <name val="Times New Roman"/>
      <family val="1"/>
    </font>
    <font>
      <sz val="12"/>
      <color indexed="10"/>
      <name val="Arial"/>
      <family val="2"/>
    </font>
    <font>
      <sz val="10"/>
      <color indexed="8"/>
      <name val="Times New Roman"/>
      <family val="1"/>
    </font>
    <font>
      <b/>
      <sz val="10"/>
      <color indexed="8"/>
      <name val="Times New Roman"/>
      <family val="1"/>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b/>
      <vertAlign val="superscript"/>
      <sz val="10"/>
      <name val="Times New Roman"/>
      <family val="1"/>
    </font>
    <font>
      <b/>
      <i/>
      <sz val="12"/>
      <name val="Times New Roman"/>
      <family val="1"/>
    </font>
    <font>
      <vertAlign val="superscript"/>
      <sz val="10"/>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vertAlign val="superscript"/>
      <sz val="9"/>
      <name val="Times New Roman"/>
      <family val="1"/>
    </font>
    <font>
      <sz val="14"/>
      <name val="Arial"/>
      <family val="2"/>
    </font>
    <font>
      <i/>
      <sz val="12"/>
      <name val="Times New Roman"/>
      <family val="1"/>
    </font>
    <font>
      <sz val="13"/>
      <name val="Times New Roman"/>
      <family val="1"/>
    </font>
    <font>
      <sz val="13"/>
      <name val="Arial"/>
      <family val="2"/>
    </font>
    <font>
      <b/>
      <sz val="8"/>
      <name val="Arial"/>
      <family val="2"/>
    </font>
    <font>
      <b/>
      <sz val="14"/>
      <name val="Arial"/>
      <family val="2"/>
    </font>
    <font>
      <i/>
      <sz val="11"/>
      <name val="Arial"/>
      <family val="2"/>
    </font>
    <font>
      <b/>
      <vertAlign val="superscript"/>
      <sz val="11"/>
      <name val="Times New Roman"/>
      <family val="1"/>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Times New Roman"/>
      <family val="1"/>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sz val="10"/>
      <color indexed="62"/>
      <name val="Times New Roman"/>
      <family val="1"/>
    </font>
    <font>
      <b/>
      <sz val="10"/>
      <color indexed="62"/>
      <name val="Times New Roman"/>
      <family val="1"/>
    </font>
    <font>
      <i/>
      <vertAlign val="superscrip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sz val="10"/>
      <name val="Bookman Old Style"/>
      <family val="1"/>
    </font>
    <font>
      <sz val="9"/>
      <name val="Bookman Old Style"/>
      <family val="1"/>
    </font>
    <font>
      <b/>
      <vertAlign val="superscript"/>
      <sz val="9"/>
      <name val="Times New Roman"/>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i/>
      <vertAlign val="superscript"/>
      <sz val="10"/>
      <name val="Arial"/>
      <family val="2"/>
    </font>
    <font>
      <i/>
      <sz val="11"/>
      <color theme="1"/>
      <name val="Calibri"/>
      <family val="2"/>
      <scheme val="minor"/>
    </font>
    <font>
      <sz val="10"/>
      <color theme="1"/>
      <name val="Calibri"/>
      <family val="2"/>
      <scheme val="minor"/>
    </font>
    <font>
      <u/>
      <sz val="10"/>
      <name val="Arial"/>
      <family val="2"/>
    </font>
    <font>
      <i/>
      <vertAlign val="superscript"/>
      <sz val="16"/>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b/>
      <sz val="10"/>
      <color indexed="8"/>
      <name val="Arial"/>
      <family val="2"/>
    </font>
    <font>
      <vertAlign val="superscript"/>
      <sz val="10"/>
      <color indexed="18"/>
      <name val="Arial"/>
      <family val="2"/>
    </font>
    <font>
      <b/>
      <sz val="13"/>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8"/>
      <name val="Arial"/>
      <family val="2"/>
    </font>
    <font>
      <sz val="18"/>
      <name val="Arial"/>
      <family val="2"/>
    </font>
    <font>
      <sz val="10"/>
      <color indexed="8"/>
      <name val="Arial"/>
      <family val="2"/>
    </font>
    <font>
      <u val="singleAccounting"/>
      <sz val="10"/>
      <name val="Arial"/>
      <family val="2"/>
    </font>
    <font>
      <b/>
      <sz val="10.5"/>
      <name val="Arial"/>
      <family val="2"/>
    </font>
    <font>
      <b/>
      <sz val="10"/>
      <color indexed="41"/>
      <name val="Arial"/>
      <family val="2"/>
    </font>
    <font>
      <b/>
      <sz val="11"/>
      <color indexed="8"/>
      <name val="Calibri"/>
      <family val="2"/>
    </font>
  </fonts>
  <fills count="3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22"/>
        <bgColor indexed="64"/>
      </patternFill>
    </fill>
    <fill>
      <patternFill patternType="mediumGray">
        <fgColor indexed="22"/>
        <bgColor indexed="9"/>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gray125">
        <fgColor indexed="22"/>
        <bgColor theme="0"/>
      </patternFill>
    </fill>
    <fill>
      <patternFill patternType="lightGray">
        <fgColor indexed="22"/>
        <bgColor indexed="22"/>
      </patternFill>
    </fill>
    <fill>
      <patternFill patternType="solid">
        <fgColor indexed="22"/>
        <bgColor indexed="9"/>
      </patternFill>
    </fill>
    <fill>
      <patternFill patternType="solid">
        <fgColor indexed="22"/>
        <bgColor indexed="22"/>
      </patternFill>
    </fill>
    <fill>
      <patternFill patternType="solid">
        <fgColor indexed="9"/>
        <bgColor indexed="64"/>
      </patternFill>
    </fill>
    <fill>
      <patternFill patternType="solid">
        <fgColor indexed="9"/>
        <bgColor indexed="22"/>
      </patternFill>
    </fill>
    <fill>
      <patternFill patternType="mediumGray">
        <fgColor indexed="22"/>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gray0625">
        <fgColor indexed="22"/>
        <bgColor theme="2"/>
      </patternFill>
    </fill>
    <fill>
      <patternFill patternType="solid">
        <fgColor indexed="9"/>
        <bgColor indexed="9"/>
      </patternFill>
    </fill>
    <fill>
      <patternFill patternType="lightGray">
        <bgColor theme="2"/>
      </patternFill>
    </fill>
    <fill>
      <patternFill patternType="solid">
        <fgColor indexed="22"/>
        <bgColor indexed="41"/>
      </patternFill>
    </fill>
    <fill>
      <patternFill patternType="solid">
        <fgColor indexed="52"/>
        <bgColor indexed="64"/>
      </patternFill>
    </fill>
    <fill>
      <patternFill patternType="gray125">
        <bgColor indexed="9"/>
      </patternFill>
    </fill>
    <fill>
      <patternFill patternType="gray125">
        <bgColor theme="2"/>
      </patternFill>
    </fill>
  </fills>
  <borders count="3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n">
        <color indexed="64"/>
      </right>
      <top style="medium">
        <color indexed="64"/>
      </top>
      <bottom/>
      <diagonal/>
    </border>
    <border>
      <left/>
      <right style="double">
        <color indexed="64"/>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top/>
      <bottom/>
      <diagonal/>
    </border>
    <border>
      <left style="double">
        <color indexed="64"/>
      </left>
      <right style="medium">
        <color indexed="64"/>
      </right>
      <top/>
      <bottom/>
      <diagonal/>
    </border>
    <border>
      <left style="double">
        <color indexed="64"/>
      </left>
      <right style="double">
        <color indexed="64"/>
      </right>
      <top/>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medium">
        <color indexed="64"/>
      </left>
      <right/>
      <top style="thick">
        <color indexed="64"/>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right/>
      <top style="thin">
        <color indexed="64"/>
      </top>
      <bottom/>
      <diagonal/>
    </border>
    <border>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ck">
        <color indexed="64"/>
      </left>
      <right style="thin">
        <color indexed="64"/>
      </right>
      <top/>
      <bottom/>
      <diagonal/>
    </border>
    <border>
      <left style="thin">
        <color indexed="64"/>
      </left>
      <right style="double">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double">
        <color indexed="64"/>
      </right>
      <top style="medium">
        <color indexed="64"/>
      </top>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s>
  <cellStyleXfs count="52">
    <xf numFmtId="0" fontId="0"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9" fillId="0" borderId="0"/>
    <xf numFmtId="0" fontId="10" fillId="0" borderId="0">
      <alignment horizontal="left" vertical="top" wrapText="1"/>
    </xf>
    <xf numFmtId="43" fontId="2" fillId="0" borderId="0" applyFont="0" applyFill="0" applyBorder="0" applyAlignment="0" applyProtection="0"/>
    <xf numFmtId="0" fontId="2" fillId="0" borderId="0"/>
    <xf numFmtId="4" fontId="10"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2" fillId="0" borderId="0"/>
    <xf numFmtId="0" fontId="15" fillId="0" borderId="0"/>
    <xf numFmtId="0" fontId="16" fillId="0" borderId="0"/>
    <xf numFmtId="40" fontId="21" fillId="0" borderId="0" applyFont="0" applyFill="0" applyBorder="0" applyAlignment="0" applyProtection="0"/>
    <xf numFmtId="0" fontId="35" fillId="0" borderId="0"/>
    <xf numFmtId="43" fontId="35" fillId="0" borderId="0" applyFont="0" applyFill="0" applyBorder="0" applyAlignment="0" applyProtection="0"/>
    <xf numFmtId="175" fontId="45" fillId="0" borderId="9" applyNumberFormat="0" applyFill="0" applyBorder="0" applyAlignment="0">
      <protection locked="0"/>
    </xf>
    <xf numFmtId="0" fontId="21" fillId="0" borderId="0"/>
    <xf numFmtId="0" fontId="35" fillId="0" borderId="0"/>
    <xf numFmtId="0" fontId="33" fillId="0" borderId="0"/>
    <xf numFmtId="9" fontId="35" fillId="0" borderId="0" applyFont="0" applyFill="0" applyBorder="0" applyAlignment="0" applyProtection="0"/>
    <xf numFmtId="0" fontId="2" fillId="0" borderId="0"/>
    <xf numFmtId="180" fontId="2" fillId="0" borderId="0" applyFont="0" applyFill="0" applyBorder="0" applyAlignment="0" applyProtection="0"/>
    <xf numFmtId="180" fontId="1"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0" fontId="21" fillId="0" borderId="0"/>
    <xf numFmtId="181" fontId="35" fillId="0" borderId="0" applyFont="0" applyFill="0" applyBorder="0" applyAlignment="0" applyProtection="0"/>
    <xf numFmtId="180" fontId="35" fillId="0" borderId="0" applyFont="0" applyFill="0" applyBorder="0" applyAlignment="0" applyProtection="0"/>
    <xf numFmtId="180" fontId="9" fillId="0" borderId="0" applyFont="0" applyFill="0" applyBorder="0" applyAlignment="0" applyProtection="0"/>
    <xf numFmtId="0" fontId="21" fillId="0" borderId="0"/>
    <xf numFmtId="40" fontId="21" fillId="0" borderId="0" applyFont="0" applyFill="0" applyBorder="0" applyAlignment="0" applyProtection="0"/>
    <xf numFmtId="0" fontId="21" fillId="0" borderId="0"/>
    <xf numFmtId="0" fontId="21" fillId="0" borderId="0"/>
    <xf numFmtId="0" fontId="35" fillId="0" borderId="0"/>
    <xf numFmtId="43" fontId="35"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5" fillId="0" borderId="0"/>
    <xf numFmtId="180" fontId="2" fillId="0" borderId="0" applyFont="0" applyFill="0" applyBorder="0" applyAlignment="0" applyProtection="0"/>
    <xf numFmtId="0" fontId="35" fillId="0" borderId="0"/>
    <xf numFmtId="43" fontId="35" fillId="0" borderId="0" applyFont="0" applyFill="0" applyBorder="0" applyAlignment="0" applyProtection="0"/>
    <xf numFmtId="0" fontId="35" fillId="0" borderId="0"/>
  </cellStyleXfs>
  <cellXfs count="3605">
    <xf numFmtId="0" fontId="0" fillId="0" borderId="0" xfId="0"/>
    <xf numFmtId="0" fontId="4" fillId="2" borderId="0" xfId="2" applyFont="1" applyFill="1"/>
    <xf numFmtId="0" fontId="4" fillId="0" borderId="0" xfId="3" applyFont="1" applyFill="1"/>
    <xf numFmtId="0" fontId="4" fillId="0" borderId="0" xfId="2" applyFont="1" applyFill="1"/>
    <xf numFmtId="0" fontId="7" fillId="0" borderId="0" xfId="2" applyFont="1" applyFill="1"/>
    <xf numFmtId="0" fontId="17" fillId="0" borderId="0" xfId="14" applyFont="1" applyBorder="1"/>
    <xf numFmtId="0" fontId="18" fillId="0" borderId="0" xfId="14" applyFont="1" applyBorder="1" applyAlignment="1">
      <alignment horizontal="left"/>
    </xf>
    <xf numFmtId="0" fontId="18" fillId="0" borderId="0" xfId="14" applyFont="1" applyBorder="1"/>
    <xf numFmtId="0" fontId="19" fillId="0" borderId="0" xfId="14" applyFont="1" applyBorder="1"/>
    <xf numFmtId="0" fontId="20" fillId="0" borderId="0" xfId="14" applyFont="1" applyAlignment="1">
      <alignment horizontal="center"/>
    </xf>
    <xf numFmtId="40" fontId="0" fillId="0" borderId="0" xfId="15" applyFont="1"/>
    <xf numFmtId="0" fontId="16" fillId="0" borderId="0" xfId="14"/>
    <xf numFmtId="0" fontId="22" fillId="0" borderId="0" xfId="14" applyFont="1"/>
    <xf numFmtId="0" fontId="23" fillId="0" borderId="0" xfId="14" applyFont="1" applyBorder="1"/>
    <xf numFmtId="0" fontId="23" fillId="4" borderId="17" xfId="14" applyFont="1" applyFill="1" applyBorder="1"/>
    <xf numFmtId="0" fontId="23" fillId="4" borderId="18" xfId="14" applyFont="1" applyFill="1" applyBorder="1" applyAlignment="1">
      <alignment horizontal="center"/>
    </xf>
    <xf numFmtId="171" fontId="18" fillId="4" borderId="18" xfId="14" applyNumberFormat="1" applyFont="1" applyFill="1" applyBorder="1" applyAlignment="1">
      <alignment horizontal="center"/>
    </xf>
    <xf numFmtId="0" fontId="19" fillId="4" borderId="18" xfId="14" applyFont="1" applyFill="1" applyBorder="1" applyAlignment="1">
      <alignment horizontal="center"/>
    </xf>
    <xf numFmtId="0" fontId="22" fillId="4" borderId="19" xfId="14" applyFont="1" applyFill="1" applyBorder="1"/>
    <xf numFmtId="40" fontId="0" fillId="0" borderId="5" xfId="15" applyFont="1" applyBorder="1"/>
    <xf numFmtId="0" fontId="23" fillId="4" borderId="5" xfId="14" applyFont="1" applyFill="1" applyBorder="1"/>
    <xf numFmtId="0" fontId="23" fillId="4" borderId="0" xfId="14" applyFont="1" applyFill="1" applyBorder="1" applyAlignment="1">
      <alignment horizontal="center"/>
    </xf>
    <xf numFmtId="171" fontId="18" fillId="4" borderId="0" xfId="14" applyNumberFormat="1" applyFont="1" applyFill="1" applyBorder="1" applyAlignment="1">
      <alignment horizontal="center"/>
    </xf>
    <xf numFmtId="0" fontId="19" fillId="4" borderId="0" xfId="14" applyFont="1" applyFill="1" applyBorder="1" applyAlignment="1">
      <alignment horizontal="center"/>
    </xf>
    <xf numFmtId="171" fontId="23" fillId="4" borderId="0" xfId="14" applyNumberFormat="1" applyFont="1" applyFill="1" applyBorder="1" applyAlignment="1">
      <alignment horizontal="center"/>
    </xf>
    <xf numFmtId="0" fontId="22" fillId="4" borderId="20" xfId="14" applyFont="1" applyFill="1" applyBorder="1"/>
    <xf numFmtId="0" fontId="19" fillId="4" borderId="0" xfId="14" applyFont="1" applyFill="1" applyBorder="1"/>
    <xf numFmtId="4" fontId="23" fillId="4" borderId="0" xfId="14" applyNumberFormat="1" applyFont="1" applyFill="1" applyBorder="1" applyAlignment="1">
      <alignment horizontal="right"/>
    </xf>
    <xf numFmtId="4" fontId="19" fillId="0" borderId="0" xfId="14" applyNumberFormat="1" applyFont="1" applyBorder="1"/>
    <xf numFmtId="0" fontId="22" fillId="0" borderId="20" xfId="14" applyFont="1" applyBorder="1"/>
    <xf numFmtId="0" fontId="16" fillId="0" borderId="5" xfId="14" applyBorder="1"/>
    <xf numFmtId="0" fontId="19" fillId="4" borderId="5" xfId="14" applyFont="1" applyFill="1" applyBorder="1"/>
    <xf numFmtId="3" fontId="19" fillId="0" borderId="0" xfId="14" applyNumberFormat="1" applyFont="1" applyBorder="1" applyAlignment="1"/>
    <xf numFmtId="3" fontId="23" fillId="0" borderId="0" xfId="14" applyNumberFormat="1" applyFont="1" applyBorder="1" applyAlignment="1">
      <alignment horizontal="center"/>
    </xf>
    <xf numFmtId="3" fontId="19" fillId="0" borderId="21" xfId="14" applyNumberFormat="1" applyFont="1" applyBorder="1" applyAlignment="1"/>
    <xf numFmtId="0" fontId="24" fillId="0" borderId="0" xfId="14" applyFont="1" applyBorder="1"/>
    <xf numFmtId="172" fontId="19" fillId="0" borderId="0" xfId="15" applyNumberFormat="1" applyFont="1" applyBorder="1" applyAlignment="1">
      <alignment horizontal="center"/>
    </xf>
    <xf numFmtId="0" fontId="24" fillId="4" borderId="5" xfId="14" applyFont="1" applyFill="1" applyBorder="1"/>
    <xf numFmtId="3" fontId="19" fillId="0" borderId="22" xfId="14" applyNumberFormat="1" applyFont="1" applyBorder="1" applyAlignment="1"/>
    <xf numFmtId="0" fontId="18" fillId="4" borderId="5" xfId="14" applyFont="1" applyFill="1" applyBorder="1"/>
    <xf numFmtId="0" fontId="23" fillId="0" borderId="0" xfId="14" applyFont="1" applyBorder="1" applyAlignment="1">
      <alignment horizontal="center"/>
    </xf>
    <xf numFmtId="3" fontId="25" fillId="0" borderId="0" xfId="14" applyNumberFormat="1" applyFont="1" applyBorder="1"/>
    <xf numFmtId="39" fontId="19" fillId="0" borderId="0" xfId="14" applyNumberFormat="1" applyFont="1" applyBorder="1"/>
    <xf numFmtId="40" fontId="16" fillId="0" borderId="5" xfId="14" applyNumberFormat="1" applyBorder="1"/>
    <xf numFmtId="3" fontId="19" fillId="0" borderId="23" xfId="14" applyNumberFormat="1" applyFont="1" applyBorder="1"/>
    <xf numFmtId="3" fontId="19" fillId="0" borderId="11" xfId="14" applyNumberFormat="1" applyFont="1" applyBorder="1"/>
    <xf numFmtId="3" fontId="19" fillId="0" borderId="24" xfId="14" applyNumberFormat="1" applyFont="1" applyBorder="1"/>
    <xf numFmtId="3" fontId="19" fillId="0" borderId="0" xfId="14" applyNumberFormat="1" applyFont="1" applyBorder="1" applyAlignment="1">
      <alignment horizontal="right"/>
    </xf>
    <xf numFmtId="3" fontId="19" fillId="0" borderId="0" xfId="14" applyNumberFormat="1" applyFont="1" applyBorder="1"/>
    <xf numFmtId="3" fontId="19" fillId="0" borderId="21" xfId="14" applyNumberFormat="1" applyFont="1" applyBorder="1"/>
    <xf numFmtId="0" fontId="26" fillId="4" borderId="5" xfId="14" applyFont="1" applyFill="1" applyBorder="1"/>
    <xf numFmtId="3" fontId="19" fillId="0" borderId="25" xfId="14" applyNumberFormat="1" applyFont="1" applyBorder="1"/>
    <xf numFmtId="0" fontId="19" fillId="4" borderId="26" xfId="14" applyFont="1" applyFill="1" applyBorder="1"/>
    <xf numFmtId="0" fontId="19" fillId="0" borderId="27" xfId="14" applyFont="1" applyBorder="1"/>
    <xf numFmtId="39" fontId="19" fillId="0" borderId="27" xfId="14" applyNumberFormat="1" applyFont="1" applyBorder="1"/>
    <xf numFmtId="0" fontId="22" fillId="0" borderId="28" xfId="14" applyFont="1" applyBorder="1"/>
    <xf numFmtId="0" fontId="22" fillId="0" borderId="0" xfId="14" applyFont="1" applyBorder="1"/>
    <xf numFmtId="0" fontId="16" fillId="0" borderId="0" xfId="14" applyBorder="1"/>
    <xf numFmtId="0" fontId="25" fillId="0" borderId="0" xfId="14" applyFont="1" applyBorder="1"/>
    <xf numFmtId="0" fontId="27" fillId="0" borderId="0" xfId="14" applyFont="1"/>
    <xf numFmtId="39" fontId="27" fillId="0" borderId="0" xfId="14" applyNumberFormat="1" applyFont="1"/>
    <xf numFmtId="39" fontId="28" fillId="0" borderId="0" xfId="14" applyNumberFormat="1" applyFont="1"/>
    <xf numFmtId="0" fontId="29" fillId="0" borderId="0" xfId="14" applyFont="1"/>
    <xf numFmtId="0" fontId="20" fillId="0" borderId="0" xfId="14" applyFont="1"/>
    <xf numFmtId="38" fontId="17" fillId="0" borderId="0" xfId="15" applyNumberFormat="1" applyFont="1"/>
    <xf numFmtId="0" fontId="30" fillId="0" borderId="0" xfId="14" applyFont="1"/>
    <xf numFmtId="0" fontId="15" fillId="0" borderId="0" xfId="14" applyFont="1"/>
    <xf numFmtId="0" fontId="2" fillId="0" borderId="0" xfId="14" applyFont="1" applyBorder="1"/>
    <xf numFmtId="38" fontId="2" fillId="0" borderId="0" xfId="15" applyNumberFormat="1" applyFont="1" applyBorder="1"/>
    <xf numFmtId="0" fontId="2" fillId="5" borderId="29" xfId="14" applyFont="1" applyFill="1" applyBorder="1"/>
    <xf numFmtId="171" fontId="31" fillId="5" borderId="30" xfId="15" applyNumberFormat="1" applyFont="1" applyFill="1" applyBorder="1" applyAlignment="1">
      <alignment horizontal="center"/>
    </xf>
    <xf numFmtId="171" fontId="31" fillId="5" borderId="31" xfId="14" applyNumberFormat="1" applyFont="1" applyFill="1" applyBorder="1" applyAlignment="1">
      <alignment horizontal="center"/>
    </xf>
    <xf numFmtId="0" fontId="15" fillId="0" borderId="0" xfId="14" applyFont="1" applyBorder="1"/>
    <xf numFmtId="0" fontId="2" fillId="5" borderId="32" xfId="14" applyFont="1" applyFill="1" applyBorder="1"/>
    <xf numFmtId="38" fontId="17" fillId="5" borderId="0" xfId="15" applyNumberFormat="1" applyFont="1" applyFill="1" applyAlignment="1">
      <alignment horizontal="center"/>
    </xf>
    <xf numFmtId="0" fontId="17" fillId="5" borderId="33" xfId="14" applyFont="1" applyFill="1" applyBorder="1" applyAlignment="1">
      <alignment horizontal="center"/>
    </xf>
    <xf numFmtId="0" fontId="17" fillId="5" borderId="32" xfId="14" applyFont="1" applyFill="1" applyBorder="1"/>
    <xf numFmtId="38" fontId="2" fillId="0" borderId="0" xfId="15" applyNumberFormat="1" applyFont="1"/>
    <xf numFmtId="0" fontId="2" fillId="0" borderId="33" xfId="14" applyFont="1" applyBorder="1"/>
    <xf numFmtId="0" fontId="17" fillId="5" borderId="32" xfId="14" applyFont="1" applyFill="1" applyBorder="1" applyAlignment="1">
      <alignment horizontal="left"/>
    </xf>
    <xf numFmtId="37" fontId="2" fillId="0" borderId="33" xfId="14" applyNumberFormat="1" applyFont="1" applyBorder="1"/>
    <xf numFmtId="38" fontId="15" fillId="0" borderId="0" xfId="14" applyNumberFormat="1" applyFont="1"/>
    <xf numFmtId="38" fontId="2" fillId="0" borderId="23" xfId="15" applyNumberFormat="1" applyFont="1" applyBorder="1"/>
    <xf numFmtId="38" fontId="2" fillId="0" borderId="11" xfId="15" applyNumberFormat="1" applyFont="1" applyBorder="1"/>
    <xf numFmtId="38" fontId="2" fillId="0" borderId="24" xfId="15" applyNumberFormat="1" applyFont="1" applyBorder="1"/>
    <xf numFmtId="38" fontId="2" fillId="0" borderId="21" xfId="15" applyNumberFormat="1" applyFont="1" applyBorder="1"/>
    <xf numFmtId="0" fontId="32" fillId="5" borderId="32" xfId="14" applyFont="1" applyFill="1" applyBorder="1"/>
    <xf numFmtId="38" fontId="2" fillId="0" borderId="34" xfId="15" applyNumberFormat="1" applyFont="1" applyBorder="1"/>
    <xf numFmtId="38" fontId="17" fillId="0" borderId="35" xfId="15" applyNumberFormat="1" applyFont="1" applyBorder="1"/>
    <xf numFmtId="38" fontId="17" fillId="0" borderId="0" xfId="15" applyNumberFormat="1" applyFont="1" applyBorder="1"/>
    <xf numFmtId="37" fontId="17" fillId="0" borderId="33" xfId="14" applyNumberFormat="1" applyFont="1" applyBorder="1"/>
    <xf numFmtId="173" fontId="2" fillId="5" borderId="32" xfId="14" applyNumberFormat="1" applyFont="1" applyFill="1" applyBorder="1" applyAlignment="1">
      <alignment horizontal="left"/>
    </xf>
    <xf numFmtId="0" fontId="2" fillId="5" borderId="36" xfId="14" applyFont="1" applyFill="1" applyBorder="1"/>
    <xf numFmtId="38" fontId="2" fillId="0" borderId="37" xfId="15" applyNumberFormat="1" applyFont="1" applyBorder="1"/>
    <xf numFmtId="37" fontId="2" fillId="0" borderId="38" xfId="14" applyNumberFormat="1" applyFont="1" applyBorder="1"/>
    <xf numFmtId="38" fontId="33" fillId="0" borderId="0" xfId="15" applyNumberFormat="1" applyFont="1"/>
    <xf numFmtId="0" fontId="34" fillId="0" borderId="0" xfId="14" applyFont="1"/>
    <xf numFmtId="0" fontId="36" fillId="2" borderId="0" xfId="16" applyFont="1" applyFill="1" applyBorder="1" applyAlignment="1" applyProtection="1">
      <alignment horizontal="left"/>
    </xf>
    <xf numFmtId="0" fontId="33" fillId="2" borderId="0" xfId="16" applyFont="1" applyFill="1" applyAlignment="1" applyProtection="1">
      <alignment horizontal="centerContinuous"/>
    </xf>
    <xf numFmtId="0" fontId="15" fillId="2" borderId="0" xfId="16" applyFont="1" applyFill="1" applyBorder="1" applyAlignment="1" applyProtection="1">
      <alignment horizontal="centerContinuous"/>
    </xf>
    <xf numFmtId="0" fontId="2" fillId="0" borderId="0" xfId="16" applyFont="1"/>
    <xf numFmtId="0" fontId="37" fillId="2" borderId="0" xfId="16" applyFont="1" applyFill="1" applyAlignment="1">
      <alignment horizontal="left"/>
    </xf>
    <xf numFmtId="0" fontId="38" fillId="2" borderId="0" xfId="16" applyFont="1" applyFill="1"/>
    <xf numFmtId="0" fontId="33" fillId="2" borderId="0" xfId="16" applyFont="1" applyFill="1"/>
    <xf numFmtId="0" fontId="39" fillId="2" borderId="0" xfId="16" applyFont="1" applyFill="1" applyBorder="1" applyAlignment="1" applyProtection="1">
      <alignment horizontal="center"/>
    </xf>
    <xf numFmtId="0" fontId="40" fillId="6" borderId="29" xfId="16" applyFont="1" applyFill="1" applyBorder="1" applyAlignment="1" applyProtection="1">
      <alignment horizontal="centerContinuous" wrapText="1"/>
    </xf>
    <xf numFmtId="17" fontId="34" fillId="6" borderId="30" xfId="16" applyNumberFormat="1" applyFont="1" applyFill="1" applyBorder="1" applyAlignment="1">
      <alignment horizontal="centerContinuous"/>
    </xf>
    <xf numFmtId="17" fontId="2" fillId="6" borderId="30" xfId="16" applyNumberFormat="1" applyFont="1" applyFill="1" applyBorder="1" applyAlignment="1">
      <alignment horizontal="centerContinuous"/>
    </xf>
    <xf numFmtId="0" fontId="19" fillId="6" borderId="31" xfId="16" applyFont="1" applyFill="1" applyBorder="1" applyAlignment="1" applyProtection="1">
      <alignment horizontal="centerContinuous"/>
    </xf>
    <xf numFmtId="0" fontId="19" fillId="0" borderId="0" xfId="16" applyFont="1" applyFill="1" applyBorder="1" applyProtection="1"/>
    <xf numFmtId="0" fontId="19" fillId="6" borderId="32" xfId="16" applyFont="1" applyFill="1" applyBorder="1" applyProtection="1"/>
    <xf numFmtId="0" fontId="25" fillId="2" borderId="0" xfId="16" applyFont="1" applyFill="1" applyBorder="1" applyProtection="1"/>
    <xf numFmtId="0" fontId="19" fillId="2" borderId="0" xfId="16" applyFont="1" applyFill="1" applyBorder="1" applyProtection="1"/>
    <xf numFmtId="0" fontId="19" fillId="2" borderId="33" xfId="16" applyFont="1" applyFill="1" applyBorder="1" applyProtection="1"/>
    <xf numFmtId="0" fontId="23" fillId="6" borderId="32" xfId="16" applyFont="1" applyFill="1" applyBorder="1" applyProtection="1"/>
    <xf numFmtId="0" fontId="41" fillId="2" borderId="0" xfId="16" applyFont="1" applyFill="1" applyBorder="1" applyProtection="1"/>
    <xf numFmtId="170" fontId="23" fillId="2" borderId="33" xfId="16" applyNumberFormat="1" applyFont="1" applyFill="1" applyBorder="1" applyProtection="1"/>
    <xf numFmtId="38" fontId="23" fillId="0" borderId="0" xfId="16" applyNumberFormat="1" applyFont="1" applyFill="1" applyBorder="1" applyProtection="1"/>
    <xf numFmtId="170" fontId="19" fillId="0" borderId="0" xfId="16" applyNumberFormat="1" applyFont="1" applyFill="1" applyBorder="1" applyProtection="1"/>
    <xf numFmtId="38" fontId="25" fillId="2" borderId="0" xfId="16" applyNumberFormat="1" applyFont="1" applyFill="1" applyBorder="1" applyProtection="1"/>
    <xf numFmtId="170" fontId="19" fillId="2" borderId="0" xfId="16" applyNumberFormat="1" applyFont="1" applyFill="1" applyBorder="1" applyProtection="1"/>
    <xf numFmtId="0" fontId="23" fillId="2" borderId="33" xfId="16" applyFont="1" applyFill="1" applyBorder="1" applyProtection="1"/>
    <xf numFmtId="170" fontId="25" fillId="2" borderId="0" xfId="16" applyNumberFormat="1" applyFont="1" applyFill="1" applyBorder="1" applyProtection="1"/>
    <xf numFmtId="38" fontId="19" fillId="2" borderId="0" xfId="16" applyNumberFormat="1" applyFont="1" applyFill="1" applyBorder="1" applyProtection="1"/>
    <xf numFmtId="38" fontId="23" fillId="2" borderId="33" xfId="16" applyNumberFormat="1" applyFont="1" applyFill="1" applyBorder="1" applyProtection="1"/>
    <xf numFmtId="0" fontId="25" fillId="6" borderId="32" xfId="16" applyFont="1" applyFill="1" applyBorder="1" applyProtection="1"/>
    <xf numFmtId="0" fontId="23" fillId="0" borderId="0" xfId="16" applyFont="1" applyFill="1" applyBorder="1" applyProtection="1"/>
    <xf numFmtId="38" fontId="19" fillId="0" borderId="0" xfId="16" applyNumberFormat="1" applyFont="1" applyFill="1" applyBorder="1" applyProtection="1"/>
    <xf numFmtId="0" fontId="2" fillId="0" borderId="0" xfId="16" applyFont="1" applyFill="1" applyBorder="1" applyProtection="1"/>
    <xf numFmtId="0" fontId="2" fillId="2" borderId="0" xfId="16" applyFont="1" applyFill="1"/>
    <xf numFmtId="0" fontId="17" fillId="6" borderId="32" xfId="16" applyFont="1" applyFill="1" applyBorder="1" applyProtection="1"/>
    <xf numFmtId="170" fontId="2" fillId="0" borderId="0" xfId="16" applyNumberFormat="1" applyFont="1" applyFill="1" applyBorder="1" applyProtection="1"/>
    <xf numFmtId="0" fontId="2" fillId="6" borderId="32" xfId="16" applyFont="1" applyFill="1" applyBorder="1" applyProtection="1"/>
    <xf numFmtId="38" fontId="2" fillId="0" borderId="0" xfId="16" applyNumberFormat="1" applyFont="1" applyFill="1" applyBorder="1" applyProtection="1"/>
    <xf numFmtId="0" fontId="34" fillId="2" borderId="0" xfId="16" applyFont="1" applyFill="1" applyBorder="1"/>
    <xf numFmtId="0" fontId="2" fillId="2" borderId="0" xfId="16" applyFont="1" applyFill="1" applyBorder="1"/>
    <xf numFmtId="0" fontId="2" fillId="6" borderId="36" xfId="16" applyFont="1" applyFill="1" applyBorder="1"/>
    <xf numFmtId="0" fontId="34" fillId="2" borderId="37" xfId="16" applyFont="1" applyFill="1" applyBorder="1"/>
    <xf numFmtId="0" fontId="2" fillId="2" borderId="37" xfId="16" applyFont="1" applyFill="1" applyBorder="1"/>
    <xf numFmtId="0" fontId="17" fillId="2" borderId="38" xfId="16" applyFont="1" applyFill="1" applyBorder="1"/>
    <xf numFmtId="0" fontId="17" fillId="2" borderId="0" xfId="16" applyFont="1" applyFill="1" applyBorder="1"/>
    <xf numFmtId="0" fontId="25" fillId="2" borderId="0" xfId="16" applyFont="1" applyFill="1"/>
    <xf numFmtId="0" fontId="34" fillId="2" borderId="0" xfId="16" applyFont="1" applyFill="1"/>
    <xf numFmtId="0" fontId="17" fillId="2" borderId="0" xfId="16" applyFont="1" applyFill="1"/>
    <xf numFmtId="0" fontId="25" fillId="6" borderId="30" xfId="16" applyFont="1" applyFill="1" applyBorder="1" applyAlignment="1" applyProtection="1">
      <alignment horizontal="centerContinuous" wrapText="1"/>
    </xf>
    <xf numFmtId="0" fontId="19" fillId="6" borderId="30" xfId="16" applyFont="1" applyFill="1" applyBorder="1" applyAlignment="1" applyProtection="1">
      <alignment horizontal="centerContinuous" wrapText="1"/>
    </xf>
    <xf numFmtId="174" fontId="31" fillId="6" borderId="31" xfId="16" applyNumberFormat="1" applyFont="1" applyFill="1" applyBorder="1" applyAlignment="1">
      <alignment horizontal="centerContinuous"/>
    </xf>
    <xf numFmtId="38" fontId="42" fillId="2" borderId="0" xfId="17" applyNumberFormat="1" applyFont="1" applyFill="1" applyBorder="1" applyProtection="1"/>
    <xf numFmtId="38" fontId="43" fillId="2" borderId="0" xfId="17" applyNumberFormat="1" applyFont="1" applyFill="1" applyBorder="1" applyProtection="1"/>
    <xf numFmtId="0" fontId="19" fillId="6" borderId="32" xfId="16" applyFont="1" applyFill="1" applyBorder="1"/>
    <xf numFmtId="38" fontId="25" fillId="2" borderId="0" xfId="17" applyNumberFormat="1" applyFont="1" applyFill="1" applyBorder="1" applyProtection="1"/>
    <xf numFmtId="0" fontId="23" fillId="2" borderId="0" xfId="16" applyFont="1" applyFill="1" applyBorder="1" applyProtection="1"/>
    <xf numFmtId="170" fontId="2" fillId="0" borderId="0" xfId="16" applyNumberFormat="1" applyFont="1"/>
    <xf numFmtId="0" fontId="41" fillId="2" borderId="33" xfId="16" applyFont="1" applyFill="1" applyBorder="1" applyProtection="1"/>
    <xf numFmtId="170" fontId="41" fillId="2" borderId="33" xfId="16" applyNumberFormat="1" applyFont="1" applyFill="1" applyBorder="1" applyProtection="1"/>
    <xf numFmtId="164" fontId="19" fillId="2" borderId="0" xfId="16" applyNumberFormat="1" applyFont="1" applyFill="1" applyBorder="1" applyProtection="1"/>
    <xf numFmtId="164" fontId="25" fillId="2" borderId="0" xfId="16" applyNumberFormat="1" applyFont="1" applyFill="1" applyBorder="1" applyProtection="1"/>
    <xf numFmtId="38" fontId="44" fillId="2" borderId="33" xfId="16" applyNumberFormat="1" applyFont="1" applyFill="1" applyBorder="1" applyProtection="1"/>
    <xf numFmtId="0" fontId="19" fillId="6" borderId="36" xfId="16" applyFont="1" applyFill="1" applyBorder="1" applyProtection="1"/>
    <xf numFmtId="0" fontId="25" fillId="2" borderId="37" xfId="16" applyFont="1" applyFill="1" applyBorder="1" applyProtection="1"/>
    <xf numFmtId="0" fontId="19" fillId="2" borderId="37" xfId="16" applyFont="1" applyFill="1" applyBorder="1" applyProtection="1"/>
    <xf numFmtId="38" fontId="23" fillId="2" borderId="38" xfId="16" applyNumberFormat="1" applyFont="1" applyFill="1" applyBorder="1" applyProtection="1"/>
    <xf numFmtId="170" fontId="17" fillId="0" borderId="0" xfId="16" applyNumberFormat="1" applyFont="1"/>
    <xf numFmtId="0" fontId="17" fillId="0" borderId="0" xfId="16" applyFont="1"/>
    <xf numFmtId="0" fontId="36" fillId="2" borderId="0" xfId="16" applyFont="1" applyFill="1"/>
    <xf numFmtId="0" fontId="19" fillId="2" borderId="0" xfId="16" applyFont="1" applyFill="1"/>
    <xf numFmtId="0" fontId="23" fillId="2" borderId="0" xfId="16" applyFont="1" applyFill="1"/>
    <xf numFmtId="0" fontId="25" fillId="2" borderId="0" xfId="16" applyFont="1" applyFill="1" applyAlignment="1">
      <alignment horizontal="center"/>
    </xf>
    <xf numFmtId="0" fontId="23" fillId="6" borderId="39" xfId="16" applyFont="1" applyFill="1" applyBorder="1" applyAlignment="1">
      <alignment horizontal="center"/>
    </xf>
    <xf numFmtId="0" fontId="23" fillId="6" borderId="40" xfId="16" applyFont="1" applyFill="1" applyBorder="1" applyAlignment="1">
      <alignment horizontal="centerContinuous"/>
    </xf>
    <xf numFmtId="0" fontId="23" fillId="6" borderId="30" xfId="16" applyFont="1" applyFill="1" applyBorder="1" applyAlignment="1">
      <alignment horizontal="centerContinuous"/>
    </xf>
    <xf numFmtId="0" fontId="23" fillId="6" borderId="41" xfId="16" applyFont="1" applyFill="1" applyBorder="1" applyAlignment="1">
      <alignment horizontal="centerContinuous"/>
    </xf>
    <xf numFmtId="0" fontId="23" fillId="6" borderId="42" xfId="16" applyFont="1" applyFill="1" applyBorder="1" applyAlignment="1">
      <alignment horizontal="centerContinuous"/>
    </xf>
    <xf numFmtId="0" fontId="23" fillId="6" borderId="30" xfId="16" applyFont="1" applyFill="1" applyBorder="1" applyAlignment="1">
      <alignment horizontal="center" vertical="center"/>
    </xf>
    <xf numFmtId="0" fontId="23" fillId="6" borderId="43" xfId="16" applyFont="1" applyFill="1" applyBorder="1" applyAlignment="1">
      <alignment horizontal="center"/>
    </xf>
    <xf numFmtId="0" fontId="23" fillId="6" borderId="31" xfId="16" applyFont="1" applyFill="1" applyBorder="1" applyAlignment="1">
      <alignment horizontal="center"/>
    </xf>
    <xf numFmtId="0" fontId="23" fillId="6" borderId="44" xfId="16" applyFont="1" applyFill="1" applyBorder="1" applyAlignment="1">
      <alignment horizontal="center"/>
    </xf>
    <xf numFmtId="0" fontId="23" fillId="7" borderId="8" xfId="16" applyFont="1" applyFill="1" applyBorder="1" applyAlignment="1">
      <alignment horizontal="center"/>
    </xf>
    <xf numFmtId="0" fontId="23" fillId="7" borderId="7" xfId="16" applyFont="1" applyFill="1" applyBorder="1" applyAlignment="1">
      <alignment horizontal="center"/>
    </xf>
    <xf numFmtId="0" fontId="23" fillId="7" borderId="19" xfId="16" applyFont="1" applyFill="1" applyBorder="1" applyAlignment="1">
      <alignment horizontal="center"/>
    </xf>
    <xf numFmtId="0" fontId="23" fillId="7" borderId="6" xfId="16" applyFont="1" applyFill="1" applyBorder="1" applyAlignment="1">
      <alignment horizontal="center"/>
    </xf>
    <xf numFmtId="0" fontId="23" fillId="7" borderId="45" xfId="16" applyFont="1" applyFill="1" applyBorder="1" applyAlignment="1">
      <alignment horizontal="center"/>
    </xf>
    <xf numFmtId="0" fontId="23" fillId="6" borderId="46" xfId="16" applyFont="1" applyFill="1" applyBorder="1" applyAlignment="1">
      <alignment horizontal="centerContinuous"/>
    </xf>
    <xf numFmtId="0" fontId="23" fillId="6" borderId="0" xfId="16" applyFont="1" applyFill="1" applyBorder="1" applyAlignment="1">
      <alignment horizontal="center" vertical="center"/>
    </xf>
    <xf numFmtId="0" fontId="23" fillId="6" borderId="47" xfId="16" applyFont="1" applyFill="1" applyBorder="1" applyAlignment="1">
      <alignment horizontal="center"/>
    </xf>
    <xf numFmtId="0" fontId="23" fillId="6" borderId="33" xfId="16" applyFont="1" applyFill="1" applyBorder="1" applyAlignment="1">
      <alignment horizontal="center"/>
    </xf>
    <xf numFmtId="0" fontId="23" fillId="7" borderId="13" xfId="16" applyFont="1" applyFill="1" applyBorder="1" applyAlignment="1">
      <alignment horizontal="center"/>
    </xf>
    <xf numFmtId="0" fontId="23" fillId="7" borderId="11" xfId="16" applyFont="1" applyFill="1" applyBorder="1" applyAlignment="1">
      <alignment horizontal="center"/>
    </xf>
    <xf numFmtId="0" fontId="19" fillId="7" borderId="0" xfId="16" applyFont="1" applyFill="1"/>
    <xf numFmtId="0" fontId="23" fillId="7" borderId="12" xfId="16" applyFont="1" applyFill="1" applyBorder="1" applyAlignment="1">
      <alignment horizontal="center"/>
    </xf>
    <xf numFmtId="0" fontId="23" fillId="7" borderId="20" xfId="16" applyFont="1" applyFill="1" applyBorder="1" applyAlignment="1">
      <alignment horizontal="center"/>
    </xf>
    <xf numFmtId="0" fontId="23" fillId="6" borderId="0" xfId="16" applyFont="1" applyFill="1" applyBorder="1" applyAlignment="1">
      <alignment horizontal="center"/>
    </xf>
    <xf numFmtId="0" fontId="23" fillId="6" borderId="13" xfId="16" applyFont="1" applyFill="1" applyBorder="1" applyAlignment="1">
      <alignment horizontal="center"/>
    </xf>
    <xf numFmtId="176" fontId="23" fillId="6" borderId="44" xfId="16" applyNumberFormat="1" applyFont="1" applyFill="1" applyBorder="1" applyAlignment="1" applyProtection="1">
      <alignment horizontal="left"/>
      <protection locked="0" hidden="1"/>
    </xf>
    <xf numFmtId="170" fontId="19" fillId="2" borderId="13" xfId="16" applyNumberFormat="1" applyFont="1" applyFill="1" applyBorder="1"/>
    <xf numFmtId="170" fontId="19" fillId="2" borderId="11" xfId="16" applyNumberFormat="1" applyFont="1" applyFill="1" applyBorder="1"/>
    <xf numFmtId="170" fontId="23" fillId="2" borderId="20" xfId="16" applyNumberFormat="1" applyFont="1" applyFill="1" applyBorder="1"/>
    <xf numFmtId="170" fontId="19" fillId="2" borderId="12" xfId="16" applyNumberFormat="1" applyFont="1" applyFill="1" applyBorder="1"/>
    <xf numFmtId="170" fontId="23" fillId="2" borderId="46" xfId="16" applyNumberFormat="1" applyFont="1" applyFill="1" applyBorder="1"/>
    <xf numFmtId="170" fontId="19" fillId="2" borderId="47" xfId="16" applyNumberFormat="1" applyFont="1" applyFill="1" applyBorder="1"/>
    <xf numFmtId="170" fontId="23" fillId="2" borderId="33" xfId="16" applyNumberFormat="1" applyFont="1" applyFill="1" applyBorder="1"/>
    <xf numFmtId="170" fontId="19" fillId="2" borderId="44" xfId="16" applyNumberFormat="1" applyFont="1" applyFill="1" applyBorder="1"/>
    <xf numFmtId="170" fontId="19" fillId="2" borderId="0" xfId="16" applyNumberFormat="1" applyFont="1" applyFill="1"/>
    <xf numFmtId="17" fontId="23" fillId="6" borderId="44" xfId="16" applyNumberFormat="1" applyFont="1" applyFill="1" applyBorder="1" applyAlignment="1" applyProtection="1">
      <alignment horizontal="left"/>
      <protection locked="0" hidden="1"/>
    </xf>
    <xf numFmtId="170" fontId="19" fillId="2" borderId="13" xfId="17" applyNumberFormat="1" applyFont="1" applyFill="1" applyBorder="1" applyAlignment="1">
      <alignment horizontal="right"/>
    </xf>
    <xf numFmtId="170" fontId="23" fillId="2" borderId="20" xfId="16" applyNumberFormat="1" applyFont="1" applyFill="1" applyBorder="1" applyAlignment="1">
      <alignment horizontal="right"/>
    </xf>
    <xf numFmtId="170" fontId="23" fillId="2" borderId="46" xfId="16" applyNumberFormat="1" applyFont="1" applyFill="1" applyBorder="1" applyAlignment="1">
      <alignment horizontal="right"/>
    </xf>
    <xf numFmtId="170" fontId="19" fillId="2" borderId="0" xfId="16" applyNumberFormat="1" applyFont="1" applyFill="1" applyBorder="1"/>
    <xf numFmtId="170" fontId="47" fillId="2" borderId="0" xfId="16" applyNumberFormat="1" applyFont="1" applyFill="1"/>
    <xf numFmtId="177" fontId="48" fillId="2" borderId="0" xfId="16" applyNumberFormat="1" applyFont="1" applyFill="1" applyBorder="1"/>
    <xf numFmtId="170" fontId="23" fillId="2" borderId="0" xfId="16" applyNumberFormat="1" applyFont="1" applyFill="1" applyBorder="1"/>
    <xf numFmtId="17" fontId="23" fillId="6" borderId="44" xfId="16" quotePrefix="1" applyNumberFormat="1" applyFont="1" applyFill="1" applyBorder="1" applyAlignment="1" applyProtection="1">
      <alignment horizontal="left"/>
      <protection locked="0" hidden="1"/>
    </xf>
    <xf numFmtId="170" fontId="19" fillId="0" borderId="13" xfId="16" applyNumberFormat="1" applyFont="1" applyFill="1" applyBorder="1"/>
    <xf numFmtId="170" fontId="23" fillId="0" borderId="20" xfId="16" applyNumberFormat="1" applyFont="1" applyFill="1" applyBorder="1"/>
    <xf numFmtId="170" fontId="19" fillId="0" borderId="13" xfId="17" applyNumberFormat="1" applyFont="1" applyFill="1" applyBorder="1" applyAlignment="1">
      <alignment horizontal="right"/>
    </xf>
    <xf numFmtId="170" fontId="23" fillId="0" borderId="20" xfId="16" applyNumberFormat="1" applyFont="1" applyFill="1" applyBorder="1" applyAlignment="1">
      <alignment horizontal="right"/>
    </xf>
    <xf numFmtId="170" fontId="23" fillId="0" borderId="46" xfId="16" applyNumberFormat="1" applyFont="1" applyFill="1" applyBorder="1" applyAlignment="1">
      <alignment horizontal="right"/>
    </xf>
    <xf numFmtId="170" fontId="19" fillId="0" borderId="47" xfId="16" applyNumberFormat="1" applyFont="1" applyFill="1" applyBorder="1"/>
    <xf numFmtId="170" fontId="23" fillId="0" borderId="33" xfId="16" applyNumberFormat="1" applyFont="1" applyFill="1" applyBorder="1"/>
    <xf numFmtId="170" fontId="19" fillId="0" borderId="44" xfId="16" applyNumberFormat="1" applyFont="1" applyFill="1" applyBorder="1"/>
    <xf numFmtId="17" fontId="23" fillId="6" borderId="48" xfId="16" applyNumberFormat="1" applyFont="1" applyFill="1" applyBorder="1" applyAlignment="1" applyProtection="1">
      <alignment horizontal="left"/>
      <protection locked="0" hidden="1"/>
    </xf>
    <xf numFmtId="170" fontId="19" fillId="2" borderId="49" xfId="16" applyNumberFormat="1" applyFont="1" applyFill="1" applyBorder="1"/>
    <xf numFmtId="170" fontId="19" fillId="2" borderId="50" xfId="16" applyNumberFormat="1" applyFont="1" applyFill="1" applyBorder="1"/>
    <xf numFmtId="170" fontId="19" fillId="2" borderId="51" xfId="16" applyNumberFormat="1" applyFont="1" applyFill="1" applyBorder="1"/>
    <xf numFmtId="170" fontId="19" fillId="2" borderId="52" xfId="16" applyNumberFormat="1" applyFont="1" applyFill="1" applyBorder="1"/>
    <xf numFmtId="170" fontId="49" fillId="2" borderId="52" xfId="16" applyNumberFormat="1" applyFont="1" applyFill="1" applyBorder="1"/>
    <xf numFmtId="170" fontId="49" fillId="2" borderId="50" xfId="16" applyNumberFormat="1" applyFont="1" applyFill="1" applyBorder="1"/>
    <xf numFmtId="170" fontId="49" fillId="2" borderId="51" xfId="16" applyNumberFormat="1" applyFont="1" applyFill="1" applyBorder="1"/>
    <xf numFmtId="170" fontId="49" fillId="2" borderId="53" xfId="16" applyNumberFormat="1" applyFont="1" applyFill="1" applyBorder="1"/>
    <xf numFmtId="170" fontId="19" fillId="2" borderId="54" xfId="16" applyNumberFormat="1" applyFont="1" applyFill="1" applyBorder="1"/>
    <xf numFmtId="170" fontId="19" fillId="2" borderId="38" xfId="16" applyNumberFormat="1" applyFont="1" applyFill="1" applyBorder="1"/>
    <xf numFmtId="170" fontId="19" fillId="2" borderId="48" xfId="16" applyNumberFormat="1" applyFont="1" applyFill="1" applyBorder="1"/>
    <xf numFmtId="177" fontId="19" fillId="2" borderId="0" xfId="16" applyNumberFormat="1" applyFont="1" applyFill="1"/>
    <xf numFmtId="0" fontId="50" fillId="2" borderId="0" xfId="16" applyFont="1" applyFill="1"/>
    <xf numFmtId="0" fontId="50" fillId="8" borderId="0" xfId="16" applyFont="1" applyFill="1" applyBorder="1" applyProtection="1"/>
    <xf numFmtId="10" fontId="19" fillId="2" borderId="0" xfId="16" applyNumberFormat="1" applyFont="1" applyFill="1"/>
    <xf numFmtId="178" fontId="19" fillId="2" borderId="0" xfId="16" applyNumberFormat="1" applyFont="1" applyFill="1"/>
    <xf numFmtId="0" fontId="25" fillId="2" borderId="0" xfId="16" applyFont="1" applyFill="1" applyBorder="1"/>
    <xf numFmtId="170" fontId="25" fillId="2" borderId="0" xfId="16" applyNumberFormat="1" applyFont="1" applyFill="1"/>
    <xf numFmtId="170" fontId="19" fillId="2" borderId="0" xfId="17" applyNumberFormat="1" applyFont="1" applyFill="1"/>
    <xf numFmtId="0" fontId="19" fillId="2" borderId="0" xfId="16" applyFont="1" applyFill="1" applyAlignment="1">
      <alignment horizontal="right"/>
    </xf>
    <xf numFmtId="4" fontId="19" fillId="2" borderId="0" xfId="16" applyNumberFormat="1" applyFont="1" applyFill="1"/>
    <xf numFmtId="0" fontId="51" fillId="2" borderId="0" xfId="16" applyFont="1" applyFill="1"/>
    <xf numFmtId="0" fontId="25" fillId="2" borderId="0" xfId="16" applyFont="1" applyFill="1" applyAlignment="1">
      <alignment horizontal="right"/>
    </xf>
    <xf numFmtId="0" fontId="23" fillId="6" borderId="41" xfId="16" applyFont="1" applyFill="1" applyBorder="1" applyAlignment="1">
      <alignment horizontal="center"/>
    </xf>
    <xf numFmtId="0" fontId="23" fillId="6" borderId="42" xfId="16" applyFont="1" applyFill="1" applyBorder="1" applyAlignment="1">
      <alignment horizontal="center"/>
    </xf>
    <xf numFmtId="0" fontId="23" fillId="6" borderId="56" xfId="16" applyFont="1" applyFill="1" applyBorder="1" applyAlignment="1">
      <alignment horizontal="center"/>
    </xf>
    <xf numFmtId="0" fontId="23" fillId="6" borderId="20" xfId="16" applyFont="1" applyFill="1" applyBorder="1" applyAlignment="1">
      <alignment horizontal="center"/>
    </xf>
    <xf numFmtId="0" fontId="23" fillId="6" borderId="46" xfId="16" applyFont="1" applyFill="1" applyBorder="1" applyAlignment="1">
      <alignment horizontal="center"/>
    </xf>
    <xf numFmtId="0" fontId="23" fillId="6" borderId="57" xfId="16" applyFont="1" applyFill="1" applyBorder="1" applyAlignment="1">
      <alignment horizontal="center"/>
    </xf>
    <xf numFmtId="0" fontId="23" fillId="6" borderId="58" xfId="16" applyFont="1" applyFill="1" applyBorder="1" applyAlignment="1">
      <alignment horizontal="center"/>
    </xf>
    <xf numFmtId="0" fontId="23" fillId="6" borderId="59" xfId="16" applyFont="1" applyFill="1" applyBorder="1" applyAlignment="1">
      <alignment horizontal="center"/>
    </xf>
    <xf numFmtId="0" fontId="23" fillId="7" borderId="60" xfId="16" applyFont="1" applyFill="1" applyBorder="1" applyAlignment="1">
      <alignment horizontal="center"/>
    </xf>
    <xf numFmtId="0" fontId="23" fillId="7" borderId="24" xfId="16" applyFont="1" applyFill="1" applyBorder="1" applyAlignment="1">
      <alignment horizontal="center"/>
    </xf>
    <xf numFmtId="0" fontId="23" fillId="7" borderId="59" xfId="16" applyFont="1" applyFill="1" applyBorder="1" applyAlignment="1">
      <alignment horizontal="center"/>
    </xf>
    <xf numFmtId="0" fontId="23" fillId="6" borderId="61" xfId="16" applyFont="1" applyFill="1" applyBorder="1" applyAlignment="1">
      <alignment horizontal="center"/>
    </xf>
    <xf numFmtId="0" fontId="23" fillId="7" borderId="62" xfId="16" applyFont="1" applyFill="1" applyBorder="1" applyAlignment="1">
      <alignment horizontal="center"/>
    </xf>
    <xf numFmtId="0" fontId="23" fillId="6" borderId="63" xfId="16" applyFont="1" applyFill="1" applyBorder="1" applyAlignment="1">
      <alignment horizontal="center"/>
    </xf>
    <xf numFmtId="176" fontId="23" fillId="9" borderId="44" xfId="16" applyNumberFormat="1" applyFont="1" applyFill="1" applyBorder="1" applyAlignment="1" applyProtection="1">
      <alignment horizontal="left"/>
      <protection locked="0" hidden="1"/>
    </xf>
    <xf numFmtId="170" fontId="19" fillId="2" borderId="20" xfId="16" applyNumberFormat="1" applyFont="1" applyFill="1" applyBorder="1"/>
    <xf numFmtId="170" fontId="19" fillId="2" borderId="46" xfId="16" applyNumberFormat="1" applyFont="1" applyFill="1" applyBorder="1"/>
    <xf numFmtId="170" fontId="23" fillId="2" borderId="57" xfId="16" applyNumberFormat="1" applyFont="1" applyFill="1" applyBorder="1"/>
    <xf numFmtId="170" fontId="19" fillId="2" borderId="57" xfId="16" applyNumberFormat="1" applyFont="1" applyFill="1" applyBorder="1"/>
    <xf numFmtId="17" fontId="23" fillId="9" borderId="44" xfId="16" applyNumberFormat="1" applyFont="1" applyFill="1" applyBorder="1" applyAlignment="1" applyProtection="1">
      <alignment horizontal="left"/>
      <protection locked="0" hidden="1"/>
    </xf>
    <xf numFmtId="170" fontId="19" fillId="2" borderId="20" xfId="16" applyNumberFormat="1" applyFont="1" applyFill="1" applyBorder="1" applyAlignment="1">
      <alignment horizontal="right"/>
    </xf>
    <xf numFmtId="170" fontId="23" fillId="2" borderId="57" xfId="16" applyNumberFormat="1" applyFont="1" applyFill="1" applyBorder="1" applyAlignment="1">
      <alignment horizontal="right"/>
    </xf>
    <xf numFmtId="17" fontId="23" fillId="9" borderId="44" xfId="16" quotePrefix="1" applyNumberFormat="1" applyFont="1" applyFill="1" applyBorder="1" applyAlignment="1" applyProtection="1">
      <alignment horizontal="left"/>
      <protection locked="0" hidden="1"/>
    </xf>
    <xf numFmtId="17" fontId="23" fillId="9" borderId="48" xfId="16" applyNumberFormat="1" applyFont="1" applyFill="1" applyBorder="1" applyAlignment="1" applyProtection="1">
      <alignment horizontal="left"/>
      <protection locked="0" hidden="1"/>
    </xf>
    <xf numFmtId="170" fontId="23" fillId="2" borderId="51" xfId="16" applyNumberFormat="1" applyFont="1" applyFill="1" applyBorder="1"/>
    <xf numFmtId="170" fontId="19" fillId="2" borderId="53" xfId="16" applyNumberFormat="1" applyFont="1" applyFill="1" applyBorder="1"/>
    <xf numFmtId="170" fontId="23" fillId="2" borderId="64" xfId="16" applyNumberFormat="1" applyFont="1" applyFill="1" applyBorder="1"/>
    <xf numFmtId="170" fontId="19" fillId="2" borderId="64" xfId="16" applyNumberFormat="1" applyFont="1" applyFill="1" applyBorder="1"/>
    <xf numFmtId="0" fontId="19" fillId="2" borderId="0" xfId="16" applyFont="1" applyFill="1" applyBorder="1"/>
    <xf numFmtId="3" fontId="25" fillId="2" borderId="0" xfId="16" applyNumberFormat="1" applyFont="1" applyFill="1"/>
    <xf numFmtId="3" fontId="19" fillId="2" borderId="0" xfId="16" applyNumberFormat="1" applyFont="1" applyFill="1" applyBorder="1"/>
    <xf numFmtId="170" fontId="25" fillId="2" borderId="0" xfId="16" applyNumberFormat="1" applyFont="1" applyFill="1" applyBorder="1"/>
    <xf numFmtId="2" fontId="25" fillId="2" borderId="0" xfId="16" applyNumberFormat="1" applyFont="1" applyFill="1"/>
    <xf numFmtId="164" fontId="25" fillId="2" borderId="0" xfId="16" applyNumberFormat="1" applyFont="1" applyFill="1"/>
    <xf numFmtId="0" fontId="20" fillId="0" borderId="0" xfId="16" applyFont="1" applyBorder="1"/>
    <xf numFmtId="0" fontId="19" fillId="0" borderId="0" xfId="16" applyFont="1" applyBorder="1"/>
    <xf numFmtId="0" fontId="35" fillId="0" borderId="0" xfId="16"/>
    <xf numFmtId="170" fontId="19" fillId="0" borderId="0" xfId="16" applyNumberFormat="1" applyFont="1" applyBorder="1"/>
    <xf numFmtId="0" fontId="25" fillId="0" borderId="0" xfId="16" applyFont="1" applyBorder="1" applyAlignment="1">
      <alignment horizontal="center"/>
    </xf>
    <xf numFmtId="3" fontId="23" fillId="5" borderId="39" xfId="16" applyNumberFormat="1" applyFont="1" applyFill="1" applyBorder="1" applyAlignment="1">
      <alignment horizontal="center"/>
    </xf>
    <xf numFmtId="0" fontId="23" fillId="10" borderId="65" xfId="16" applyFont="1" applyFill="1" applyBorder="1" applyAlignment="1">
      <alignment horizontal="center"/>
    </xf>
    <xf numFmtId="0" fontId="23" fillId="10" borderId="42" xfId="16" applyFont="1" applyFill="1" applyBorder="1" applyAlignment="1">
      <alignment horizontal="center"/>
    </xf>
    <xf numFmtId="0" fontId="23" fillId="10" borderId="31" xfId="16" applyFont="1" applyFill="1" applyBorder="1" applyAlignment="1">
      <alignment horizontal="center"/>
    </xf>
    <xf numFmtId="0" fontId="23" fillId="5" borderId="44" xfId="16" applyFont="1" applyFill="1" applyBorder="1" applyAlignment="1">
      <alignment horizontal="center"/>
    </xf>
    <xf numFmtId="0" fontId="23" fillId="10" borderId="66" xfId="16" applyFont="1" applyFill="1" applyBorder="1" applyAlignment="1">
      <alignment horizontal="center"/>
    </xf>
    <xf numFmtId="0" fontId="23" fillId="10" borderId="46" xfId="16" applyFont="1" applyFill="1" applyBorder="1" applyAlignment="1">
      <alignment horizontal="center"/>
    </xf>
    <xf numFmtId="0" fontId="23" fillId="10" borderId="33" xfId="16" applyFont="1" applyFill="1" applyBorder="1" applyAlignment="1">
      <alignment horizontal="center"/>
    </xf>
    <xf numFmtId="3" fontId="23" fillId="5" borderId="48" xfId="16" applyNumberFormat="1" applyFont="1" applyFill="1" applyBorder="1" applyAlignment="1">
      <alignment horizontal="center"/>
    </xf>
    <xf numFmtId="0" fontId="23" fillId="10" borderId="67" xfId="16" applyFont="1" applyFill="1" applyBorder="1" applyAlignment="1">
      <alignment horizontal="center"/>
    </xf>
    <xf numFmtId="0" fontId="23" fillId="10" borderId="53" xfId="16" applyFont="1" applyFill="1" applyBorder="1" applyAlignment="1">
      <alignment horizontal="center"/>
    </xf>
    <xf numFmtId="0" fontId="23" fillId="10" borderId="38" xfId="16" applyFont="1" applyFill="1" applyBorder="1" applyAlignment="1">
      <alignment horizontal="center"/>
    </xf>
    <xf numFmtId="3" fontId="19" fillId="10" borderId="44" xfId="16" applyNumberFormat="1" applyFont="1" applyFill="1" applyBorder="1"/>
    <xf numFmtId="0" fontId="19" fillId="0" borderId="66" xfId="16" applyFont="1" applyBorder="1"/>
    <xf numFmtId="0" fontId="19" fillId="0" borderId="46" xfId="16" applyFont="1" applyBorder="1"/>
    <xf numFmtId="0" fontId="19" fillId="0" borderId="42" xfId="16" applyFont="1" applyBorder="1"/>
    <xf numFmtId="0" fontId="19" fillId="0" borderId="56" xfId="16" applyFont="1" applyBorder="1"/>
    <xf numFmtId="3" fontId="23" fillId="10" borderId="44" xfId="19" applyNumberFormat="1" applyFont="1" applyFill="1" applyBorder="1" applyProtection="1">
      <protection hidden="1"/>
    </xf>
    <xf numFmtId="170" fontId="23" fillId="0" borderId="32" xfId="16" applyNumberFormat="1" applyFont="1" applyBorder="1"/>
    <xf numFmtId="170" fontId="23" fillId="0" borderId="46" xfId="16" applyNumberFormat="1" applyFont="1" applyBorder="1"/>
    <xf numFmtId="170" fontId="23" fillId="0" borderId="57" xfId="16" applyNumberFormat="1" applyFont="1" applyBorder="1"/>
    <xf numFmtId="170" fontId="35" fillId="0" borderId="0" xfId="16" applyNumberFormat="1"/>
    <xf numFmtId="3" fontId="25" fillId="10" borderId="44" xfId="19" applyNumberFormat="1" applyFont="1" applyFill="1" applyBorder="1" applyProtection="1">
      <protection hidden="1"/>
    </xf>
    <xf numFmtId="170" fontId="19" fillId="0" borderId="57" xfId="16" applyNumberFormat="1" applyFont="1" applyBorder="1"/>
    <xf numFmtId="3" fontId="19" fillId="10" borderId="44" xfId="19" applyNumberFormat="1" applyFont="1" applyFill="1" applyBorder="1" applyProtection="1">
      <protection hidden="1"/>
    </xf>
    <xf numFmtId="170" fontId="19" fillId="0" borderId="5" xfId="16" applyNumberFormat="1" applyFont="1" applyBorder="1"/>
    <xf numFmtId="170" fontId="19" fillId="0" borderId="46" xfId="16" applyNumberFormat="1" applyFont="1" applyBorder="1"/>
    <xf numFmtId="3" fontId="19" fillId="10" borderId="48" xfId="19" applyNumberFormat="1" applyFont="1" applyFill="1" applyBorder="1" applyProtection="1">
      <protection hidden="1"/>
    </xf>
    <xf numFmtId="170" fontId="19" fillId="0" borderId="68" xfId="16" applyNumberFormat="1" applyFont="1" applyBorder="1"/>
    <xf numFmtId="170" fontId="19" fillId="0" borderId="53" xfId="16" applyNumberFormat="1" applyFont="1" applyBorder="1"/>
    <xf numFmtId="170" fontId="19" fillId="0" borderId="64" xfId="16" applyNumberFormat="1" applyFont="1" applyBorder="1"/>
    <xf numFmtId="170" fontId="23" fillId="0" borderId="66" xfId="16" applyNumberFormat="1" applyFont="1" applyBorder="1"/>
    <xf numFmtId="170" fontId="23" fillId="0" borderId="38" xfId="16" applyNumberFormat="1" applyFont="1" applyBorder="1"/>
    <xf numFmtId="170" fontId="19" fillId="0" borderId="33" xfId="16" applyNumberFormat="1" applyFont="1" applyBorder="1"/>
    <xf numFmtId="3" fontId="25" fillId="0" borderId="0" xfId="19" applyNumberFormat="1" applyFont="1" applyFill="1" applyBorder="1" applyProtection="1">
      <protection hidden="1"/>
    </xf>
    <xf numFmtId="170" fontId="19" fillId="0" borderId="0" xfId="16" applyNumberFormat="1" applyFont="1" applyFill="1" applyBorder="1"/>
    <xf numFmtId="3" fontId="19" fillId="0" borderId="0" xfId="19" applyNumberFormat="1" applyFont="1" applyFill="1" applyBorder="1" applyProtection="1">
      <protection hidden="1"/>
    </xf>
    <xf numFmtId="0" fontId="25" fillId="0" borderId="33" xfId="16" applyFont="1" applyBorder="1" applyAlignment="1">
      <alignment horizontal="center"/>
    </xf>
    <xf numFmtId="170" fontId="23" fillId="0" borderId="33" xfId="16" applyNumberFormat="1" applyFont="1" applyBorder="1"/>
    <xf numFmtId="170" fontId="23" fillId="0" borderId="0" xfId="16" applyNumberFormat="1" applyFont="1" applyBorder="1"/>
    <xf numFmtId="0" fontId="35" fillId="0" borderId="0" xfId="16" applyBorder="1"/>
    <xf numFmtId="3" fontId="25" fillId="0" borderId="37" xfId="19" applyNumberFormat="1" applyFont="1" applyFill="1" applyBorder="1" applyProtection="1">
      <protection hidden="1"/>
    </xf>
    <xf numFmtId="170" fontId="19" fillId="0" borderId="37" xfId="16" applyNumberFormat="1" applyFont="1" applyBorder="1"/>
    <xf numFmtId="0" fontId="25" fillId="0" borderId="37" xfId="16" applyFont="1" applyBorder="1" applyAlignment="1">
      <alignment horizontal="center"/>
    </xf>
    <xf numFmtId="0" fontId="19" fillId="10" borderId="33" xfId="16" applyFont="1" applyFill="1" applyBorder="1" applyAlignment="1">
      <alignment horizontal="center"/>
    </xf>
    <xf numFmtId="0" fontId="19" fillId="10" borderId="38" xfId="16" applyFont="1" applyFill="1" applyBorder="1" applyAlignment="1">
      <alignment horizontal="center"/>
    </xf>
    <xf numFmtId="0" fontId="23" fillId="0" borderId="66" xfId="16" applyFont="1" applyFill="1" applyBorder="1" applyAlignment="1">
      <alignment horizontal="center"/>
    </xf>
    <xf numFmtId="0" fontId="23" fillId="0" borderId="46" xfId="16" applyFont="1" applyFill="1" applyBorder="1" applyAlignment="1">
      <alignment horizontal="center"/>
    </xf>
    <xf numFmtId="0" fontId="23" fillId="0" borderId="42" xfId="16" applyFont="1" applyFill="1" applyBorder="1" applyAlignment="1">
      <alignment horizontal="center"/>
    </xf>
    <xf numFmtId="170" fontId="19" fillId="0" borderId="66" xfId="16" applyNumberFormat="1" applyFont="1" applyBorder="1"/>
    <xf numFmtId="0" fontId="19" fillId="10" borderId="48" xfId="16" applyFont="1" applyFill="1" applyBorder="1"/>
    <xf numFmtId="3" fontId="19" fillId="0" borderId="67" xfId="16" applyNumberFormat="1" applyFont="1" applyBorder="1"/>
    <xf numFmtId="3" fontId="19" fillId="0" borderId="53" xfId="16" applyNumberFormat="1" applyFont="1" applyBorder="1"/>
    <xf numFmtId="3" fontId="23" fillId="0" borderId="53" xfId="16" applyNumberFormat="1" applyFont="1" applyBorder="1"/>
    <xf numFmtId="3" fontId="23" fillId="0" borderId="64" xfId="16" applyNumberFormat="1" applyFont="1" applyBorder="1"/>
    <xf numFmtId="0" fontId="50" fillId="0" borderId="0" xfId="16" applyFont="1" applyBorder="1"/>
    <xf numFmtId="170" fontId="52" fillId="0" borderId="0" xfId="16" applyNumberFormat="1" applyFont="1" applyBorder="1"/>
    <xf numFmtId="0" fontId="25" fillId="0" borderId="0" xfId="16" applyFont="1" applyBorder="1"/>
    <xf numFmtId="0" fontId="33" fillId="0" borderId="0" xfId="16" applyFont="1" applyBorder="1"/>
    <xf numFmtId="170" fontId="2" fillId="0" borderId="0" xfId="16" applyNumberFormat="1" applyFont="1" applyBorder="1"/>
    <xf numFmtId="0" fontId="34" fillId="0" borderId="0" xfId="16" applyFont="1" applyFill="1"/>
    <xf numFmtId="0" fontId="33" fillId="0" borderId="0" xfId="16" applyFont="1" applyFill="1" applyBorder="1"/>
    <xf numFmtId="0" fontId="35" fillId="0" borderId="0" xfId="16" applyFill="1" applyBorder="1"/>
    <xf numFmtId="170" fontId="2" fillId="0" borderId="0" xfId="16" applyNumberFormat="1" applyFont="1" applyFill="1" applyBorder="1"/>
    <xf numFmtId="170" fontId="35" fillId="0" borderId="0" xfId="16" applyNumberFormat="1" applyFill="1"/>
    <xf numFmtId="0" fontId="35" fillId="0" borderId="0" xfId="16" applyFill="1"/>
    <xf numFmtId="0" fontId="53" fillId="0" borderId="0" xfId="16" applyFont="1"/>
    <xf numFmtId="0" fontId="35" fillId="2" borderId="0" xfId="16" applyFill="1"/>
    <xf numFmtId="0" fontId="40" fillId="2" borderId="0" xfId="16" applyFont="1" applyFill="1"/>
    <xf numFmtId="0" fontId="34" fillId="2" borderId="0" xfId="16" applyFont="1" applyFill="1" applyBorder="1" applyAlignment="1">
      <alignment horizontal="center"/>
    </xf>
    <xf numFmtId="0" fontId="34" fillId="2" borderId="0" xfId="16" applyFont="1" applyFill="1" applyAlignment="1">
      <alignment horizontal="right"/>
    </xf>
    <xf numFmtId="0" fontId="34" fillId="2" borderId="37" xfId="16" applyFont="1" applyFill="1" applyBorder="1" applyAlignment="1"/>
    <xf numFmtId="0" fontId="34" fillId="2" borderId="37" xfId="16" applyFont="1" applyFill="1" applyBorder="1" applyAlignment="1">
      <alignment horizontal="right"/>
    </xf>
    <xf numFmtId="0" fontId="34" fillId="0" borderId="0" xfId="16" applyFont="1" applyAlignment="1">
      <alignment horizontal="right"/>
    </xf>
    <xf numFmtId="3" fontId="20" fillId="6" borderId="69" xfId="16" applyNumberFormat="1" applyFont="1" applyFill="1" applyBorder="1" applyAlignment="1">
      <alignment horizontal="center"/>
    </xf>
    <xf numFmtId="17" fontId="20" fillId="11" borderId="70" xfId="16" applyNumberFormat="1" applyFont="1" applyFill="1" applyBorder="1" applyAlignment="1">
      <alignment horizontal="center"/>
    </xf>
    <xf numFmtId="17" fontId="20" fillId="11" borderId="71" xfId="16" applyNumberFormat="1" applyFont="1" applyFill="1" applyBorder="1" applyAlignment="1">
      <alignment horizontal="center"/>
    </xf>
    <xf numFmtId="17" fontId="20" fillId="11" borderId="72" xfId="16" applyNumberFormat="1" applyFont="1" applyFill="1" applyBorder="1" applyAlignment="1">
      <alignment horizontal="center"/>
    </xf>
    <xf numFmtId="17" fontId="20" fillId="11" borderId="73" xfId="16" applyNumberFormat="1" applyFont="1" applyFill="1" applyBorder="1" applyAlignment="1">
      <alignment horizontal="center"/>
    </xf>
    <xf numFmtId="17" fontId="20" fillId="11" borderId="74" xfId="16" applyNumberFormat="1" applyFont="1" applyFill="1" applyBorder="1" applyAlignment="1">
      <alignment horizontal="center"/>
    </xf>
    <xf numFmtId="17" fontId="20" fillId="11" borderId="69" xfId="16" applyNumberFormat="1" applyFont="1" applyFill="1" applyBorder="1" applyAlignment="1">
      <alignment horizontal="center"/>
    </xf>
    <xf numFmtId="17" fontId="20" fillId="11" borderId="69" xfId="16" quotePrefix="1" applyNumberFormat="1" applyFont="1" applyFill="1" applyBorder="1" applyAlignment="1">
      <alignment horizontal="center"/>
    </xf>
    <xf numFmtId="3" fontId="17" fillId="7" borderId="44" xfId="19" applyNumberFormat="1" applyFont="1" applyFill="1" applyBorder="1" applyProtection="1">
      <protection hidden="1"/>
    </xf>
    <xf numFmtId="170" fontId="23" fillId="2" borderId="66" xfId="16" applyNumberFormat="1" applyFont="1" applyFill="1" applyBorder="1"/>
    <xf numFmtId="170" fontId="23" fillId="2" borderId="42" xfId="16" applyNumberFormat="1" applyFont="1" applyFill="1" applyBorder="1"/>
    <xf numFmtId="170" fontId="23" fillId="2" borderId="30" xfId="16" applyNumberFormat="1" applyFont="1" applyFill="1" applyBorder="1"/>
    <xf numFmtId="170" fontId="23" fillId="2" borderId="44" xfId="16" applyNumberFormat="1" applyFont="1" applyFill="1" applyBorder="1"/>
    <xf numFmtId="170" fontId="17" fillId="2" borderId="44" xfId="16" applyNumberFormat="1" applyFont="1" applyFill="1" applyBorder="1"/>
    <xf numFmtId="3" fontId="2" fillId="7" borderId="44" xfId="19" applyNumberFormat="1" applyFont="1" applyFill="1" applyBorder="1" applyProtection="1">
      <protection hidden="1"/>
    </xf>
    <xf numFmtId="170" fontId="19" fillId="2" borderId="66" xfId="16" applyNumberFormat="1" applyFont="1" applyFill="1" applyBorder="1"/>
    <xf numFmtId="170" fontId="19" fillId="2" borderId="33" xfId="16" applyNumberFormat="1" applyFont="1" applyFill="1" applyBorder="1"/>
    <xf numFmtId="170" fontId="2" fillId="2" borderId="44" xfId="16" applyNumberFormat="1" applyFont="1" applyFill="1" applyBorder="1"/>
    <xf numFmtId="170" fontId="17" fillId="2" borderId="44" xfId="16" applyNumberFormat="1" applyFont="1" applyFill="1" applyBorder="1" applyAlignment="1">
      <alignment horizontal="right"/>
    </xf>
    <xf numFmtId="170" fontId="19" fillId="2" borderId="67" xfId="16" applyNumberFormat="1" applyFont="1" applyFill="1" applyBorder="1"/>
    <xf numFmtId="0" fontId="35" fillId="2" borderId="53" xfId="16" applyFill="1" applyBorder="1"/>
    <xf numFmtId="0" fontId="35" fillId="2" borderId="37" xfId="16" applyFill="1" applyBorder="1"/>
    <xf numFmtId="170" fontId="19" fillId="2" borderId="37" xfId="16" applyNumberFormat="1" applyFont="1" applyFill="1" applyBorder="1"/>
    <xf numFmtId="170" fontId="35" fillId="2" borderId="53" xfId="16" applyNumberFormat="1" applyFill="1" applyBorder="1"/>
    <xf numFmtId="170" fontId="35" fillId="2" borderId="38" xfId="16" applyNumberFormat="1" applyFill="1" applyBorder="1"/>
    <xf numFmtId="0" fontId="35" fillId="2" borderId="48" xfId="16" applyFill="1" applyBorder="1"/>
    <xf numFmtId="170" fontId="35" fillId="2" borderId="48" xfId="16" applyNumberFormat="1" applyFill="1" applyBorder="1"/>
    <xf numFmtId="170" fontId="2" fillId="2" borderId="48" xfId="16" applyNumberFormat="1" applyFont="1" applyFill="1" applyBorder="1"/>
    <xf numFmtId="3" fontId="25" fillId="2" borderId="30" xfId="19" applyNumberFormat="1" applyFont="1" applyFill="1" applyBorder="1" applyProtection="1">
      <protection hidden="1"/>
    </xf>
    <xf numFmtId="0" fontId="2" fillId="2" borderId="30" xfId="16" applyFont="1" applyFill="1" applyBorder="1"/>
    <xf numFmtId="0" fontId="35" fillId="2" borderId="0" xfId="16" applyFill="1" applyBorder="1"/>
    <xf numFmtId="170" fontId="35" fillId="2" borderId="0" xfId="16" applyNumberFormat="1" applyFill="1" applyBorder="1"/>
    <xf numFmtId="164" fontId="35" fillId="2" borderId="0" xfId="16" applyNumberFormat="1" applyFill="1" applyBorder="1"/>
    <xf numFmtId="170" fontId="2" fillId="2" borderId="0" xfId="16" applyNumberFormat="1" applyFont="1" applyFill="1" applyBorder="1"/>
    <xf numFmtId="3" fontId="17" fillId="6" borderId="69" xfId="16" applyNumberFormat="1" applyFont="1" applyFill="1" applyBorder="1" applyAlignment="1">
      <alignment horizontal="center"/>
    </xf>
    <xf numFmtId="17" fontId="17" fillId="11" borderId="70" xfId="16" applyNumberFormat="1" applyFont="1" applyFill="1" applyBorder="1" applyAlignment="1">
      <alignment horizontal="center"/>
    </xf>
    <xf numFmtId="17" fontId="17" fillId="11" borderId="72" xfId="16" applyNumberFormat="1" applyFont="1" applyFill="1" applyBorder="1" applyAlignment="1">
      <alignment horizontal="center"/>
    </xf>
    <xf numFmtId="17" fontId="17" fillId="11" borderId="73" xfId="16" applyNumberFormat="1" applyFont="1" applyFill="1" applyBorder="1" applyAlignment="1">
      <alignment horizontal="center"/>
    </xf>
    <xf numFmtId="17" fontId="17" fillId="11" borderId="74" xfId="16" applyNumberFormat="1" applyFont="1" applyFill="1" applyBorder="1" applyAlignment="1">
      <alignment horizontal="center"/>
    </xf>
    <xf numFmtId="17" fontId="17" fillId="11" borderId="69" xfId="16" applyNumberFormat="1" applyFont="1" applyFill="1" applyBorder="1" applyAlignment="1">
      <alignment horizontal="center"/>
    </xf>
    <xf numFmtId="170" fontId="17" fillId="2" borderId="39" xfId="16" applyNumberFormat="1" applyFont="1" applyFill="1" applyBorder="1"/>
    <xf numFmtId="170" fontId="17" fillId="2" borderId="66" xfId="16" applyNumberFormat="1" applyFont="1" applyFill="1" applyBorder="1"/>
    <xf numFmtId="170" fontId="17" fillId="2" borderId="46" xfId="16" applyNumberFormat="1" applyFont="1" applyFill="1" applyBorder="1"/>
    <xf numFmtId="170" fontId="17" fillId="2" borderId="0" xfId="16" applyNumberFormat="1" applyFont="1" applyFill="1" applyBorder="1"/>
    <xf numFmtId="3" fontId="17" fillId="7" borderId="48" xfId="19" applyNumberFormat="1" applyFont="1" applyFill="1" applyBorder="1" applyAlignment="1" applyProtection="1">
      <alignment vertical="center"/>
      <protection hidden="1"/>
    </xf>
    <xf numFmtId="170" fontId="17" fillId="2" borderId="67" xfId="16" applyNumberFormat="1" applyFont="1" applyFill="1" applyBorder="1"/>
    <xf numFmtId="170" fontId="17" fillId="2" borderId="53" xfId="16" applyNumberFormat="1" applyFont="1" applyFill="1" applyBorder="1"/>
    <xf numFmtId="170" fontId="17" fillId="2" borderId="37" xfId="16" applyNumberFormat="1" applyFont="1" applyFill="1" applyBorder="1"/>
    <xf numFmtId="170" fontId="23" fillId="2" borderId="53" xfId="16" applyNumberFormat="1" applyFont="1" applyFill="1" applyBorder="1"/>
    <xf numFmtId="170" fontId="23" fillId="2" borderId="37" xfId="16" applyNumberFormat="1" applyFont="1" applyFill="1" applyBorder="1"/>
    <xf numFmtId="170" fontId="17" fillId="2" borderId="38" xfId="16" applyNumberFormat="1" applyFont="1" applyFill="1" applyBorder="1"/>
    <xf numFmtId="170" fontId="17" fillId="2" borderId="48" xfId="16" applyNumberFormat="1" applyFont="1" applyFill="1" applyBorder="1"/>
    <xf numFmtId="170" fontId="23" fillId="2" borderId="38" xfId="16" applyNumberFormat="1" applyFont="1" applyFill="1" applyBorder="1"/>
    <xf numFmtId="170" fontId="23" fillId="2" borderId="69" xfId="16" applyNumberFormat="1" applyFont="1" applyFill="1" applyBorder="1"/>
    <xf numFmtId="170" fontId="17" fillId="2" borderId="69" xfId="16" applyNumberFormat="1" applyFont="1" applyFill="1" applyBorder="1"/>
    <xf numFmtId="170" fontId="17" fillId="0" borderId="69" xfId="16" applyNumberFormat="1" applyFont="1" applyFill="1" applyBorder="1"/>
    <xf numFmtId="170" fontId="54" fillId="2" borderId="30" xfId="16" applyNumberFormat="1" applyFont="1" applyFill="1" applyBorder="1"/>
    <xf numFmtId="170" fontId="35" fillId="2" borderId="0" xfId="16" applyNumberFormat="1" applyFill="1"/>
    <xf numFmtId="170" fontId="34" fillId="2" borderId="0" xfId="16" applyNumberFormat="1" applyFont="1" applyFill="1"/>
    <xf numFmtId="0" fontId="34" fillId="0" borderId="0" xfId="16" applyFont="1"/>
    <xf numFmtId="170" fontId="34" fillId="0" borderId="0" xfId="16" applyNumberFormat="1" applyFont="1"/>
    <xf numFmtId="0" fontId="36" fillId="2" borderId="0" xfId="20" applyFont="1" applyFill="1" applyBorder="1" applyAlignment="1"/>
    <xf numFmtId="0" fontId="51" fillId="2" borderId="0" xfId="20" applyFont="1" applyFill="1" applyBorder="1" applyAlignment="1"/>
    <xf numFmtId="0" fontId="2" fillId="12" borderId="0" xfId="16" applyFont="1" applyFill="1" applyBorder="1"/>
    <xf numFmtId="0" fontId="17" fillId="7" borderId="75" xfId="21" applyFont="1" applyFill="1" applyBorder="1" applyAlignment="1">
      <alignment horizontal="center"/>
    </xf>
    <xf numFmtId="0" fontId="17" fillId="7" borderId="76" xfId="21" applyFont="1" applyFill="1" applyBorder="1" applyAlignment="1">
      <alignment horizontal="center"/>
    </xf>
    <xf numFmtId="17" fontId="17" fillId="7" borderId="77" xfId="16" applyNumberFormat="1" applyFont="1" applyFill="1" applyBorder="1" applyAlignment="1">
      <alignment horizontal="center"/>
    </xf>
    <xf numFmtId="17" fontId="17" fillId="7" borderId="75" xfId="16" applyNumberFormat="1" applyFont="1" applyFill="1" applyBorder="1" applyAlignment="1">
      <alignment horizontal="center"/>
    </xf>
    <xf numFmtId="17" fontId="17" fillId="7" borderId="78" xfId="16" applyNumberFormat="1" applyFont="1" applyFill="1" applyBorder="1" applyAlignment="1">
      <alignment horizontal="center"/>
    </xf>
    <xf numFmtId="17" fontId="17" fillId="7" borderId="76" xfId="16" applyNumberFormat="1" applyFont="1" applyFill="1" applyBorder="1" applyAlignment="1">
      <alignment horizontal="center"/>
    </xf>
    <xf numFmtId="0" fontId="2" fillId="7" borderId="79" xfId="16" applyFont="1" applyFill="1" applyBorder="1"/>
    <xf numFmtId="0" fontId="2" fillId="7" borderId="80" xfId="16" applyFont="1" applyFill="1" applyBorder="1"/>
    <xf numFmtId="0" fontId="35" fillId="2" borderId="81" xfId="16" applyFill="1" applyBorder="1"/>
    <xf numFmtId="0" fontId="35" fillId="2" borderId="82" xfId="16" applyFill="1" applyBorder="1"/>
    <xf numFmtId="0" fontId="35" fillId="2" borderId="83" xfId="16" applyFill="1" applyBorder="1"/>
    <xf numFmtId="0" fontId="35" fillId="2" borderId="84" xfId="16" applyFill="1" applyBorder="1"/>
    <xf numFmtId="0" fontId="17" fillId="7" borderId="79" xfId="21" applyFont="1" applyFill="1" applyBorder="1"/>
    <xf numFmtId="0" fontId="17" fillId="7" borderId="80" xfId="21" applyFont="1" applyFill="1" applyBorder="1"/>
    <xf numFmtId="170" fontId="17" fillId="2" borderId="85" xfId="16" applyNumberFormat="1" applyFont="1" applyFill="1" applyBorder="1"/>
    <xf numFmtId="0" fontId="2" fillId="7" borderId="79" xfId="21" applyFont="1" applyFill="1" applyBorder="1"/>
    <xf numFmtId="0" fontId="2" fillId="7" borderId="80" xfId="21" applyFont="1" applyFill="1" applyBorder="1"/>
    <xf numFmtId="0" fontId="2" fillId="2" borderId="85" xfId="21" applyFont="1" applyFill="1" applyBorder="1"/>
    <xf numFmtId="170" fontId="2" fillId="2" borderId="85" xfId="16" applyNumberFormat="1" applyFont="1" applyFill="1" applyBorder="1"/>
    <xf numFmtId="0" fontId="2" fillId="7" borderId="80" xfId="21" applyFont="1" applyFill="1" applyBorder="1" applyAlignment="1">
      <alignment horizontal="left" indent="2"/>
    </xf>
    <xf numFmtId="0" fontId="17" fillId="7" borderId="86" xfId="21" applyFont="1" applyFill="1" applyBorder="1"/>
    <xf numFmtId="0" fontId="17" fillId="7" borderId="87" xfId="21" applyFont="1" applyFill="1" applyBorder="1"/>
    <xf numFmtId="170" fontId="17" fillId="2" borderId="88" xfId="16" applyNumberFormat="1" applyFont="1" applyFill="1" applyBorder="1"/>
    <xf numFmtId="170" fontId="17" fillId="2" borderId="86" xfId="16" applyNumberFormat="1" applyFont="1" applyFill="1" applyBorder="1"/>
    <xf numFmtId="170" fontId="17" fillId="2" borderId="89" xfId="16" applyNumberFormat="1" applyFont="1" applyFill="1" applyBorder="1"/>
    <xf numFmtId="170" fontId="17" fillId="2" borderId="87" xfId="16" applyNumberFormat="1" applyFont="1" applyFill="1" applyBorder="1"/>
    <xf numFmtId="0" fontId="2" fillId="12" borderId="0" xfId="16" applyFont="1" applyFill="1"/>
    <xf numFmtId="0" fontId="2" fillId="7" borderId="80" xfId="21" applyFont="1" applyFill="1" applyBorder="1" applyAlignment="1">
      <alignment horizontal="center"/>
    </xf>
    <xf numFmtId="170" fontId="2" fillId="2" borderId="79" xfId="16" applyNumberFormat="1" applyFont="1" applyFill="1" applyBorder="1"/>
    <xf numFmtId="170" fontId="2" fillId="2" borderId="90" xfId="16" applyNumberFormat="1" applyFont="1" applyFill="1" applyBorder="1"/>
    <xf numFmtId="170" fontId="2" fillId="2" borderId="80" xfId="16" applyNumberFormat="1" applyFont="1" applyFill="1" applyBorder="1"/>
    <xf numFmtId="0" fontId="2" fillId="7" borderId="80" xfId="21" applyFont="1" applyFill="1" applyBorder="1" applyAlignment="1">
      <alignment horizontal="left" indent="1"/>
    </xf>
    <xf numFmtId="0" fontId="2" fillId="7" borderId="86" xfId="16" applyFont="1" applyFill="1" applyBorder="1"/>
    <xf numFmtId="0" fontId="2" fillId="7" borderId="87" xfId="16" applyFont="1" applyFill="1" applyBorder="1"/>
    <xf numFmtId="0" fontId="2" fillId="2" borderId="88" xfId="16" applyFont="1" applyFill="1" applyBorder="1"/>
    <xf numFmtId="0" fontId="2" fillId="2" borderId="86" xfId="16" applyFont="1" applyFill="1" applyBorder="1"/>
    <xf numFmtId="0" fontId="2" fillId="2" borderId="89" xfId="16" applyFont="1" applyFill="1" applyBorder="1"/>
    <xf numFmtId="0" fontId="2" fillId="2" borderId="87" xfId="16" applyFont="1" applyFill="1" applyBorder="1"/>
    <xf numFmtId="0" fontId="56" fillId="2" borderId="0" xfId="16" applyFont="1" applyFill="1" applyBorder="1"/>
    <xf numFmtId="0" fontId="58" fillId="0" borderId="0" xfId="16" applyFont="1"/>
    <xf numFmtId="0" fontId="51" fillId="2" borderId="0" xfId="20" applyFont="1" applyFill="1" applyBorder="1"/>
    <xf numFmtId="0" fontId="59" fillId="2" borderId="0" xfId="16" applyFont="1" applyFill="1"/>
    <xf numFmtId="0" fontId="59" fillId="0" borderId="0" xfId="16" applyFont="1"/>
    <xf numFmtId="0" fontId="40" fillId="12" borderId="0" xfId="20" applyFont="1" applyFill="1" applyBorder="1" applyAlignment="1"/>
    <xf numFmtId="0" fontId="51" fillId="12" borderId="0" xfId="20" applyFont="1" applyFill="1" applyBorder="1" applyAlignment="1"/>
    <xf numFmtId="0" fontId="51" fillId="12" borderId="0" xfId="20" applyFont="1" applyFill="1" applyBorder="1"/>
    <xf numFmtId="0" fontId="25" fillId="2" borderId="91" xfId="16" applyFont="1" applyFill="1" applyBorder="1" applyAlignment="1">
      <alignment horizontal="center"/>
    </xf>
    <xf numFmtId="0" fontId="25" fillId="2" borderId="91" xfId="16" applyFont="1" applyFill="1" applyBorder="1" applyAlignment="1"/>
    <xf numFmtId="0" fontId="25" fillId="2" borderId="0" xfId="16" applyFont="1" applyFill="1" applyBorder="1" applyAlignment="1">
      <alignment horizontal="center"/>
    </xf>
    <xf numFmtId="17" fontId="17" fillId="7" borderId="92" xfId="16" applyNumberFormat="1" applyFont="1" applyFill="1" applyBorder="1" applyAlignment="1">
      <alignment horizontal="center"/>
    </xf>
    <xf numFmtId="17" fontId="17" fillId="7" borderId="93" xfId="16" applyNumberFormat="1" applyFont="1" applyFill="1" applyBorder="1" applyAlignment="1">
      <alignment horizontal="center"/>
    </xf>
    <xf numFmtId="0" fontId="2" fillId="2" borderId="90" xfId="16" applyFont="1" applyFill="1" applyBorder="1"/>
    <xf numFmtId="0" fontId="2" fillId="2" borderId="94" xfId="16" applyFont="1" applyFill="1" applyBorder="1"/>
    <xf numFmtId="0" fontId="59" fillId="2" borderId="90" xfId="16" applyFont="1" applyFill="1" applyBorder="1"/>
    <xf numFmtId="0" fontId="59" fillId="2" borderId="85" xfId="16" applyFont="1" applyFill="1" applyBorder="1"/>
    <xf numFmtId="170" fontId="17" fillId="2" borderId="90" xfId="16" applyNumberFormat="1" applyFont="1" applyFill="1" applyBorder="1"/>
    <xf numFmtId="170" fontId="17" fillId="2" borderId="94" xfId="16" applyNumberFormat="1" applyFont="1" applyFill="1" applyBorder="1"/>
    <xf numFmtId="0" fontId="2" fillId="2" borderId="90" xfId="21" applyFont="1" applyFill="1" applyBorder="1"/>
    <xf numFmtId="0" fontId="2" fillId="2" borderId="0" xfId="21" applyFont="1" applyFill="1" applyBorder="1"/>
    <xf numFmtId="0" fontId="2" fillId="2" borderId="94" xfId="21" applyFont="1" applyFill="1" applyBorder="1"/>
    <xf numFmtId="170" fontId="2" fillId="2" borderId="94" xfId="16" applyNumberFormat="1" applyFont="1" applyFill="1" applyBorder="1"/>
    <xf numFmtId="179" fontId="17" fillId="2" borderId="89" xfId="22" applyNumberFormat="1" applyFont="1" applyFill="1" applyBorder="1"/>
    <xf numFmtId="179" fontId="17" fillId="2" borderId="91" xfId="22" applyNumberFormat="1" applyFont="1" applyFill="1" applyBorder="1"/>
    <xf numFmtId="179" fontId="17" fillId="2" borderId="95" xfId="22" applyNumberFormat="1" applyFont="1" applyFill="1" applyBorder="1"/>
    <xf numFmtId="179" fontId="17" fillId="2" borderId="88" xfId="22" applyNumberFormat="1" applyFont="1" applyFill="1" applyBorder="1"/>
    <xf numFmtId="0" fontId="2" fillId="12" borderId="94" xfId="16" applyFont="1" applyFill="1" applyBorder="1"/>
    <xf numFmtId="0" fontId="34" fillId="12" borderId="0" xfId="16" applyFont="1" applyFill="1" applyBorder="1" applyAlignment="1">
      <alignment horizontal="center"/>
    </xf>
    <xf numFmtId="0" fontId="34" fillId="12" borderId="91" xfId="16" applyFont="1" applyFill="1" applyBorder="1" applyAlignment="1">
      <alignment horizontal="center"/>
    </xf>
    <xf numFmtId="170" fontId="2" fillId="2" borderId="96" xfId="16" applyNumberFormat="1" applyFont="1" applyFill="1" applyBorder="1"/>
    <xf numFmtId="170" fontId="2" fillId="2" borderId="83" xfId="16" applyNumberFormat="1" applyFont="1" applyFill="1" applyBorder="1"/>
    <xf numFmtId="170" fontId="17" fillId="2" borderId="79" xfId="16" applyNumberFormat="1" applyFont="1" applyFill="1" applyBorder="1"/>
    <xf numFmtId="170" fontId="2" fillId="2" borderId="90" xfId="21" applyNumberFormat="1" applyFont="1" applyFill="1" applyBorder="1"/>
    <xf numFmtId="170" fontId="2" fillId="2" borderId="0" xfId="21" applyNumberFormat="1" applyFont="1" applyFill="1" applyBorder="1"/>
    <xf numFmtId="170" fontId="2" fillId="2" borderId="94" xfId="21" applyNumberFormat="1" applyFont="1" applyFill="1" applyBorder="1"/>
    <xf numFmtId="170" fontId="2" fillId="2" borderId="85" xfId="21" applyNumberFormat="1" applyFont="1" applyFill="1" applyBorder="1"/>
    <xf numFmtId="170" fontId="2" fillId="2" borderId="79" xfId="21" applyNumberFormat="1" applyFont="1" applyFill="1" applyBorder="1"/>
    <xf numFmtId="0" fontId="2" fillId="2" borderId="91" xfId="16" applyFont="1" applyFill="1" applyBorder="1"/>
    <xf numFmtId="0" fontId="2" fillId="2" borderId="95" xfId="16" applyFont="1" applyFill="1" applyBorder="1"/>
    <xf numFmtId="170" fontId="60" fillId="0" borderId="0" xfId="16" applyNumberFormat="1" applyFont="1"/>
    <xf numFmtId="0" fontId="59" fillId="0" borderId="0" xfId="16" applyFont="1" applyFill="1"/>
    <xf numFmtId="0" fontId="61" fillId="2" borderId="0" xfId="16" applyFont="1" applyFill="1"/>
    <xf numFmtId="0" fontId="2" fillId="2" borderId="83" xfId="16" applyFont="1" applyFill="1" applyBorder="1"/>
    <xf numFmtId="0" fontId="59" fillId="2" borderId="83" xfId="16" applyFont="1" applyFill="1" applyBorder="1"/>
    <xf numFmtId="0" fontId="59" fillId="2" borderId="97" xfId="16" applyFont="1" applyFill="1" applyBorder="1"/>
    <xf numFmtId="0" fontId="34" fillId="12" borderId="94" xfId="16" applyFont="1" applyFill="1" applyBorder="1" applyAlignment="1">
      <alignment horizontal="center"/>
    </xf>
    <xf numFmtId="0" fontId="59" fillId="2" borderId="0" xfId="16" applyFont="1" applyFill="1" applyBorder="1"/>
    <xf numFmtId="170" fontId="60" fillId="2" borderId="0" xfId="16" applyNumberFormat="1" applyFont="1" applyFill="1"/>
    <xf numFmtId="0" fontId="2" fillId="2" borderId="0" xfId="16" applyFont="1" applyFill="1" applyAlignment="1">
      <alignment horizontal="center"/>
    </xf>
    <xf numFmtId="0" fontId="62" fillId="2" borderId="0" xfId="16" applyFont="1" applyFill="1" applyAlignment="1">
      <alignment horizontal="center"/>
    </xf>
    <xf numFmtId="0" fontId="56" fillId="2" borderId="0" xfId="16" applyFont="1" applyFill="1"/>
    <xf numFmtId="170" fontId="59" fillId="2" borderId="0" xfId="16" applyNumberFormat="1" applyFont="1" applyFill="1"/>
    <xf numFmtId="0" fontId="40" fillId="2" borderId="0" xfId="23" applyFont="1" applyFill="1" applyBorder="1" applyAlignment="1"/>
    <xf numFmtId="0" fontId="40" fillId="12" borderId="0" xfId="23" applyFont="1" applyFill="1" applyBorder="1" applyAlignment="1"/>
    <xf numFmtId="0" fontId="2" fillId="12" borderId="0" xfId="16" applyFont="1" applyFill="1" applyBorder="1" applyAlignment="1"/>
    <xf numFmtId="0" fontId="25" fillId="2" borderId="91" xfId="16" applyFont="1" applyFill="1" applyBorder="1" applyAlignment="1">
      <alignment horizontal="right"/>
    </xf>
    <xf numFmtId="0" fontId="59" fillId="2" borderId="0" xfId="16" applyFont="1" applyFill="1" applyAlignment="1">
      <alignment horizontal="right"/>
    </xf>
    <xf numFmtId="0" fontId="61" fillId="2" borderId="0" xfId="16" applyFont="1" applyFill="1" applyAlignment="1">
      <alignment horizontal="right"/>
    </xf>
    <xf numFmtId="0" fontId="53" fillId="2" borderId="0" xfId="16" applyFont="1" applyFill="1" applyAlignment="1">
      <alignment horizontal="right"/>
    </xf>
    <xf numFmtId="0" fontId="17" fillId="7" borderId="81" xfId="16" applyFont="1" applyFill="1" applyBorder="1" applyAlignment="1">
      <alignment horizontal="center"/>
    </xf>
    <xf numFmtId="17" fontId="17" fillId="7" borderId="98" xfId="16" applyNumberFormat="1" applyFont="1" applyFill="1" applyBorder="1" applyAlignment="1">
      <alignment horizontal="center"/>
    </xf>
    <xf numFmtId="0" fontId="2" fillId="7" borderId="99" xfId="16" applyFont="1" applyFill="1" applyBorder="1" applyAlignment="1">
      <alignment horizontal="center"/>
    </xf>
    <xf numFmtId="0" fontId="59" fillId="2" borderId="99" xfId="16" applyFont="1" applyFill="1" applyBorder="1"/>
    <xf numFmtId="0" fontId="17" fillId="7" borderId="99" xfId="16" applyFont="1" applyFill="1" applyBorder="1"/>
    <xf numFmtId="170" fontId="17" fillId="2" borderId="99" xfId="16" applyNumberFormat="1" applyFont="1" applyFill="1" applyBorder="1"/>
    <xf numFmtId="0" fontId="2" fillId="7" borderId="99" xfId="16" applyFont="1" applyFill="1" applyBorder="1"/>
    <xf numFmtId="170" fontId="2" fillId="2" borderId="99" xfId="16" applyNumberFormat="1" applyFont="1" applyFill="1" applyBorder="1"/>
    <xf numFmtId="0" fontId="2" fillId="7" borderId="99" xfId="16" applyFont="1" applyFill="1" applyBorder="1" applyAlignment="1"/>
    <xf numFmtId="170" fontId="2" fillId="2" borderId="99" xfId="16" applyNumberFormat="1" applyFont="1" applyFill="1" applyBorder="1" applyAlignment="1"/>
    <xf numFmtId="0" fontId="17" fillId="2" borderId="99" xfId="16" applyFont="1" applyFill="1" applyBorder="1"/>
    <xf numFmtId="0" fontId="65" fillId="2" borderId="0" xfId="16" applyFont="1" applyFill="1"/>
    <xf numFmtId="0" fontId="17" fillId="7" borderId="99" xfId="16" applyFont="1" applyFill="1" applyBorder="1" applyAlignment="1">
      <alignment wrapText="1"/>
    </xf>
    <xf numFmtId="170" fontId="17" fillId="2" borderId="99" xfId="16" applyNumberFormat="1" applyFont="1" applyFill="1" applyBorder="1" applyAlignment="1">
      <alignment vertical="center"/>
    </xf>
    <xf numFmtId="0" fontId="2" fillId="7" borderId="100" xfId="16" applyFont="1" applyFill="1" applyBorder="1" applyAlignment="1"/>
    <xf numFmtId="0" fontId="59" fillId="2" borderId="100" xfId="16" applyFont="1" applyFill="1" applyBorder="1"/>
    <xf numFmtId="0" fontId="57" fillId="2" borderId="0" xfId="16" applyFont="1" applyFill="1" applyBorder="1"/>
    <xf numFmtId="0" fontId="58" fillId="2" borderId="0" xfId="16" applyFont="1" applyFill="1"/>
    <xf numFmtId="0" fontId="40" fillId="2" borderId="0" xfId="23" applyFont="1" applyFill="1" applyBorder="1" applyAlignment="1">
      <alignment vertical="center"/>
    </xf>
    <xf numFmtId="0" fontId="59" fillId="2" borderId="0" xfId="8" applyFont="1" applyFill="1" applyBorder="1" applyAlignment="1">
      <alignment vertical="center"/>
    </xf>
    <xf numFmtId="0" fontId="65" fillId="2" borderId="0" xfId="8" applyFont="1" applyFill="1" applyBorder="1" applyAlignment="1">
      <alignment vertical="center"/>
    </xf>
    <xf numFmtId="0" fontId="2" fillId="2" borderId="0" xfId="8" applyFont="1" applyFill="1" applyBorder="1" applyAlignment="1">
      <alignment horizontal="left" vertical="center"/>
    </xf>
    <xf numFmtId="0" fontId="25" fillId="2" borderId="0" xfId="8" applyFont="1" applyFill="1" applyBorder="1" applyAlignment="1">
      <alignment vertical="center"/>
    </xf>
    <xf numFmtId="0" fontId="2" fillId="7" borderId="98" xfId="8" applyFont="1" applyFill="1" applyBorder="1" applyAlignment="1">
      <alignment horizontal="center" vertical="center"/>
    </xf>
    <xf numFmtId="17" fontId="17" fillId="7" borderId="78" xfId="8" applyNumberFormat="1" applyFont="1" applyFill="1" applyBorder="1" applyAlignment="1">
      <alignment horizontal="center" vertical="center"/>
    </xf>
    <xf numFmtId="17" fontId="17" fillId="7" borderId="76" xfId="8" applyNumberFormat="1" applyFont="1" applyFill="1" applyBorder="1" applyAlignment="1">
      <alignment horizontal="center" vertical="center"/>
    </xf>
    <xf numFmtId="17" fontId="17" fillId="7" borderId="93" xfId="8" applyNumberFormat="1" applyFont="1" applyFill="1" applyBorder="1" applyAlignment="1">
      <alignment horizontal="center" vertical="center"/>
    </xf>
    <xf numFmtId="0" fontId="17" fillId="7" borderId="99" xfId="8" applyFont="1" applyFill="1" applyBorder="1" applyAlignment="1">
      <alignment horizontal="center" vertical="center"/>
    </xf>
    <xf numFmtId="0" fontId="59" fillId="2" borderId="90" xfId="8" applyFont="1" applyFill="1" applyBorder="1" applyAlignment="1">
      <alignment vertical="center"/>
    </xf>
    <xf numFmtId="0" fontId="59" fillId="2" borderId="83" xfId="8" applyFont="1" applyFill="1" applyBorder="1" applyAlignment="1">
      <alignment vertical="center"/>
    </xf>
    <xf numFmtId="0" fontId="59" fillId="2" borderId="94" xfId="8" applyFont="1" applyFill="1" applyBorder="1" applyAlignment="1">
      <alignment vertical="center"/>
    </xf>
    <xf numFmtId="0" fontId="59" fillId="2" borderId="85" xfId="8" applyFont="1" applyFill="1" applyBorder="1" applyAlignment="1">
      <alignment vertical="center"/>
    </xf>
    <xf numFmtId="0" fontId="17" fillId="7" borderId="99" xfId="8" applyFont="1" applyFill="1" applyBorder="1" applyAlignment="1">
      <alignment vertical="center"/>
    </xf>
    <xf numFmtId="170" fontId="17" fillId="2" borderId="90" xfId="8" applyNumberFormat="1" applyFont="1" applyFill="1" applyBorder="1" applyAlignment="1">
      <alignment vertical="center"/>
    </xf>
    <xf numFmtId="170" fontId="17" fillId="2" borderId="94" xfId="8" applyNumberFormat="1" applyFont="1" applyFill="1" applyBorder="1" applyAlignment="1">
      <alignment vertical="center"/>
    </xf>
    <xf numFmtId="170" fontId="17" fillId="2" borderId="85" xfId="8" applyNumberFormat="1" applyFont="1" applyFill="1" applyBorder="1" applyAlignment="1">
      <alignment vertical="center"/>
    </xf>
    <xf numFmtId="0" fontId="2" fillId="7" borderId="99" xfId="8" applyFont="1" applyFill="1" applyBorder="1" applyAlignment="1">
      <alignment vertical="center"/>
    </xf>
    <xf numFmtId="170" fontId="2" fillId="2" borderId="90" xfId="8" applyNumberFormat="1" applyFont="1" applyFill="1" applyBorder="1" applyAlignment="1">
      <alignment vertical="center"/>
    </xf>
    <xf numFmtId="170" fontId="2" fillId="2" borderId="94" xfId="8" applyNumberFormat="1" applyFont="1" applyFill="1" applyBorder="1" applyAlignment="1">
      <alignment vertical="center"/>
    </xf>
    <xf numFmtId="170" fontId="2" fillId="2" borderId="85" xfId="8" applyNumberFormat="1" applyFont="1" applyFill="1" applyBorder="1" applyAlignment="1">
      <alignment vertical="center"/>
    </xf>
    <xf numFmtId="170" fontId="2" fillId="7" borderId="99" xfId="8" applyNumberFormat="1" applyFont="1" applyFill="1" applyBorder="1" applyAlignment="1">
      <alignment vertical="center"/>
    </xf>
    <xf numFmtId="170" fontId="59" fillId="2" borderId="0" xfId="8" applyNumberFormat="1" applyFont="1" applyFill="1" applyBorder="1" applyAlignment="1">
      <alignment vertical="center"/>
    </xf>
    <xf numFmtId="0" fontId="2" fillId="7" borderId="99" xfId="8" applyFont="1" applyFill="1" applyBorder="1" applyAlignment="1">
      <alignment horizontal="left" vertical="center"/>
    </xf>
    <xf numFmtId="0" fontId="34" fillId="7" borderId="99" xfId="8" applyFont="1" applyFill="1" applyBorder="1" applyAlignment="1">
      <alignment vertical="center"/>
    </xf>
    <xf numFmtId="0" fontId="2" fillId="7" borderId="100" xfId="8" applyFont="1" applyFill="1" applyBorder="1" applyAlignment="1">
      <alignment vertical="center"/>
    </xf>
    <xf numFmtId="0" fontId="59" fillId="2" borderId="89" xfId="8" applyFont="1" applyFill="1" applyBorder="1" applyAlignment="1">
      <alignment vertical="center"/>
    </xf>
    <xf numFmtId="0" fontId="59" fillId="2" borderId="95" xfId="8" applyFont="1" applyFill="1" applyBorder="1" applyAlignment="1">
      <alignment vertical="center"/>
    </xf>
    <xf numFmtId="0" fontId="59" fillId="2" borderId="88" xfId="8" applyFont="1" applyFill="1" applyBorder="1" applyAlignment="1">
      <alignment vertical="center"/>
    </xf>
    <xf numFmtId="0" fontId="56" fillId="2" borderId="0" xfId="8" applyFont="1" applyFill="1" applyAlignment="1">
      <alignment vertical="center"/>
    </xf>
    <xf numFmtId="0" fontId="57" fillId="2" borderId="0" xfId="8" applyFont="1" applyFill="1" applyAlignment="1">
      <alignment vertical="center"/>
    </xf>
    <xf numFmtId="0" fontId="25" fillId="2" borderId="0" xfId="16" applyFont="1" applyFill="1" applyBorder="1" applyAlignment="1">
      <alignment vertical="center"/>
    </xf>
    <xf numFmtId="170" fontId="2" fillId="2" borderId="0" xfId="16" applyNumberFormat="1" applyFont="1" applyFill="1"/>
    <xf numFmtId="0" fontId="25" fillId="2" borderId="0" xfId="8" applyFont="1" applyFill="1" applyBorder="1"/>
    <xf numFmtId="0" fontId="57" fillId="2" borderId="0" xfId="8" applyFont="1" applyFill="1" applyBorder="1"/>
    <xf numFmtId="0" fontId="36" fillId="2" borderId="0" xfId="23" applyFont="1" applyFill="1" applyBorder="1" applyAlignment="1">
      <alignment vertical="center"/>
    </xf>
    <xf numFmtId="0" fontId="2" fillId="2" borderId="0" xfId="8" applyFont="1" applyFill="1" applyAlignment="1">
      <alignment vertical="center"/>
    </xf>
    <xf numFmtId="0" fontId="17" fillId="12" borderId="0" xfId="8" applyFont="1" applyFill="1" applyBorder="1" applyAlignment="1">
      <alignment horizontal="center" vertical="center"/>
    </xf>
    <xf numFmtId="0" fontId="2" fillId="2" borderId="0" xfId="8" applyFont="1" applyFill="1" applyBorder="1" applyAlignment="1">
      <alignment vertical="center"/>
    </xf>
    <xf numFmtId="0" fontId="34" fillId="2" borderId="0" xfId="8" applyFont="1" applyFill="1" applyBorder="1" applyAlignment="1">
      <alignment horizontal="right" vertical="center"/>
    </xf>
    <xf numFmtId="0" fontId="17" fillId="7" borderId="98" xfId="8" applyFont="1" applyFill="1" applyBorder="1" applyAlignment="1">
      <alignment horizontal="center" vertical="center"/>
    </xf>
    <xf numFmtId="0" fontId="59" fillId="2" borderId="80" xfId="8" applyFont="1" applyFill="1" applyBorder="1" applyAlignment="1">
      <alignment vertical="center"/>
    </xf>
    <xf numFmtId="170" fontId="17" fillId="2" borderId="80" xfId="8" applyNumberFormat="1" applyFont="1" applyFill="1" applyBorder="1" applyAlignment="1">
      <alignment vertical="center"/>
    </xf>
    <xf numFmtId="170" fontId="2" fillId="2" borderId="80" xfId="8" applyNumberFormat="1" applyFont="1" applyFill="1" applyBorder="1" applyAlignment="1">
      <alignment vertical="center"/>
    </xf>
    <xf numFmtId="170" fontId="17" fillId="0" borderId="90" xfId="8" applyNumberFormat="1" applyFont="1" applyFill="1" applyBorder="1" applyAlignment="1">
      <alignment vertical="center"/>
    </xf>
    <xf numFmtId="170" fontId="17" fillId="0" borderId="80" xfId="8" applyNumberFormat="1" applyFont="1" applyFill="1" applyBorder="1" applyAlignment="1">
      <alignment vertical="center"/>
    </xf>
    <xf numFmtId="0" fontId="59" fillId="2" borderId="87" xfId="8" applyFont="1" applyFill="1" applyBorder="1" applyAlignment="1">
      <alignment vertical="center"/>
    </xf>
    <xf numFmtId="164" fontId="59" fillId="2" borderId="0" xfId="8" applyNumberFormat="1" applyFont="1" applyFill="1" applyBorder="1" applyAlignment="1">
      <alignment vertical="center"/>
    </xf>
    <xf numFmtId="0" fontId="40" fillId="0" borderId="0" xfId="16" applyFont="1" applyBorder="1"/>
    <xf numFmtId="0" fontId="40" fillId="4" borderId="101" xfId="16" applyFont="1" applyFill="1" applyBorder="1" applyAlignment="1">
      <alignment horizontal="center"/>
    </xf>
    <xf numFmtId="17" fontId="40" fillId="4" borderId="101" xfId="16" applyNumberFormat="1" applyFont="1" applyFill="1" applyBorder="1" applyAlignment="1">
      <alignment horizontal="center"/>
    </xf>
    <xf numFmtId="0" fontId="51" fillId="4" borderId="11" xfId="16" applyFont="1" applyFill="1" applyBorder="1"/>
    <xf numFmtId="182" fontId="51" fillId="0" borderId="11" xfId="24" applyNumberFormat="1" applyFont="1" applyBorder="1" applyAlignment="1">
      <alignment horizontal="center"/>
    </xf>
    <xf numFmtId="182" fontId="51" fillId="2" borderId="11" xfId="24" applyNumberFormat="1" applyFont="1" applyFill="1" applyBorder="1" applyAlignment="1">
      <alignment horizontal="center"/>
    </xf>
    <xf numFmtId="182" fontId="2" fillId="0" borderId="0" xfId="16" applyNumberFormat="1" applyFont="1"/>
    <xf numFmtId="182" fontId="51" fillId="0" borderId="11" xfId="24" applyNumberFormat="1" applyFont="1" applyFill="1" applyBorder="1" applyAlignment="1">
      <alignment horizontal="center"/>
    </xf>
    <xf numFmtId="0" fontId="40" fillId="4" borderId="101" xfId="16" applyFont="1" applyFill="1" applyBorder="1" applyAlignment="1">
      <alignment horizontal="left"/>
    </xf>
    <xf numFmtId="182" fontId="40" fillId="0" borderId="101" xfId="24" applyNumberFormat="1" applyFont="1" applyBorder="1" applyAlignment="1">
      <alignment horizontal="center"/>
    </xf>
    <xf numFmtId="182" fontId="40" fillId="0" borderId="101" xfId="24" applyNumberFormat="1" applyFont="1" applyFill="1" applyBorder="1" applyAlignment="1">
      <alignment horizontal="center"/>
    </xf>
    <xf numFmtId="167" fontId="2" fillId="0" borderId="0" xfId="16" applyNumberFormat="1" applyFont="1"/>
    <xf numFmtId="0" fontId="40" fillId="0" borderId="0" xfId="16" applyFont="1" applyFill="1" applyBorder="1" applyAlignment="1">
      <alignment horizontal="left"/>
    </xf>
    <xf numFmtId="182" fontId="40" fillId="0" borderId="0" xfId="24" applyNumberFormat="1" applyFont="1" applyFill="1" applyBorder="1" applyAlignment="1">
      <alignment horizontal="center"/>
    </xf>
    <xf numFmtId="0" fontId="2" fillId="0" borderId="0" xfId="16" applyFont="1" applyFill="1" applyBorder="1"/>
    <xf numFmtId="0" fontId="51" fillId="0" borderId="0" xfId="16" applyFont="1" applyBorder="1" applyAlignment="1">
      <alignment horizontal="center"/>
    </xf>
    <xf numFmtId="182" fontId="34" fillId="0" borderId="0" xfId="24" applyNumberFormat="1" applyFont="1" applyBorder="1" applyAlignment="1">
      <alignment horizontal="right"/>
    </xf>
    <xf numFmtId="182" fontId="51" fillId="0" borderId="11" xfId="24" applyNumberFormat="1" applyFont="1" applyBorder="1"/>
    <xf numFmtId="182" fontId="51" fillId="2" borderId="11" xfId="24" applyNumberFormat="1" applyFont="1" applyFill="1" applyBorder="1"/>
    <xf numFmtId="0" fontId="67" fillId="4" borderId="11" xfId="16" applyFont="1" applyFill="1" applyBorder="1"/>
    <xf numFmtId="182" fontId="67" fillId="0" borderId="11" xfId="24" applyNumberFormat="1" applyFont="1" applyBorder="1"/>
    <xf numFmtId="182" fontId="67" fillId="2" borderId="11" xfId="24" applyNumberFormat="1" applyFont="1" applyFill="1" applyBorder="1"/>
    <xf numFmtId="0" fontId="51" fillId="0" borderId="0" xfId="16" applyFont="1"/>
    <xf numFmtId="0" fontId="40" fillId="4" borderId="101" xfId="16" applyFont="1" applyFill="1" applyBorder="1"/>
    <xf numFmtId="182" fontId="40" fillId="0" borderId="101" xfId="24" applyNumberFormat="1" applyFont="1" applyBorder="1"/>
    <xf numFmtId="182" fontId="40" fillId="0" borderId="101" xfId="24" applyNumberFormat="1" applyFont="1" applyFill="1" applyBorder="1"/>
    <xf numFmtId="0" fontId="34" fillId="0" borderId="0" xfId="16" applyFont="1" applyFill="1" applyBorder="1" applyAlignment="1">
      <alignment horizontal="left" vertical="top"/>
    </xf>
    <xf numFmtId="0" fontId="2" fillId="0" borderId="0" xfId="16" applyFont="1" applyBorder="1" applyAlignment="1">
      <alignment vertical="top"/>
    </xf>
    <xf numFmtId="0" fontId="34" fillId="0" borderId="0" xfId="16" applyFont="1" applyFill="1" applyBorder="1" applyAlignment="1">
      <alignment vertical="top"/>
    </xf>
    <xf numFmtId="0" fontId="2" fillId="0" borderId="0" xfId="16" applyFont="1" applyBorder="1"/>
    <xf numFmtId="172" fontId="2" fillId="0" borderId="0" xfId="16" applyNumberFormat="1" applyFont="1" applyBorder="1"/>
    <xf numFmtId="0" fontId="37" fillId="2" borderId="0" xfId="16" applyFont="1" applyFill="1"/>
    <xf numFmtId="0" fontId="33" fillId="2" borderId="0" xfId="16" applyFont="1" applyFill="1" applyBorder="1"/>
    <xf numFmtId="0" fontId="38" fillId="2" borderId="0" xfId="16" applyFont="1" applyFill="1" applyBorder="1" applyAlignment="1">
      <alignment horizontal="right"/>
    </xf>
    <xf numFmtId="0" fontId="24" fillId="3" borderId="1" xfId="16" applyFont="1" applyFill="1" applyBorder="1"/>
    <xf numFmtId="17" fontId="68" fillId="3" borderId="102" xfId="16" applyNumberFormat="1" applyFont="1" applyFill="1" applyBorder="1" applyAlignment="1">
      <alignment horizontal="center"/>
    </xf>
    <xf numFmtId="17" fontId="68" fillId="3" borderId="3" xfId="16" applyNumberFormat="1" applyFont="1" applyFill="1" applyBorder="1" applyAlignment="1">
      <alignment horizontal="center"/>
    </xf>
    <xf numFmtId="17" fontId="68" fillId="3" borderId="4" xfId="16" applyNumberFormat="1" applyFont="1" applyFill="1" applyBorder="1" applyAlignment="1">
      <alignment horizontal="center"/>
    </xf>
    <xf numFmtId="0" fontId="24" fillId="2" borderId="0" xfId="16" applyFont="1" applyFill="1"/>
    <xf numFmtId="0" fontId="24" fillId="3" borderId="46" xfId="16" applyFont="1" applyFill="1" applyBorder="1"/>
    <xf numFmtId="172" fontId="24" fillId="2" borderId="13" xfId="16" applyNumberFormat="1" applyFont="1" applyFill="1" applyBorder="1"/>
    <xf numFmtId="172" fontId="24" fillId="2" borderId="11" xfId="16" applyNumberFormat="1" applyFont="1" applyFill="1" applyBorder="1"/>
    <xf numFmtId="172" fontId="24" fillId="2" borderId="47" xfId="16" applyNumberFormat="1" applyFont="1" applyFill="1" applyBorder="1"/>
    <xf numFmtId="0" fontId="68" fillId="3" borderId="46" xfId="16" applyFont="1" applyFill="1" applyBorder="1"/>
    <xf numFmtId="172" fontId="68" fillId="2" borderId="13" xfId="16" applyNumberFormat="1" applyFont="1" applyFill="1" applyBorder="1"/>
    <xf numFmtId="172" fontId="68" fillId="2" borderId="11" xfId="16" applyNumberFormat="1" applyFont="1" applyFill="1" applyBorder="1"/>
    <xf numFmtId="172" fontId="68" fillId="2" borderId="47" xfId="16" applyNumberFormat="1" applyFont="1" applyFill="1" applyBorder="1"/>
    <xf numFmtId="0" fontId="68" fillId="3" borderId="103" xfId="16" applyFont="1" applyFill="1" applyBorder="1"/>
    <xf numFmtId="172" fontId="68" fillId="2" borderId="104" xfId="16" applyNumberFormat="1" applyFont="1" applyFill="1" applyBorder="1"/>
    <xf numFmtId="172" fontId="68" fillId="2" borderId="16" xfId="16" applyNumberFormat="1" applyFont="1" applyFill="1" applyBorder="1"/>
    <xf numFmtId="172" fontId="68" fillId="2" borderId="105" xfId="16" applyNumberFormat="1" applyFont="1" applyFill="1" applyBorder="1"/>
    <xf numFmtId="0" fontId="38" fillId="2" borderId="0" xfId="16" applyFont="1" applyFill="1" applyBorder="1" applyAlignment="1">
      <alignment horizontal="left" vertical="top"/>
    </xf>
    <xf numFmtId="0" fontId="25" fillId="2" borderId="0" xfId="16" applyFont="1" applyFill="1" applyAlignment="1">
      <alignment vertical="center"/>
    </xf>
    <xf numFmtId="0" fontId="36" fillId="2" borderId="0" xfId="16" applyFont="1" applyFill="1" applyAlignment="1" applyProtection="1">
      <alignment horizontal="left" vertical="center"/>
    </xf>
    <xf numFmtId="0" fontId="70" fillId="2" borderId="0" xfId="16" applyFont="1" applyFill="1" applyAlignment="1">
      <alignment vertical="center"/>
    </xf>
    <xf numFmtId="0" fontId="51" fillId="2" borderId="0" xfId="16" applyFont="1" applyFill="1" applyAlignment="1">
      <alignment vertical="center"/>
    </xf>
    <xf numFmtId="4" fontId="51" fillId="2" borderId="0" xfId="16" applyNumberFormat="1" applyFont="1" applyFill="1" applyAlignment="1">
      <alignment vertical="center"/>
    </xf>
    <xf numFmtId="0" fontId="40" fillId="2" borderId="0" xfId="16" applyFont="1" applyFill="1" applyAlignment="1">
      <alignment vertical="center"/>
    </xf>
    <xf numFmtId="0" fontId="51" fillId="2" borderId="0" xfId="16" applyFont="1" applyFill="1" applyAlignment="1">
      <alignment horizontal="center" vertical="center"/>
    </xf>
    <xf numFmtId="0" fontId="51" fillId="2" borderId="0" xfId="34" applyFont="1" applyFill="1" applyAlignment="1">
      <alignment vertical="center"/>
    </xf>
    <xf numFmtId="0" fontId="19" fillId="2" borderId="0" xfId="16" applyFont="1" applyFill="1" applyAlignment="1" applyProtection="1">
      <alignment vertical="center"/>
    </xf>
    <xf numFmtId="4" fontId="19" fillId="2" borderId="0" xfId="16" applyNumberFormat="1" applyFont="1" applyFill="1" applyAlignment="1" applyProtection="1">
      <alignment vertical="center"/>
    </xf>
    <xf numFmtId="0" fontId="19" fillId="2" borderId="0" xfId="16" applyFont="1" applyFill="1" applyAlignment="1" applyProtection="1">
      <alignment horizontal="center" vertical="center"/>
    </xf>
    <xf numFmtId="0" fontId="19" fillId="2" borderId="0" xfId="16" applyFont="1" applyFill="1" applyAlignment="1" applyProtection="1">
      <alignment horizontal="left" vertical="center"/>
    </xf>
    <xf numFmtId="0" fontId="19" fillId="2" borderId="0" xfId="16" applyFont="1" applyFill="1" applyAlignment="1">
      <alignment vertical="center"/>
    </xf>
    <xf numFmtId="0" fontId="23" fillId="2" borderId="0" xfId="16" applyFont="1" applyFill="1" applyAlignment="1" applyProtection="1">
      <alignment vertical="center"/>
    </xf>
    <xf numFmtId="0" fontId="19" fillId="2" borderId="0" xfId="34" applyFont="1" applyFill="1" applyAlignment="1">
      <alignment vertical="center"/>
    </xf>
    <xf numFmtId="0" fontId="23" fillId="9" borderId="39" xfId="16" applyFont="1" applyFill="1" applyBorder="1" applyAlignment="1" applyProtection="1">
      <alignment horizontal="centerContinuous" vertical="center"/>
    </xf>
    <xf numFmtId="4" fontId="23" fillId="9" borderId="30" xfId="16" applyNumberFormat="1" applyFont="1" applyFill="1" applyBorder="1" applyAlignment="1" applyProtection="1">
      <alignment horizontal="centerContinuous" vertical="center"/>
    </xf>
    <xf numFmtId="0" fontId="23" fillId="9" borderId="30" xfId="16" applyFont="1" applyFill="1" applyBorder="1" applyAlignment="1" applyProtection="1">
      <alignment horizontal="centerContinuous" vertical="center"/>
    </xf>
    <xf numFmtId="0" fontId="23" fillId="9" borderId="41" xfId="16" applyFont="1" applyFill="1" applyBorder="1" applyAlignment="1" applyProtection="1">
      <alignment horizontal="centerContinuous" vertical="center"/>
    </xf>
    <xf numFmtId="0" fontId="23" fillId="9" borderId="30" xfId="16" applyFont="1" applyFill="1" applyBorder="1" applyAlignment="1" applyProtection="1">
      <alignment horizontal="center" vertical="center"/>
    </xf>
    <xf numFmtId="0" fontId="23" fillId="9" borderId="31" xfId="16" applyFont="1" applyFill="1" applyBorder="1" applyAlignment="1" applyProtection="1">
      <alignment horizontal="center" vertical="center"/>
    </xf>
    <xf numFmtId="0" fontId="23" fillId="9" borderId="44" xfId="16" applyFont="1" applyFill="1" applyBorder="1" applyAlignment="1" applyProtection="1">
      <alignment horizontal="centerContinuous" vertical="center"/>
    </xf>
    <xf numFmtId="0" fontId="23" fillId="13" borderId="120" xfId="16" applyFont="1" applyFill="1" applyBorder="1" applyAlignment="1" applyProtection="1">
      <alignment horizontal="center" vertical="center"/>
    </xf>
    <xf numFmtId="0" fontId="23" fillId="13" borderId="8" xfId="16" applyFont="1" applyFill="1" applyBorder="1" applyAlignment="1" applyProtection="1">
      <alignment horizontal="center" vertical="center"/>
    </xf>
    <xf numFmtId="4" fontId="23" fillId="13" borderId="8" xfId="16" applyNumberFormat="1" applyFont="1" applyFill="1" applyBorder="1" applyAlignment="1" applyProtection="1">
      <alignment horizontal="center" vertical="center"/>
    </xf>
    <xf numFmtId="0" fontId="23" fillId="13" borderId="45" xfId="16" applyFont="1" applyFill="1" applyBorder="1" applyAlignment="1" applyProtection="1">
      <alignment horizontal="center" vertical="center"/>
    </xf>
    <xf numFmtId="0" fontId="23" fillId="13" borderId="19" xfId="16" applyFont="1" applyFill="1" applyBorder="1" applyAlignment="1" applyProtection="1">
      <alignment horizontal="center" vertical="center"/>
    </xf>
    <xf numFmtId="0" fontId="23" fillId="13" borderId="7" xfId="16" applyFont="1" applyFill="1" applyBorder="1" applyAlignment="1" applyProtection="1">
      <alignment horizontal="center" vertical="center"/>
    </xf>
    <xf numFmtId="0" fontId="23" fillId="9" borderId="33" xfId="16" applyFont="1" applyFill="1" applyBorder="1" applyAlignment="1" applyProtection="1">
      <alignment horizontal="center" vertical="center"/>
    </xf>
    <xf numFmtId="0" fontId="23" fillId="13" borderId="13" xfId="16" applyFont="1" applyFill="1" applyBorder="1" applyAlignment="1" applyProtection="1">
      <alignment horizontal="center" vertical="center"/>
    </xf>
    <xf numFmtId="4" fontId="23" fillId="13" borderId="13" xfId="16" applyNumberFormat="1" applyFont="1" applyFill="1" applyBorder="1" applyAlignment="1" applyProtection="1">
      <alignment horizontal="center" vertical="center"/>
    </xf>
    <xf numFmtId="0" fontId="23" fillId="13" borderId="47" xfId="16" applyFont="1" applyFill="1" applyBorder="1" applyAlignment="1" applyProtection="1">
      <alignment horizontal="center" vertical="center"/>
    </xf>
    <xf numFmtId="0" fontId="23" fillId="13" borderId="20" xfId="16" applyFont="1" applyFill="1" applyBorder="1" applyAlignment="1" applyProtection="1">
      <alignment horizontal="center" vertical="center"/>
    </xf>
    <xf numFmtId="0" fontId="23" fillId="13" borderId="11" xfId="16" applyFont="1" applyFill="1" applyBorder="1" applyAlignment="1" applyProtection="1">
      <alignment horizontal="center" vertical="center"/>
    </xf>
    <xf numFmtId="0" fontId="19" fillId="9" borderId="48" xfId="16" applyFont="1" applyFill="1" applyBorder="1" applyAlignment="1">
      <alignment vertical="center"/>
    </xf>
    <xf numFmtId="0" fontId="23" fillId="13" borderId="49" xfId="16" applyFont="1" applyFill="1" applyBorder="1" applyAlignment="1" applyProtection="1">
      <alignment horizontal="center" vertical="center"/>
    </xf>
    <xf numFmtId="4" fontId="23" fillId="13" borderId="49" xfId="16" applyNumberFormat="1" applyFont="1" applyFill="1" applyBorder="1" applyAlignment="1" applyProtection="1">
      <alignment horizontal="center" vertical="center"/>
    </xf>
    <xf numFmtId="0" fontId="23" fillId="13" borderId="54" xfId="16" applyFont="1" applyFill="1" applyBorder="1" applyAlignment="1" applyProtection="1">
      <alignment horizontal="center" vertical="center"/>
    </xf>
    <xf numFmtId="0" fontId="23" fillId="13" borderId="51" xfId="16" applyFont="1" applyFill="1" applyBorder="1" applyAlignment="1" applyProtection="1">
      <alignment horizontal="center" vertical="center"/>
    </xf>
    <xf numFmtId="0" fontId="23" fillId="13" borderId="50" xfId="16" applyFont="1" applyFill="1" applyBorder="1" applyAlignment="1" applyProtection="1">
      <alignment horizontal="center" vertical="center"/>
    </xf>
    <xf numFmtId="0" fontId="23" fillId="9" borderId="38" xfId="16" applyFont="1" applyFill="1" applyBorder="1" applyAlignment="1">
      <alignment horizontal="center" vertical="center"/>
    </xf>
    <xf numFmtId="0" fontId="23" fillId="9" borderId="44" xfId="16" applyFont="1" applyFill="1" applyBorder="1" applyAlignment="1" applyProtection="1">
      <alignment horizontal="right" vertical="center"/>
      <protection hidden="1"/>
    </xf>
    <xf numFmtId="184" fontId="19" fillId="2" borderId="13" xfId="16" applyNumberFormat="1" applyFont="1" applyFill="1" applyBorder="1" applyAlignment="1" applyProtection="1">
      <alignment horizontal="right" vertical="center"/>
      <protection hidden="1"/>
    </xf>
    <xf numFmtId="0" fontId="19" fillId="2" borderId="13" xfId="16" applyFont="1" applyFill="1" applyBorder="1" applyAlignment="1" applyProtection="1">
      <alignment horizontal="right" vertical="center"/>
      <protection hidden="1"/>
    </xf>
    <xf numFmtId="4" fontId="19" fillId="2" borderId="13" xfId="16" applyNumberFormat="1" applyFont="1" applyFill="1" applyBorder="1" applyAlignment="1" applyProtection="1">
      <alignment horizontal="right" vertical="center"/>
      <protection hidden="1"/>
    </xf>
    <xf numFmtId="0" fontId="19" fillId="2" borderId="47" xfId="16" applyFont="1" applyFill="1" applyBorder="1" applyAlignment="1" applyProtection="1">
      <alignment horizontal="right" vertical="center"/>
      <protection hidden="1"/>
    </xf>
    <xf numFmtId="0" fontId="23" fillId="2" borderId="20" xfId="16" applyFont="1" applyFill="1" applyBorder="1" applyAlignment="1" applyProtection="1">
      <alignment horizontal="right" vertical="center"/>
      <protection hidden="1"/>
    </xf>
    <xf numFmtId="184" fontId="19" fillId="2" borderId="11" xfId="16" applyNumberFormat="1" applyFont="1" applyFill="1" applyBorder="1" applyAlignment="1" applyProtection="1">
      <alignment horizontal="right" vertical="center"/>
      <protection hidden="1"/>
    </xf>
    <xf numFmtId="184" fontId="19" fillId="2" borderId="11" xfId="16" applyNumberFormat="1" applyFont="1" applyFill="1" applyBorder="1" applyAlignment="1" applyProtection="1">
      <alignment horizontal="center" vertical="center"/>
      <protection hidden="1"/>
    </xf>
    <xf numFmtId="0" fontId="19" fillId="2" borderId="11" xfId="16" applyFont="1" applyFill="1" applyBorder="1" applyAlignment="1" applyProtection="1">
      <alignment horizontal="right" vertical="center"/>
      <protection hidden="1"/>
    </xf>
    <xf numFmtId="0" fontId="23" fillId="2" borderId="47" xfId="16" applyFont="1" applyFill="1" applyBorder="1" applyAlignment="1" applyProtection="1">
      <alignment horizontal="right" vertical="center"/>
      <protection hidden="1"/>
    </xf>
    <xf numFmtId="0" fontId="23" fillId="2" borderId="42" xfId="16" applyFont="1" applyFill="1" applyBorder="1" applyAlignment="1" applyProtection="1">
      <alignment horizontal="right" vertical="center"/>
      <protection hidden="1"/>
    </xf>
    <xf numFmtId="17" fontId="23" fillId="9" borderId="44" xfId="16" applyNumberFormat="1" applyFont="1" applyFill="1" applyBorder="1" applyAlignment="1">
      <alignment horizontal="left" vertical="center"/>
    </xf>
    <xf numFmtId="184" fontId="19" fillId="2" borderId="13" xfId="16" applyNumberFormat="1" applyFont="1" applyFill="1" applyBorder="1" applyAlignment="1" applyProtection="1">
      <alignment horizontal="right" vertical="center"/>
    </xf>
    <xf numFmtId="184" fontId="19" fillId="2" borderId="11" xfId="16" applyNumberFormat="1" applyFont="1" applyFill="1" applyBorder="1" applyAlignment="1" applyProtection="1">
      <alignment horizontal="right" vertical="center"/>
    </xf>
    <xf numFmtId="184" fontId="19" fillId="2" borderId="47" xfId="16" applyNumberFormat="1" applyFont="1" applyFill="1" applyBorder="1" applyAlignment="1" applyProtection="1">
      <alignment horizontal="right" vertical="center"/>
    </xf>
    <xf numFmtId="184" fontId="23" fillId="2" borderId="20" xfId="16" applyNumberFormat="1" applyFont="1" applyFill="1" applyBorder="1" applyAlignment="1" applyProtection="1">
      <alignment horizontal="right" vertical="center"/>
    </xf>
    <xf numFmtId="184" fontId="19" fillId="2" borderId="11" xfId="16" applyNumberFormat="1" applyFont="1" applyFill="1" applyBorder="1" applyAlignment="1" applyProtection="1">
      <alignment horizontal="center" vertical="center"/>
    </xf>
    <xf numFmtId="184" fontId="23" fillId="2" borderId="47" xfId="16" applyNumberFormat="1" applyFont="1" applyFill="1" applyBorder="1" applyAlignment="1" applyProtection="1">
      <alignment horizontal="right" vertical="center"/>
    </xf>
    <xf numFmtId="184" fontId="23" fillId="2" borderId="33" xfId="16" applyNumberFormat="1" applyFont="1" applyFill="1" applyBorder="1" applyAlignment="1" applyProtection="1">
      <alignment horizontal="right" vertical="center"/>
    </xf>
    <xf numFmtId="184" fontId="19" fillId="2" borderId="0" xfId="16" applyNumberFormat="1" applyFont="1" applyFill="1" applyAlignment="1">
      <alignment vertical="center"/>
    </xf>
    <xf numFmtId="184" fontId="33" fillId="2" borderId="13" xfId="16" applyNumberFormat="1" applyFont="1" applyFill="1" applyBorder="1" applyAlignment="1" applyProtection="1">
      <alignment horizontal="right" vertical="center"/>
    </xf>
    <xf numFmtId="184" fontId="33" fillId="2" borderId="11" xfId="16" applyNumberFormat="1" applyFont="1" applyFill="1" applyBorder="1" applyAlignment="1" applyProtection="1">
      <alignment horizontal="right" vertical="center"/>
    </xf>
    <xf numFmtId="184" fontId="33" fillId="2" borderId="47" xfId="16" applyNumberFormat="1" applyFont="1" applyFill="1" applyBorder="1" applyAlignment="1" applyProtection="1">
      <alignment horizontal="right" vertical="center"/>
    </xf>
    <xf numFmtId="184" fontId="37" fillId="2" borderId="20" xfId="16" applyNumberFormat="1" applyFont="1" applyFill="1" applyBorder="1" applyAlignment="1" applyProtection="1">
      <alignment horizontal="right" vertical="center"/>
    </xf>
    <xf numFmtId="184" fontId="33" fillId="2" borderId="11" xfId="16" applyNumberFormat="1" applyFont="1" applyFill="1" applyBorder="1" applyAlignment="1" applyProtection="1">
      <alignment horizontal="center" vertical="center"/>
    </xf>
    <xf numFmtId="184" fontId="37" fillId="2" borderId="47" xfId="16" applyNumberFormat="1" applyFont="1" applyFill="1" applyBorder="1" applyAlignment="1" applyProtection="1">
      <alignment horizontal="right" vertical="center"/>
    </xf>
    <xf numFmtId="184" fontId="37" fillId="2" borderId="33" xfId="16" applyNumberFormat="1" applyFont="1" applyFill="1" applyBorder="1" applyAlignment="1" applyProtection="1">
      <alignment horizontal="right" vertical="center"/>
    </xf>
    <xf numFmtId="184" fontId="19" fillId="2" borderId="0" xfId="34" applyNumberFormat="1" applyFont="1" applyFill="1" applyAlignment="1">
      <alignment vertical="center"/>
    </xf>
    <xf numFmtId="184" fontId="33" fillId="2" borderId="13" xfId="16" applyNumberFormat="1" applyFont="1" applyFill="1" applyBorder="1" applyAlignment="1" applyProtection="1">
      <alignment horizontal="right"/>
    </xf>
    <xf numFmtId="184" fontId="33" fillId="2" borderId="11" xfId="16" applyNumberFormat="1" applyFont="1" applyFill="1" applyBorder="1" applyAlignment="1" applyProtection="1">
      <alignment horizontal="right"/>
    </xf>
    <xf numFmtId="184" fontId="33" fillId="2" borderId="47" xfId="16" applyNumberFormat="1" applyFont="1" applyFill="1" applyBorder="1" applyAlignment="1" applyProtection="1">
      <alignment horizontal="right"/>
    </xf>
    <xf numFmtId="184" fontId="37" fillId="2" borderId="20" xfId="16" applyNumberFormat="1" applyFont="1" applyFill="1" applyBorder="1" applyAlignment="1" applyProtection="1">
      <alignment horizontal="right"/>
    </xf>
    <xf numFmtId="184" fontId="33" fillId="2" borderId="11" xfId="16" applyNumberFormat="1" applyFont="1" applyFill="1" applyBorder="1" applyAlignment="1" applyProtection="1">
      <alignment horizontal="center"/>
    </xf>
    <xf numFmtId="184" fontId="37" fillId="2" borderId="47" xfId="16" applyNumberFormat="1" applyFont="1" applyFill="1" applyBorder="1" applyAlignment="1" applyProtection="1">
      <alignment horizontal="right"/>
    </xf>
    <xf numFmtId="0" fontId="2" fillId="2" borderId="0" xfId="34" applyFont="1" applyFill="1"/>
    <xf numFmtId="184" fontId="71" fillId="2" borderId="13" xfId="16" applyNumberFormat="1" applyFont="1" applyFill="1" applyBorder="1" applyAlignment="1" applyProtection="1">
      <alignment horizontal="right"/>
    </xf>
    <xf numFmtId="184" fontId="71" fillId="2" borderId="11" xfId="16" applyNumberFormat="1" applyFont="1" applyFill="1" applyBorder="1" applyAlignment="1" applyProtection="1">
      <alignment horizontal="right"/>
    </xf>
    <xf numFmtId="184" fontId="71" fillId="2" borderId="47" xfId="16" applyNumberFormat="1" applyFont="1" applyFill="1" applyBorder="1" applyAlignment="1" applyProtection="1">
      <alignment horizontal="right"/>
    </xf>
    <xf numFmtId="184" fontId="72" fillId="2" borderId="20" xfId="16" applyNumberFormat="1" applyFont="1" applyFill="1" applyBorder="1" applyAlignment="1" applyProtection="1">
      <alignment horizontal="right"/>
    </xf>
    <xf numFmtId="184" fontId="71" fillId="2" borderId="11" xfId="16" applyNumberFormat="1" applyFont="1" applyFill="1" applyBorder="1" applyAlignment="1" applyProtection="1">
      <alignment horizontal="center"/>
    </xf>
    <xf numFmtId="184" fontId="72" fillId="2" borderId="47" xfId="16" applyNumberFormat="1" applyFont="1" applyFill="1" applyBorder="1" applyAlignment="1" applyProtection="1">
      <alignment horizontal="right"/>
    </xf>
    <xf numFmtId="184" fontId="72" fillId="2" borderId="33" xfId="16" applyNumberFormat="1" applyFont="1" applyFill="1" applyBorder="1" applyAlignment="1" applyProtection="1">
      <alignment horizontal="right" vertical="center"/>
    </xf>
    <xf numFmtId="164" fontId="19" fillId="2" borderId="11" xfId="34" applyNumberFormat="1" applyFont="1" applyFill="1" applyBorder="1" applyAlignment="1">
      <alignment horizontal="center" vertical="center"/>
    </xf>
    <xf numFmtId="164" fontId="19" fillId="2" borderId="11" xfId="34" applyNumberFormat="1" applyFont="1" applyFill="1" applyBorder="1" applyAlignment="1">
      <alignment vertical="center"/>
    </xf>
    <xf numFmtId="184" fontId="72" fillId="2" borderId="46" xfId="16" applyNumberFormat="1" applyFont="1" applyFill="1" applyBorder="1" applyAlignment="1" applyProtection="1">
      <alignment horizontal="right"/>
    </xf>
    <xf numFmtId="184" fontId="19" fillId="2" borderId="11" xfId="34" applyNumberFormat="1" applyFont="1" applyFill="1" applyBorder="1" applyAlignment="1">
      <alignment horizontal="center" vertical="center"/>
    </xf>
    <xf numFmtId="184" fontId="19" fillId="2" borderId="11" xfId="34" applyNumberFormat="1" applyFont="1" applyFill="1" applyBorder="1" applyAlignment="1">
      <alignment vertical="center"/>
    </xf>
    <xf numFmtId="184" fontId="71" fillId="2" borderId="13" xfId="16" applyNumberFormat="1" applyFont="1" applyFill="1" applyBorder="1" applyAlignment="1" applyProtection="1">
      <alignment horizontal="center"/>
    </xf>
    <xf numFmtId="39" fontId="19" fillId="2" borderId="0" xfId="34" applyNumberFormat="1" applyFont="1" applyFill="1" applyAlignment="1">
      <alignment vertical="center"/>
    </xf>
    <xf numFmtId="1" fontId="23" fillId="2" borderId="0" xfId="34" applyNumberFormat="1" applyFont="1" applyFill="1" applyAlignment="1">
      <alignment vertical="center"/>
    </xf>
    <xf numFmtId="164" fontId="19" fillId="2" borderId="0" xfId="34" applyNumberFormat="1" applyFont="1" applyFill="1" applyAlignment="1">
      <alignment horizontal="center" vertical="center"/>
    </xf>
    <xf numFmtId="17" fontId="23" fillId="9" borderId="48" xfId="16" applyNumberFormat="1" applyFont="1" applyFill="1" applyBorder="1" applyAlignment="1">
      <alignment horizontal="left" vertical="center"/>
    </xf>
    <xf numFmtId="184" fontId="19" fillId="2" borderId="49" xfId="16" applyNumberFormat="1" applyFont="1" applyFill="1" applyBorder="1" applyAlignment="1" applyProtection="1">
      <alignment horizontal="right" vertical="center"/>
    </xf>
    <xf numFmtId="184" fontId="19" fillId="2" borderId="50" xfId="16" applyNumberFormat="1" applyFont="1" applyFill="1" applyBorder="1" applyAlignment="1" applyProtection="1">
      <alignment horizontal="right" vertical="center"/>
    </xf>
    <xf numFmtId="184" fontId="19" fillId="2" borderId="54" xfId="16" applyNumberFormat="1" applyFont="1" applyFill="1" applyBorder="1" applyAlignment="1" applyProtection="1">
      <alignment horizontal="right" vertical="center"/>
    </xf>
    <xf numFmtId="184" fontId="72" fillId="2" borderId="53" xfId="16" applyNumberFormat="1" applyFont="1" applyFill="1" applyBorder="1" applyAlignment="1" applyProtection="1">
      <alignment horizontal="right"/>
    </xf>
    <xf numFmtId="184" fontId="72" fillId="2" borderId="54" xfId="16" applyNumberFormat="1" applyFont="1" applyFill="1" applyBorder="1" applyAlignment="1" applyProtection="1">
      <alignment horizontal="right"/>
    </xf>
    <xf numFmtId="184" fontId="72" fillId="2" borderId="53" xfId="16" applyNumberFormat="1" applyFont="1" applyFill="1" applyBorder="1" applyAlignment="1" applyProtection="1">
      <alignment horizontal="right" vertical="center"/>
    </xf>
    <xf numFmtId="184" fontId="19" fillId="2" borderId="0" xfId="16" applyNumberFormat="1" applyFont="1" applyFill="1" applyBorder="1" applyAlignment="1" applyProtection="1">
      <alignment horizontal="right" vertical="center"/>
    </xf>
    <xf numFmtId="184" fontId="72" fillId="2" borderId="30" xfId="16" applyNumberFormat="1" applyFont="1" applyFill="1" applyBorder="1" applyAlignment="1" applyProtection="1">
      <alignment horizontal="right"/>
    </xf>
    <xf numFmtId="184" fontId="19" fillId="2" borderId="30" xfId="16" applyNumberFormat="1" applyFont="1" applyFill="1" applyBorder="1" applyAlignment="1" applyProtection="1">
      <alignment horizontal="right" vertical="center"/>
    </xf>
    <xf numFmtId="184" fontId="72" fillId="2" borderId="30" xfId="16" applyNumberFormat="1" applyFont="1" applyFill="1" applyBorder="1" applyAlignment="1" applyProtection="1">
      <alignment horizontal="right" vertical="center"/>
    </xf>
    <xf numFmtId="185" fontId="19" fillId="2" borderId="0" xfId="34" applyNumberFormat="1" applyFont="1" applyFill="1" applyAlignment="1">
      <alignment vertical="center"/>
    </xf>
    <xf numFmtId="184" fontId="72" fillId="2" borderId="0" xfId="16" applyNumberFormat="1" applyFont="1" applyFill="1" applyBorder="1" applyAlignment="1" applyProtection="1">
      <alignment horizontal="right"/>
    </xf>
    <xf numFmtId="164" fontId="19" fillId="2" borderId="0" xfId="34" applyNumberFormat="1" applyFont="1" applyFill="1" applyAlignment="1">
      <alignment vertical="center"/>
    </xf>
    <xf numFmtId="4" fontId="19" fillId="2" borderId="0" xfId="34" applyNumberFormat="1" applyFont="1" applyFill="1" applyAlignment="1">
      <alignment vertical="center"/>
    </xf>
    <xf numFmtId="2" fontId="19" fillId="2" borderId="0" xfId="34" applyNumberFormat="1" applyFont="1" applyFill="1" applyAlignment="1">
      <alignment horizontal="center" vertical="center"/>
    </xf>
    <xf numFmtId="185" fontId="72" fillId="2" borderId="0" xfId="16" applyNumberFormat="1" applyFont="1" applyFill="1" applyBorder="1" applyAlignment="1" applyProtection="1">
      <alignment horizontal="right"/>
    </xf>
    <xf numFmtId="186" fontId="72" fillId="2" borderId="0" xfId="16" applyNumberFormat="1" applyFont="1" applyFill="1" applyBorder="1" applyAlignment="1" applyProtection="1">
      <alignment horizontal="right" vertical="center"/>
    </xf>
    <xf numFmtId="0" fontId="67" fillId="2" borderId="0" xfId="34" applyFont="1" applyFill="1" applyAlignment="1">
      <alignment vertical="center"/>
    </xf>
    <xf numFmtId="2" fontId="19" fillId="2" borderId="0" xfId="34" applyNumberFormat="1" applyFont="1" applyFill="1" applyAlignment="1">
      <alignment vertical="center"/>
    </xf>
    <xf numFmtId="0" fontId="19" fillId="2" borderId="0" xfId="34" applyFont="1" applyFill="1" applyAlignment="1">
      <alignment horizontal="center" vertical="center"/>
    </xf>
    <xf numFmtId="186" fontId="19" fillId="2" borderId="0" xfId="34" applyNumberFormat="1" applyFont="1" applyFill="1" applyAlignment="1">
      <alignment vertical="center"/>
    </xf>
    <xf numFmtId="0" fontId="23" fillId="2" borderId="0" xfId="34" applyFont="1" applyFill="1" applyAlignment="1">
      <alignment vertical="center"/>
    </xf>
    <xf numFmtId="170" fontId="19" fillId="2" borderId="0" xfId="34" applyNumberFormat="1" applyFont="1" applyFill="1" applyAlignment="1">
      <alignment vertical="center"/>
    </xf>
    <xf numFmtId="3" fontId="23" fillId="2" borderId="0" xfId="34" applyNumberFormat="1" applyFont="1" applyFill="1" applyAlignment="1">
      <alignment vertical="center"/>
    </xf>
    <xf numFmtId="2" fontId="23" fillId="2" borderId="0" xfId="34" applyNumberFormat="1" applyFont="1" applyFill="1" applyAlignment="1">
      <alignment vertical="center"/>
    </xf>
    <xf numFmtId="0" fontId="73" fillId="0" borderId="0" xfId="16" applyFont="1" applyFill="1" applyAlignment="1">
      <alignment vertical="center"/>
    </xf>
    <xf numFmtId="0" fontId="73" fillId="0" borderId="0" xfId="16" applyFont="1" applyFill="1" applyBorder="1" applyAlignment="1">
      <alignment vertical="center"/>
    </xf>
    <xf numFmtId="0" fontId="73" fillId="0" borderId="121" xfId="16" applyFont="1" applyFill="1" applyBorder="1" applyAlignment="1">
      <alignment vertical="center"/>
    </xf>
    <xf numFmtId="0" fontId="74" fillId="0" borderId="0" xfId="16" applyFont="1" applyFill="1" applyAlignment="1">
      <alignment horizontal="centerContinuous" vertical="center"/>
    </xf>
    <xf numFmtId="0" fontId="74" fillId="0" borderId="0" xfId="16" applyFont="1" applyFill="1" applyAlignment="1">
      <alignment vertical="center"/>
    </xf>
    <xf numFmtId="0" fontId="49" fillId="0" borderId="0" xfId="16" applyFont="1" applyFill="1" applyAlignment="1">
      <alignment vertical="center"/>
    </xf>
    <xf numFmtId="0" fontId="33" fillId="0" borderId="0" xfId="16" applyFont="1" applyAlignment="1">
      <alignment vertical="center"/>
    </xf>
    <xf numFmtId="0" fontId="30" fillId="0" borderId="0" xfId="16" applyFont="1" applyFill="1" applyAlignment="1">
      <alignment vertical="center"/>
    </xf>
    <xf numFmtId="0" fontId="39" fillId="0" borderId="0" xfId="16" applyFont="1" applyFill="1" applyBorder="1" applyAlignment="1">
      <alignment vertical="center"/>
    </xf>
    <xf numFmtId="0" fontId="35" fillId="0" borderId="0" xfId="16" applyAlignment="1">
      <alignment vertical="center"/>
    </xf>
    <xf numFmtId="0" fontId="75" fillId="0" borderId="0" xfId="16" applyFont="1" applyAlignment="1">
      <alignment horizontal="centerContinuous" vertical="center"/>
    </xf>
    <xf numFmtId="0" fontId="33" fillId="0" borderId="0" xfId="16" applyFont="1" applyAlignment="1">
      <alignment horizontal="centerContinuous" vertical="center"/>
    </xf>
    <xf numFmtId="0" fontId="76" fillId="5" borderId="124" xfId="16" applyFont="1" applyFill="1" applyBorder="1" applyAlignment="1">
      <alignment horizontal="center" vertical="center"/>
    </xf>
    <xf numFmtId="0" fontId="76" fillId="5" borderId="125" xfId="16" applyFont="1" applyFill="1" applyBorder="1" applyAlignment="1">
      <alignment horizontal="center" vertical="center"/>
    </xf>
    <xf numFmtId="181" fontId="77" fillId="0" borderId="0" xfId="35" applyFont="1" applyFill="1" applyBorder="1" applyAlignment="1">
      <alignment horizontal="center" vertical="center"/>
    </xf>
    <xf numFmtId="3" fontId="33" fillId="0" borderId="0" xfId="16" applyNumberFormat="1" applyFont="1" applyFill="1" applyBorder="1" applyAlignment="1">
      <alignment vertical="center"/>
    </xf>
    <xf numFmtId="0" fontId="33" fillId="5" borderId="122" xfId="16" applyFont="1" applyFill="1" applyBorder="1" applyAlignment="1">
      <alignment vertical="center"/>
    </xf>
    <xf numFmtId="0" fontId="77" fillId="5" borderId="126" xfId="16" applyFont="1" applyFill="1" applyBorder="1" applyAlignment="1">
      <alignment vertical="center"/>
    </xf>
    <xf numFmtId="15" fontId="78" fillId="14" borderId="122" xfId="16" applyNumberFormat="1" applyFont="1" applyFill="1" applyBorder="1" applyAlignment="1">
      <alignment horizontal="center" vertical="center"/>
    </xf>
    <xf numFmtId="17" fontId="76" fillId="14" borderId="124" xfId="16" applyNumberFormat="1" applyFont="1" applyFill="1" applyBorder="1" applyAlignment="1">
      <alignment horizontal="center" vertical="center"/>
    </xf>
    <xf numFmtId="17" fontId="76" fillId="14" borderId="125" xfId="16" applyNumberFormat="1" applyFont="1" applyFill="1" applyBorder="1" applyAlignment="1">
      <alignment horizontal="center" vertical="center"/>
    </xf>
    <xf numFmtId="0" fontId="33" fillId="0" borderId="5" xfId="16" applyFont="1" applyBorder="1" applyAlignment="1">
      <alignment vertical="center"/>
    </xf>
    <xf numFmtId="0" fontId="35" fillId="0" borderId="0" xfId="16" applyBorder="1" applyAlignment="1">
      <alignment vertical="center"/>
    </xf>
    <xf numFmtId="0" fontId="33" fillId="0" borderId="0" xfId="16" applyFont="1" applyBorder="1" applyAlignment="1">
      <alignment vertical="center"/>
    </xf>
    <xf numFmtId="0" fontId="79" fillId="5" borderId="5" xfId="16" applyFont="1" applyFill="1" applyBorder="1" applyAlignment="1">
      <alignment vertical="center"/>
    </xf>
    <xf numFmtId="0" fontId="77" fillId="5" borderId="0" xfId="16" applyFont="1" applyFill="1" applyBorder="1" applyAlignment="1">
      <alignment vertical="center"/>
    </xf>
    <xf numFmtId="15" fontId="37" fillId="0" borderId="127" xfId="16" applyNumberFormat="1" applyFont="1" applyFill="1" applyBorder="1" applyAlignment="1">
      <alignment horizontal="center" vertical="center"/>
    </xf>
    <xf numFmtId="15" fontId="37" fillId="0" borderId="17" xfId="16" applyNumberFormat="1" applyFont="1" applyFill="1" applyBorder="1" applyAlignment="1">
      <alignment horizontal="center" vertical="center"/>
    </xf>
    <xf numFmtId="3" fontId="33" fillId="0" borderId="17" xfId="16" applyNumberFormat="1" applyFont="1" applyFill="1" applyBorder="1" applyAlignment="1">
      <alignment vertical="center"/>
    </xf>
    <xf numFmtId="3" fontId="33" fillId="0" borderId="128" xfId="16" applyNumberFormat="1" applyFont="1" applyFill="1" applyBorder="1" applyAlignment="1">
      <alignment vertical="center"/>
    </xf>
    <xf numFmtId="3" fontId="33" fillId="0" borderId="129" xfId="16" applyNumberFormat="1" applyFont="1" applyFill="1" applyBorder="1" applyAlignment="1">
      <alignment vertical="center"/>
    </xf>
    <xf numFmtId="3" fontId="33" fillId="0" borderId="5" xfId="16" applyNumberFormat="1" applyFont="1" applyFill="1" applyBorder="1" applyAlignment="1">
      <alignment vertical="center"/>
    </xf>
    <xf numFmtId="187" fontId="77" fillId="5" borderId="5" xfId="16" applyNumberFormat="1" applyFont="1" applyFill="1" applyBorder="1" applyAlignment="1">
      <alignment horizontal="center" vertical="center"/>
    </xf>
    <xf numFmtId="1" fontId="77" fillId="5" borderId="0" xfId="16" applyNumberFormat="1" applyFont="1" applyFill="1" applyBorder="1" applyAlignment="1">
      <alignment vertical="center"/>
    </xf>
    <xf numFmtId="3" fontId="49" fillId="0" borderId="5" xfId="16" applyNumberFormat="1" applyFont="1" applyFill="1" applyBorder="1" applyAlignment="1">
      <alignment horizontal="right" vertical="center"/>
    </xf>
    <xf numFmtId="3" fontId="33" fillId="0" borderId="130" xfId="16" applyNumberFormat="1" applyFont="1" applyBorder="1" applyAlignment="1">
      <alignment vertical="center"/>
    </xf>
    <xf numFmtId="3" fontId="33" fillId="0" borderId="131" xfId="16" applyNumberFormat="1" applyFont="1" applyBorder="1" applyAlignment="1">
      <alignment vertical="center"/>
    </xf>
    <xf numFmtId="3" fontId="33" fillId="0" borderId="5" xfId="16" applyNumberFormat="1" applyFont="1" applyBorder="1" applyAlignment="1">
      <alignment vertical="center"/>
    </xf>
    <xf numFmtId="3" fontId="33" fillId="0" borderId="0" xfId="16" applyNumberFormat="1" applyFont="1" applyFill="1" applyBorder="1" applyAlignment="1">
      <alignment horizontal="center" vertical="center"/>
    </xf>
    <xf numFmtId="3" fontId="33" fillId="0" borderId="0" xfId="16" applyNumberFormat="1" applyFont="1" applyFill="1" applyBorder="1" applyAlignment="1">
      <alignment horizontal="right" vertical="center"/>
    </xf>
    <xf numFmtId="188" fontId="77" fillId="5" borderId="0" xfId="16" applyNumberFormat="1" applyFont="1" applyFill="1" applyBorder="1" applyAlignment="1">
      <alignment vertical="center"/>
    </xf>
    <xf numFmtId="3" fontId="49" fillId="0" borderId="46" xfId="16" applyNumberFormat="1" applyFont="1" applyFill="1" applyBorder="1" applyAlignment="1">
      <alignment horizontal="right" vertical="center"/>
    </xf>
    <xf numFmtId="189" fontId="33" fillId="0" borderId="46" xfId="16" applyNumberFormat="1" applyFont="1" applyFill="1" applyBorder="1" applyAlignment="1">
      <alignment horizontal="right" vertical="center"/>
    </xf>
    <xf numFmtId="3" fontId="33" fillId="0" borderId="46" xfId="16" applyNumberFormat="1" applyFont="1" applyFill="1" applyBorder="1" applyAlignment="1">
      <alignment vertical="center"/>
    </xf>
    <xf numFmtId="189" fontId="33" fillId="0" borderId="5" xfId="16" applyNumberFormat="1" applyFont="1" applyFill="1" applyBorder="1" applyAlignment="1">
      <alignment horizontal="right" vertical="center"/>
    </xf>
    <xf numFmtId="189" fontId="33" fillId="0" borderId="132" xfId="16" applyNumberFormat="1" applyFont="1" applyFill="1" applyBorder="1" applyAlignment="1">
      <alignment horizontal="right" vertical="center"/>
    </xf>
    <xf numFmtId="189" fontId="33" fillId="0" borderId="131" xfId="16" applyNumberFormat="1" applyFont="1" applyBorder="1" applyAlignment="1">
      <alignment vertical="center"/>
    </xf>
    <xf numFmtId="3" fontId="15" fillId="0" borderId="0" xfId="16" applyNumberFormat="1" applyFont="1" applyFill="1" applyBorder="1" applyAlignment="1">
      <alignment vertical="center"/>
    </xf>
    <xf numFmtId="187" fontId="77" fillId="5" borderId="26" xfId="16" applyNumberFormat="1" applyFont="1" applyFill="1" applyBorder="1" applyAlignment="1">
      <alignment horizontal="center" vertical="center"/>
    </xf>
    <xf numFmtId="1" fontId="79" fillId="5" borderId="27" xfId="16" applyNumberFormat="1" applyFont="1" applyFill="1" applyBorder="1" applyAlignment="1">
      <alignment vertical="center"/>
    </xf>
    <xf numFmtId="3" fontId="33" fillId="0" borderId="103" xfId="16" applyNumberFormat="1" applyFont="1" applyFill="1" applyBorder="1" applyAlignment="1">
      <alignment horizontal="right" vertical="center"/>
    </xf>
    <xf numFmtId="3" fontId="33" fillId="0" borderId="26" xfId="16" applyNumberFormat="1" applyFont="1" applyFill="1" applyBorder="1" applyAlignment="1">
      <alignment horizontal="right" vertical="center"/>
    </xf>
    <xf numFmtId="3" fontId="33" fillId="0" borderId="133" xfId="16" applyNumberFormat="1" applyFont="1" applyFill="1" applyBorder="1" applyAlignment="1">
      <alignment horizontal="right" vertical="center"/>
    </xf>
    <xf numFmtId="3" fontId="33" fillId="0" borderId="134" xfId="16" applyNumberFormat="1" applyFont="1" applyFill="1" applyBorder="1" applyAlignment="1">
      <alignment horizontal="right" vertical="center"/>
    </xf>
    <xf numFmtId="3" fontId="33" fillId="0" borderId="5" xfId="16" applyNumberFormat="1" applyFont="1" applyFill="1" applyBorder="1" applyAlignment="1">
      <alignment horizontal="right" vertical="center"/>
    </xf>
    <xf numFmtId="3" fontId="80" fillId="0" borderId="0" xfId="16" applyNumberFormat="1" applyFont="1" applyFill="1" applyBorder="1" applyAlignment="1">
      <alignment horizontal="right" vertical="center"/>
    </xf>
    <xf numFmtId="0" fontId="81" fillId="0" borderId="0" xfId="16" applyFont="1" applyFill="1" applyAlignment="1">
      <alignment vertical="center"/>
    </xf>
    <xf numFmtId="3" fontId="49" fillId="0" borderId="18" xfId="16" applyNumberFormat="1" applyFont="1" applyFill="1" applyBorder="1" applyAlignment="1">
      <alignment vertical="center"/>
    </xf>
    <xf numFmtId="3" fontId="49" fillId="0" borderId="0" xfId="16" applyNumberFormat="1" applyFont="1" applyFill="1" applyBorder="1" applyAlignment="1">
      <alignment vertical="center"/>
    </xf>
    <xf numFmtId="0" fontId="49" fillId="0" borderId="0" xfId="16" applyFont="1" applyFill="1" applyAlignment="1">
      <alignment horizontal="right" vertical="center"/>
    </xf>
    <xf numFmtId="0" fontId="81" fillId="0" borderId="0" xfId="16" applyFont="1" applyFill="1" applyBorder="1" applyAlignment="1">
      <alignment vertical="center"/>
    </xf>
    <xf numFmtId="0" fontId="33" fillId="0" borderId="0" xfId="16" applyFont="1" applyFill="1" applyAlignment="1">
      <alignment vertical="center"/>
    </xf>
    <xf numFmtId="0" fontId="49" fillId="0" borderId="0" xfId="16" applyFont="1" applyFill="1" applyBorder="1" applyAlignment="1">
      <alignment vertical="center"/>
    </xf>
    <xf numFmtId="0" fontId="37" fillId="0" borderId="0" xfId="16" applyFont="1" applyFill="1" applyBorder="1" applyAlignment="1">
      <alignment vertical="center"/>
    </xf>
    <xf numFmtId="0" fontId="37" fillId="0" borderId="0" xfId="16" applyFont="1" applyFill="1" applyAlignment="1">
      <alignment vertical="center"/>
    </xf>
    <xf numFmtId="0" fontId="37" fillId="0" borderId="121" xfId="16" applyFont="1" applyFill="1" applyBorder="1" applyAlignment="1">
      <alignment vertical="center"/>
    </xf>
    <xf numFmtId="0" fontId="33" fillId="0" borderId="0" xfId="16" applyFont="1" applyFill="1" applyAlignment="1">
      <alignment horizontal="centerContinuous" vertical="center"/>
    </xf>
    <xf numFmtId="0" fontId="33" fillId="0" borderId="0" xfId="16" applyFont="1" applyFill="1" applyBorder="1" applyAlignment="1">
      <alignment vertical="center"/>
    </xf>
    <xf numFmtId="0" fontId="33" fillId="0" borderId="37" xfId="16" applyFont="1" applyFill="1" applyBorder="1" applyAlignment="1">
      <alignment vertical="center"/>
    </xf>
    <xf numFmtId="0" fontId="79" fillId="5" borderId="29" xfId="16" applyFont="1" applyFill="1" applyBorder="1" applyAlignment="1">
      <alignment horizontal="right" vertical="center"/>
    </xf>
    <xf numFmtId="0" fontId="79" fillId="5" borderId="30" xfId="16" applyFont="1" applyFill="1" applyBorder="1" applyAlignment="1">
      <alignment horizontal="right" vertical="center"/>
    </xf>
    <xf numFmtId="17" fontId="76" fillId="5" borderId="135" xfId="16" applyNumberFormat="1" applyFont="1" applyFill="1" applyBorder="1" applyAlignment="1">
      <alignment horizontal="center" vertical="center"/>
    </xf>
    <xf numFmtId="0" fontId="82" fillId="5" borderId="136" xfId="16" applyFont="1" applyFill="1" applyBorder="1" applyAlignment="1">
      <alignment horizontal="right" vertical="center"/>
    </xf>
    <xf numFmtId="0" fontId="38" fillId="0" borderId="0" xfId="16" applyFont="1" applyAlignment="1">
      <alignment vertical="center"/>
    </xf>
    <xf numFmtId="0" fontId="79" fillId="5" borderId="32" xfId="16" applyFont="1" applyFill="1" applyBorder="1" applyAlignment="1">
      <alignment horizontal="right" vertical="center"/>
    </xf>
    <xf numFmtId="0" fontId="79" fillId="5" borderId="41" xfId="16" applyFont="1" applyFill="1" applyBorder="1" applyAlignment="1">
      <alignment horizontal="right" vertical="center"/>
    </xf>
    <xf numFmtId="0" fontId="33" fillId="0" borderId="42" xfId="16" applyFont="1" applyBorder="1" applyAlignment="1">
      <alignment vertical="center"/>
    </xf>
    <xf numFmtId="0" fontId="33" fillId="0" borderId="30" xfId="16" applyFont="1" applyBorder="1" applyAlignment="1">
      <alignment vertical="center"/>
    </xf>
    <xf numFmtId="187" fontId="77" fillId="5" borderId="32" xfId="16" applyNumberFormat="1" applyFont="1" applyFill="1" applyBorder="1" applyAlignment="1">
      <alignment horizontal="center" vertical="center"/>
    </xf>
    <xf numFmtId="0" fontId="77" fillId="5" borderId="20" xfId="16" applyFont="1" applyFill="1" applyBorder="1" applyAlignment="1">
      <alignment vertical="center"/>
    </xf>
    <xf numFmtId="3" fontId="37" fillId="0" borderId="46" xfId="16" applyNumberFormat="1" applyFont="1" applyBorder="1" applyAlignment="1">
      <alignment horizontal="right" vertical="center"/>
    </xf>
    <xf numFmtId="0" fontId="79" fillId="5" borderId="32" xfId="16" applyFont="1" applyFill="1" applyBorder="1" applyAlignment="1">
      <alignment vertical="center"/>
    </xf>
    <xf numFmtId="0" fontId="33" fillId="0" borderId="46" xfId="16" applyFont="1" applyBorder="1" applyAlignment="1">
      <alignment horizontal="right" vertical="center"/>
    </xf>
    <xf numFmtId="38" fontId="37" fillId="0" borderId="46" xfId="16" applyNumberFormat="1" applyFont="1" applyBorder="1" applyAlignment="1">
      <alignment vertical="center"/>
    </xf>
    <xf numFmtId="0" fontId="77" fillId="5" borderId="20" xfId="16" applyFont="1" applyFill="1" applyBorder="1" applyAlignment="1">
      <alignment horizontal="left" vertical="center"/>
    </xf>
    <xf numFmtId="0" fontId="33" fillId="0" borderId="46" xfId="16" applyFont="1" applyBorder="1" applyAlignment="1">
      <alignment vertical="center"/>
    </xf>
    <xf numFmtId="0" fontId="77" fillId="5" borderId="20" xfId="16" quotePrefix="1" applyFont="1" applyFill="1" applyBorder="1" applyAlignment="1">
      <alignment horizontal="left" vertical="center"/>
    </xf>
    <xf numFmtId="3" fontId="33" fillId="0" borderId="46" xfId="16" applyNumberFormat="1" applyFont="1" applyBorder="1" applyAlignment="1">
      <alignment horizontal="right" vertical="center"/>
    </xf>
    <xf numFmtId="190" fontId="33" fillId="0" borderId="46" xfId="16" applyNumberFormat="1" applyFont="1" applyBorder="1" applyAlignment="1">
      <alignment horizontal="right" vertical="center"/>
    </xf>
    <xf numFmtId="1" fontId="33" fillId="0" borderId="46" xfId="16" applyNumberFormat="1" applyFont="1" applyBorder="1" applyAlignment="1">
      <alignment horizontal="right" vertical="center"/>
    </xf>
    <xf numFmtId="0" fontId="79" fillId="5" borderId="20" xfId="16" applyFont="1" applyFill="1" applyBorder="1" applyAlignment="1">
      <alignment vertical="center"/>
    </xf>
    <xf numFmtId="38" fontId="37" fillId="0" borderId="46" xfId="16" applyNumberFormat="1" applyFont="1" applyBorder="1" applyAlignment="1">
      <alignment horizontal="right" vertical="center"/>
    </xf>
    <xf numFmtId="0" fontId="33" fillId="0" borderId="139" xfId="16" applyFont="1" applyBorder="1" applyAlignment="1">
      <alignment vertical="center"/>
    </xf>
    <xf numFmtId="0" fontId="33" fillId="0" borderId="20" xfId="16" applyFont="1" applyBorder="1" applyAlignment="1">
      <alignment vertical="center"/>
    </xf>
    <xf numFmtId="0" fontId="77" fillId="5" borderId="28" xfId="16" applyFont="1" applyFill="1" applyBorder="1" applyAlignment="1">
      <alignment vertical="center"/>
    </xf>
    <xf numFmtId="0" fontId="33" fillId="0" borderId="103" xfId="16" applyFont="1" applyBorder="1" applyAlignment="1">
      <alignment vertical="center"/>
    </xf>
    <xf numFmtId="0" fontId="82" fillId="5" borderId="140" xfId="16" applyFont="1" applyFill="1" applyBorder="1" applyAlignment="1">
      <alignment vertical="center"/>
    </xf>
    <xf numFmtId="0" fontId="77" fillId="5" borderId="18" xfId="16" applyFont="1" applyFill="1" applyBorder="1" applyAlignment="1">
      <alignment vertical="center"/>
    </xf>
    <xf numFmtId="0" fontId="33" fillId="0" borderId="127" xfId="16" applyFont="1" applyBorder="1" applyAlignment="1">
      <alignment vertical="center"/>
    </xf>
    <xf numFmtId="0" fontId="77" fillId="5" borderId="0" xfId="16" quotePrefix="1" applyFont="1" applyFill="1" applyBorder="1" applyAlignment="1">
      <alignment horizontal="left" vertical="center"/>
    </xf>
    <xf numFmtId="2" fontId="33" fillId="0" borderId="46" xfId="16" applyNumberFormat="1" applyFont="1" applyBorder="1" applyAlignment="1">
      <alignment horizontal="right" vertical="center"/>
    </xf>
    <xf numFmtId="2" fontId="33" fillId="0" borderId="46" xfId="16" applyNumberFormat="1" applyFont="1" applyBorder="1" applyAlignment="1">
      <alignment vertical="center"/>
    </xf>
    <xf numFmtId="0" fontId="77" fillId="5" borderId="0" xfId="16" applyFont="1" applyFill="1" applyBorder="1" applyAlignment="1">
      <alignment horizontal="left" vertical="center"/>
    </xf>
    <xf numFmtId="2" fontId="33" fillId="0" borderId="46" xfId="16" applyNumberFormat="1" applyFont="1" applyFill="1" applyBorder="1" applyAlignment="1">
      <alignment vertical="center"/>
    </xf>
    <xf numFmtId="2" fontId="33" fillId="0" borderId="46" xfId="16" applyNumberFormat="1" applyFont="1" applyFill="1" applyBorder="1" applyAlignment="1">
      <alignment horizontal="right" vertical="center"/>
    </xf>
    <xf numFmtId="0" fontId="79" fillId="5" borderId="141" xfId="16" applyFont="1" applyFill="1" applyBorder="1" applyAlignment="1">
      <alignment vertical="center"/>
    </xf>
    <xf numFmtId="0" fontId="79" fillId="5" borderId="27" xfId="16" applyFont="1" applyFill="1" applyBorder="1" applyAlignment="1">
      <alignment vertical="center"/>
    </xf>
    <xf numFmtId="0" fontId="33" fillId="0" borderId="28" xfId="16" applyFont="1" applyBorder="1" applyAlignment="1">
      <alignment vertical="center"/>
    </xf>
    <xf numFmtId="0" fontId="33" fillId="0" borderId="18" xfId="16" applyFont="1" applyFill="1" applyBorder="1" applyAlignment="1">
      <alignment vertical="center"/>
    </xf>
    <xf numFmtId="0" fontId="33" fillId="0" borderId="121" xfId="16" applyFont="1" applyBorder="1" applyAlignment="1">
      <alignment vertical="center"/>
    </xf>
    <xf numFmtId="0" fontId="15" fillId="0" borderId="0" xfId="16" applyFont="1" applyFill="1" applyAlignment="1">
      <alignment vertical="center"/>
    </xf>
    <xf numFmtId="40" fontId="30" fillId="0" borderId="0" xfId="17" applyNumberFormat="1" applyFont="1" applyFill="1" applyBorder="1" applyAlignment="1">
      <alignment horizontal="center" vertical="center"/>
    </xf>
    <xf numFmtId="0" fontId="15" fillId="15" borderId="17" xfId="16" applyFont="1" applyFill="1" applyBorder="1" applyAlignment="1">
      <alignment horizontal="right" vertical="center"/>
    </xf>
    <xf numFmtId="0" fontId="15" fillId="15" borderId="18" xfId="16" applyFont="1" applyFill="1" applyBorder="1" applyAlignment="1">
      <alignment horizontal="left" vertical="center"/>
    </xf>
    <xf numFmtId="0" fontId="33" fillId="4" borderId="19" xfId="16" applyFont="1" applyFill="1" applyBorder="1" applyAlignment="1">
      <alignment horizontal="left" vertical="center"/>
    </xf>
    <xf numFmtId="0" fontId="33" fillId="4" borderId="0" xfId="16" applyFont="1" applyFill="1" applyAlignment="1">
      <alignment vertical="center"/>
    </xf>
    <xf numFmtId="0" fontId="33" fillId="15" borderId="26" xfId="16" applyFont="1" applyFill="1" applyBorder="1" applyAlignment="1">
      <alignment horizontal="right" vertical="center"/>
    </xf>
    <xf numFmtId="0" fontId="33" fillId="15" borderId="27" xfId="16" applyFont="1" applyFill="1" applyBorder="1" applyAlignment="1">
      <alignment horizontal="left" vertical="center"/>
    </xf>
    <xf numFmtId="0" fontId="33" fillId="4" borderId="28" xfId="16" applyFont="1" applyFill="1" applyBorder="1" applyAlignment="1">
      <alignment horizontal="left" vertical="center"/>
    </xf>
    <xf numFmtId="187" fontId="30" fillId="15" borderId="5" xfId="16" applyNumberFormat="1" applyFont="1" applyFill="1" applyBorder="1" applyAlignment="1">
      <alignment horizontal="center" vertical="center"/>
    </xf>
    <xf numFmtId="0" fontId="15" fillId="15" borderId="26" xfId="16" applyFont="1" applyFill="1" applyBorder="1" applyAlignment="1">
      <alignment vertical="center"/>
    </xf>
    <xf numFmtId="0" fontId="30" fillId="15" borderId="27" xfId="16" applyFont="1" applyFill="1" applyBorder="1" applyAlignment="1">
      <alignment horizontal="left" vertical="center"/>
    </xf>
    <xf numFmtId="0" fontId="15" fillId="0" borderId="26" xfId="16" applyFont="1" applyBorder="1" applyAlignment="1">
      <alignment vertical="center"/>
    </xf>
    <xf numFmtId="0" fontId="15" fillId="0" borderId="28" xfId="16" applyFont="1" applyBorder="1" applyAlignment="1">
      <alignment vertical="center"/>
    </xf>
    <xf numFmtId="0" fontId="87" fillId="0" borderId="0" xfId="16" applyFont="1" applyAlignment="1">
      <alignment horizontal="left" vertical="center"/>
    </xf>
    <xf numFmtId="0" fontId="2" fillId="0" borderId="0" xfId="16" applyFont="1" applyAlignment="1">
      <alignment horizontal="left" vertical="center"/>
    </xf>
    <xf numFmtId="0" fontId="33" fillId="0" borderId="0" xfId="16" applyFont="1" applyAlignment="1">
      <alignment horizontal="left" vertical="center"/>
    </xf>
    <xf numFmtId="0" fontId="15" fillId="0" borderId="0" xfId="16" applyFont="1" applyFill="1" applyBorder="1" applyAlignment="1">
      <alignment vertical="center"/>
    </xf>
    <xf numFmtId="15" fontId="37" fillId="16" borderId="126" xfId="16" applyNumberFormat="1" applyFont="1" applyFill="1" applyBorder="1" applyAlignment="1">
      <alignment horizontal="center" vertical="center"/>
    </xf>
    <xf numFmtId="15" fontId="37" fillId="16" borderId="1" xfId="16" applyNumberFormat="1" applyFont="1" applyFill="1" applyBorder="1" applyAlignment="1">
      <alignment horizontal="center" vertical="center"/>
    </xf>
    <xf numFmtId="187" fontId="30" fillId="16" borderId="5" xfId="16" applyNumberFormat="1" applyFont="1" applyFill="1" applyBorder="1" applyAlignment="1">
      <alignment horizontal="center" vertical="center"/>
    </xf>
    <xf numFmtId="0" fontId="30" fillId="16" borderId="20" xfId="16" applyFont="1" applyFill="1" applyBorder="1" applyAlignment="1">
      <alignment horizontal="left" vertical="center"/>
    </xf>
    <xf numFmtId="193" fontId="37" fillId="0" borderId="0" xfId="17" applyNumberFormat="1" applyFont="1" applyFill="1" applyBorder="1" applyAlignment="1">
      <alignment horizontal="center" vertical="center"/>
    </xf>
    <xf numFmtId="193" fontId="37" fillId="0" borderId="5" xfId="17" applyNumberFormat="1" applyFont="1" applyFill="1" applyBorder="1" applyAlignment="1">
      <alignment horizontal="center" vertical="center"/>
    </xf>
    <xf numFmtId="170" fontId="37" fillId="0" borderId="46" xfId="17" applyNumberFormat="1" applyFont="1" applyFill="1" applyBorder="1" applyAlignment="1">
      <alignment horizontal="center" vertical="center"/>
    </xf>
    <xf numFmtId="170" fontId="37" fillId="0" borderId="0" xfId="17" applyNumberFormat="1" applyFont="1" applyFill="1" applyBorder="1" applyAlignment="1">
      <alignment horizontal="center" vertical="center"/>
    </xf>
    <xf numFmtId="170" fontId="37" fillId="0" borderId="5" xfId="17" applyNumberFormat="1" applyFont="1" applyFill="1" applyBorder="1" applyAlignment="1">
      <alignment horizontal="center" vertical="center"/>
    </xf>
    <xf numFmtId="0" fontId="30" fillId="16" borderId="20" xfId="16" applyFont="1" applyFill="1" applyBorder="1" applyAlignment="1">
      <alignment vertical="center"/>
    </xf>
    <xf numFmtId="2" fontId="37" fillId="0" borderId="20" xfId="17" applyNumberFormat="1" applyFont="1" applyFill="1" applyBorder="1" applyAlignment="1">
      <alignment horizontal="center" vertical="center"/>
    </xf>
    <xf numFmtId="4" fontId="37" fillId="0" borderId="0" xfId="17" applyNumberFormat="1" applyFont="1" applyFill="1" applyBorder="1" applyAlignment="1">
      <alignment horizontal="center" vertical="center"/>
    </xf>
    <xf numFmtId="4" fontId="37" fillId="0" borderId="5" xfId="17" applyNumberFormat="1" applyFont="1" applyFill="1" applyBorder="1" applyAlignment="1">
      <alignment horizontal="center" vertical="center"/>
    </xf>
    <xf numFmtId="4" fontId="37" fillId="0" borderId="46" xfId="17" applyNumberFormat="1" applyFont="1" applyFill="1" applyBorder="1" applyAlignment="1">
      <alignment horizontal="center" vertical="center"/>
    </xf>
    <xf numFmtId="177" fontId="37" fillId="0" borderId="0" xfId="17" applyNumberFormat="1" applyFont="1" applyFill="1" applyBorder="1" applyAlignment="1">
      <alignment horizontal="center" vertical="center"/>
    </xf>
    <xf numFmtId="177" fontId="37" fillId="0" borderId="5" xfId="17" applyNumberFormat="1" applyFont="1" applyFill="1" applyBorder="1" applyAlignment="1">
      <alignment horizontal="center" vertical="center"/>
    </xf>
    <xf numFmtId="177" fontId="37" fillId="0" borderId="46" xfId="17" applyNumberFormat="1" applyFont="1" applyFill="1" applyBorder="1" applyAlignment="1">
      <alignment horizontal="center" vertical="center"/>
    </xf>
    <xf numFmtId="0" fontId="15" fillId="16" borderId="26" xfId="16" applyFont="1" applyFill="1" applyBorder="1" applyAlignment="1">
      <alignment vertical="center"/>
    </xf>
    <xf numFmtId="0" fontId="30" fillId="16" borderId="28" xfId="16" applyFont="1" applyFill="1" applyBorder="1" applyAlignment="1">
      <alignment vertical="center"/>
    </xf>
    <xf numFmtId="38" fontId="37" fillId="0" borderId="27" xfId="16" applyNumberFormat="1" applyFont="1" applyFill="1" applyBorder="1" applyAlignment="1">
      <alignment horizontal="center" vertical="center"/>
    </xf>
    <xf numFmtId="38" fontId="37" fillId="0" borderId="26" xfId="16" applyNumberFormat="1" applyFont="1" applyFill="1" applyBorder="1" applyAlignment="1">
      <alignment horizontal="center" vertical="center"/>
    </xf>
    <xf numFmtId="38" fontId="37" fillId="0" borderId="103" xfId="16" applyNumberFormat="1" applyFont="1" applyFill="1" applyBorder="1" applyAlignment="1">
      <alignment horizontal="center" vertical="center"/>
    </xf>
    <xf numFmtId="0" fontId="91" fillId="0" borderId="0" xfId="16" applyFont="1" applyAlignment="1">
      <alignment horizontal="left" vertical="center"/>
    </xf>
    <xf numFmtId="0" fontId="30" fillId="0" borderId="0" xfId="16" applyFont="1" applyFill="1" applyAlignment="1">
      <alignment horizontal="left" vertical="center"/>
    </xf>
    <xf numFmtId="0" fontId="49" fillId="0" borderId="0" xfId="16" applyFont="1" applyFill="1" applyAlignment="1">
      <alignment horizontal="left" vertical="center"/>
    </xf>
    <xf numFmtId="0" fontId="68" fillId="0" borderId="0" xfId="16" applyFont="1" applyFill="1" applyBorder="1" applyAlignment="1">
      <alignment vertical="center"/>
    </xf>
    <xf numFmtId="0" fontId="38" fillId="0" borderId="0" xfId="16" applyFont="1" applyFill="1" applyBorder="1" applyAlignment="1">
      <alignment horizontal="center" vertical="center"/>
    </xf>
    <xf numFmtId="0" fontId="37" fillId="16" borderId="17" xfId="16" applyFont="1" applyFill="1" applyBorder="1" applyAlignment="1">
      <alignment vertical="center"/>
    </xf>
    <xf numFmtId="0" fontId="37" fillId="16" borderId="19" xfId="16" applyFont="1" applyFill="1" applyBorder="1" applyAlignment="1">
      <alignment horizontal="center" vertical="center"/>
    </xf>
    <xf numFmtId="15" fontId="92" fillId="0" borderId="0" xfId="16" applyNumberFormat="1" applyFont="1" applyFill="1" applyBorder="1" applyAlignment="1">
      <alignment horizontal="center" vertical="center"/>
    </xf>
    <xf numFmtId="0" fontId="37" fillId="16" borderId="26" xfId="16" applyFont="1" applyFill="1" applyBorder="1" applyAlignment="1">
      <alignment vertical="center"/>
    </xf>
    <xf numFmtId="0" fontId="37" fillId="16" borderId="28" xfId="16" applyFont="1" applyFill="1" applyBorder="1" applyAlignment="1">
      <alignment vertical="center"/>
    </xf>
    <xf numFmtId="2" fontId="49" fillId="0" borderId="0" xfId="16" applyNumberFormat="1" applyFont="1" applyFill="1" applyBorder="1" applyAlignment="1">
      <alignment vertical="center"/>
    </xf>
    <xf numFmtId="0" fontId="93" fillId="0" borderId="0" xfId="16" applyFont="1" applyAlignment="1">
      <alignment vertical="center"/>
    </xf>
    <xf numFmtId="0" fontId="77" fillId="16" borderId="5" xfId="16" applyFont="1" applyFill="1" applyBorder="1" applyAlignment="1">
      <alignment vertical="center"/>
    </xf>
    <xf numFmtId="0" fontId="77" fillId="16" borderId="0" xfId="16" applyFont="1" applyFill="1" applyBorder="1" applyAlignment="1">
      <alignment vertical="center"/>
    </xf>
    <xf numFmtId="15" fontId="68" fillId="0" borderId="127" xfId="16" applyNumberFormat="1" applyFont="1" applyFill="1" applyBorder="1" applyAlignment="1">
      <alignment vertical="center"/>
    </xf>
    <xf numFmtId="15" fontId="68" fillId="0" borderId="19" xfId="16" applyNumberFormat="1" applyFont="1" applyFill="1" applyBorder="1" applyAlignment="1">
      <alignment vertical="center"/>
    </xf>
    <xf numFmtId="15" fontId="68" fillId="0" borderId="18" xfId="16" applyNumberFormat="1" applyFont="1" applyFill="1" applyBorder="1" applyAlignment="1">
      <alignment vertical="center"/>
    </xf>
    <xf numFmtId="15" fontId="68" fillId="0" borderId="5" xfId="16" applyNumberFormat="1" applyFont="1" applyFill="1" applyBorder="1" applyAlignment="1">
      <alignment vertical="center"/>
    </xf>
    <xf numFmtId="2" fontId="33" fillId="0" borderId="0" xfId="16" applyNumberFormat="1" applyFont="1" applyFill="1" applyBorder="1" applyAlignment="1">
      <alignment vertical="center"/>
    </xf>
    <xf numFmtId="187" fontId="77" fillId="16" borderId="5" xfId="16" applyNumberFormat="1" applyFont="1" applyFill="1" applyBorder="1" applyAlignment="1">
      <alignment horizontal="center" vertical="center"/>
    </xf>
    <xf numFmtId="0" fontId="30" fillId="16" borderId="0" xfId="16" applyFont="1" applyFill="1" applyBorder="1" applyAlignment="1">
      <alignment vertical="center"/>
    </xf>
    <xf numFmtId="15" fontId="68" fillId="0" borderId="46" xfId="16" applyNumberFormat="1" applyFont="1" applyFill="1" applyBorder="1" applyAlignment="1">
      <alignment vertical="center"/>
    </xf>
    <xf numFmtId="15" fontId="68" fillId="0" borderId="20" xfId="16" applyNumberFormat="1" applyFont="1" applyFill="1" applyBorder="1" applyAlignment="1">
      <alignment vertical="center"/>
    </xf>
    <xf numFmtId="15" fontId="68" fillId="0" borderId="0" xfId="16" applyNumberFormat="1" applyFont="1" applyFill="1" applyBorder="1" applyAlignment="1">
      <alignment vertical="center"/>
    </xf>
    <xf numFmtId="15" fontId="37" fillId="0" borderId="0" xfId="16" applyNumberFormat="1" applyFont="1" applyFill="1" applyBorder="1" applyAlignment="1">
      <alignment horizontal="center" vertical="center"/>
    </xf>
    <xf numFmtId="0" fontId="30" fillId="16" borderId="0" xfId="16" applyFont="1" applyFill="1" applyBorder="1" applyAlignment="1">
      <alignment horizontal="left" vertical="center"/>
    </xf>
    <xf numFmtId="2" fontId="24" fillId="0" borderId="46" xfId="16" applyNumberFormat="1" applyFont="1" applyFill="1" applyBorder="1" applyAlignment="1">
      <alignment horizontal="center" vertical="center"/>
    </xf>
    <xf numFmtId="2" fontId="24" fillId="0" borderId="20" xfId="16" applyNumberFormat="1" applyFont="1" applyFill="1" applyBorder="1" applyAlignment="1">
      <alignment horizontal="center" vertical="center"/>
    </xf>
    <xf numFmtId="2" fontId="24" fillId="0" borderId="0" xfId="16" applyNumberFormat="1" applyFont="1" applyFill="1" applyBorder="1" applyAlignment="1">
      <alignment horizontal="center" vertical="center"/>
    </xf>
    <xf numFmtId="2" fontId="24" fillId="0" borderId="5" xfId="16" applyNumberFormat="1" applyFont="1" applyFill="1" applyBorder="1" applyAlignment="1">
      <alignment horizontal="center" vertical="center"/>
    </xf>
    <xf numFmtId="0" fontId="33" fillId="0" borderId="0" xfId="16" applyFont="1" applyFill="1" applyAlignment="1">
      <alignment horizontal="center" vertical="center"/>
    </xf>
    <xf numFmtId="0" fontId="77" fillId="16" borderId="26" xfId="16" applyFont="1" applyFill="1" applyBorder="1" applyAlignment="1">
      <alignment horizontal="center" vertical="center"/>
    </xf>
    <xf numFmtId="0" fontId="77" fillId="16" borderId="27" xfId="16" applyFont="1" applyFill="1" applyBorder="1" applyAlignment="1">
      <alignment vertical="center"/>
    </xf>
    <xf numFmtId="3" fontId="33" fillId="0" borderId="103" xfId="16" applyNumberFormat="1" applyFont="1" applyFill="1" applyBorder="1" applyAlignment="1">
      <alignment vertical="center"/>
    </xf>
    <xf numFmtId="3" fontId="33" fillId="0" borderId="28" xfId="16" applyNumberFormat="1" applyFont="1" applyFill="1" applyBorder="1" applyAlignment="1">
      <alignment vertical="center"/>
    </xf>
    <xf numFmtId="3" fontId="33" fillId="0" borderId="27" xfId="16" applyNumberFormat="1" applyFont="1" applyFill="1" applyBorder="1" applyAlignment="1">
      <alignment vertical="center"/>
    </xf>
    <xf numFmtId="0" fontId="95" fillId="0" borderId="0" xfId="16" applyFont="1" applyFill="1" applyBorder="1" applyAlignment="1">
      <alignment vertical="center"/>
    </xf>
    <xf numFmtId="0" fontId="24" fillId="0" borderId="0" xfId="16" applyFont="1" applyAlignment="1">
      <alignment vertical="center"/>
    </xf>
    <xf numFmtId="0" fontId="24" fillId="0" borderId="0" xfId="16" applyFont="1" applyFill="1" applyAlignment="1">
      <alignment vertical="center"/>
    </xf>
    <xf numFmtId="0" fontId="68" fillId="0" borderId="0" xfId="16" applyFont="1" applyFill="1" applyAlignment="1">
      <alignment vertical="center"/>
    </xf>
    <xf numFmtId="0" fontId="24" fillId="0" borderId="0" xfId="16" applyFont="1" applyFill="1" applyBorder="1" applyAlignment="1">
      <alignment vertical="center"/>
    </xf>
    <xf numFmtId="0" fontId="68" fillId="16" borderId="127" xfId="16" applyFont="1" applyFill="1" applyBorder="1" applyAlignment="1">
      <alignment vertical="center"/>
    </xf>
    <xf numFmtId="0" fontId="68" fillId="16" borderId="19" xfId="16" applyFont="1" applyFill="1" applyBorder="1" applyAlignment="1">
      <alignment vertical="center"/>
    </xf>
    <xf numFmtId="0" fontId="24" fillId="16" borderId="26" xfId="16" applyFont="1" applyFill="1" applyBorder="1" applyAlignment="1">
      <alignment horizontal="right" vertical="center"/>
    </xf>
    <xf numFmtId="0" fontId="24" fillId="16" borderId="28" xfId="16" applyFont="1" applyFill="1" applyBorder="1" applyAlignment="1">
      <alignment horizontal="right" vertical="center"/>
    </xf>
    <xf numFmtId="187" fontId="68" fillId="16" borderId="5" xfId="16" applyNumberFormat="1" applyFont="1" applyFill="1" applyBorder="1" applyAlignment="1">
      <alignment horizontal="center" vertical="center"/>
    </xf>
    <xf numFmtId="0" fontId="68" fillId="16" borderId="20" xfId="16" applyFont="1" applyFill="1" applyBorder="1" applyAlignment="1">
      <alignment horizontal="left" vertical="center"/>
    </xf>
    <xf numFmtId="193" fontId="68" fillId="0" borderId="5" xfId="36" applyNumberFormat="1" applyFont="1" applyFill="1" applyBorder="1" applyAlignment="1">
      <alignment horizontal="center" vertical="center"/>
    </xf>
    <xf numFmtId="0" fontId="68" fillId="16" borderId="20" xfId="16" applyFont="1" applyFill="1" applyBorder="1" applyAlignment="1">
      <alignment vertical="center"/>
    </xf>
    <xf numFmtId="2" fontId="68" fillId="0" borderId="5" xfId="36" applyNumberFormat="1" applyFont="1" applyFill="1" applyBorder="1" applyAlignment="1">
      <alignment horizontal="center" vertical="center"/>
    </xf>
    <xf numFmtId="40" fontId="68" fillId="0" borderId="5" xfId="36" applyNumberFormat="1" applyFont="1" applyFill="1" applyBorder="1" applyAlignment="1">
      <alignment horizontal="center" vertical="center"/>
    </xf>
    <xf numFmtId="49" fontId="68" fillId="0" borderId="5" xfId="36" applyNumberFormat="1" applyFont="1" applyFill="1" applyBorder="1" applyAlignment="1">
      <alignment horizontal="center" vertical="center"/>
    </xf>
    <xf numFmtId="0" fontId="24" fillId="16" borderId="26" xfId="16" applyFont="1" applyFill="1" applyBorder="1" applyAlignment="1">
      <alignment vertical="center"/>
    </xf>
    <xf numFmtId="0" fontId="68" fillId="16" borderId="28" xfId="16" applyFont="1" applyFill="1" applyBorder="1" applyAlignment="1">
      <alignment vertical="center"/>
    </xf>
    <xf numFmtId="38" fontId="68" fillId="0" borderId="5" xfId="16" applyNumberFormat="1" applyFont="1" applyFill="1" applyBorder="1" applyAlignment="1">
      <alignment horizontal="center" vertical="center"/>
    </xf>
    <xf numFmtId="0" fontId="99" fillId="0" borderId="0" xfId="16" applyFont="1" applyAlignment="1">
      <alignment vertical="center"/>
    </xf>
    <xf numFmtId="0" fontId="99" fillId="0" borderId="18" xfId="16" applyFont="1" applyBorder="1" applyAlignment="1">
      <alignment vertical="center"/>
    </xf>
    <xf numFmtId="0" fontId="99" fillId="0" borderId="0" xfId="16" applyFont="1" applyAlignment="1">
      <alignment horizontal="left" vertical="center"/>
    </xf>
    <xf numFmtId="0" fontId="101" fillId="0" borderId="0" xfId="16" applyFont="1" applyAlignment="1">
      <alignment vertical="center"/>
    </xf>
    <xf numFmtId="0" fontId="100" fillId="0" borderId="0" xfId="16" applyFont="1" applyAlignment="1">
      <alignment vertical="center"/>
    </xf>
    <xf numFmtId="0" fontId="102" fillId="0" borderId="0" xfId="16" applyFont="1" applyAlignment="1">
      <alignment horizontal="left" vertical="center"/>
    </xf>
    <xf numFmtId="0" fontId="15" fillId="15" borderId="19" xfId="16" applyFont="1" applyFill="1" applyBorder="1" applyAlignment="1">
      <alignment horizontal="right" vertical="center"/>
    </xf>
    <xf numFmtId="0" fontId="33" fillId="15" borderId="28" xfId="16" applyFont="1" applyFill="1" applyBorder="1" applyAlignment="1">
      <alignment horizontal="right" vertical="center"/>
    </xf>
    <xf numFmtId="15" fontId="37" fillId="10" borderId="1" xfId="16" applyNumberFormat="1" applyFont="1" applyFill="1" applyBorder="1" applyAlignment="1">
      <alignment horizontal="center" vertical="center"/>
    </xf>
    <xf numFmtId="0" fontId="30" fillId="15" borderId="20" xfId="16" applyFont="1" applyFill="1" applyBorder="1" applyAlignment="1">
      <alignment vertical="center"/>
    </xf>
    <xf numFmtId="193" fontId="30" fillId="0" borderId="46" xfId="36" applyNumberFormat="1" applyFont="1" applyFill="1" applyBorder="1" applyAlignment="1">
      <alignment horizontal="center" vertical="center"/>
    </xf>
    <xf numFmtId="40" fontId="30" fillId="0" borderId="20" xfId="36" applyNumberFormat="1" applyFont="1" applyFill="1" applyBorder="1" applyAlignment="1">
      <alignment horizontal="center" vertical="center"/>
    </xf>
    <xf numFmtId="0" fontId="30" fillId="15" borderId="20" xfId="16" applyFont="1" applyFill="1" applyBorder="1" applyAlignment="1">
      <alignment horizontal="left" vertical="center"/>
    </xf>
    <xf numFmtId="40" fontId="30" fillId="0" borderId="46" xfId="36" applyNumberFormat="1" applyFont="1" applyFill="1" applyBorder="1" applyAlignment="1">
      <alignment horizontal="center" vertical="center"/>
    </xf>
    <xf numFmtId="192" fontId="30" fillId="0" borderId="46" xfId="36" applyNumberFormat="1" applyFont="1" applyFill="1" applyBorder="1" applyAlignment="1">
      <alignment horizontal="center" vertical="center"/>
    </xf>
    <xf numFmtId="0" fontId="30" fillId="15" borderId="28" xfId="16" applyFont="1" applyFill="1" applyBorder="1" applyAlignment="1">
      <alignment vertical="center"/>
    </xf>
    <xf numFmtId="0" fontId="15" fillId="0" borderId="103" xfId="16" applyFont="1" applyBorder="1" applyAlignment="1">
      <alignment vertical="center"/>
    </xf>
    <xf numFmtId="0" fontId="15" fillId="0" borderId="0" xfId="16" applyFont="1" applyAlignment="1">
      <alignment vertical="center"/>
    </xf>
    <xf numFmtId="0" fontId="87" fillId="0" borderId="0" xfId="16" applyFont="1" applyAlignment="1">
      <alignment vertical="center"/>
    </xf>
    <xf numFmtId="0" fontId="103" fillId="0" borderId="0" xfId="16" applyFont="1" applyAlignment="1">
      <alignment horizontal="left" vertical="center"/>
    </xf>
    <xf numFmtId="0" fontId="30" fillId="0" borderId="0" xfId="16" applyFont="1" applyFill="1" applyBorder="1" applyAlignment="1">
      <alignment vertical="center"/>
    </xf>
    <xf numFmtId="187" fontId="30" fillId="0" borderId="0" xfId="16" applyNumberFormat="1" applyFont="1" applyFill="1" applyBorder="1" applyAlignment="1">
      <alignment horizontal="center" vertical="center"/>
    </xf>
    <xf numFmtId="0" fontId="30" fillId="0" borderId="0" xfId="16" applyFont="1" applyFill="1" applyBorder="1" applyAlignment="1">
      <alignment horizontal="left" vertical="center"/>
    </xf>
    <xf numFmtId="2" fontId="37" fillId="0" borderId="0" xfId="17" applyNumberFormat="1" applyFont="1" applyFill="1" applyBorder="1" applyAlignment="1">
      <alignment horizontal="center" vertical="center"/>
    </xf>
    <xf numFmtId="38" fontId="37" fillId="0" borderId="0" xfId="16" applyNumberFormat="1" applyFont="1" applyFill="1" applyBorder="1" applyAlignment="1">
      <alignment horizontal="center" vertical="center"/>
    </xf>
    <xf numFmtId="0" fontId="15" fillId="0" borderId="0" xfId="16" applyFont="1" applyBorder="1" applyAlignment="1">
      <alignment vertical="center"/>
    </xf>
    <xf numFmtId="0" fontId="73" fillId="0" borderId="0" xfId="0" applyFont="1" applyAlignment="1">
      <alignment vertical="center"/>
    </xf>
    <xf numFmtId="0" fontId="104" fillId="0" borderId="0" xfId="0" applyFont="1" applyAlignment="1">
      <alignment vertical="center"/>
    </xf>
    <xf numFmtId="0" fontId="7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30" fillId="4" borderId="7" xfId="0" applyFont="1" applyFill="1" applyBorder="1" applyAlignment="1">
      <alignment horizontal="center" vertical="center"/>
    </xf>
    <xf numFmtId="0" fontId="30" fillId="4" borderId="45" xfId="0" applyFont="1" applyFill="1" applyBorder="1" applyAlignment="1">
      <alignment horizontal="center" vertical="center"/>
    </xf>
    <xf numFmtId="0" fontId="105" fillId="4" borderId="16" xfId="0" applyFont="1" applyFill="1" applyBorder="1" applyAlignment="1">
      <alignment horizontal="center" vertical="center"/>
    </xf>
    <xf numFmtId="0" fontId="105" fillId="4" borderId="105" xfId="0" applyFont="1" applyFill="1" applyBorder="1" applyAlignment="1">
      <alignment horizontal="center" vertical="center"/>
    </xf>
    <xf numFmtId="3" fontId="106" fillId="0" borderId="11" xfId="0" applyNumberFormat="1" applyFont="1" applyBorder="1" applyAlignment="1">
      <alignment horizontal="center" vertical="center"/>
    </xf>
    <xf numFmtId="0" fontId="106" fillId="0" borderId="11" xfId="0" applyFont="1" applyBorder="1" applyAlignment="1">
      <alignment horizontal="center" vertical="center"/>
    </xf>
    <xf numFmtId="4" fontId="106" fillId="0" borderId="47" xfId="0" applyNumberFormat="1" applyFont="1" applyBorder="1" applyAlignment="1">
      <alignment horizontal="center" vertical="center"/>
    </xf>
    <xf numFmtId="3"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47" xfId="0" applyFont="1" applyBorder="1" applyAlignment="1">
      <alignment horizontal="center" vertical="center"/>
    </xf>
    <xf numFmtId="2" fontId="15" fillId="0" borderId="47" xfId="0" applyNumberFormat="1" applyFont="1" applyBorder="1" applyAlignment="1">
      <alignment horizontal="center" vertical="center"/>
    </xf>
    <xf numFmtId="0" fontId="15" fillId="0" borderId="9" xfId="0" applyFont="1" applyBorder="1" applyAlignment="1">
      <alignment horizontal="center" vertical="center"/>
    </xf>
    <xf numFmtId="3" fontId="15" fillId="0" borderId="16" xfId="0" applyNumberFormat="1" applyFont="1" applyBorder="1" applyAlignment="1">
      <alignment horizontal="center" vertical="center"/>
    </xf>
    <xf numFmtId="0" fontId="15" fillId="0" borderId="14" xfId="0" applyFont="1" applyBorder="1" applyAlignment="1">
      <alignment horizontal="center" vertical="center"/>
    </xf>
    <xf numFmtId="2" fontId="15" fillId="0" borderId="105" xfId="0" applyNumberFormat="1" applyFont="1" applyBorder="1" applyAlignment="1">
      <alignment horizontal="center" vertical="center"/>
    </xf>
    <xf numFmtId="0" fontId="81" fillId="0" borderId="0" xfId="0" applyFont="1" applyFill="1" applyAlignment="1">
      <alignment vertical="center"/>
    </xf>
    <xf numFmtId="0" fontId="49" fillId="0" borderId="0" xfId="0" applyFont="1" applyFill="1" applyAlignment="1">
      <alignment vertical="center"/>
    </xf>
    <xf numFmtId="3" fontId="49" fillId="0" borderId="0" xfId="0" applyNumberFormat="1" applyFont="1" applyFill="1" applyBorder="1" applyAlignment="1">
      <alignment vertical="center"/>
    </xf>
    <xf numFmtId="0" fontId="33" fillId="0" borderId="0" xfId="0" applyFont="1" applyFill="1" applyAlignment="1">
      <alignment vertical="center"/>
    </xf>
    <xf numFmtId="0" fontId="33" fillId="0" borderId="0" xfId="0" applyFont="1" applyAlignment="1">
      <alignment vertical="center"/>
    </xf>
    <xf numFmtId="0" fontId="73" fillId="0" borderId="0" xfId="0" applyFont="1" applyFill="1" applyAlignment="1">
      <alignment vertical="center"/>
    </xf>
    <xf numFmtId="0" fontId="30"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Alignment="1">
      <alignment vertical="center"/>
    </xf>
    <xf numFmtId="0" fontId="33" fillId="0" borderId="0" xfId="0" applyFont="1" applyFill="1" applyAlignment="1">
      <alignment horizontal="centerContinuous" vertical="center"/>
    </xf>
    <xf numFmtId="0" fontId="81" fillId="0" borderId="0" xfId="0" applyFont="1" applyFill="1" applyBorder="1" applyAlignment="1">
      <alignment vertical="center"/>
    </xf>
    <xf numFmtId="0" fontId="75" fillId="0" borderId="0" xfId="0" applyFont="1" applyAlignment="1">
      <alignment horizontal="centerContinuous" vertical="center"/>
    </xf>
    <xf numFmtId="0" fontId="33" fillId="0" borderId="0" xfId="0" applyFont="1" applyAlignment="1">
      <alignment horizontal="centerContinuous" vertical="center"/>
    </xf>
    <xf numFmtId="0" fontId="37" fillId="16" borderId="17" xfId="0" applyFont="1" applyFill="1" applyBorder="1" applyAlignment="1">
      <alignment vertical="center"/>
    </xf>
    <xf numFmtId="0" fontId="77" fillId="16" borderId="18" xfId="0" applyFont="1" applyFill="1" applyBorder="1" applyAlignment="1">
      <alignment vertical="center"/>
    </xf>
    <xf numFmtId="0" fontId="77" fillId="0" borderId="0" xfId="0" applyFont="1" applyFill="1" applyBorder="1" applyAlignment="1">
      <alignment vertical="center"/>
    </xf>
    <xf numFmtId="3" fontId="33" fillId="0" borderId="0" xfId="0" applyNumberFormat="1" applyFont="1" applyFill="1" applyBorder="1" applyAlignment="1">
      <alignment vertical="center"/>
    </xf>
    <xf numFmtId="0" fontId="33" fillId="16" borderId="26" xfId="0" applyFont="1" applyFill="1" applyBorder="1" applyAlignment="1">
      <alignment vertical="center"/>
    </xf>
    <xf numFmtId="0" fontId="77" fillId="16" borderId="27" xfId="0" applyFont="1" applyFill="1" applyBorder="1" applyAlignment="1">
      <alignment vertical="center"/>
    </xf>
    <xf numFmtId="15" fontId="76" fillId="0" borderId="0" xfId="0" applyNumberFormat="1" applyFont="1" applyFill="1" applyBorder="1" applyAlignment="1">
      <alignment horizontal="center" vertical="center"/>
    </xf>
    <xf numFmtId="17" fontId="76" fillId="0" borderId="0" xfId="0" applyNumberFormat="1" applyFont="1" applyFill="1" applyBorder="1" applyAlignment="1">
      <alignment horizontal="center" vertical="center"/>
    </xf>
    <xf numFmtId="15" fontId="68" fillId="0" borderId="0" xfId="0" applyNumberFormat="1" applyFont="1" applyAlignment="1">
      <alignment vertical="center"/>
    </xf>
    <xf numFmtId="0" fontId="79" fillId="16" borderId="5" xfId="0" applyFont="1" applyFill="1" applyBorder="1" applyAlignment="1">
      <alignment vertical="center"/>
    </xf>
    <xf numFmtId="0" fontId="77" fillId="16" borderId="0" xfId="0" applyFont="1" applyFill="1" applyBorder="1" applyAlignment="1">
      <alignment vertical="center"/>
    </xf>
    <xf numFmtId="15" fontId="37" fillId="0" borderId="5" xfId="0" applyNumberFormat="1" applyFont="1" applyFill="1" applyBorder="1" applyAlignment="1">
      <alignment horizontal="center" vertical="center"/>
    </xf>
    <xf numFmtId="15" fontId="37" fillId="0" borderId="20" xfId="0" applyNumberFormat="1" applyFont="1" applyFill="1" applyBorder="1" applyAlignment="1">
      <alignment horizontal="center" vertical="center"/>
    </xf>
    <xf numFmtId="0" fontId="0" fillId="0" borderId="0" xfId="0" applyBorder="1" applyAlignment="1">
      <alignment vertical="center"/>
    </xf>
    <xf numFmtId="187" fontId="68" fillId="16" borderId="5" xfId="0" applyNumberFormat="1" applyFont="1" applyFill="1" applyBorder="1" applyAlignment="1">
      <alignment horizontal="center" vertical="center"/>
    </xf>
    <xf numFmtId="1" fontId="68" fillId="16" borderId="0" xfId="0" applyNumberFormat="1" applyFont="1" applyFill="1" applyBorder="1" applyAlignment="1">
      <alignment vertical="center"/>
    </xf>
    <xf numFmtId="3" fontId="24" fillId="0" borderId="0" xfId="0" applyNumberFormat="1" applyFont="1" applyFill="1" applyBorder="1" applyAlignment="1">
      <alignment horizontal="center" vertical="center"/>
    </xf>
    <xf numFmtId="3" fontId="24" fillId="0" borderId="0" xfId="0" applyNumberFormat="1" applyFont="1" applyFill="1" applyBorder="1" applyAlignment="1">
      <alignment vertical="center"/>
    </xf>
    <xf numFmtId="3" fontId="24" fillId="0" borderId="0" xfId="0" applyNumberFormat="1" applyFont="1" applyFill="1" applyBorder="1" applyAlignment="1">
      <alignment horizontal="right" vertical="center"/>
    </xf>
    <xf numFmtId="3" fontId="24" fillId="0" borderId="0" xfId="0" applyNumberFormat="1" applyFont="1" applyFill="1" applyAlignment="1">
      <alignment vertical="center"/>
    </xf>
    <xf numFmtId="3" fontId="24" fillId="0" borderId="0" xfId="0" applyNumberFormat="1" applyFont="1" applyAlignment="1">
      <alignment vertical="center"/>
    </xf>
    <xf numFmtId="0" fontId="24" fillId="0" borderId="0" xfId="0" applyFont="1" applyAlignment="1">
      <alignment vertical="center"/>
    </xf>
    <xf numFmtId="0" fontId="22" fillId="0" borderId="0" xfId="0" applyFont="1"/>
    <xf numFmtId="3" fontId="24" fillId="0" borderId="0" xfId="37" applyNumberFormat="1" applyFont="1" applyFill="1" applyAlignment="1">
      <alignment vertical="center"/>
    </xf>
    <xf numFmtId="3" fontId="24" fillId="0" borderId="0" xfId="37" applyNumberFormat="1" applyFont="1" applyAlignment="1">
      <alignment vertical="center"/>
    </xf>
    <xf numFmtId="188" fontId="68" fillId="16" borderId="0" xfId="0" applyNumberFormat="1" applyFont="1" applyFill="1" applyBorder="1" applyAlignment="1">
      <alignment vertical="center"/>
    </xf>
    <xf numFmtId="189" fontId="24" fillId="0" borderId="0" xfId="0" applyNumberFormat="1" applyFont="1" applyFill="1" applyBorder="1" applyAlignment="1">
      <alignment horizontal="center" vertical="center"/>
    </xf>
    <xf numFmtId="189" fontId="24" fillId="0" borderId="0" xfId="0" applyNumberFormat="1" applyFont="1" applyFill="1" applyBorder="1" applyAlignment="1">
      <alignment horizontal="right" vertical="center"/>
    </xf>
    <xf numFmtId="187" fontId="77" fillId="16" borderId="26" xfId="0" applyNumberFormat="1" applyFont="1" applyFill="1" applyBorder="1" applyAlignment="1">
      <alignment horizontal="center" vertical="center"/>
    </xf>
    <xf numFmtId="1" fontId="79" fillId="16" borderId="27" xfId="0" applyNumberFormat="1" applyFont="1" applyFill="1" applyBorder="1" applyAlignment="1">
      <alignment vertical="center"/>
    </xf>
    <xf numFmtId="3" fontId="33" fillId="0" borderId="26" xfId="0" applyNumberFormat="1" applyFont="1" applyFill="1" applyBorder="1" applyAlignment="1">
      <alignment horizontal="right" vertical="center"/>
    </xf>
    <xf numFmtId="3" fontId="33" fillId="0" borderId="28" xfId="0" applyNumberFormat="1" applyFont="1" applyFill="1" applyBorder="1" applyAlignment="1">
      <alignment horizontal="right" vertical="center"/>
    </xf>
    <xf numFmtId="3" fontId="33" fillId="0" borderId="0" xfId="0" applyNumberFormat="1" applyFont="1" applyFill="1" applyBorder="1" applyAlignment="1">
      <alignment horizontal="right" vertical="center"/>
    </xf>
    <xf numFmtId="3" fontId="33" fillId="0" borderId="0" xfId="0" applyNumberFormat="1" applyFont="1" applyFill="1" applyAlignment="1">
      <alignment vertical="center"/>
    </xf>
    <xf numFmtId="3" fontId="33" fillId="0" borderId="0" xfId="0" applyNumberFormat="1" applyFont="1" applyAlignment="1">
      <alignment vertical="center"/>
    </xf>
    <xf numFmtId="0" fontId="81" fillId="0" borderId="0" xfId="0" applyFont="1" applyFill="1" applyAlignment="1">
      <alignment horizontal="right" vertical="center"/>
    </xf>
    <xf numFmtId="0" fontId="81" fillId="0" borderId="0" xfId="0" applyFont="1" applyFill="1" applyAlignment="1">
      <alignment horizontal="left" vertical="center"/>
    </xf>
    <xf numFmtId="0" fontId="40" fillId="0" borderId="0" xfId="16" applyFont="1" applyAlignment="1">
      <alignment vertical="center"/>
    </xf>
    <xf numFmtId="0" fontId="107" fillId="0" borderId="0" xfId="16" applyFont="1" applyAlignment="1">
      <alignment vertical="center"/>
    </xf>
    <xf numFmtId="0" fontId="17" fillId="0" borderId="0" xfId="16" applyFont="1" applyAlignment="1">
      <alignment vertical="center"/>
    </xf>
    <xf numFmtId="0" fontId="34" fillId="0" borderId="0" xfId="16" applyFont="1" applyAlignment="1">
      <alignment horizontal="right" vertical="center"/>
    </xf>
    <xf numFmtId="0" fontId="17" fillId="4" borderId="122" xfId="16" applyFont="1" applyFill="1" applyBorder="1" applyAlignment="1">
      <alignment horizontal="center" vertical="center" wrapText="1"/>
    </xf>
    <xf numFmtId="0" fontId="17" fillId="4" borderId="1" xfId="16" applyFont="1" applyFill="1" applyBorder="1" applyAlignment="1">
      <alignment horizontal="center" vertical="center" wrapText="1"/>
    </xf>
    <xf numFmtId="0" fontId="17" fillId="4" borderId="126" xfId="16" applyFont="1" applyFill="1" applyBorder="1" applyAlignment="1">
      <alignment horizontal="center" vertical="center" wrapText="1"/>
    </xf>
    <xf numFmtId="0" fontId="35" fillId="0" borderId="0" xfId="16" applyAlignment="1">
      <alignment horizontal="center" vertical="center" wrapText="1"/>
    </xf>
    <xf numFmtId="183" fontId="17" fillId="4" borderId="46" xfId="16" applyNumberFormat="1" applyFont="1" applyFill="1" applyBorder="1" applyAlignment="1">
      <alignment horizontal="right" vertical="center"/>
    </xf>
    <xf numFmtId="3" fontId="35" fillId="0" borderId="46" xfId="16" applyNumberFormat="1" applyBorder="1" applyAlignment="1">
      <alignment horizontal="center" vertical="center"/>
    </xf>
    <xf numFmtId="3" fontId="17" fillId="0" borderId="46" xfId="16" applyNumberFormat="1" applyFont="1" applyBorder="1" applyAlignment="1">
      <alignment horizontal="center" vertical="center"/>
    </xf>
    <xf numFmtId="183" fontId="17" fillId="4" borderId="46" xfId="16" applyNumberFormat="1" applyFont="1" applyFill="1" applyBorder="1" applyAlignment="1">
      <alignment horizontal="center" vertical="center"/>
    </xf>
    <xf numFmtId="196" fontId="17" fillId="0" borderId="46" xfId="16" applyNumberFormat="1" applyFont="1" applyBorder="1" applyAlignment="1">
      <alignment horizontal="center" vertical="center"/>
    </xf>
    <xf numFmtId="183" fontId="17" fillId="4" borderId="103" xfId="16" applyNumberFormat="1" applyFont="1" applyFill="1" applyBorder="1" applyAlignment="1">
      <alignment horizontal="center" vertical="center"/>
    </xf>
    <xf numFmtId="3" fontId="35" fillId="0" borderId="103" xfId="16" applyNumberFormat="1" applyBorder="1" applyAlignment="1">
      <alignment horizontal="center" vertical="center"/>
    </xf>
    <xf numFmtId="196" fontId="17" fillId="0" borderId="103" xfId="16" applyNumberFormat="1" applyFont="1" applyBorder="1" applyAlignment="1">
      <alignment horizontal="center" vertical="center"/>
    </xf>
    <xf numFmtId="0" fontId="34" fillId="0" borderId="0" xfId="16" applyFont="1" applyAlignment="1">
      <alignment vertical="center"/>
    </xf>
    <xf numFmtId="0" fontId="51" fillId="0" borderId="0" xfId="16" applyFont="1" applyAlignment="1">
      <alignment vertical="center"/>
    </xf>
    <xf numFmtId="0" fontId="17" fillId="4" borderId="1" xfId="16" applyFont="1" applyFill="1" applyBorder="1" applyAlignment="1">
      <alignment vertical="center"/>
    </xf>
    <xf numFmtId="0" fontId="17" fillId="4" borderId="2" xfId="16" applyFont="1" applyFill="1" applyBorder="1" applyAlignment="1">
      <alignment horizontal="center" vertical="center" wrapText="1"/>
    </xf>
    <xf numFmtId="0" fontId="17" fillId="4" borderId="46" xfId="16" applyFont="1" applyFill="1" applyBorder="1" applyAlignment="1">
      <alignment horizontal="center" vertical="center"/>
    </xf>
    <xf numFmtId="3" fontId="2" fillId="0" borderId="46" xfId="16" applyNumberFormat="1" applyFont="1" applyBorder="1" applyAlignment="1">
      <alignment horizontal="center" vertical="center"/>
    </xf>
    <xf numFmtId="0" fontId="2" fillId="0" borderId="46" xfId="16" applyFont="1" applyBorder="1" applyAlignment="1">
      <alignment horizontal="center" vertical="center"/>
    </xf>
    <xf numFmtId="0" fontId="17" fillId="4" borderId="1" xfId="16" applyFont="1" applyFill="1" applyBorder="1" applyAlignment="1">
      <alignment horizontal="center" vertical="center"/>
    </xf>
    <xf numFmtId="3" fontId="17" fillId="4" borderId="1" xfId="16" applyNumberFormat="1" applyFont="1" applyFill="1" applyBorder="1" applyAlignment="1">
      <alignment horizontal="center" vertical="center"/>
    </xf>
    <xf numFmtId="3" fontId="17" fillId="4" borderId="126" xfId="16" applyNumberFormat="1" applyFont="1" applyFill="1" applyBorder="1" applyAlignment="1">
      <alignment horizontal="center" vertical="center"/>
    </xf>
    <xf numFmtId="0" fontId="73" fillId="17" borderId="0" xfId="16" applyFont="1" applyFill="1" applyBorder="1" applyAlignment="1">
      <alignment horizontal="left"/>
    </xf>
    <xf numFmtId="0" fontId="108" fillId="17" borderId="0" xfId="16" applyFont="1" applyFill="1" applyBorder="1" applyAlignment="1">
      <alignment horizontal="center"/>
    </xf>
    <xf numFmtId="0" fontId="2" fillId="17" borderId="0" xfId="16" applyFont="1" applyFill="1"/>
    <xf numFmtId="0" fontId="35" fillId="17" borderId="0" xfId="16" applyFill="1"/>
    <xf numFmtId="0" fontId="2" fillId="17" borderId="0" xfId="16" applyFont="1" applyFill="1" applyBorder="1"/>
    <xf numFmtId="0" fontId="108" fillId="17" borderId="0" xfId="16" applyFont="1" applyFill="1" applyBorder="1" applyAlignment="1">
      <alignment horizontal="left"/>
    </xf>
    <xf numFmtId="0" fontId="17" fillId="18" borderId="0" xfId="16" applyFont="1" applyFill="1" applyBorder="1" applyAlignment="1">
      <alignment horizontal="center"/>
    </xf>
    <xf numFmtId="0" fontId="77" fillId="4" borderId="127" xfId="16" applyFont="1" applyFill="1" applyBorder="1" applyAlignment="1">
      <alignment horizontal="center"/>
    </xf>
    <xf numFmtId="0" fontId="77" fillId="4" borderId="103" xfId="16" applyFont="1" applyFill="1" applyBorder="1" applyAlignment="1">
      <alignment horizontal="center"/>
    </xf>
    <xf numFmtId="0" fontId="84" fillId="4" borderId="103" xfId="16" applyFont="1" applyFill="1" applyBorder="1" applyAlignment="1">
      <alignment horizontal="center"/>
    </xf>
    <xf numFmtId="0" fontId="24" fillId="4" borderId="46" xfId="16" applyFont="1" applyFill="1" applyBorder="1" applyAlignment="1">
      <alignment horizontal="center"/>
    </xf>
    <xf numFmtId="3" fontId="24" fillId="17" borderId="46" xfId="16" applyNumberFormat="1" applyFont="1" applyFill="1" applyBorder="1" applyAlignment="1">
      <alignment horizontal="center"/>
    </xf>
    <xf numFmtId="170" fontId="24" fillId="17" borderId="46" xfId="16" applyNumberFormat="1" applyFont="1" applyFill="1" applyBorder="1" applyAlignment="1">
      <alignment horizontal="center"/>
    </xf>
    <xf numFmtId="4" fontId="24" fillId="17" borderId="127" xfId="16" applyNumberFormat="1" applyFont="1" applyFill="1" applyBorder="1" applyAlignment="1">
      <alignment horizontal="center"/>
    </xf>
    <xf numFmtId="0" fontId="17" fillId="18" borderId="0" xfId="16" applyFont="1" applyFill="1" applyBorder="1" applyAlignment="1">
      <alignment horizontal="centerContinuous"/>
    </xf>
    <xf numFmtId="2" fontId="24" fillId="17" borderId="46" xfId="16" applyNumberFormat="1" applyFont="1" applyFill="1" applyBorder="1" applyAlignment="1">
      <alignment horizontal="center"/>
    </xf>
    <xf numFmtId="2" fontId="33" fillId="17" borderId="0" xfId="16" applyNumberFormat="1" applyFont="1" applyFill="1" applyBorder="1" applyAlignment="1">
      <alignment horizontal="center"/>
    </xf>
    <xf numFmtId="4" fontId="24" fillId="17" borderId="46" xfId="16" applyNumberFormat="1" applyFont="1" applyFill="1" applyBorder="1" applyAlignment="1">
      <alignment horizontal="center"/>
    </xf>
    <xf numFmtId="2" fontId="33" fillId="17" borderId="0" xfId="16" applyNumberFormat="1" applyFont="1" applyFill="1" applyBorder="1" applyAlignment="1">
      <alignment horizontal="right"/>
    </xf>
    <xf numFmtId="2" fontId="2" fillId="17" borderId="0" xfId="16" applyNumberFormat="1" applyFont="1" applyFill="1"/>
    <xf numFmtId="0" fontId="24" fillId="4" borderId="103" xfId="16" applyFont="1" applyFill="1" applyBorder="1" applyAlignment="1">
      <alignment horizontal="center"/>
    </xf>
    <xf numFmtId="0" fontId="24" fillId="17" borderId="103" xfId="16" applyFont="1" applyFill="1" applyBorder="1" applyAlignment="1">
      <alignment horizontal="center"/>
    </xf>
    <xf numFmtId="164" fontId="24" fillId="17" borderId="103" xfId="16" applyNumberFormat="1" applyFont="1" applyFill="1" applyBorder="1" applyAlignment="1">
      <alignment horizontal="center"/>
    </xf>
    <xf numFmtId="3" fontId="68" fillId="17" borderId="1" xfId="16" applyNumberFormat="1" applyFont="1" applyFill="1" applyBorder="1" applyAlignment="1">
      <alignment horizontal="center" vertical="center"/>
    </xf>
    <xf numFmtId="170" fontId="68" fillId="17" borderId="1" xfId="16" applyNumberFormat="1" applyFont="1" applyFill="1" applyBorder="1" applyAlignment="1">
      <alignment horizontal="center" vertical="center"/>
    </xf>
    <xf numFmtId="0" fontId="68" fillId="17" borderId="1" xfId="16" applyFont="1" applyFill="1" applyBorder="1" applyAlignment="1">
      <alignment horizontal="center" vertical="center"/>
    </xf>
    <xf numFmtId="164" fontId="2" fillId="17" borderId="0" xfId="16" applyNumberFormat="1" applyFont="1" applyFill="1"/>
    <xf numFmtId="2" fontId="2" fillId="17" borderId="0" xfId="16" applyNumberFormat="1" applyFont="1" applyFill="1" applyBorder="1" applyAlignment="1">
      <alignment horizontal="right"/>
    </xf>
    <xf numFmtId="0" fontId="38" fillId="17" borderId="0" xfId="16" applyFont="1" applyFill="1"/>
    <xf numFmtId="3" fontId="2" fillId="17" borderId="0" xfId="16" applyNumberFormat="1" applyFont="1" applyFill="1" applyBorder="1" applyAlignment="1">
      <alignment horizontal="right"/>
    </xf>
    <xf numFmtId="0" fontId="2" fillId="17" borderId="0" xfId="16" applyFont="1" applyFill="1" applyBorder="1" applyAlignment="1">
      <alignment horizontal="right"/>
    </xf>
    <xf numFmtId="170" fontId="2" fillId="17" borderId="0" xfId="16" applyNumberFormat="1" applyFont="1" applyFill="1"/>
    <xf numFmtId="197" fontId="2" fillId="17" borderId="0" xfId="16" applyNumberFormat="1" applyFont="1" applyFill="1"/>
    <xf numFmtId="3" fontId="2" fillId="17" borderId="0" xfId="16" applyNumberFormat="1" applyFont="1" applyFill="1"/>
    <xf numFmtId="0" fontId="77" fillId="16" borderId="39" xfId="16" applyFont="1" applyFill="1" applyBorder="1" applyAlignment="1">
      <alignment horizontal="center"/>
    </xf>
    <xf numFmtId="0" fontId="77" fillId="4" borderId="41" xfId="16" applyFont="1" applyFill="1" applyBorder="1" applyAlignment="1">
      <alignment horizontal="center"/>
    </xf>
    <xf numFmtId="0" fontId="77" fillId="4" borderId="42" xfId="16" applyFont="1" applyFill="1" applyBorder="1" applyAlignment="1">
      <alignment horizontal="center"/>
    </xf>
    <xf numFmtId="0" fontId="77" fillId="4" borderId="31" xfId="16" applyFont="1" applyFill="1" applyBorder="1" applyAlignment="1">
      <alignment horizontal="center"/>
    </xf>
    <xf numFmtId="0" fontId="77" fillId="16" borderId="142" xfId="16" applyFont="1" applyFill="1" applyBorder="1" applyAlignment="1">
      <alignment horizontal="center"/>
    </xf>
    <xf numFmtId="0" fontId="77" fillId="4" borderId="28" xfId="16" applyFont="1" applyFill="1" applyBorder="1" applyAlignment="1">
      <alignment horizontal="center"/>
    </xf>
    <xf numFmtId="0" fontId="84" fillId="4" borderId="143" xfId="16" applyFont="1" applyFill="1" applyBorder="1" applyAlignment="1">
      <alignment horizontal="center"/>
    </xf>
    <xf numFmtId="198" fontId="68" fillId="16" borderId="44" xfId="16" quotePrefix="1" applyNumberFormat="1" applyFont="1" applyFill="1" applyBorder="1" applyAlignment="1">
      <alignment horizontal="left"/>
    </xf>
    <xf numFmtId="3" fontId="24" fillId="17" borderId="33" xfId="16" applyNumberFormat="1" applyFont="1" applyFill="1" applyBorder="1" applyAlignment="1">
      <alignment horizontal="center"/>
    </xf>
    <xf numFmtId="199" fontId="24" fillId="16" borderId="44" xfId="16" applyNumberFormat="1" applyFont="1" applyFill="1" applyBorder="1" applyAlignment="1">
      <alignment horizontal="left"/>
    </xf>
    <xf numFmtId="164" fontId="24" fillId="17" borderId="46" xfId="16" applyNumberFormat="1" applyFont="1" applyFill="1" applyBorder="1" applyAlignment="1">
      <alignment horizontal="center"/>
    </xf>
    <xf numFmtId="4" fontId="24" fillId="17" borderId="33" xfId="16" applyNumberFormat="1" applyFont="1" applyFill="1" applyBorder="1" applyAlignment="1">
      <alignment horizontal="center"/>
    </xf>
    <xf numFmtId="170" fontId="2" fillId="17" borderId="0" xfId="16" applyNumberFormat="1" applyFont="1" applyFill="1" applyBorder="1" applyAlignment="1">
      <alignment horizontal="right"/>
    </xf>
    <xf numFmtId="16" fontId="24" fillId="16" borderId="144" xfId="16" applyNumberFormat="1" applyFont="1" applyFill="1" applyBorder="1" applyAlignment="1">
      <alignment horizontal="right"/>
    </xf>
    <xf numFmtId="3" fontId="24" fillId="17" borderId="145" xfId="16" applyNumberFormat="1" applyFont="1" applyFill="1" applyBorder="1" applyAlignment="1">
      <alignment horizontal="center"/>
    </xf>
    <xf numFmtId="164" fontId="24" fillId="17" borderId="145" xfId="16" applyNumberFormat="1" applyFont="1" applyFill="1" applyBorder="1" applyAlignment="1">
      <alignment horizontal="center"/>
    </xf>
    <xf numFmtId="170" fontId="24" fillId="17" borderId="146" xfId="16" applyNumberFormat="1" applyFont="1" applyFill="1" applyBorder="1" applyAlignment="1">
      <alignment horizontal="left" indent="4"/>
    </xf>
    <xf numFmtId="17" fontId="68" fillId="16" borderId="44" xfId="16" quotePrefix="1" applyNumberFormat="1" applyFont="1" applyFill="1" applyBorder="1" applyAlignment="1">
      <alignment horizontal="left"/>
    </xf>
    <xf numFmtId="4" fontId="24" fillId="17" borderId="33" xfId="16" applyNumberFormat="1" applyFont="1" applyFill="1" applyBorder="1" applyAlignment="1">
      <alignment horizontal="left" indent="5"/>
    </xf>
    <xf numFmtId="4" fontId="24" fillId="17" borderId="57" xfId="16" applyNumberFormat="1" applyFont="1" applyFill="1" applyBorder="1" applyAlignment="1">
      <alignment horizontal="left" indent="5"/>
    </xf>
    <xf numFmtId="3" fontId="24" fillId="17" borderId="20" xfId="16" applyNumberFormat="1" applyFont="1" applyFill="1" applyBorder="1" applyAlignment="1">
      <alignment horizontal="center"/>
    </xf>
    <xf numFmtId="4" fontId="24" fillId="17" borderId="57" xfId="16" applyNumberFormat="1" applyFont="1" applyFill="1" applyBorder="1" applyAlignment="1">
      <alignment horizontal="center"/>
    </xf>
    <xf numFmtId="0" fontId="24" fillId="17" borderId="66" xfId="16" applyFont="1" applyFill="1" applyBorder="1" applyAlignment="1">
      <alignment horizontal="center"/>
    </xf>
    <xf numFmtId="0" fontId="24" fillId="17" borderId="46" xfId="16" applyFont="1" applyFill="1" applyBorder="1" applyAlignment="1">
      <alignment horizontal="center"/>
    </xf>
    <xf numFmtId="17" fontId="68" fillId="16" borderId="142" xfId="16" quotePrefix="1" applyNumberFormat="1" applyFont="1" applyFill="1" applyBorder="1" applyAlignment="1">
      <alignment horizontal="left"/>
    </xf>
    <xf numFmtId="0" fontId="24" fillId="17" borderId="147" xfId="16" applyFont="1" applyFill="1" applyBorder="1" applyAlignment="1">
      <alignment horizontal="center"/>
    </xf>
    <xf numFmtId="170" fontId="24" fillId="17" borderId="103" xfId="16" applyNumberFormat="1" applyFont="1" applyFill="1" applyBorder="1" applyAlignment="1">
      <alignment horizontal="center"/>
    </xf>
    <xf numFmtId="4" fontId="24" fillId="17" borderId="148" xfId="16" applyNumberFormat="1" applyFont="1" applyFill="1" applyBorder="1" applyAlignment="1">
      <alignment horizontal="center"/>
    </xf>
    <xf numFmtId="17" fontId="68" fillId="19" borderId="44" xfId="16" quotePrefix="1" applyNumberFormat="1" applyFont="1" applyFill="1" applyBorder="1" applyAlignment="1">
      <alignment horizontal="left"/>
    </xf>
    <xf numFmtId="0" fontId="19" fillId="17" borderId="0" xfId="16" applyFont="1" applyFill="1"/>
    <xf numFmtId="0" fontId="19" fillId="17" borderId="0" xfId="16" applyFont="1" applyFill="1" applyBorder="1"/>
    <xf numFmtId="0" fontId="102" fillId="17" borderId="0" xfId="16" applyFont="1" applyFill="1"/>
    <xf numFmtId="1" fontId="102" fillId="17" borderId="0" xfId="16" applyNumberFormat="1" applyFont="1" applyFill="1"/>
    <xf numFmtId="0" fontId="109" fillId="0" borderId="0" xfId="16" applyFont="1" applyFill="1" applyBorder="1" applyAlignment="1">
      <alignment vertical="center"/>
    </xf>
    <xf numFmtId="0" fontId="40" fillId="0" borderId="0" xfId="16" applyFont="1" applyFill="1" applyBorder="1" applyAlignment="1">
      <alignment vertical="center"/>
    </xf>
    <xf numFmtId="0" fontId="2" fillId="0" borderId="0" xfId="16" applyFont="1" applyFill="1" applyBorder="1" applyAlignment="1">
      <alignment vertical="center"/>
    </xf>
    <xf numFmtId="0" fontId="22" fillId="20" borderId="0" xfId="16" applyFont="1" applyFill="1" applyBorder="1" applyAlignment="1">
      <alignment horizontal="right" vertical="center"/>
    </xf>
    <xf numFmtId="0" fontId="22" fillId="20" borderId="0" xfId="16" applyFont="1" applyFill="1" applyBorder="1" applyAlignment="1">
      <alignment horizontal="centerContinuous" vertical="center"/>
    </xf>
    <xf numFmtId="170" fontId="22" fillId="21" borderId="0" xfId="16" applyNumberFormat="1" applyFont="1" applyFill="1" applyBorder="1" applyAlignment="1">
      <alignment horizontal="center" vertical="center"/>
    </xf>
    <xf numFmtId="0" fontId="17" fillId="22" borderId="6" xfId="16" applyFont="1" applyFill="1" applyBorder="1" applyAlignment="1">
      <alignment horizontal="center" vertical="center"/>
    </xf>
    <xf numFmtId="0" fontId="17" fillId="22" borderId="7" xfId="16" applyFont="1" applyFill="1" applyBorder="1" applyAlignment="1">
      <alignment horizontal="center" vertical="center"/>
    </xf>
    <xf numFmtId="0" fontId="17" fillId="22" borderId="45" xfId="16" applyFont="1" applyFill="1" applyBorder="1" applyAlignment="1">
      <alignment horizontal="center" vertical="center"/>
    </xf>
    <xf numFmtId="0" fontId="2" fillId="0" borderId="0" xfId="16" applyFont="1" applyFill="1" applyAlignment="1">
      <alignment vertical="center"/>
    </xf>
    <xf numFmtId="0" fontId="17" fillId="22" borderId="12" xfId="16" applyFont="1" applyFill="1" applyBorder="1" applyAlignment="1">
      <alignment horizontal="center" vertical="center"/>
    </xf>
    <xf numFmtId="0" fontId="17" fillId="22" borderId="11" xfId="16" applyFont="1" applyFill="1" applyBorder="1" applyAlignment="1">
      <alignment horizontal="center" vertical="center"/>
    </xf>
    <xf numFmtId="0" fontId="17" fillId="22" borderId="47" xfId="16" applyFont="1" applyFill="1" applyBorder="1" applyAlignment="1">
      <alignment horizontal="center" vertical="center"/>
    </xf>
    <xf numFmtId="0" fontId="17" fillId="22" borderId="24" xfId="16" applyFont="1" applyFill="1" applyBorder="1" applyAlignment="1">
      <alignment horizontal="center" vertical="center"/>
    </xf>
    <xf numFmtId="0" fontId="17" fillId="22" borderId="149" xfId="16" applyFont="1" applyFill="1" applyBorder="1" applyAlignment="1">
      <alignment horizontal="center" vertical="center"/>
    </xf>
    <xf numFmtId="0" fontId="20" fillId="22" borderId="62" xfId="16" applyFont="1" applyFill="1" applyBorder="1" applyAlignment="1">
      <alignment horizontal="center" vertical="center"/>
    </xf>
    <xf numFmtId="0" fontId="22" fillId="19" borderId="21" xfId="16" applyFont="1" applyFill="1" applyBorder="1" applyAlignment="1">
      <alignment horizontal="centerContinuous" vertical="center"/>
    </xf>
    <xf numFmtId="0" fontId="22" fillId="19" borderId="21" xfId="16" applyFont="1" applyFill="1" applyBorder="1" applyAlignment="1">
      <alignment horizontal="right" vertical="center"/>
    </xf>
    <xf numFmtId="0" fontId="110" fillId="19" borderId="21" xfId="16" applyFont="1" applyFill="1" applyBorder="1" applyAlignment="1">
      <alignment horizontal="right" vertical="center"/>
    </xf>
    <xf numFmtId="0" fontId="22" fillId="19" borderId="34" xfId="16" applyFont="1" applyFill="1" applyBorder="1" applyAlignment="1">
      <alignment horizontal="centerContinuous" vertical="center"/>
    </xf>
    <xf numFmtId="0" fontId="110" fillId="19" borderId="101" xfId="16" applyFont="1" applyFill="1" applyBorder="1" applyAlignment="1">
      <alignment horizontal="centerContinuous" vertical="center"/>
    </xf>
    <xf numFmtId="0" fontId="110" fillId="19" borderId="20" xfId="16" applyFont="1" applyFill="1" applyBorder="1" applyAlignment="1">
      <alignment horizontal="centerContinuous" vertical="center"/>
    </xf>
    <xf numFmtId="0" fontId="22" fillId="0" borderId="0" xfId="16" applyFont="1" applyFill="1" applyAlignment="1">
      <alignment vertical="center"/>
    </xf>
    <xf numFmtId="0" fontId="22" fillId="0" borderId="0" xfId="16" applyFont="1" applyFill="1" applyBorder="1" applyAlignment="1">
      <alignment vertical="center"/>
    </xf>
    <xf numFmtId="174" fontId="20" fillId="22" borderId="150" xfId="16" quotePrefix="1" applyNumberFormat="1" applyFont="1" applyFill="1" applyBorder="1" applyAlignment="1">
      <alignment horizontal="center" vertical="center"/>
    </xf>
    <xf numFmtId="0" fontId="22" fillId="21" borderId="0" xfId="16" applyFont="1" applyFill="1" applyBorder="1" applyAlignment="1">
      <alignment horizontal="center" vertical="center"/>
    </xf>
    <xf numFmtId="170" fontId="22" fillId="21" borderId="151" xfId="16" applyNumberFormat="1" applyFont="1" applyFill="1" applyBorder="1" applyAlignment="1">
      <alignment horizontal="center" vertical="center"/>
    </xf>
    <xf numFmtId="170" fontId="22" fillId="21" borderId="23" xfId="16" applyNumberFormat="1" applyFont="1" applyFill="1" applyBorder="1" applyAlignment="1">
      <alignment horizontal="center" vertical="center"/>
    </xf>
    <xf numFmtId="170" fontId="22" fillId="21" borderId="152" xfId="16" applyNumberFormat="1" applyFont="1" applyFill="1" applyBorder="1" applyAlignment="1">
      <alignment horizontal="center" vertical="center"/>
    </xf>
    <xf numFmtId="200" fontId="33" fillId="16" borderId="12" xfId="16" applyNumberFormat="1" applyFont="1" applyFill="1" applyBorder="1" applyAlignment="1">
      <alignment horizontal="right"/>
    </xf>
    <xf numFmtId="170" fontId="2" fillId="21" borderId="13" xfId="16" applyNumberFormat="1" applyFont="1" applyFill="1" applyBorder="1" applyAlignment="1">
      <alignment horizontal="center" vertical="center"/>
    </xf>
    <xf numFmtId="164" fontId="2" fillId="21" borderId="9" xfId="16" applyNumberFormat="1" applyFont="1" applyFill="1" applyBorder="1" applyAlignment="1">
      <alignment horizontal="center" vertical="center"/>
    </xf>
    <xf numFmtId="164" fontId="2" fillId="21" borderId="11" xfId="16" applyNumberFormat="1" applyFont="1" applyFill="1" applyBorder="1" applyAlignment="1">
      <alignment horizontal="center" vertical="center"/>
    </xf>
    <xf numFmtId="170" fontId="2" fillId="21" borderId="11" xfId="16" applyNumberFormat="1" applyFont="1" applyFill="1" applyBorder="1" applyAlignment="1">
      <alignment horizontal="center" vertical="center"/>
    </xf>
    <xf numFmtId="2" fontId="2" fillId="21" borderId="9" xfId="16" applyNumberFormat="1" applyFont="1" applyFill="1" applyBorder="1" applyAlignment="1">
      <alignment horizontal="center" vertical="center"/>
    </xf>
    <xf numFmtId="2" fontId="2" fillId="21" borderId="47" xfId="16" applyNumberFormat="1" applyFont="1" applyFill="1" applyBorder="1" applyAlignment="1">
      <alignment horizontal="center" vertical="center"/>
    </xf>
    <xf numFmtId="16" fontId="22" fillId="0" borderId="0" xfId="16" applyNumberFormat="1" applyFont="1" applyFill="1" applyAlignment="1">
      <alignment vertical="center"/>
    </xf>
    <xf numFmtId="170" fontId="2" fillId="21" borderId="0" xfId="16" applyNumberFormat="1" applyFont="1" applyFill="1" applyBorder="1" applyAlignment="1">
      <alignment horizontal="center" vertical="center"/>
    </xf>
    <xf numFmtId="2" fontId="22" fillId="0" borderId="0" xfId="16" applyNumberFormat="1" applyFont="1" applyFill="1" applyBorder="1" applyAlignment="1">
      <alignment vertical="center"/>
    </xf>
    <xf numFmtId="170" fontId="2" fillId="21" borderId="153" xfId="16" applyNumberFormat="1" applyFont="1" applyFill="1" applyBorder="1" applyAlignment="1">
      <alignment horizontal="center" vertical="center"/>
    </xf>
    <xf numFmtId="164" fontId="2" fillId="21" borderId="24" xfId="16" applyNumberFormat="1" applyFont="1" applyFill="1" applyBorder="1" applyAlignment="1">
      <alignment horizontal="center" vertical="center"/>
    </xf>
    <xf numFmtId="2" fontId="2" fillId="21" borderId="153" xfId="16" applyNumberFormat="1" applyFont="1" applyFill="1" applyBorder="1" applyAlignment="1">
      <alignment horizontal="center" vertical="center"/>
    </xf>
    <xf numFmtId="170" fontId="2" fillId="21" borderId="24" xfId="16" applyNumberFormat="1" applyFont="1" applyFill="1" applyBorder="1" applyAlignment="1">
      <alignment horizontal="center" vertical="center"/>
    </xf>
    <xf numFmtId="2" fontId="2" fillId="21" borderId="149" xfId="16" applyNumberFormat="1" applyFont="1" applyFill="1" applyBorder="1" applyAlignment="1">
      <alignment horizontal="center" vertical="center"/>
    </xf>
    <xf numFmtId="17" fontId="20" fillId="22" borderId="12" xfId="16" applyNumberFormat="1" applyFont="1" applyFill="1" applyBorder="1" applyAlignment="1">
      <alignment horizontal="right" vertical="center"/>
    </xf>
    <xf numFmtId="3" fontId="2" fillId="0" borderId="0" xfId="16" applyNumberFormat="1" applyFont="1" applyFill="1" applyBorder="1" applyAlignment="1">
      <alignment horizontal="center" vertical="center"/>
    </xf>
    <xf numFmtId="3" fontId="2" fillId="0" borderId="11" xfId="16" applyNumberFormat="1" applyFont="1" applyFill="1" applyBorder="1" applyAlignment="1">
      <alignment horizontal="center" vertical="center"/>
    </xf>
    <xf numFmtId="2" fontId="2" fillId="21" borderId="0" xfId="16" applyNumberFormat="1" applyFont="1" applyFill="1" applyBorder="1" applyAlignment="1">
      <alignment horizontal="center" vertical="center"/>
    </xf>
    <xf numFmtId="4" fontId="2" fillId="0" borderId="47" xfId="16" applyNumberFormat="1" applyFont="1" applyFill="1" applyBorder="1" applyAlignment="1">
      <alignment horizontal="center" vertical="center"/>
    </xf>
    <xf numFmtId="164" fontId="22" fillId="0" borderId="0" xfId="16" applyNumberFormat="1" applyFont="1" applyFill="1" applyAlignment="1">
      <alignment vertical="center"/>
    </xf>
    <xf numFmtId="3" fontId="81" fillId="0" borderId="0" xfId="16" applyNumberFormat="1" applyFont="1" applyFill="1" applyAlignment="1">
      <alignment vertical="center"/>
    </xf>
    <xf numFmtId="2" fontId="81" fillId="0" borderId="0" xfId="16" applyNumberFormat="1" applyFont="1" applyFill="1" applyBorder="1" applyAlignment="1">
      <alignment vertical="center"/>
    </xf>
    <xf numFmtId="3" fontId="2" fillId="0" borderId="13" xfId="16" applyNumberFormat="1" applyFont="1" applyFill="1" applyBorder="1" applyAlignment="1">
      <alignment horizontal="center" vertical="center"/>
    </xf>
    <xf numFmtId="17" fontId="20" fillId="22" borderId="15" xfId="16" applyNumberFormat="1" applyFont="1" applyFill="1" applyBorder="1" applyAlignment="1">
      <alignment horizontal="right" vertical="center"/>
    </xf>
    <xf numFmtId="3" fontId="2" fillId="0" borderId="104" xfId="16" applyNumberFormat="1" applyFont="1" applyFill="1" applyBorder="1" applyAlignment="1">
      <alignment horizontal="center" vertical="center"/>
    </xf>
    <xf numFmtId="3" fontId="2" fillId="0" borderId="16" xfId="16" applyNumberFormat="1" applyFont="1" applyFill="1" applyBorder="1" applyAlignment="1">
      <alignment horizontal="center" vertical="center"/>
    </xf>
    <xf numFmtId="2" fontId="2" fillId="21" borderId="16" xfId="16" applyNumberFormat="1" applyFont="1" applyFill="1" applyBorder="1" applyAlignment="1">
      <alignment horizontal="center" vertical="center"/>
    </xf>
    <xf numFmtId="2" fontId="2" fillId="21" borderId="105" xfId="16" applyNumberFormat="1" applyFont="1" applyFill="1" applyBorder="1" applyAlignment="1">
      <alignment horizontal="center" vertical="center"/>
    </xf>
    <xf numFmtId="0" fontId="50" fillId="0" borderId="0" xfId="16" applyFont="1" applyFill="1" applyAlignment="1">
      <alignment horizontal="left" vertical="center"/>
    </xf>
    <xf numFmtId="0" fontId="25" fillId="0" borderId="0" xfId="16" applyFont="1" applyFill="1" applyAlignment="1">
      <alignment horizontal="left" vertical="center"/>
    </xf>
    <xf numFmtId="0" fontId="50" fillId="0" borderId="0" xfId="16" applyFont="1" applyFill="1" applyBorder="1" applyAlignment="1">
      <alignment horizontal="left" vertical="center"/>
    </xf>
    <xf numFmtId="3" fontId="81" fillId="0" borderId="0" xfId="16" applyNumberFormat="1" applyFont="1" applyFill="1" applyBorder="1" applyAlignment="1">
      <alignment vertical="center"/>
    </xf>
    <xf numFmtId="0" fontId="25" fillId="0" borderId="0" xfId="16" applyFont="1" applyFill="1" applyAlignment="1">
      <alignment vertical="center"/>
    </xf>
    <xf numFmtId="0" fontId="25" fillId="0" borderId="0" xfId="16" applyFont="1" applyFill="1" applyBorder="1" applyAlignment="1">
      <alignment vertical="center"/>
    </xf>
    <xf numFmtId="3" fontId="34" fillId="0" borderId="0" xfId="16" applyNumberFormat="1" applyFont="1" applyAlignment="1">
      <alignment vertical="center"/>
    </xf>
    <xf numFmtId="0" fontId="36" fillId="0" borderId="0" xfId="16" applyFont="1" applyFill="1" applyAlignment="1">
      <alignment vertical="center"/>
    </xf>
    <xf numFmtId="0" fontId="106" fillId="0" borderId="0" xfId="16" applyFont="1" applyFill="1" applyAlignment="1">
      <alignment vertical="center"/>
    </xf>
    <xf numFmtId="0" fontId="68" fillId="5" borderId="39" xfId="16" applyFont="1" applyFill="1" applyBorder="1" applyAlignment="1">
      <alignment horizontal="center" vertical="center"/>
    </xf>
    <xf numFmtId="0" fontId="68" fillId="5" borderId="65" xfId="16" applyFont="1" applyFill="1" applyBorder="1" applyAlignment="1">
      <alignment horizontal="centerContinuous" vertical="center"/>
    </xf>
    <xf numFmtId="0" fontId="68" fillId="5" borderId="42" xfId="16" applyFont="1" applyFill="1" applyBorder="1" applyAlignment="1">
      <alignment horizontal="centerContinuous" vertical="center"/>
    </xf>
    <xf numFmtId="0" fontId="68" fillId="5" borderId="42" xfId="16" applyFont="1" applyFill="1" applyBorder="1" applyAlignment="1">
      <alignment horizontal="center" vertical="center"/>
    </xf>
    <xf numFmtId="0" fontId="68" fillId="5" borderId="56" xfId="16" applyFont="1" applyFill="1" applyBorder="1" applyAlignment="1">
      <alignment horizontal="center" vertical="center"/>
    </xf>
    <xf numFmtId="0" fontId="68" fillId="5" borderId="44" xfId="16" applyFont="1" applyFill="1" applyBorder="1" applyAlignment="1">
      <alignment horizontal="center" vertical="center"/>
    </xf>
    <xf numFmtId="0" fontId="68" fillId="5" borderId="141" xfId="16" applyFont="1" applyFill="1" applyBorder="1" applyAlignment="1">
      <alignment horizontal="center" vertical="center"/>
    </xf>
    <xf numFmtId="0" fontId="68" fillId="5" borderId="27" xfId="16" applyFont="1" applyFill="1" applyBorder="1" applyAlignment="1">
      <alignment horizontal="center" vertical="center"/>
    </xf>
    <xf numFmtId="0" fontId="68" fillId="5" borderId="20" xfId="16" applyFont="1" applyFill="1" applyBorder="1" applyAlignment="1">
      <alignment horizontal="center" vertical="center"/>
    </xf>
    <xf numFmtId="0" fontId="68" fillId="5" borderId="46" xfId="16" applyFont="1" applyFill="1" applyBorder="1" applyAlignment="1">
      <alignment horizontal="center" vertical="center"/>
    </xf>
    <xf numFmtId="0" fontId="68" fillId="5" borderId="57" xfId="16" applyFont="1" applyFill="1" applyBorder="1" applyAlignment="1">
      <alignment horizontal="center" vertical="center"/>
    </xf>
    <xf numFmtId="0" fontId="68" fillId="10" borderId="154" xfId="16" applyFont="1" applyFill="1" applyBorder="1" applyAlignment="1">
      <alignment horizontal="center" vertical="center"/>
    </xf>
    <xf numFmtId="0" fontId="68" fillId="10" borderId="3" xfId="16" applyFont="1" applyFill="1" applyBorder="1" applyAlignment="1">
      <alignment horizontal="center" vertical="center"/>
    </xf>
    <xf numFmtId="0" fontId="68" fillId="10" borderId="126" xfId="16" applyFont="1" applyFill="1" applyBorder="1" applyAlignment="1">
      <alignment horizontal="center" vertical="center"/>
    </xf>
    <xf numFmtId="0" fontId="68" fillId="5" borderId="103" xfId="16" applyFont="1" applyFill="1" applyBorder="1" applyAlignment="1">
      <alignment horizontal="center" vertical="center"/>
    </xf>
    <xf numFmtId="0" fontId="68" fillId="5" borderId="148" xfId="16" applyFont="1" applyFill="1" applyBorder="1" applyAlignment="1">
      <alignment horizontal="center" vertical="center"/>
    </xf>
    <xf numFmtId="0" fontId="68" fillId="5" borderId="48" xfId="16" applyFont="1" applyFill="1" applyBorder="1" applyAlignment="1">
      <alignment horizontal="center" vertical="center"/>
    </xf>
    <xf numFmtId="174" fontId="37" fillId="5" borderId="44" xfId="16" quotePrefix="1" applyNumberFormat="1" applyFont="1" applyFill="1" applyBorder="1" applyAlignment="1">
      <alignment horizontal="center" vertical="center"/>
    </xf>
    <xf numFmtId="3" fontId="33" fillId="0" borderId="65" xfId="16" applyNumberFormat="1" applyFont="1" applyFill="1" applyBorder="1" applyAlignment="1">
      <alignment horizontal="center" vertical="center"/>
    </xf>
    <xf numFmtId="3" fontId="33" fillId="0" borderId="42" xfId="16" applyNumberFormat="1" applyFont="1" applyFill="1" applyBorder="1" applyAlignment="1">
      <alignment horizontal="center" vertical="center"/>
    </xf>
    <xf numFmtId="3" fontId="33" fillId="0" borderId="20" xfId="16" applyNumberFormat="1" applyFont="1" applyFill="1" applyBorder="1" applyAlignment="1">
      <alignment horizontal="center" vertical="center"/>
    </xf>
    <xf numFmtId="3" fontId="33" fillId="0" borderId="46" xfId="16" applyNumberFormat="1" applyFont="1" applyFill="1" applyBorder="1" applyAlignment="1">
      <alignment horizontal="center" vertical="center"/>
    </xf>
    <xf numFmtId="2" fontId="33" fillId="0" borderId="46" xfId="16" applyNumberFormat="1" applyFont="1" applyFill="1" applyBorder="1" applyAlignment="1">
      <alignment horizontal="center" vertical="center"/>
    </xf>
    <xf numFmtId="2" fontId="33" fillId="0" borderId="56" xfId="16" applyNumberFormat="1" applyFont="1" applyFill="1" applyBorder="1" applyAlignment="1">
      <alignment horizontal="center" vertical="center"/>
    </xf>
    <xf numFmtId="201" fontId="33" fillId="5" borderId="44" xfId="16" applyNumberFormat="1" applyFont="1" applyFill="1" applyBorder="1" applyAlignment="1">
      <alignment horizontal="center" vertical="center"/>
    </xf>
    <xf numFmtId="3" fontId="33" fillId="0" borderId="32" xfId="16" applyNumberFormat="1" applyFont="1" applyFill="1" applyBorder="1" applyAlignment="1">
      <alignment horizontal="center" vertical="center"/>
    </xf>
    <xf numFmtId="4" fontId="33" fillId="0" borderId="46" xfId="16" applyNumberFormat="1" applyFont="1" applyFill="1" applyBorder="1" applyAlignment="1">
      <alignment horizontal="center" vertical="center"/>
    </xf>
    <xf numFmtId="2" fontId="33" fillId="0" borderId="57" xfId="16" applyNumberFormat="1" applyFont="1" applyFill="1" applyBorder="1" applyAlignment="1">
      <alignment horizontal="center" vertical="center"/>
    </xf>
    <xf numFmtId="2" fontId="35" fillId="0" borderId="0" xfId="16" applyNumberFormat="1" applyAlignment="1">
      <alignment vertical="center"/>
    </xf>
    <xf numFmtId="4" fontId="35" fillId="0" borderId="0" xfId="16" applyNumberFormat="1"/>
    <xf numFmtId="4" fontId="35" fillId="0" borderId="0" xfId="16" applyNumberFormat="1" applyAlignment="1">
      <alignment horizontal="center" vertical="center"/>
    </xf>
    <xf numFmtId="4" fontId="35" fillId="0" borderId="0" xfId="16" applyNumberFormat="1" applyAlignment="1">
      <alignment vertical="center"/>
    </xf>
    <xf numFmtId="2" fontId="17" fillId="0" borderId="0" xfId="16" applyNumberFormat="1" applyFont="1" applyAlignment="1">
      <alignment vertical="center"/>
    </xf>
    <xf numFmtId="16" fontId="49" fillId="5" borderId="58" xfId="16" applyNumberFormat="1" applyFont="1" applyFill="1" applyBorder="1" applyAlignment="1">
      <alignment horizontal="center" vertical="center"/>
    </xf>
    <xf numFmtId="3" fontId="33" fillId="0" borderId="157" xfId="16" applyNumberFormat="1" applyFont="1" applyFill="1" applyBorder="1" applyAlignment="1">
      <alignment horizontal="center" vertical="center"/>
    </xf>
    <xf numFmtId="3" fontId="33" fillId="0" borderId="61" xfId="16" applyNumberFormat="1" applyFont="1" applyFill="1" applyBorder="1" applyAlignment="1">
      <alignment horizontal="center" vertical="center"/>
    </xf>
    <xf numFmtId="3" fontId="33" fillId="0" borderId="21" xfId="16" applyNumberFormat="1" applyFont="1" applyFill="1" applyBorder="1" applyAlignment="1">
      <alignment horizontal="center" vertical="center"/>
    </xf>
    <xf numFmtId="4" fontId="33" fillId="0" borderId="61" xfId="16" applyNumberFormat="1" applyFont="1" applyFill="1" applyBorder="1" applyAlignment="1">
      <alignment horizontal="center" vertical="center"/>
    </xf>
    <xf numFmtId="2" fontId="33" fillId="0" borderId="63" xfId="16" applyNumberFormat="1" applyFont="1" applyBorder="1" applyAlignment="1">
      <alignment horizontal="center" vertical="center"/>
    </xf>
    <xf numFmtId="4" fontId="34" fillId="0" borderId="0" xfId="16" applyNumberFormat="1" applyFont="1" applyAlignment="1">
      <alignment vertical="center"/>
    </xf>
    <xf numFmtId="17" fontId="76" fillId="5" borderId="44" xfId="16" applyNumberFormat="1" applyFont="1" applyFill="1" applyBorder="1" applyAlignment="1">
      <alignment horizontal="center" vertical="center"/>
    </xf>
    <xf numFmtId="3" fontId="49" fillId="0" borderId="66" xfId="16" applyNumberFormat="1" applyFont="1" applyFill="1" applyBorder="1" applyAlignment="1">
      <alignment horizontal="center" vertical="center"/>
    </xf>
    <xf numFmtId="3" fontId="49" fillId="0" borderId="46" xfId="16" applyNumberFormat="1" applyFont="1" applyFill="1" applyBorder="1" applyAlignment="1">
      <alignment horizontal="center" vertical="center"/>
    </xf>
    <xf numFmtId="3" fontId="49" fillId="0" borderId="20" xfId="16" applyNumberFormat="1" applyFont="1" applyFill="1" applyBorder="1" applyAlignment="1">
      <alignment horizontal="center" vertical="center"/>
    </xf>
    <xf numFmtId="2" fontId="49" fillId="0" borderId="46" xfId="16" applyNumberFormat="1" applyFont="1" applyFill="1" applyBorder="1" applyAlignment="1">
      <alignment horizontal="center" vertical="center"/>
    </xf>
    <xf numFmtId="2" fontId="49" fillId="0" borderId="57" xfId="16" applyNumberFormat="1" applyFont="1" applyFill="1" applyBorder="1" applyAlignment="1">
      <alignment horizontal="center" vertical="center"/>
    </xf>
    <xf numFmtId="197" fontId="49" fillId="0" borderId="0" xfId="16" applyNumberFormat="1" applyFont="1" applyFill="1" applyAlignment="1">
      <alignment vertical="center"/>
    </xf>
    <xf numFmtId="17" fontId="76" fillId="5" borderId="44" xfId="16" quotePrefix="1" applyNumberFormat="1" applyFont="1" applyFill="1" applyBorder="1" applyAlignment="1">
      <alignment horizontal="center" vertical="center"/>
    </xf>
    <xf numFmtId="17" fontId="76" fillId="5" borderId="158" xfId="16" quotePrefix="1" applyNumberFormat="1" applyFont="1" applyFill="1" applyBorder="1" applyAlignment="1">
      <alignment horizontal="center" vertical="center"/>
    </xf>
    <xf numFmtId="2" fontId="49" fillId="0" borderId="33" xfId="16" applyNumberFormat="1" applyFont="1" applyFill="1" applyBorder="1" applyAlignment="1">
      <alignment horizontal="center" vertical="center"/>
    </xf>
    <xf numFmtId="17" fontId="37" fillId="5" borderId="44" xfId="16" quotePrefix="1" applyNumberFormat="1" applyFont="1" applyFill="1" applyBorder="1" applyAlignment="1">
      <alignment horizontal="center" vertical="center"/>
    </xf>
    <xf numFmtId="3" fontId="33" fillId="0" borderId="66" xfId="16" applyNumberFormat="1" applyFont="1" applyFill="1" applyBorder="1" applyAlignment="1">
      <alignment horizontal="center" vertical="center"/>
    </xf>
    <xf numFmtId="197" fontId="33" fillId="0" borderId="0" xfId="16" applyNumberFormat="1" applyFont="1" applyFill="1" applyAlignment="1">
      <alignment vertical="center"/>
    </xf>
    <xf numFmtId="2" fontId="33" fillId="0" borderId="159" xfId="16" applyNumberFormat="1" applyFont="1" applyFill="1" applyBorder="1" applyAlignment="1">
      <alignment horizontal="center" vertical="center"/>
    </xf>
    <xf numFmtId="17" fontId="17" fillId="0" borderId="0" xfId="16" applyNumberFormat="1" applyFont="1" applyAlignment="1">
      <alignment vertical="center"/>
    </xf>
    <xf numFmtId="0" fontId="33" fillId="0" borderId="66" xfId="16" applyFont="1" applyFill="1" applyBorder="1" applyAlignment="1">
      <alignment horizontal="center" vertical="center"/>
    </xf>
    <xf numFmtId="0" fontId="33" fillId="0" borderId="46" xfId="16" applyFont="1" applyFill="1" applyBorder="1" applyAlignment="1">
      <alignment horizontal="center" vertical="center"/>
    </xf>
    <xf numFmtId="0" fontId="33" fillId="0" borderId="57" xfId="16" applyFont="1" applyFill="1" applyBorder="1" applyAlignment="1">
      <alignment horizontal="center" vertical="center"/>
    </xf>
    <xf numFmtId="15" fontId="35" fillId="0" borderId="0" xfId="16" applyNumberFormat="1" applyAlignment="1">
      <alignment vertical="center"/>
    </xf>
    <xf numFmtId="202" fontId="76" fillId="5" borderId="48" xfId="16" applyNumberFormat="1" applyFont="1" applyFill="1" applyBorder="1" applyAlignment="1">
      <alignment horizontal="left" vertical="center"/>
    </xf>
    <xf numFmtId="3" fontId="49" fillId="0" borderId="67" xfId="16" applyNumberFormat="1" applyFont="1" applyFill="1" applyBorder="1" applyAlignment="1">
      <alignment horizontal="right" vertical="center"/>
    </xf>
    <xf numFmtId="3" fontId="49" fillId="0" borderId="53" xfId="16" applyNumberFormat="1" applyFont="1" applyFill="1" applyBorder="1" applyAlignment="1">
      <alignment horizontal="right" vertical="center"/>
    </xf>
    <xf numFmtId="3" fontId="49" fillId="0" borderId="51" xfId="16" applyNumberFormat="1" applyFont="1" applyFill="1" applyBorder="1" applyAlignment="1">
      <alignment horizontal="right" vertical="center"/>
    </xf>
    <xf numFmtId="0" fontId="49" fillId="0" borderId="53" xfId="16" applyFont="1" applyFill="1" applyBorder="1" applyAlignment="1">
      <alignment horizontal="right" vertical="center"/>
    </xf>
    <xf numFmtId="2" fontId="49" fillId="0" borderId="53" xfId="16" applyNumberFormat="1" applyFont="1" applyFill="1" applyBorder="1" applyAlignment="1">
      <alignment horizontal="right" vertical="center"/>
    </xf>
    <xf numFmtId="2" fontId="49" fillId="0" borderId="64" xfId="16" applyNumberFormat="1" applyFont="1" applyFill="1" applyBorder="1" applyAlignment="1">
      <alignment horizontal="right" vertical="center"/>
    </xf>
    <xf numFmtId="0" fontId="112" fillId="0" borderId="0" xfId="16" applyFont="1" applyFill="1" applyAlignment="1">
      <alignment vertical="center"/>
    </xf>
    <xf numFmtId="0" fontId="112" fillId="0" borderId="0" xfId="16" applyFont="1" applyFill="1" applyBorder="1" applyAlignment="1">
      <alignment vertical="center"/>
    </xf>
    <xf numFmtId="2" fontId="33" fillId="0" borderId="0" xfId="16" applyNumberFormat="1" applyFont="1" applyFill="1" applyBorder="1" applyAlignment="1">
      <alignment horizontal="right" vertical="center"/>
    </xf>
    <xf numFmtId="3" fontId="49" fillId="0" borderId="0" xfId="16" applyNumberFormat="1" applyFont="1" applyFill="1" applyAlignment="1">
      <alignment vertical="center"/>
    </xf>
    <xf numFmtId="2" fontId="24" fillId="0" borderId="0" xfId="16" applyNumberFormat="1" applyFont="1" applyFill="1" applyBorder="1" applyAlignment="1">
      <alignment horizontal="right" vertical="center"/>
    </xf>
    <xf numFmtId="0" fontId="81" fillId="0" borderId="0" xfId="16" applyFont="1" applyAlignment="1">
      <alignment vertical="center"/>
    </xf>
    <xf numFmtId="0" fontId="68" fillId="5" borderId="160" xfId="16" applyFont="1" applyFill="1" applyBorder="1" applyAlignment="1">
      <alignment horizontal="center" vertical="center"/>
    </xf>
    <xf numFmtId="0" fontId="68" fillId="5" borderId="161" xfId="16" applyFont="1" applyFill="1" applyBorder="1" applyAlignment="1">
      <alignment horizontal="centerContinuous" vertical="center"/>
    </xf>
    <xf numFmtId="0" fontId="68" fillId="5" borderId="127" xfId="16" applyFont="1" applyFill="1" applyBorder="1" applyAlignment="1">
      <alignment horizontal="centerContinuous" vertical="center"/>
    </xf>
    <xf numFmtId="0" fontId="68" fillId="5" borderId="127" xfId="16" applyFont="1" applyFill="1" applyBorder="1" applyAlignment="1">
      <alignment horizontal="center" vertical="center"/>
    </xf>
    <xf numFmtId="0" fontId="98" fillId="23" borderId="162" xfId="16" applyFont="1" applyFill="1" applyBorder="1" applyAlignment="1">
      <alignment horizontal="centerContinuous" vertical="center"/>
    </xf>
    <xf numFmtId="0" fontId="68" fillId="23" borderId="16" xfId="16" applyFont="1" applyFill="1" applyBorder="1" applyAlignment="1">
      <alignment horizontal="centerContinuous" vertical="center"/>
    </xf>
    <xf numFmtId="0" fontId="68" fillId="23" borderId="28" xfId="16" applyFont="1" applyFill="1" applyBorder="1" applyAlignment="1">
      <alignment horizontal="centerContinuous" vertical="center"/>
    </xf>
    <xf numFmtId="0" fontId="68" fillId="23" borderId="103" xfId="16" applyFont="1" applyFill="1" applyBorder="1" applyAlignment="1">
      <alignment horizontal="centerContinuous" vertical="center"/>
    </xf>
    <xf numFmtId="201" fontId="33" fillId="5" borderId="58" xfId="16" applyNumberFormat="1" applyFont="1" applyFill="1" applyBorder="1" applyAlignment="1">
      <alignment horizontal="center" vertical="center"/>
    </xf>
    <xf numFmtId="0" fontId="33" fillId="0" borderId="61" xfId="16" applyFont="1" applyFill="1" applyBorder="1" applyAlignment="1">
      <alignment horizontal="center" vertical="center"/>
    </xf>
    <xf numFmtId="17" fontId="76" fillId="5" borderId="163" xfId="16" applyNumberFormat="1" applyFont="1" applyFill="1" applyBorder="1" applyAlignment="1">
      <alignment horizontal="center" vertical="center"/>
    </xf>
    <xf numFmtId="3" fontId="49" fillId="0" borderId="164" xfId="16" applyNumberFormat="1" applyFont="1" applyFill="1" applyBorder="1" applyAlignment="1">
      <alignment horizontal="center" vertical="center"/>
    </xf>
    <xf numFmtId="3" fontId="49" fillId="0" borderId="165" xfId="16" applyNumberFormat="1" applyFont="1" applyFill="1" applyBorder="1" applyAlignment="1">
      <alignment horizontal="center" vertical="center"/>
    </xf>
    <xf numFmtId="17" fontId="76" fillId="5" borderId="163" xfId="16" quotePrefix="1" applyNumberFormat="1" applyFont="1" applyFill="1" applyBorder="1" applyAlignment="1">
      <alignment horizontal="center" vertical="center"/>
    </xf>
    <xf numFmtId="17" fontId="37" fillId="5" borderId="163" xfId="16" quotePrefix="1" applyNumberFormat="1" applyFont="1" applyFill="1" applyBorder="1" applyAlignment="1">
      <alignment horizontal="center" vertical="center"/>
    </xf>
    <xf numFmtId="3" fontId="33" fillId="0" borderId="164" xfId="16" applyNumberFormat="1" applyFont="1" applyFill="1" applyBorder="1" applyAlignment="1">
      <alignment horizontal="center" vertical="center"/>
    </xf>
    <xf numFmtId="3" fontId="33" fillId="0" borderId="165" xfId="16" applyNumberFormat="1" applyFont="1" applyFill="1" applyBorder="1" applyAlignment="1">
      <alignment horizontal="center" vertical="center"/>
    </xf>
    <xf numFmtId="0" fontId="33" fillId="0" borderId="164" xfId="16" applyFont="1" applyFill="1" applyBorder="1" applyAlignment="1">
      <alignment horizontal="center" vertical="center"/>
    </xf>
    <xf numFmtId="0" fontId="33" fillId="0" borderId="165" xfId="16" applyFont="1" applyFill="1" applyBorder="1" applyAlignment="1">
      <alignment horizontal="center" vertical="center"/>
    </xf>
    <xf numFmtId="1" fontId="33" fillId="0" borderId="46" xfId="16" applyNumberFormat="1" applyFont="1" applyFill="1" applyBorder="1" applyAlignment="1">
      <alignment horizontal="center" vertical="center"/>
    </xf>
    <xf numFmtId="3" fontId="33" fillId="0" borderId="166" xfId="16" applyNumberFormat="1" applyFont="1" applyFill="1" applyBorder="1" applyAlignment="1">
      <alignment horizontal="center" vertical="center"/>
    </xf>
    <xf numFmtId="0" fontId="49" fillId="0" borderId="46" xfId="16" applyFont="1" applyFill="1" applyBorder="1" applyAlignment="1">
      <alignment horizontal="center" vertical="center"/>
    </xf>
    <xf numFmtId="17" fontId="37" fillId="5" borderId="163" xfId="16" applyNumberFormat="1" applyFont="1" applyFill="1" applyBorder="1" applyAlignment="1">
      <alignment horizontal="center" vertical="center"/>
    </xf>
    <xf numFmtId="17" fontId="37" fillId="5" borderId="167" xfId="16" applyNumberFormat="1" applyFont="1" applyFill="1" applyBorder="1" applyAlignment="1">
      <alignment horizontal="center" vertical="center"/>
    </xf>
    <xf numFmtId="3" fontId="49" fillId="0" borderId="168" xfId="16" applyNumberFormat="1" applyFont="1" applyFill="1" applyBorder="1" applyAlignment="1">
      <alignment horizontal="center" vertical="center"/>
    </xf>
    <xf numFmtId="3" fontId="49" fillId="0" borderId="159" xfId="16" applyNumberFormat="1" applyFont="1" applyFill="1" applyBorder="1" applyAlignment="1">
      <alignment horizontal="center" vertical="center"/>
    </xf>
    <xf numFmtId="17" fontId="37" fillId="5" borderId="44" xfId="16" applyNumberFormat="1" applyFont="1" applyFill="1" applyBorder="1" applyAlignment="1">
      <alignment horizontal="center" vertical="center"/>
    </xf>
    <xf numFmtId="2" fontId="33" fillId="0" borderId="5" xfId="16" applyNumberFormat="1" applyFont="1" applyFill="1" applyBorder="1" applyAlignment="1">
      <alignment horizontal="center" vertical="center"/>
    </xf>
    <xf numFmtId="2" fontId="33" fillId="0" borderId="0" xfId="16" applyNumberFormat="1" applyFont="1" applyFill="1" applyBorder="1" applyAlignment="1">
      <alignment horizontal="center" vertical="center"/>
    </xf>
    <xf numFmtId="17" fontId="37" fillId="5" borderId="142" xfId="16" applyNumberFormat="1" applyFont="1" applyFill="1" applyBorder="1" applyAlignment="1">
      <alignment horizontal="center" vertical="center"/>
    </xf>
    <xf numFmtId="0" fontId="33" fillId="0" borderId="147" xfId="16" applyFont="1" applyFill="1" applyBorder="1" applyAlignment="1">
      <alignment vertical="center"/>
    </xf>
    <xf numFmtId="3" fontId="49" fillId="0" borderId="103" xfId="16" applyNumberFormat="1" applyFont="1" applyFill="1" applyBorder="1" applyAlignment="1">
      <alignment horizontal="right" vertical="center"/>
    </xf>
    <xf numFmtId="3" fontId="49" fillId="0" borderId="28" xfId="16" applyNumberFormat="1" applyFont="1" applyFill="1" applyBorder="1" applyAlignment="1">
      <alignment horizontal="right" vertical="center"/>
    </xf>
    <xf numFmtId="0" fontId="49" fillId="0" borderId="103" xfId="16" applyFont="1" applyFill="1" applyBorder="1" applyAlignment="1">
      <alignment horizontal="right" vertical="center"/>
    </xf>
    <xf numFmtId="2" fontId="49" fillId="0" borderId="103" xfId="16" applyNumberFormat="1" applyFont="1" applyFill="1" applyBorder="1" applyAlignment="1">
      <alignment horizontal="right" vertical="center"/>
    </xf>
    <xf numFmtId="0" fontId="40" fillId="2" borderId="0" xfId="38" applyFont="1" applyFill="1"/>
    <xf numFmtId="0" fontId="2" fillId="2" borderId="0" xfId="38" applyFont="1" applyFill="1"/>
    <xf numFmtId="38" fontId="2" fillId="2" borderId="0" xfId="38" applyNumberFormat="1" applyFont="1" applyFill="1"/>
    <xf numFmtId="0" fontId="17" fillId="2" borderId="0" xfId="38" applyFont="1" applyFill="1"/>
    <xf numFmtId="0" fontId="17" fillId="24" borderId="39" xfId="38" applyFont="1" applyFill="1" applyBorder="1" applyAlignment="1">
      <alignment horizontal="center"/>
    </xf>
    <xf numFmtId="0" fontId="17" fillId="24" borderId="41" xfId="38" applyFont="1" applyFill="1" applyBorder="1" applyAlignment="1">
      <alignment horizontal="center"/>
    </xf>
    <xf numFmtId="0" fontId="17" fillId="24" borderId="42" xfId="38" applyFont="1" applyFill="1" applyBorder="1" applyAlignment="1">
      <alignment horizontal="center"/>
    </xf>
    <xf numFmtId="0" fontId="17" fillId="24" borderId="56" xfId="38" applyFont="1" applyFill="1" applyBorder="1" applyAlignment="1">
      <alignment horizontal="center"/>
    </xf>
    <xf numFmtId="0" fontId="17" fillId="24" borderId="44" xfId="38" applyFont="1" applyFill="1" applyBorder="1" applyAlignment="1">
      <alignment horizontal="center"/>
    </xf>
    <xf numFmtId="0" fontId="17" fillId="24" borderId="20" xfId="38" applyFont="1" applyFill="1" applyBorder="1" applyAlignment="1">
      <alignment horizontal="center"/>
    </xf>
    <xf numFmtId="0" fontId="17" fillId="24" borderId="46" xfId="38" applyFont="1" applyFill="1" applyBorder="1" applyAlignment="1">
      <alignment horizontal="center"/>
    </xf>
    <xf numFmtId="0" fontId="17" fillId="24" borderId="57" xfId="38" applyFont="1" applyFill="1" applyBorder="1" applyAlignment="1">
      <alignment horizontal="center"/>
    </xf>
    <xf numFmtId="0" fontId="2" fillId="24" borderId="44" xfId="38" applyFont="1" applyFill="1" applyBorder="1" applyAlignment="1">
      <alignment horizontal="center"/>
    </xf>
    <xf numFmtId="203" fontId="17" fillId="24" borderId="46" xfId="38" applyNumberFormat="1" applyFont="1" applyFill="1" applyBorder="1" applyAlignment="1">
      <alignment horizontal="center"/>
    </xf>
    <xf numFmtId="203" fontId="17" fillId="24" borderId="57" xfId="38" applyNumberFormat="1" applyFont="1" applyFill="1" applyBorder="1" applyAlignment="1">
      <alignment horizontal="center"/>
    </xf>
    <xf numFmtId="0" fontId="2" fillId="24" borderId="48" xfId="38" applyFont="1" applyFill="1" applyBorder="1" applyAlignment="1">
      <alignment horizontal="center"/>
    </xf>
    <xf numFmtId="0" fontId="2" fillId="24" borderId="138" xfId="38" applyFont="1" applyFill="1" applyBorder="1" applyAlignment="1">
      <alignment horizontal="centerContinuous"/>
    </xf>
    <xf numFmtId="0" fontId="2" fillId="24" borderId="169" xfId="38" applyFont="1" applyFill="1" applyBorder="1" applyAlignment="1">
      <alignment horizontal="centerContinuous"/>
    </xf>
    <xf numFmtId="0" fontId="2" fillId="24" borderId="170" xfId="38" applyFont="1" applyFill="1" applyBorder="1" applyAlignment="1">
      <alignment horizontal="center"/>
    </xf>
    <xf numFmtId="0" fontId="2" fillId="2" borderId="20" xfId="38" applyFont="1" applyFill="1" applyBorder="1" applyAlignment="1">
      <alignment horizontal="centerContinuous"/>
    </xf>
    <xf numFmtId="0" fontId="2" fillId="2" borderId="46" xfId="38" applyFont="1" applyFill="1" applyBorder="1" applyAlignment="1">
      <alignment horizontal="centerContinuous"/>
    </xf>
    <xf numFmtId="0" fontId="2" fillId="2" borderId="57" xfId="38" applyFont="1" applyFill="1" applyBorder="1" applyAlignment="1">
      <alignment horizontal="center"/>
    </xf>
    <xf numFmtId="15" fontId="17" fillId="24" borderId="44" xfId="38" applyNumberFormat="1" applyFont="1" applyFill="1" applyBorder="1" applyAlignment="1">
      <alignment horizontal="left"/>
    </xf>
    <xf numFmtId="38" fontId="2" fillId="2" borderId="66" xfId="39" applyNumberFormat="1" applyFont="1" applyFill="1" applyBorder="1" applyAlignment="1">
      <alignment horizontal="right"/>
    </xf>
    <xf numFmtId="38" fontId="2" fillId="2" borderId="46" xfId="39" applyNumberFormat="1" applyFont="1" applyFill="1" applyBorder="1" applyAlignment="1">
      <alignment horizontal="right"/>
    </xf>
    <xf numFmtId="2" fontId="17" fillId="2" borderId="57" xfId="22" applyNumberFormat="1" applyFont="1" applyFill="1" applyBorder="1" applyAlignment="1">
      <alignment horizontal="right"/>
    </xf>
    <xf numFmtId="38" fontId="17" fillId="2" borderId="0" xfId="38" applyNumberFormat="1" applyFont="1" applyFill="1" applyBorder="1" applyAlignment="1">
      <alignment horizontal="right"/>
    </xf>
    <xf numFmtId="2" fontId="2" fillId="2" borderId="0" xfId="38" applyNumberFormat="1" applyFont="1" applyFill="1"/>
    <xf numFmtId="15" fontId="17" fillId="24" borderId="48" xfId="38" applyNumberFormat="1" applyFont="1" applyFill="1" applyBorder="1" applyAlignment="1">
      <alignment horizontal="left"/>
    </xf>
    <xf numFmtId="38" fontId="2" fillId="2" borderId="51" xfId="39" applyNumberFormat="1" applyFont="1" applyFill="1" applyBorder="1" applyAlignment="1">
      <alignment horizontal="right"/>
    </xf>
    <xf numFmtId="38" fontId="2" fillId="2" borderId="53" xfId="39" applyNumberFormat="1" applyFont="1" applyFill="1" applyBorder="1" applyAlignment="1">
      <alignment horizontal="right"/>
    </xf>
    <xf numFmtId="2" fontId="17" fillId="2" borderId="64" xfId="22" applyNumberFormat="1" applyFont="1" applyFill="1" applyBorder="1" applyAlignment="1">
      <alignment horizontal="right"/>
    </xf>
    <xf numFmtId="0" fontId="50" fillId="2" borderId="30" xfId="38" applyFont="1" applyFill="1" applyBorder="1"/>
    <xf numFmtId="0" fontId="2" fillId="2" borderId="30" xfId="38" applyFont="1" applyFill="1" applyBorder="1"/>
    <xf numFmtId="3" fontId="2" fillId="2" borderId="30" xfId="38" applyNumberFormat="1" applyFont="1" applyFill="1" applyBorder="1" applyAlignment="1">
      <alignment horizontal="right"/>
    </xf>
    <xf numFmtId="170" fontId="17" fillId="2" borderId="30" xfId="38" applyNumberFormat="1" applyFont="1" applyFill="1" applyBorder="1" applyAlignment="1">
      <alignment horizontal="right"/>
    </xf>
    <xf numFmtId="0" fontId="25" fillId="2" borderId="0" xfId="38" applyFont="1" applyFill="1"/>
    <xf numFmtId="0" fontId="34" fillId="2" borderId="0" xfId="38" applyFont="1" applyFill="1"/>
    <xf numFmtId="0" fontId="36" fillId="2" borderId="0" xfId="38" applyFont="1" applyFill="1"/>
    <xf numFmtId="0" fontId="17" fillId="11" borderId="39" xfId="38" applyFont="1" applyFill="1" applyBorder="1" applyAlignment="1">
      <alignment horizontal="center"/>
    </xf>
    <xf numFmtId="0" fontId="17" fillId="11" borderId="41" xfId="38" applyFont="1" applyFill="1" applyBorder="1" applyAlignment="1">
      <alignment horizontal="center"/>
    </xf>
    <xf numFmtId="0" fontId="17" fillId="11" borderId="42" xfId="38" applyFont="1" applyFill="1" applyBorder="1" applyAlignment="1">
      <alignment horizontal="center"/>
    </xf>
    <xf numFmtId="0" fontId="17" fillId="11" borderId="56" xfId="38" applyFont="1" applyFill="1" applyBorder="1" applyAlignment="1">
      <alignment horizontal="center"/>
    </xf>
    <xf numFmtId="0" fontId="17" fillId="11" borderId="44" xfId="38" applyFont="1" applyFill="1" applyBorder="1" applyAlignment="1">
      <alignment horizontal="center"/>
    </xf>
    <xf numFmtId="0" fontId="17" fillId="11" borderId="20" xfId="38" applyFont="1" applyFill="1" applyBorder="1" applyAlignment="1">
      <alignment horizontal="center"/>
    </xf>
    <xf numFmtId="0" fontId="17" fillId="11" borderId="46" xfId="38" applyFont="1" applyFill="1" applyBorder="1" applyAlignment="1">
      <alignment horizontal="center"/>
    </xf>
    <xf numFmtId="0" fontId="17" fillId="11" borderId="57" xfId="38" applyFont="1" applyFill="1" applyBorder="1" applyAlignment="1">
      <alignment horizontal="center"/>
    </xf>
    <xf numFmtId="0" fontId="2" fillId="11" borderId="44" xfId="38" applyFont="1" applyFill="1" applyBorder="1" applyAlignment="1">
      <alignment horizontal="center"/>
    </xf>
    <xf numFmtId="203" fontId="17" fillId="11" borderId="46" xfId="38" applyNumberFormat="1" applyFont="1" applyFill="1" applyBorder="1" applyAlignment="1">
      <alignment horizontal="center"/>
    </xf>
    <xf numFmtId="203" fontId="17" fillId="11" borderId="57" xfId="38" applyNumberFormat="1" applyFont="1" applyFill="1" applyBorder="1" applyAlignment="1">
      <alignment horizontal="center"/>
    </xf>
    <xf numFmtId="0" fontId="2" fillId="11" borderId="48" xfId="38" applyFont="1" applyFill="1" applyBorder="1" applyAlignment="1">
      <alignment horizontal="center"/>
    </xf>
    <xf numFmtId="0" fontId="2" fillId="11" borderId="138" xfId="38" applyFont="1" applyFill="1" applyBorder="1" applyAlignment="1">
      <alignment horizontal="centerContinuous"/>
    </xf>
    <xf numFmtId="0" fontId="2" fillId="11" borderId="169" xfId="38" applyFont="1" applyFill="1" applyBorder="1" applyAlignment="1">
      <alignment horizontal="centerContinuous"/>
    </xf>
    <xf numFmtId="0" fontId="2" fillId="11" borderId="170" xfId="38" applyFont="1" applyFill="1" applyBorder="1" applyAlignment="1">
      <alignment horizontal="center"/>
    </xf>
    <xf numFmtId="38" fontId="2" fillId="2" borderId="32" xfId="39" applyNumberFormat="1" applyFont="1" applyFill="1" applyBorder="1" applyAlignment="1">
      <alignment horizontal="right"/>
    </xf>
    <xf numFmtId="2" fontId="17" fillId="2" borderId="33" xfId="22" applyNumberFormat="1" applyFont="1" applyFill="1" applyBorder="1" applyAlignment="1">
      <alignment horizontal="right"/>
    </xf>
    <xf numFmtId="15" fontId="17" fillId="24" borderId="44" xfId="38" applyNumberFormat="1" applyFont="1" applyFill="1" applyBorder="1" applyAlignment="1">
      <alignment horizontal="left" vertical="center"/>
    </xf>
    <xf numFmtId="38" fontId="2" fillId="2" borderId="66" xfId="39" applyNumberFormat="1" applyFont="1" applyFill="1" applyBorder="1" applyAlignment="1">
      <alignment horizontal="right" vertical="center"/>
    </xf>
    <xf numFmtId="38" fontId="2" fillId="2" borderId="46" xfId="39" applyNumberFormat="1" applyFont="1" applyFill="1" applyBorder="1" applyAlignment="1">
      <alignment horizontal="right" vertical="center"/>
    </xf>
    <xf numFmtId="2" fontId="17" fillId="2" borderId="57" xfId="22" applyNumberFormat="1" applyFont="1" applyFill="1" applyBorder="1" applyAlignment="1">
      <alignment horizontal="right" vertical="center"/>
    </xf>
    <xf numFmtId="2" fontId="2" fillId="2" borderId="0" xfId="38" applyNumberFormat="1" applyFont="1" applyFill="1" applyAlignment="1">
      <alignment vertical="center"/>
    </xf>
    <xf numFmtId="38" fontId="2" fillId="2" borderId="0" xfId="38" applyNumberFormat="1" applyFont="1" applyFill="1" applyAlignment="1">
      <alignment vertical="center"/>
    </xf>
    <xf numFmtId="0" fontId="2" fillId="2" borderId="0" xfId="38" applyFont="1" applyFill="1" applyAlignment="1">
      <alignment vertical="center"/>
    </xf>
    <xf numFmtId="38" fontId="2" fillId="2" borderId="32" xfId="39" applyNumberFormat="1" applyFont="1" applyFill="1" applyBorder="1" applyAlignment="1">
      <alignment horizontal="right" vertical="center"/>
    </xf>
    <xf numFmtId="2" fontId="17" fillId="2" borderId="33" xfId="22" applyNumberFormat="1" applyFont="1" applyFill="1" applyBorder="1" applyAlignment="1">
      <alignment horizontal="right" vertical="center"/>
    </xf>
    <xf numFmtId="194" fontId="17" fillId="24" borderId="44" xfId="38" applyNumberFormat="1" applyFont="1" applyFill="1" applyBorder="1" applyAlignment="1">
      <alignment horizontal="left" vertical="center"/>
    </xf>
    <xf numFmtId="15" fontId="17" fillId="24" borderId="44" xfId="38" applyNumberFormat="1" applyFont="1" applyFill="1" applyBorder="1" applyAlignment="1">
      <alignment horizontal="right" vertical="center"/>
    </xf>
    <xf numFmtId="15" fontId="17" fillId="24" borderId="44" xfId="38" quotePrefix="1" applyNumberFormat="1" applyFont="1" applyFill="1" applyBorder="1" applyAlignment="1">
      <alignment horizontal="right" vertical="center"/>
    </xf>
    <xf numFmtId="15" fontId="17" fillId="11" borderId="44" xfId="38" quotePrefix="1" applyNumberFormat="1" applyFont="1" applyFill="1" applyBorder="1" applyAlignment="1">
      <alignment horizontal="right" vertical="center"/>
    </xf>
    <xf numFmtId="10" fontId="2" fillId="2" borderId="0" xfId="22" applyNumberFormat="1" applyFont="1" applyFill="1"/>
    <xf numFmtId="15" fontId="17" fillId="24" borderId="48" xfId="38" applyNumberFormat="1" applyFont="1" applyFill="1" applyBorder="1" applyAlignment="1">
      <alignment horizontal="right" vertical="center"/>
    </xf>
    <xf numFmtId="38" fontId="2" fillId="2" borderId="36" xfId="39" applyNumberFormat="1" applyFont="1" applyFill="1" applyBorder="1" applyAlignment="1">
      <alignment horizontal="right" vertical="center"/>
    </xf>
    <xf numFmtId="38" fontId="2" fillId="2" borderId="53" xfId="39" applyNumberFormat="1" applyFont="1" applyFill="1" applyBorder="1" applyAlignment="1">
      <alignment horizontal="right" vertical="center"/>
    </xf>
    <xf numFmtId="2" fontId="17" fillId="2" borderId="38" xfId="22" applyNumberFormat="1" applyFont="1" applyFill="1" applyBorder="1" applyAlignment="1">
      <alignment horizontal="right" vertical="center"/>
    </xf>
    <xf numFmtId="0" fontId="102" fillId="2" borderId="0" xfId="38" applyFont="1" applyFill="1" applyAlignment="1">
      <alignment vertical="center"/>
    </xf>
    <xf numFmtId="38" fontId="102" fillId="2" borderId="0" xfId="38" applyNumberFormat="1" applyFont="1" applyFill="1"/>
    <xf numFmtId="0" fontId="102" fillId="2" borderId="0" xfId="38" applyFont="1" applyFill="1"/>
    <xf numFmtId="38" fontId="102" fillId="2" borderId="0" xfId="38" applyNumberFormat="1" applyFont="1" applyFill="1" applyAlignment="1">
      <alignment vertical="center"/>
    </xf>
    <xf numFmtId="0" fontId="114" fillId="2" borderId="0" xfId="38" applyFont="1" applyFill="1" applyAlignment="1">
      <alignment horizontal="left" vertical="center"/>
    </xf>
    <xf numFmtId="0" fontId="113" fillId="2" borderId="0" xfId="38" applyFont="1" applyFill="1" applyAlignment="1">
      <alignment horizontal="left" vertical="center"/>
    </xf>
    <xf numFmtId="0" fontId="113" fillId="2" borderId="0" xfId="38" applyFont="1" applyFill="1" applyAlignment="1">
      <alignment vertical="center"/>
    </xf>
    <xf numFmtId="38" fontId="113" fillId="2" borderId="0" xfId="38" applyNumberFormat="1" applyFont="1" applyFill="1" applyAlignment="1">
      <alignment vertical="center"/>
    </xf>
    <xf numFmtId="0" fontId="40" fillId="0" borderId="0" xfId="40" applyFont="1" applyFill="1" applyBorder="1" applyAlignment="1" applyProtection="1">
      <alignment horizontal="left" vertical="center"/>
    </xf>
    <xf numFmtId="0" fontId="116" fillId="0" borderId="0" xfId="40" applyFont="1" applyFill="1" applyBorder="1" applyAlignment="1">
      <alignment vertical="center"/>
    </xf>
    <xf numFmtId="0" fontId="116" fillId="0" borderId="0" xfId="40" applyFont="1" applyFill="1" applyBorder="1" applyAlignment="1" applyProtection="1">
      <alignment vertical="center"/>
    </xf>
    <xf numFmtId="4" fontId="116" fillId="0" borderId="0" xfId="40" applyNumberFormat="1" applyFont="1" applyFill="1" applyBorder="1" applyAlignment="1">
      <alignment vertical="center"/>
    </xf>
    <xf numFmtId="0" fontId="116" fillId="0" borderId="0" xfId="38" applyFont="1" applyAlignment="1">
      <alignment vertical="center"/>
    </xf>
    <xf numFmtId="0" fontId="2" fillId="0" borderId="0" xfId="40" applyFont="1" applyFill="1" applyBorder="1" applyAlignment="1">
      <alignment vertical="center"/>
    </xf>
    <xf numFmtId="4" fontId="2" fillId="0" borderId="0" xfId="40" applyNumberFormat="1" applyFont="1" applyFill="1" applyBorder="1" applyAlignment="1">
      <alignment vertical="center"/>
    </xf>
    <xf numFmtId="0" fontId="2" fillId="0" borderId="0" xfId="38" applyFont="1" applyAlignment="1">
      <alignment vertical="center"/>
    </xf>
    <xf numFmtId="0" fontId="2" fillId="25" borderId="39" xfId="40" applyFont="1" applyFill="1" applyBorder="1" applyAlignment="1">
      <alignment vertical="center"/>
    </xf>
    <xf numFmtId="0" fontId="17" fillId="25" borderId="29" xfId="40" applyFont="1" applyFill="1" applyBorder="1" applyAlignment="1">
      <alignment horizontal="center" vertical="center"/>
    </xf>
    <xf numFmtId="0" fontId="17" fillId="25" borderId="42" xfId="40" applyFont="1" applyFill="1" applyBorder="1" applyAlignment="1">
      <alignment horizontal="center" vertical="center"/>
    </xf>
    <xf numFmtId="4" fontId="17" fillId="25" borderId="56" xfId="40" applyNumberFormat="1" applyFont="1" applyFill="1" applyBorder="1" applyAlignment="1">
      <alignment horizontal="centerContinuous" vertical="center"/>
    </xf>
    <xf numFmtId="4" fontId="17" fillId="25" borderId="39" xfId="40" applyNumberFormat="1" applyFont="1" applyFill="1" applyBorder="1" applyAlignment="1">
      <alignment horizontal="centerContinuous" vertical="center"/>
    </xf>
    <xf numFmtId="0" fontId="17" fillId="25" borderId="44" xfId="40" applyFont="1" applyFill="1" applyBorder="1" applyAlignment="1" applyProtection="1">
      <alignment horizontal="centerContinuous" vertical="center"/>
    </xf>
    <xf numFmtId="0" fontId="17" fillId="25" borderId="32" xfId="40" applyFont="1" applyFill="1" applyBorder="1" applyAlignment="1" applyProtection="1">
      <alignment horizontal="center" vertical="center"/>
    </xf>
    <xf numFmtId="0" fontId="17" fillId="25" borderId="46" xfId="40" applyFont="1" applyFill="1" applyBorder="1" applyAlignment="1" applyProtection="1">
      <alignment horizontal="center" vertical="center"/>
    </xf>
    <xf numFmtId="0" fontId="17" fillId="25" borderId="127" xfId="40" applyFont="1" applyFill="1" applyBorder="1" applyAlignment="1" applyProtection="1">
      <alignment horizontal="center" vertical="center"/>
    </xf>
    <xf numFmtId="0" fontId="17" fillId="25" borderId="171" xfId="40" applyFont="1" applyFill="1" applyBorder="1" applyAlignment="1" applyProtection="1">
      <alignment horizontal="center" vertical="center"/>
    </xf>
    <xf numFmtId="0" fontId="2" fillId="25" borderId="48" xfId="40" applyFont="1" applyFill="1" applyBorder="1" applyAlignment="1">
      <alignment vertical="center"/>
    </xf>
    <xf numFmtId="0" fontId="17" fillId="25" borderId="36" xfId="40" applyFont="1" applyFill="1" applyBorder="1" applyAlignment="1" applyProtection="1">
      <alignment horizontal="center" vertical="center"/>
    </xf>
    <xf numFmtId="0" fontId="17" fillId="25" borderId="53" xfId="40" applyFont="1" applyFill="1" applyBorder="1" applyAlignment="1" applyProtection="1">
      <alignment horizontal="center" vertical="center"/>
    </xf>
    <xf numFmtId="0" fontId="17" fillId="25" borderId="38" xfId="40" applyFont="1" applyFill="1" applyBorder="1" applyAlignment="1" applyProtection="1">
      <alignment horizontal="center" vertical="center"/>
    </xf>
    <xf numFmtId="17" fontId="17" fillId="25" borderId="44" xfId="40" applyNumberFormat="1" applyFont="1" applyFill="1" applyBorder="1" applyAlignment="1" applyProtection="1">
      <alignment horizontal="left" vertical="center"/>
    </xf>
    <xf numFmtId="37" fontId="2" fillId="0" borderId="66" xfId="40" applyNumberFormat="1" applyFont="1" applyFill="1" applyBorder="1" applyAlignment="1" applyProtection="1">
      <alignment horizontal="right" vertical="center"/>
    </xf>
    <xf numFmtId="37" fontId="2" fillId="0" borderId="46" xfId="40" applyNumberFormat="1" applyFont="1" applyFill="1" applyBorder="1" applyAlignment="1" applyProtection="1">
      <alignment horizontal="right" vertical="center"/>
    </xf>
    <xf numFmtId="37" fontId="17" fillId="0" borderId="46" xfId="40" applyNumberFormat="1" applyFont="1" applyFill="1" applyBorder="1" applyAlignment="1" applyProtection="1">
      <alignment horizontal="right" vertical="center"/>
    </xf>
    <xf numFmtId="37" fontId="17" fillId="0" borderId="57" xfId="40" applyNumberFormat="1" applyFont="1" applyFill="1" applyBorder="1" applyAlignment="1" applyProtection="1">
      <alignment horizontal="right" vertical="center"/>
    </xf>
    <xf numFmtId="1" fontId="2" fillId="0" borderId="0" xfId="38" applyNumberFormat="1" applyFont="1" applyAlignment="1">
      <alignment vertical="center"/>
    </xf>
    <xf numFmtId="37" fontId="2" fillId="0" borderId="20" xfId="40" applyNumberFormat="1" applyFont="1" applyFill="1" applyBorder="1" applyAlignment="1" applyProtection="1">
      <alignment horizontal="right" vertical="center"/>
    </xf>
    <xf numFmtId="37" fontId="17" fillId="0" borderId="33" xfId="40" applyNumberFormat="1" applyFont="1" applyFill="1" applyBorder="1" applyAlignment="1" applyProtection="1">
      <alignment horizontal="right" vertical="center"/>
    </xf>
    <xf numFmtId="0" fontId="2" fillId="0" borderId="0" xfId="38" applyFont="1" applyBorder="1" applyAlignment="1">
      <alignment vertical="center"/>
    </xf>
    <xf numFmtId="37" fontId="37" fillId="0" borderId="46" xfId="40" applyNumberFormat="1" applyFont="1" applyFill="1" applyBorder="1" applyAlignment="1" applyProtection="1">
      <alignment horizontal="right" vertical="center"/>
    </xf>
    <xf numFmtId="37" fontId="37" fillId="0" borderId="57" xfId="40" applyNumberFormat="1" applyFont="1" applyFill="1" applyBorder="1" applyAlignment="1" applyProtection="1">
      <alignment horizontal="right" vertical="center"/>
    </xf>
    <xf numFmtId="37" fontId="2" fillId="0" borderId="20" xfId="40" applyNumberFormat="1" applyFont="1" applyFill="1" applyBorder="1" applyAlignment="1" applyProtection="1">
      <alignment horizontal="right"/>
    </xf>
    <xf numFmtId="37" fontId="2" fillId="0" borderId="46" xfId="40" applyNumberFormat="1" applyFont="1" applyFill="1" applyBorder="1" applyAlignment="1" applyProtection="1">
      <alignment horizontal="right"/>
    </xf>
    <xf numFmtId="37" fontId="17" fillId="0" borderId="46" xfId="40" applyNumberFormat="1" applyFont="1" applyFill="1" applyBorder="1" applyAlignment="1" applyProtection="1">
      <alignment horizontal="right"/>
    </xf>
    <xf numFmtId="37" fontId="17" fillId="0" borderId="57" xfId="40" applyNumberFormat="1" applyFont="1" applyFill="1" applyBorder="1" applyAlignment="1" applyProtection="1">
      <alignment horizontal="right"/>
    </xf>
    <xf numFmtId="37" fontId="2" fillId="0" borderId="66" xfId="40" applyNumberFormat="1" applyFont="1" applyFill="1" applyBorder="1" applyAlignment="1" applyProtection="1">
      <alignment horizontal="center"/>
    </xf>
    <xf numFmtId="37" fontId="2" fillId="0" borderId="46" xfId="40" applyNumberFormat="1" applyFont="1" applyFill="1" applyBorder="1" applyAlignment="1" applyProtection="1">
      <alignment horizontal="center"/>
    </xf>
    <xf numFmtId="37" fontId="17" fillId="0" borderId="46" xfId="40" applyNumberFormat="1" applyFont="1" applyFill="1" applyBorder="1" applyAlignment="1" applyProtection="1">
      <alignment horizontal="center"/>
    </xf>
    <xf numFmtId="37" fontId="17" fillId="0" borderId="33" xfId="40" applyNumberFormat="1" applyFont="1" applyFill="1" applyBorder="1" applyAlignment="1" applyProtection="1">
      <alignment horizontal="center"/>
    </xf>
    <xf numFmtId="17" fontId="17" fillId="25" borderId="32" xfId="40" applyNumberFormat="1" applyFont="1" applyFill="1" applyBorder="1" applyAlignment="1" applyProtection="1">
      <alignment horizontal="left" vertical="center"/>
    </xf>
    <xf numFmtId="37" fontId="2" fillId="0" borderId="32" xfId="40" applyNumberFormat="1" applyFont="1" applyFill="1" applyBorder="1" applyAlignment="1" applyProtection="1">
      <alignment horizontal="center"/>
    </xf>
    <xf numFmtId="37" fontId="2" fillId="0" borderId="32" xfId="40" applyNumberFormat="1" applyFont="1" applyFill="1" applyBorder="1" applyAlignment="1" applyProtection="1">
      <alignment horizontal="center" vertical="center"/>
    </xf>
    <xf numFmtId="37" fontId="2" fillId="0" borderId="46" xfId="40" applyNumberFormat="1" applyFont="1" applyFill="1" applyBorder="1" applyAlignment="1" applyProtection="1">
      <alignment horizontal="center" vertical="center"/>
    </xf>
    <xf numFmtId="37" fontId="17" fillId="0" borderId="46" xfId="40" applyNumberFormat="1" applyFont="1" applyFill="1" applyBorder="1" applyAlignment="1" applyProtection="1">
      <alignment horizontal="center" vertical="center"/>
    </xf>
    <xf numFmtId="37" fontId="17" fillId="0" borderId="33" xfId="40" applyNumberFormat="1" applyFont="1" applyFill="1" applyBorder="1" applyAlignment="1" applyProtection="1">
      <alignment horizontal="center" vertical="center"/>
    </xf>
    <xf numFmtId="37" fontId="2" fillId="0" borderId="0" xfId="40" applyNumberFormat="1" applyFont="1" applyFill="1" applyBorder="1" applyAlignment="1" applyProtection="1">
      <alignment horizontal="center" vertical="center"/>
    </xf>
    <xf numFmtId="37" fontId="2" fillId="0" borderId="20" xfId="40" applyNumberFormat="1" applyFont="1" applyFill="1" applyBorder="1" applyAlignment="1" applyProtection="1">
      <alignment horizontal="center" vertical="center"/>
    </xf>
    <xf numFmtId="37" fontId="17" fillId="0" borderId="57" xfId="40" applyNumberFormat="1" applyFont="1" applyFill="1" applyBorder="1" applyAlignment="1" applyProtection="1">
      <alignment horizontal="center" vertical="center"/>
    </xf>
    <xf numFmtId="17" fontId="17" fillId="25" borderId="48" xfId="40" applyNumberFormat="1" applyFont="1" applyFill="1" applyBorder="1" applyAlignment="1" applyProtection="1">
      <alignment horizontal="left" vertical="center"/>
    </xf>
    <xf numFmtId="37" fontId="2" fillId="0" borderId="51" xfId="40" applyNumberFormat="1" applyFont="1" applyFill="1" applyBorder="1" applyAlignment="1" applyProtection="1">
      <alignment horizontal="center" vertical="center"/>
    </xf>
    <xf numFmtId="37" fontId="2" fillId="0" borderId="53" xfId="40" applyNumberFormat="1" applyFont="1" applyFill="1" applyBorder="1" applyAlignment="1" applyProtection="1">
      <alignment horizontal="center" vertical="center"/>
    </xf>
    <xf numFmtId="37" fontId="17" fillId="0" borderId="53" xfId="40" applyNumberFormat="1" applyFont="1" applyFill="1" applyBorder="1" applyAlignment="1" applyProtection="1">
      <alignment horizontal="center" vertical="center"/>
    </xf>
    <xf numFmtId="37" fontId="17" fillId="0" borderId="64" xfId="40" applyNumberFormat="1" applyFont="1" applyFill="1" applyBorder="1" applyAlignment="1" applyProtection="1">
      <alignment horizontal="center" vertical="center"/>
    </xf>
    <xf numFmtId="0" fontId="34" fillId="0" borderId="0" xfId="38" applyFont="1" applyFill="1" applyAlignment="1">
      <alignment vertical="center"/>
    </xf>
    <xf numFmtId="0" fontId="34" fillId="0" borderId="0" xfId="38" applyFont="1" applyAlignment="1">
      <alignment vertical="center"/>
    </xf>
    <xf numFmtId="0" fontId="2" fillId="0" borderId="0" xfId="38" applyFont="1" applyFill="1" applyAlignment="1">
      <alignment vertical="center"/>
    </xf>
    <xf numFmtId="37" fontId="2" fillId="0" borderId="0" xfId="38" applyNumberFormat="1" applyFont="1" applyFill="1" applyAlignment="1">
      <alignment vertical="center"/>
    </xf>
    <xf numFmtId="3" fontId="2" fillId="0" borderId="0" xfId="38" applyNumberFormat="1" applyFont="1" applyFill="1" applyAlignment="1">
      <alignment vertical="center"/>
    </xf>
    <xf numFmtId="17" fontId="17" fillId="25" borderId="0" xfId="40" applyNumberFormat="1" applyFont="1" applyFill="1" applyBorder="1" applyAlignment="1" applyProtection="1">
      <alignment horizontal="left" vertical="center"/>
    </xf>
    <xf numFmtId="37" fontId="17" fillId="0" borderId="0" xfId="40" applyNumberFormat="1" applyFont="1" applyFill="1" applyBorder="1" applyAlignment="1" applyProtection="1">
      <alignment horizontal="center" vertical="center"/>
    </xf>
    <xf numFmtId="0" fontId="38" fillId="2" borderId="0" xfId="16" applyFont="1" applyFill="1" applyBorder="1" applyAlignment="1" applyProtection="1">
      <alignment horizontal="left"/>
    </xf>
    <xf numFmtId="0" fontId="95" fillId="2" borderId="0" xfId="16" applyFont="1" applyFill="1" applyBorder="1" applyAlignment="1" applyProtection="1">
      <alignment horizontal="left"/>
    </xf>
    <xf numFmtId="0" fontId="25" fillId="2" borderId="30" xfId="16" applyFont="1" applyFill="1" applyBorder="1" applyAlignment="1" applyProtection="1">
      <alignment horizontal="left"/>
    </xf>
    <xf numFmtId="0" fontId="2" fillId="2" borderId="48" xfId="16" applyFont="1" applyFill="1" applyBorder="1"/>
    <xf numFmtId="0" fontId="35" fillId="2" borderId="38" xfId="16" applyFill="1" applyBorder="1"/>
    <xf numFmtId="0" fontId="2" fillId="2" borderId="53" xfId="16" applyFont="1" applyFill="1" applyBorder="1"/>
    <xf numFmtId="3" fontId="19" fillId="24" borderId="48" xfId="16" applyNumberFormat="1" applyFont="1" applyFill="1" applyBorder="1"/>
    <xf numFmtId="2" fontId="19" fillId="2" borderId="33" xfId="16" applyNumberFormat="1" applyFont="1" applyFill="1" applyBorder="1" applyAlignment="1">
      <alignment horizontal="right"/>
    </xf>
    <xf numFmtId="2" fontId="19" fillId="2" borderId="44" xfId="16" applyNumberFormat="1" applyFont="1" applyFill="1" applyBorder="1" applyAlignment="1">
      <alignment horizontal="right"/>
    </xf>
    <xf numFmtId="2" fontId="19" fillId="2" borderId="46" xfId="16" applyNumberFormat="1" applyFont="1" applyFill="1" applyBorder="1" applyAlignment="1">
      <alignment horizontal="right"/>
    </xf>
    <xf numFmtId="2" fontId="19" fillId="2" borderId="0" xfId="16" applyNumberFormat="1" applyFont="1" applyFill="1" applyBorder="1" applyAlignment="1">
      <alignment horizontal="right"/>
    </xf>
    <xf numFmtId="3" fontId="19" fillId="24" borderId="44" xfId="16" applyNumberFormat="1" applyFont="1" applyFill="1" applyBorder="1"/>
    <xf numFmtId="2" fontId="19" fillId="0" borderId="33" xfId="16" applyNumberFormat="1" applyFont="1" applyFill="1" applyBorder="1" applyAlignment="1">
      <alignment horizontal="right"/>
    </xf>
    <xf numFmtId="0" fontId="48" fillId="2" borderId="33" xfId="16" applyFont="1" applyFill="1" applyBorder="1"/>
    <xf numFmtId="0" fontId="48" fillId="2" borderId="44" xfId="16" applyFont="1" applyFill="1" applyBorder="1"/>
    <xf numFmtId="0" fontId="19" fillId="2" borderId="33" xfId="16" applyFont="1" applyFill="1" applyBorder="1"/>
    <xf numFmtId="0" fontId="19" fillId="2" borderId="46" xfId="16" applyFont="1" applyFill="1" applyBorder="1"/>
    <xf numFmtId="2" fontId="23" fillId="2" borderId="33" xfId="16" applyNumberFormat="1" applyFont="1" applyFill="1" applyBorder="1" applyAlignment="1">
      <alignment horizontal="right"/>
    </xf>
    <xf numFmtId="2" fontId="23" fillId="2" borderId="44" xfId="16" applyNumberFormat="1" applyFont="1" applyFill="1" applyBorder="1" applyAlignment="1">
      <alignment horizontal="right"/>
    </xf>
    <xf numFmtId="2" fontId="23" fillId="2" borderId="46" xfId="16" applyNumberFormat="1" applyFont="1" applyFill="1" applyBorder="1" applyAlignment="1">
      <alignment horizontal="right"/>
    </xf>
    <xf numFmtId="2" fontId="23" fillId="2" borderId="0" xfId="16" applyNumberFormat="1" applyFont="1" applyFill="1" applyBorder="1" applyAlignment="1">
      <alignment horizontal="right"/>
    </xf>
    <xf numFmtId="0" fontId="116" fillId="2" borderId="33" xfId="16" applyFont="1" applyFill="1" applyBorder="1"/>
    <xf numFmtId="0" fontId="116" fillId="2" borderId="44" xfId="16" applyFont="1" applyFill="1" applyBorder="1"/>
    <xf numFmtId="0" fontId="2" fillId="2" borderId="33" xfId="16" applyFont="1" applyFill="1" applyBorder="1"/>
    <xf numFmtId="0" fontId="2" fillId="2" borderId="46" xfId="16" applyFont="1" applyFill="1" applyBorder="1"/>
    <xf numFmtId="180" fontId="19" fillId="2" borderId="33" xfId="16" applyNumberFormat="1" applyFont="1" applyFill="1" applyBorder="1" applyAlignment="1">
      <alignment horizontal="right"/>
    </xf>
    <xf numFmtId="182" fontId="19" fillId="2" borderId="33" xfId="16" applyNumberFormat="1" applyFont="1" applyFill="1" applyBorder="1" applyAlignment="1">
      <alignment horizontal="right"/>
    </xf>
    <xf numFmtId="180" fontId="35" fillId="2" borderId="44" xfId="17" applyNumberFormat="1" applyFont="1" applyFill="1" applyBorder="1" applyAlignment="1">
      <alignment horizontal="left"/>
    </xf>
    <xf numFmtId="172" fontId="35" fillId="2" borderId="44" xfId="17" applyNumberFormat="1" applyFont="1" applyFill="1" applyBorder="1" applyAlignment="1">
      <alignment horizontal="left"/>
    </xf>
    <xf numFmtId="2" fontId="19" fillId="2" borderId="33" xfId="16" applyNumberFormat="1" applyFont="1" applyFill="1" applyBorder="1" applyAlignment="1">
      <alignment horizontal="center"/>
    </xf>
    <xf numFmtId="2" fontId="25" fillId="2" borderId="33" xfId="16" applyNumberFormat="1" applyFont="1" applyFill="1" applyBorder="1" applyAlignment="1">
      <alignment horizontal="right"/>
    </xf>
    <xf numFmtId="2" fontId="25" fillId="2" borderId="44" xfId="16" applyNumberFormat="1" applyFont="1" applyFill="1" applyBorder="1" applyAlignment="1">
      <alignment horizontal="right"/>
    </xf>
    <xf numFmtId="2" fontId="25" fillId="2" borderId="46" xfId="16" applyNumberFormat="1" applyFont="1" applyFill="1" applyBorder="1" applyAlignment="1">
      <alignment horizontal="right"/>
    </xf>
    <xf numFmtId="2" fontId="25" fillId="2" borderId="0" xfId="16" applyNumberFormat="1" applyFont="1" applyFill="1" applyBorder="1" applyAlignment="1">
      <alignment horizontal="right"/>
    </xf>
    <xf numFmtId="3" fontId="25" fillId="24" borderId="44" xfId="16" applyNumberFormat="1" applyFont="1" applyFill="1" applyBorder="1"/>
    <xf numFmtId="0" fontId="19" fillId="2" borderId="44" xfId="16" applyFont="1" applyFill="1" applyBorder="1"/>
    <xf numFmtId="0" fontId="19" fillId="2" borderId="44" xfId="16" applyFont="1" applyFill="1" applyBorder="1" applyAlignment="1">
      <alignment horizontal="left" indent="2"/>
    </xf>
    <xf numFmtId="0" fontId="2" fillId="2" borderId="44" xfId="16" applyFont="1" applyFill="1" applyBorder="1"/>
    <xf numFmtId="0" fontId="35" fillId="2" borderId="44" xfId="16" applyFill="1" applyBorder="1"/>
    <xf numFmtId="0" fontId="35" fillId="2" borderId="33" xfId="16" applyFill="1" applyBorder="1"/>
    <xf numFmtId="0" fontId="35" fillId="2" borderId="46" xfId="16" applyFill="1" applyBorder="1"/>
    <xf numFmtId="3" fontId="23" fillId="24" borderId="44" xfId="16" applyNumberFormat="1" applyFont="1" applyFill="1" applyBorder="1"/>
    <xf numFmtId="0" fontId="23" fillId="2" borderId="44" xfId="16" applyFont="1" applyFill="1" applyBorder="1" applyAlignment="1">
      <alignment horizontal="right"/>
    </xf>
    <xf numFmtId="0" fontId="23" fillId="2" borderId="33" xfId="16" applyFont="1" applyFill="1" applyBorder="1" applyAlignment="1">
      <alignment horizontal="right"/>
    </xf>
    <xf numFmtId="0" fontId="23" fillId="2" borderId="46" xfId="16" applyFont="1" applyFill="1" applyBorder="1" applyAlignment="1">
      <alignment horizontal="right"/>
    </xf>
    <xf numFmtId="0" fontId="23" fillId="2" borderId="0" xfId="16" applyFont="1" applyFill="1" applyBorder="1" applyAlignment="1">
      <alignment horizontal="right"/>
    </xf>
    <xf numFmtId="4" fontId="35" fillId="2" borderId="44" xfId="16" applyNumberFormat="1" applyFill="1" applyBorder="1"/>
    <xf numFmtId="4" fontId="19" fillId="2" borderId="44" xfId="16" applyNumberFormat="1" applyFont="1" applyFill="1" applyBorder="1" applyAlignment="1">
      <alignment horizontal="right"/>
    </xf>
    <xf numFmtId="4" fontId="19" fillId="2" borderId="33" xfId="16" applyNumberFormat="1" applyFont="1" applyFill="1" applyBorder="1" applyAlignment="1">
      <alignment horizontal="right"/>
    </xf>
    <xf numFmtId="4" fontId="19" fillId="2" borderId="46" xfId="16" applyNumberFormat="1" applyFont="1" applyFill="1" applyBorder="1" applyAlignment="1">
      <alignment horizontal="right"/>
    </xf>
    <xf numFmtId="4" fontId="19" fillId="2" borderId="0" xfId="16" applyNumberFormat="1" applyFont="1" applyFill="1" applyBorder="1" applyAlignment="1">
      <alignment horizontal="right"/>
    </xf>
    <xf numFmtId="4" fontId="19" fillId="2" borderId="32" xfId="16" applyNumberFormat="1" applyFont="1" applyFill="1" applyBorder="1" applyAlignment="1">
      <alignment horizontal="right"/>
    </xf>
    <xf numFmtId="3" fontId="17" fillId="24" borderId="44" xfId="16" applyNumberFormat="1" applyFont="1" applyFill="1" applyBorder="1"/>
    <xf numFmtId="0" fontId="35" fillId="2" borderId="39" xfId="16" applyFill="1" applyBorder="1"/>
    <xf numFmtId="0" fontId="35" fillId="2" borderId="31" xfId="16" applyFill="1" applyBorder="1"/>
    <xf numFmtId="0" fontId="116" fillId="2" borderId="39" xfId="16" applyFont="1" applyFill="1" applyBorder="1"/>
    <xf numFmtId="0" fontId="2" fillId="2" borderId="39" xfId="16" applyFont="1" applyFill="1" applyBorder="1"/>
    <xf numFmtId="0" fontId="35" fillId="2" borderId="42" xfId="16" applyFill="1" applyBorder="1"/>
    <xf numFmtId="0" fontId="35" fillId="2" borderId="30" xfId="16" applyFill="1" applyBorder="1"/>
    <xf numFmtId="0" fontId="2" fillId="2" borderId="42" xfId="16" applyFont="1" applyFill="1" applyBorder="1"/>
    <xf numFmtId="17" fontId="23" fillId="11" borderId="74" xfId="16" quotePrefix="1" applyNumberFormat="1" applyFont="1" applyFill="1" applyBorder="1" applyAlignment="1">
      <alignment horizontal="centerContinuous"/>
    </xf>
    <xf numFmtId="17" fontId="23" fillId="11" borderId="69" xfId="16" quotePrefix="1" applyNumberFormat="1" applyFont="1" applyFill="1" applyBorder="1" applyAlignment="1">
      <alignment horizontal="centerContinuous"/>
    </xf>
    <xf numFmtId="17" fontId="23" fillId="11" borderId="74" xfId="16" applyNumberFormat="1" applyFont="1" applyFill="1" applyBorder="1" applyAlignment="1">
      <alignment horizontal="centerContinuous"/>
    </xf>
    <xf numFmtId="17" fontId="23" fillId="11" borderId="72" xfId="16" applyNumberFormat="1" applyFont="1" applyFill="1" applyBorder="1" applyAlignment="1">
      <alignment horizontal="centerContinuous"/>
    </xf>
    <xf numFmtId="17" fontId="23" fillId="11" borderId="73" xfId="16" applyNumberFormat="1" applyFont="1" applyFill="1" applyBorder="1" applyAlignment="1">
      <alignment horizontal="centerContinuous"/>
    </xf>
    <xf numFmtId="3" fontId="23" fillId="11" borderId="39" xfId="16" applyNumberFormat="1" applyFont="1" applyFill="1" applyBorder="1" applyAlignment="1">
      <alignment horizontal="center"/>
    </xf>
    <xf numFmtId="0" fontId="36" fillId="2" borderId="0" xfId="41" applyFont="1" applyFill="1"/>
    <xf numFmtId="0" fontId="33" fillId="2" borderId="0" xfId="41" applyFont="1" applyFill="1"/>
    <xf numFmtId="170" fontId="33" fillId="2" borderId="0" xfId="41" applyNumberFormat="1" applyFont="1" applyFill="1"/>
    <xf numFmtId="0" fontId="118" fillId="2" borderId="0" xfId="41" applyFont="1" applyFill="1" applyBorder="1"/>
    <xf numFmtId="0" fontId="118" fillId="2" borderId="0" xfId="41" applyFont="1" applyFill="1"/>
    <xf numFmtId="0" fontId="38" fillId="2" borderId="0" xfId="41" applyFont="1" applyFill="1" applyBorder="1" applyAlignment="1">
      <alignment horizontal="centerContinuous"/>
    </xf>
    <xf numFmtId="0" fontId="118" fillId="2" borderId="0" xfId="41" applyFont="1" applyFill="1" applyBorder="1" applyAlignment="1">
      <alignment horizontal="centerContinuous"/>
    </xf>
    <xf numFmtId="0" fontId="33" fillId="11" borderId="39" xfId="41" applyFont="1" applyFill="1" applyBorder="1"/>
    <xf numFmtId="0" fontId="37" fillId="11" borderId="65" xfId="41" applyFont="1" applyFill="1" applyBorder="1" applyAlignment="1">
      <alignment horizontal="center"/>
    </xf>
    <xf numFmtId="0" fontId="37" fillId="11" borderId="42" xfId="41" applyFont="1" applyFill="1" applyBorder="1" applyAlignment="1">
      <alignment horizontal="center"/>
    </xf>
    <xf numFmtId="0" fontId="37" fillId="11" borderId="31" xfId="41" applyFont="1" applyFill="1" applyBorder="1" applyAlignment="1">
      <alignment horizontal="center"/>
    </xf>
    <xf numFmtId="0" fontId="33" fillId="11" borderId="44" xfId="41" applyFont="1" applyFill="1" applyBorder="1"/>
    <xf numFmtId="0" fontId="37" fillId="11" borderId="66" xfId="41" applyFont="1" applyFill="1" applyBorder="1" applyAlignment="1">
      <alignment horizontal="center"/>
    </xf>
    <xf numFmtId="0" fontId="37" fillId="11" borderId="46" xfId="41" applyFont="1" applyFill="1" applyBorder="1" applyAlignment="1">
      <alignment horizontal="center"/>
    </xf>
    <xf numFmtId="0" fontId="37" fillId="11" borderId="33" xfId="41" applyFont="1" applyFill="1" applyBorder="1" applyAlignment="1">
      <alignment horizontal="center"/>
    </xf>
    <xf numFmtId="0" fontId="33" fillId="11" borderId="48" xfId="41" applyFont="1" applyFill="1" applyBorder="1"/>
    <xf numFmtId="0" fontId="37" fillId="11" borderId="67" xfId="41" applyFont="1" applyFill="1" applyBorder="1" applyAlignment="1">
      <alignment horizontal="center"/>
    </xf>
    <xf numFmtId="0" fontId="37" fillId="11" borderId="53" xfId="41" applyFont="1" applyFill="1" applyBorder="1" applyAlignment="1">
      <alignment horizontal="center"/>
    </xf>
    <xf numFmtId="0" fontId="37" fillId="11" borderId="38" xfId="41" applyFont="1" applyFill="1" applyBorder="1" applyAlignment="1">
      <alignment horizontal="center"/>
    </xf>
    <xf numFmtId="17" fontId="37" fillId="24" borderId="44" xfId="41" applyNumberFormat="1" applyFont="1" applyFill="1" applyBorder="1" applyAlignment="1">
      <alignment horizontal="left"/>
    </xf>
    <xf numFmtId="2" fontId="33" fillId="2" borderId="20" xfId="41" applyNumberFormat="1" applyFont="1" applyFill="1" applyBorder="1" applyAlignment="1">
      <alignment horizontal="right"/>
    </xf>
    <xf numFmtId="2" fontId="33" fillId="2" borderId="46" xfId="41" applyNumberFormat="1" applyFont="1" applyFill="1" applyBorder="1" applyAlignment="1">
      <alignment horizontal="center"/>
    </xf>
    <xf numFmtId="2" fontId="33" fillId="2" borderId="46" xfId="41" applyNumberFormat="1" applyFont="1" applyFill="1" applyBorder="1" applyAlignment="1">
      <alignment horizontal="right"/>
    </xf>
    <xf numFmtId="0" fontId="33" fillId="2" borderId="46" xfId="41" applyFont="1" applyFill="1" applyBorder="1" applyAlignment="1">
      <alignment horizontal="right"/>
    </xf>
    <xf numFmtId="2" fontId="33" fillId="2" borderId="57" xfId="41" applyNumberFormat="1" applyFont="1" applyFill="1" applyBorder="1" applyAlignment="1">
      <alignment horizontal="right"/>
    </xf>
    <xf numFmtId="2" fontId="118" fillId="2" borderId="0" xfId="41" applyNumberFormat="1" applyFont="1" applyFill="1"/>
    <xf numFmtId="2" fontId="120" fillId="2" borderId="0" xfId="41" applyNumberFormat="1" applyFont="1" applyFill="1"/>
    <xf numFmtId="0" fontId="120" fillId="2" borderId="0" xfId="41" applyFont="1" applyFill="1"/>
    <xf numFmtId="17" fontId="37" fillId="11" borderId="44" xfId="41" applyNumberFormat="1" applyFont="1" applyFill="1" applyBorder="1" applyAlignment="1">
      <alignment horizontal="left"/>
    </xf>
    <xf numFmtId="2" fontId="120" fillId="2" borderId="46" xfId="41" applyNumberFormat="1" applyFont="1" applyFill="1" applyBorder="1" applyAlignment="1">
      <alignment horizontal="center"/>
    </xf>
    <xf numFmtId="2" fontId="33" fillId="2" borderId="46" xfId="41" quotePrefix="1" applyNumberFormat="1" applyFont="1" applyFill="1" applyBorder="1" applyAlignment="1">
      <alignment horizontal="right"/>
    </xf>
    <xf numFmtId="17" fontId="37" fillId="11" borderId="44" xfId="41" quotePrefix="1" applyNumberFormat="1" applyFont="1" applyFill="1" applyBorder="1" applyAlignment="1">
      <alignment horizontal="left"/>
    </xf>
    <xf numFmtId="2" fontId="121" fillId="2" borderId="20" xfId="41" applyNumberFormat="1" applyFont="1" applyFill="1" applyBorder="1" applyAlignment="1">
      <alignment horizontal="right"/>
    </xf>
    <xf numFmtId="197" fontId="118" fillId="2" borderId="0" xfId="41" applyNumberFormat="1" applyFont="1" applyFill="1"/>
    <xf numFmtId="17" fontId="37" fillId="11" borderId="57" xfId="41" quotePrefix="1" applyNumberFormat="1" applyFont="1" applyFill="1" applyBorder="1" applyAlignment="1">
      <alignment horizontal="left"/>
    </xf>
    <xf numFmtId="2" fontId="33" fillId="2" borderId="66" xfId="41" applyNumberFormat="1" applyFont="1" applyFill="1" applyBorder="1" applyAlignment="1">
      <alignment horizontal="right"/>
    </xf>
    <xf numFmtId="0" fontId="33" fillId="2" borderId="0" xfId="41" applyFont="1" applyFill="1" applyBorder="1"/>
    <xf numFmtId="0" fontId="33" fillId="2" borderId="46" xfId="41" applyFont="1" applyFill="1" applyBorder="1"/>
    <xf numFmtId="0" fontId="33" fillId="2" borderId="20" xfId="41" applyFont="1" applyFill="1" applyBorder="1"/>
    <xf numFmtId="17" fontId="37" fillId="11" borderId="148" xfId="41" quotePrefix="1" applyNumberFormat="1" applyFont="1" applyFill="1" applyBorder="1" applyAlignment="1">
      <alignment horizontal="left"/>
    </xf>
    <xf numFmtId="2" fontId="33" fillId="2" borderId="147" xfId="41" applyNumberFormat="1" applyFont="1" applyFill="1" applyBorder="1" applyAlignment="1">
      <alignment horizontal="right"/>
    </xf>
    <xf numFmtId="2" fontId="33" fillId="2" borderId="103" xfId="41" applyNumberFormat="1" applyFont="1" applyFill="1" applyBorder="1" applyAlignment="1">
      <alignment horizontal="center"/>
    </xf>
    <xf numFmtId="2" fontId="33" fillId="2" borderId="103" xfId="41" applyNumberFormat="1" applyFont="1" applyFill="1" applyBorder="1" applyAlignment="1">
      <alignment horizontal="right"/>
    </xf>
    <xf numFmtId="0" fontId="33" fillId="2" borderId="103" xfId="41" applyFont="1" applyFill="1" applyBorder="1" applyAlignment="1">
      <alignment horizontal="right"/>
    </xf>
    <xf numFmtId="0" fontId="33" fillId="2" borderId="103" xfId="41" applyFont="1" applyFill="1" applyBorder="1"/>
    <xf numFmtId="0" fontId="33" fillId="2" borderId="28" xfId="41" applyFont="1" applyFill="1" applyBorder="1"/>
    <xf numFmtId="0" fontId="81" fillId="2" borderId="0" xfId="41" applyFont="1" applyFill="1" applyBorder="1" applyAlignment="1" applyProtection="1">
      <alignment horizontal="left"/>
    </xf>
    <xf numFmtId="0" fontId="81" fillId="2" borderId="0" xfId="41" applyFont="1" applyFill="1" applyBorder="1" applyAlignment="1" applyProtection="1">
      <alignment wrapText="1"/>
    </xf>
    <xf numFmtId="2" fontId="33" fillId="2" borderId="0" xfId="41" applyNumberFormat="1" applyFont="1" applyFill="1"/>
    <xf numFmtId="0" fontId="35" fillId="2" borderId="0" xfId="16" applyFont="1" applyFill="1" applyAlignment="1">
      <alignment vertical="center" readingOrder="1"/>
    </xf>
    <xf numFmtId="0" fontId="21" fillId="2" borderId="0" xfId="16" applyFont="1" applyFill="1" applyAlignment="1">
      <alignment vertical="center" readingOrder="1"/>
    </xf>
    <xf numFmtId="0" fontId="35" fillId="2" borderId="0" xfId="16" applyFill="1" applyAlignment="1">
      <alignment vertical="center" readingOrder="1"/>
    </xf>
    <xf numFmtId="0" fontId="17" fillId="6" borderId="17" xfId="16" applyFont="1" applyFill="1" applyBorder="1" applyAlignment="1">
      <alignment horizontal="center" vertical="center" readingOrder="1"/>
    </xf>
    <xf numFmtId="0" fontId="17" fillId="6" borderId="17" xfId="16" applyFont="1" applyFill="1" applyBorder="1" applyAlignment="1">
      <alignment horizontal="centerContinuous" vertical="center" readingOrder="1"/>
    </xf>
    <xf numFmtId="0" fontId="17" fillId="6" borderId="127" xfId="16" applyFont="1" applyFill="1" applyBorder="1" applyAlignment="1">
      <alignment horizontal="centerContinuous" vertical="center" readingOrder="1"/>
    </xf>
    <xf numFmtId="0" fontId="17" fillId="6" borderId="18" xfId="16" applyFont="1" applyFill="1" applyBorder="1" applyAlignment="1">
      <alignment horizontal="centerContinuous" vertical="center" readingOrder="1"/>
    </xf>
    <xf numFmtId="0" fontId="17" fillId="6" borderId="17" xfId="16" applyFont="1" applyFill="1" applyBorder="1" applyAlignment="1">
      <alignment horizontal="centerContinuous" vertical="center" wrapText="1" readingOrder="1"/>
    </xf>
    <xf numFmtId="0" fontId="17" fillId="6" borderId="19" xfId="16" applyFont="1" applyFill="1" applyBorder="1" applyAlignment="1">
      <alignment horizontal="centerContinuous" vertical="center" wrapText="1" readingOrder="1"/>
    </xf>
    <xf numFmtId="0" fontId="23" fillId="6" borderId="17" xfId="16" applyFont="1" applyFill="1" applyBorder="1" applyAlignment="1">
      <alignment horizontal="centerContinuous" vertical="center" readingOrder="1"/>
    </xf>
    <xf numFmtId="0" fontId="17" fillId="6" borderId="5" xfId="16" applyFont="1" applyFill="1" applyBorder="1" applyAlignment="1">
      <alignment horizontal="center" vertical="center" readingOrder="1"/>
    </xf>
    <xf numFmtId="0" fontId="123" fillId="11" borderId="127" xfId="16" applyFont="1" applyFill="1" applyBorder="1" applyAlignment="1">
      <alignment horizontal="center" vertical="center" readingOrder="1"/>
    </xf>
    <xf numFmtId="0" fontId="123" fillId="11" borderId="19" xfId="16" applyFont="1" applyFill="1" applyBorder="1" applyAlignment="1">
      <alignment horizontal="center" vertical="center" readingOrder="1"/>
    </xf>
    <xf numFmtId="0" fontId="123" fillId="11" borderId="18" xfId="16" applyFont="1" applyFill="1" applyBorder="1" applyAlignment="1">
      <alignment horizontal="center" vertical="center" readingOrder="1"/>
    </xf>
    <xf numFmtId="0" fontId="123" fillId="11" borderId="17" xfId="16" applyFont="1" applyFill="1" applyBorder="1" applyAlignment="1">
      <alignment horizontal="center" vertical="center" readingOrder="1"/>
    </xf>
    <xf numFmtId="0" fontId="35" fillId="2" borderId="0" xfId="16" applyFill="1" applyAlignment="1">
      <alignment horizontal="center" vertical="center" readingOrder="1"/>
    </xf>
    <xf numFmtId="0" fontId="35" fillId="6" borderId="5" xfId="16" applyFont="1" applyFill="1" applyBorder="1" applyAlignment="1">
      <alignment horizontal="center" vertical="center" readingOrder="1"/>
    </xf>
    <xf numFmtId="0" fontId="123" fillId="11" borderId="46" xfId="16" applyFont="1" applyFill="1" applyBorder="1" applyAlignment="1">
      <alignment horizontal="center" vertical="center" readingOrder="1"/>
    </xf>
    <xf numFmtId="0" fontId="123" fillId="11" borderId="20" xfId="16" applyFont="1" applyFill="1" applyBorder="1" applyAlignment="1">
      <alignment horizontal="center" vertical="center" readingOrder="1"/>
    </xf>
    <xf numFmtId="0" fontId="123" fillId="11" borderId="0" xfId="16" applyFont="1" applyFill="1" applyBorder="1" applyAlignment="1">
      <alignment horizontal="center" vertical="center" readingOrder="1"/>
    </xf>
    <xf numFmtId="0" fontId="123" fillId="11" borderId="5" xfId="16" applyFont="1" applyFill="1" applyBorder="1" applyAlignment="1">
      <alignment horizontal="center" vertical="center" readingOrder="1"/>
    </xf>
    <xf numFmtId="0" fontId="35" fillId="6" borderId="68" xfId="16" applyFont="1" applyFill="1" applyBorder="1" applyAlignment="1">
      <alignment vertical="center" readingOrder="1"/>
    </xf>
    <xf numFmtId="0" fontId="35" fillId="11" borderId="53" xfId="16" applyFill="1" applyBorder="1" applyAlignment="1">
      <alignment vertical="center" readingOrder="1"/>
    </xf>
    <xf numFmtId="0" fontId="35" fillId="11" borderId="51" xfId="16" applyFill="1" applyBorder="1" applyAlignment="1">
      <alignment vertical="center" readingOrder="1"/>
    </xf>
    <xf numFmtId="0" fontId="35" fillId="11" borderId="37" xfId="16" applyFill="1" applyBorder="1" applyAlignment="1">
      <alignment vertical="center" readingOrder="1"/>
    </xf>
    <xf numFmtId="0" fontId="35" fillId="11" borderId="68" xfId="16" applyFill="1" applyBorder="1" applyAlignment="1">
      <alignment vertical="center" readingOrder="1"/>
    </xf>
    <xf numFmtId="0" fontId="35" fillId="13" borderId="5" xfId="16" applyFont="1" applyFill="1" applyBorder="1" applyAlignment="1">
      <alignment vertical="center" readingOrder="1"/>
    </xf>
    <xf numFmtId="3" fontId="35" fillId="2" borderId="42" xfId="16" applyNumberFormat="1" applyFill="1" applyBorder="1" applyAlignment="1">
      <alignment vertical="center" readingOrder="1"/>
    </xf>
    <xf numFmtId="3" fontId="35" fillId="2" borderId="41" xfId="16" applyNumberFormat="1" applyFill="1" applyBorder="1" applyAlignment="1">
      <alignment vertical="center" readingOrder="1"/>
    </xf>
    <xf numFmtId="3" fontId="35" fillId="2" borderId="30" xfId="16" applyNumberFormat="1" applyFill="1" applyBorder="1" applyAlignment="1">
      <alignment vertical="center" readingOrder="1"/>
    </xf>
    <xf numFmtId="3" fontId="35" fillId="2" borderId="172" xfId="16" applyNumberFormat="1" applyFill="1" applyBorder="1" applyAlignment="1">
      <alignment vertical="center" readingOrder="1"/>
    </xf>
    <xf numFmtId="0" fontId="23" fillId="13" borderId="5" xfId="16" applyFont="1" applyFill="1" applyBorder="1" applyAlignment="1">
      <alignment vertical="center" readingOrder="1"/>
    </xf>
    <xf numFmtId="3" fontId="19" fillId="2" borderId="46" xfId="16" applyNumberFormat="1" applyFont="1" applyFill="1" applyBorder="1" applyAlignment="1">
      <alignment vertical="center" readingOrder="1"/>
    </xf>
    <xf numFmtId="3" fontId="19" fillId="2" borderId="20" xfId="16" applyNumberFormat="1" applyFont="1" applyFill="1" applyBorder="1" applyAlignment="1">
      <alignment vertical="center" readingOrder="1"/>
    </xf>
    <xf numFmtId="3" fontId="19" fillId="2" borderId="0" xfId="16" applyNumberFormat="1" applyFont="1" applyFill="1" applyBorder="1" applyAlignment="1">
      <alignment vertical="center" readingOrder="1"/>
    </xf>
    <xf numFmtId="3" fontId="19" fillId="2" borderId="5" xfId="16" applyNumberFormat="1" applyFont="1" applyFill="1" applyBorder="1" applyAlignment="1">
      <alignment vertical="center" readingOrder="1"/>
    </xf>
    <xf numFmtId="3" fontId="19" fillId="2" borderId="0" xfId="16" applyNumberFormat="1" applyFont="1" applyFill="1" applyAlignment="1">
      <alignment vertical="center" readingOrder="1"/>
    </xf>
    <xf numFmtId="170" fontId="19" fillId="2" borderId="0" xfId="16" applyNumberFormat="1" applyFont="1" applyFill="1" applyAlignment="1">
      <alignment vertical="center" readingOrder="1"/>
    </xf>
    <xf numFmtId="0" fontId="19" fillId="2" borderId="0" xfId="16" applyFont="1" applyFill="1" applyAlignment="1">
      <alignment vertical="center" readingOrder="1"/>
    </xf>
    <xf numFmtId="0" fontId="23" fillId="13" borderId="46" xfId="16" applyFont="1" applyFill="1" applyBorder="1" applyAlignment="1">
      <alignment vertical="center" readingOrder="1"/>
    </xf>
    <xf numFmtId="3" fontId="23" fillId="2" borderId="46" xfId="16" applyNumberFormat="1" applyFont="1" applyFill="1" applyBorder="1" applyAlignment="1">
      <alignment vertical="center" readingOrder="1"/>
    </xf>
    <xf numFmtId="3" fontId="23" fillId="2" borderId="20" xfId="16" applyNumberFormat="1" applyFont="1" applyFill="1" applyBorder="1" applyAlignment="1">
      <alignment vertical="center" readingOrder="1"/>
    </xf>
    <xf numFmtId="3" fontId="23" fillId="2" borderId="0" xfId="16" applyNumberFormat="1" applyFont="1" applyFill="1" applyBorder="1" applyAlignment="1">
      <alignment vertical="center" readingOrder="1"/>
    </xf>
    <xf numFmtId="3" fontId="23" fillId="2" borderId="5" xfId="16" applyNumberFormat="1" applyFont="1" applyFill="1" applyBorder="1" applyAlignment="1">
      <alignment vertical="center" readingOrder="1"/>
    </xf>
    <xf numFmtId="0" fontId="23" fillId="13" borderId="46" xfId="16" applyFont="1" applyFill="1" applyBorder="1" applyAlignment="1">
      <alignment horizontal="center" vertical="center" readingOrder="1"/>
    </xf>
    <xf numFmtId="0" fontId="33" fillId="2" borderId="0" xfId="16" applyFont="1" applyFill="1" applyAlignment="1">
      <alignment vertical="center" readingOrder="1"/>
    </xf>
    <xf numFmtId="0" fontId="23" fillId="13" borderId="103" xfId="16" applyFont="1" applyFill="1" applyBorder="1" applyAlignment="1">
      <alignment vertical="center" readingOrder="1"/>
    </xf>
    <xf numFmtId="3" fontId="35" fillId="2" borderId="103" xfId="16" applyNumberFormat="1" applyFill="1" applyBorder="1" applyAlignment="1">
      <alignment vertical="center" readingOrder="1"/>
    </xf>
    <xf numFmtId="3" fontId="35" fillId="2" borderId="28" xfId="16" applyNumberFormat="1" applyFill="1" applyBorder="1" applyAlignment="1">
      <alignment vertical="center" readingOrder="1"/>
    </xf>
    <xf numFmtId="3" fontId="35" fillId="2" borderId="27" xfId="16" applyNumberFormat="1" applyFill="1" applyBorder="1" applyAlignment="1">
      <alignment vertical="center" readingOrder="1"/>
    </xf>
    <xf numFmtId="3" fontId="35" fillId="2" borderId="26" xfId="16" applyNumberFormat="1" applyFill="1" applyBorder="1" applyAlignment="1">
      <alignment vertical="center" readingOrder="1"/>
    </xf>
    <xf numFmtId="0" fontId="34" fillId="2" borderId="0" xfId="16" applyFont="1" applyFill="1" applyAlignment="1">
      <alignment horizontal="left" vertical="center" readingOrder="1"/>
    </xf>
    <xf numFmtId="3" fontId="35" fillId="2" borderId="0" xfId="16" applyNumberFormat="1" applyFill="1" applyAlignment="1">
      <alignment vertical="center" readingOrder="1"/>
    </xf>
    <xf numFmtId="3" fontId="35" fillId="2" borderId="0" xfId="16" applyNumberFormat="1" applyFill="1" applyBorder="1" applyAlignment="1">
      <alignment vertical="center" readingOrder="1"/>
    </xf>
    <xf numFmtId="0" fontId="25" fillId="2" borderId="0" xfId="16" applyFont="1" applyFill="1" applyBorder="1" applyAlignment="1" applyProtection="1">
      <alignment horizontal="left"/>
    </xf>
    <xf numFmtId="177" fontId="35" fillId="2" borderId="0" xfId="16" applyNumberFormat="1" applyFill="1" applyAlignment="1">
      <alignment vertical="center" readingOrder="1"/>
    </xf>
    <xf numFmtId="0" fontId="124" fillId="0" borderId="0" xfId="16" applyFont="1" applyFill="1" applyAlignment="1">
      <alignment horizontal="left" vertical="center"/>
    </xf>
    <xf numFmtId="0" fontId="125" fillId="0" borderId="0" xfId="42" applyFont="1" applyAlignment="1">
      <alignment vertical="center"/>
    </xf>
    <xf numFmtId="0" fontId="125" fillId="0" borderId="0" xfId="16" applyFont="1" applyAlignment="1">
      <alignment vertical="center"/>
    </xf>
    <xf numFmtId="0" fontId="125" fillId="0" borderId="0" xfId="16" applyFont="1" applyFill="1" applyAlignment="1">
      <alignment vertical="center"/>
    </xf>
    <xf numFmtId="0" fontId="126" fillId="0" borderId="0" xfId="42" applyFont="1" applyAlignment="1">
      <alignment vertical="center"/>
    </xf>
    <xf numFmtId="0" fontId="126" fillId="0" borderId="0" xfId="42" applyFont="1" applyFill="1" applyAlignment="1">
      <alignment vertical="center"/>
    </xf>
    <xf numFmtId="3" fontId="127" fillId="11" borderId="173" xfId="16" applyNumberFormat="1" applyFont="1" applyFill="1" applyBorder="1" applyAlignment="1">
      <alignment horizontal="center" vertical="center"/>
    </xf>
    <xf numFmtId="0" fontId="127" fillId="7" borderId="174" xfId="16" applyFont="1" applyFill="1" applyBorder="1" applyAlignment="1">
      <alignment horizontal="centerContinuous" vertical="center"/>
    </xf>
    <xf numFmtId="0" fontId="127" fillId="7" borderId="175" xfId="16" applyFont="1" applyFill="1" applyBorder="1" applyAlignment="1">
      <alignment horizontal="centerContinuous" vertical="center"/>
    </xf>
    <xf numFmtId="0" fontId="127" fillId="7" borderId="174" xfId="16" applyFont="1" applyFill="1" applyBorder="1" applyAlignment="1">
      <alignment horizontal="centerContinuous" vertical="center" wrapText="1"/>
    </xf>
    <xf numFmtId="0" fontId="127" fillId="7" borderId="175" xfId="16" applyFont="1" applyFill="1" applyBorder="1" applyAlignment="1">
      <alignment horizontal="centerContinuous" vertical="center" wrapText="1"/>
    </xf>
    <xf numFmtId="0" fontId="127" fillId="7" borderId="178" xfId="16" applyFont="1" applyFill="1" applyBorder="1" applyAlignment="1">
      <alignment horizontal="centerContinuous" vertical="center"/>
    </xf>
    <xf numFmtId="0" fontId="127" fillId="7" borderId="177" xfId="16" applyFont="1" applyFill="1" applyBorder="1" applyAlignment="1">
      <alignment horizontal="centerContinuous" vertical="center"/>
    </xf>
    <xf numFmtId="0" fontId="125" fillId="0" borderId="0" xfId="42" applyFont="1" applyFill="1" applyAlignment="1">
      <alignment vertical="center"/>
    </xf>
    <xf numFmtId="3" fontId="127" fillId="11" borderId="179" xfId="16" applyNumberFormat="1" applyFont="1" applyFill="1" applyBorder="1" applyAlignment="1">
      <alignment horizontal="center" vertical="center"/>
    </xf>
    <xf numFmtId="0" fontId="127" fillId="26" borderId="180" xfId="16" applyFont="1" applyFill="1" applyBorder="1" applyAlignment="1">
      <alignment horizontal="center" vertical="center"/>
    </xf>
    <xf numFmtId="0" fontId="127" fillId="26" borderId="181" xfId="16" applyFont="1" applyFill="1" applyBorder="1" applyAlignment="1">
      <alignment horizontal="center" vertical="center"/>
    </xf>
    <xf numFmtId="0" fontId="127" fillId="26" borderId="182" xfId="16" applyFont="1" applyFill="1" applyBorder="1" applyAlignment="1">
      <alignment horizontal="center" vertical="center"/>
    </xf>
    <xf numFmtId="0" fontId="127" fillId="26" borderId="183" xfId="16" applyFont="1" applyFill="1" applyBorder="1" applyAlignment="1">
      <alignment horizontal="center" vertical="center"/>
    </xf>
    <xf numFmtId="3" fontId="127" fillId="11" borderId="184" xfId="16" applyNumberFormat="1" applyFont="1" applyFill="1" applyBorder="1" applyAlignment="1">
      <alignment horizontal="center" vertical="center"/>
    </xf>
    <xf numFmtId="0" fontId="127" fillId="26" borderId="185" xfId="16" applyFont="1" applyFill="1" applyBorder="1" applyAlignment="1">
      <alignment horizontal="center" vertical="center"/>
    </xf>
    <xf numFmtId="0" fontId="127" fillId="26" borderId="186" xfId="16" applyFont="1" applyFill="1" applyBorder="1" applyAlignment="1">
      <alignment horizontal="center" vertical="center"/>
    </xf>
    <xf numFmtId="0" fontId="127" fillId="26" borderId="187" xfId="16" applyFont="1" applyFill="1" applyBorder="1" applyAlignment="1">
      <alignment horizontal="center" vertical="center"/>
    </xf>
    <xf numFmtId="0" fontId="127" fillId="26" borderId="188" xfId="16" applyFont="1" applyFill="1" applyBorder="1" applyAlignment="1">
      <alignment horizontal="center" vertical="center"/>
    </xf>
    <xf numFmtId="3" fontId="124" fillId="26" borderId="179" xfId="16" applyNumberFormat="1" applyFont="1" applyFill="1" applyBorder="1" applyAlignment="1">
      <alignment vertical="center"/>
    </xf>
    <xf numFmtId="3" fontId="128" fillId="0" borderId="180" xfId="16" applyNumberFormat="1" applyFont="1" applyBorder="1" applyAlignment="1">
      <alignment vertical="center"/>
    </xf>
    <xf numFmtId="3" fontId="128" fillId="0" borderId="181" xfId="16" applyNumberFormat="1" applyFont="1" applyBorder="1" applyAlignment="1">
      <alignment vertical="center"/>
    </xf>
    <xf numFmtId="0" fontId="126" fillId="0" borderId="118" xfId="42" applyFont="1" applyBorder="1" applyAlignment="1">
      <alignment vertical="center"/>
    </xf>
    <xf numFmtId="0" fontId="126" fillId="0" borderId="183" xfId="42" applyFont="1" applyBorder="1" applyAlignment="1">
      <alignment vertical="center"/>
    </xf>
    <xf numFmtId="3" fontId="129" fillId="26" borderId="179" xfId="16" applyNumberFormat="1" applyFont="1" applyFill="1" applyBorder="1" applyAlignment="1">
      <alignment vertical="center"/>
    </xf>
    <xf numFmtId="3" fontId="49" fillId="0" borderId="180" xfId="16" applyNumberFormat="1" applyFont="1" applyBorder="1" applyAlignment="1">
      <alignment vertical="center"/>
    </xf>
    <xf numFmtId="3" fontId="49" fillId="0" borderId="181" xfId="16" applyNumberFormat="1" applyFont="1" applyBorder="1" applyAlignment="1">
      <alignment vertical="center"/>
    </xf>
    <xf numFmtId="3" fontId="76" fillId="0" borderId="118" xfId="42" applyNumberFormat="1" applyFont="1" applyBorder="1" applyAlignment="1">
      <alignment vertical="center"/>
    </xf>
    <xf numFmtId="3" fontId="130" fillId="0" borderId="0" xfId="42" applyNumberFormat="1" applyFont="1" applyFill="1" applyAlignment="1">
      <alignment vertical="center"/>
    </xf>
    <xf numFmtId="3" fontId="130" fillId="0" borderId="0" xfId="42" applyNumberFormat="1" applyFont="1" applyAlignment="1">
      <alignment vertical="center"/>
    </xf>
    <xf numFmtId="170" fontId="130" fillId="0" borderId="0" xfId="42" applyNumberFormat="1" applyFont="1" applyAlignment="1">
      <alignment vertical="center"/>
    </xf>
    <xf numFmtId="0" fontId="130" fillId="0" borderId="0" xfId="42" applyFont="1" applyAlignment="1">
      <alignment vertical="center"/>
    </xf>
    <xf numFmtId="0" fontId="130" fillId="0" borderId="0" xfId="42" applyFont="1" applyBorder="1" applyAlignment="1">
      <alignment vertical="center"/>
    </xf>
    <xf numFmtId="3" fontId="131" fillId="26" borderId="179" xfId="16" applyNumberFormat="1" applyFont="1" applyFill="1" applyBorder="1" applyAlignment="1">
      <alignment vertical="center"/>
    </xf>
    <xf numFmtId="3" fontId="33" fillId="0" borderId="180" xfId="16" applyNumberFormat="1" applyFont="1" applyBorder="1" applyAlignment="1">
      <alignment vertical="center"/>
    </xf>
    <xf numFmtId="3" fontId="33" fillId="0" borderId="181" xfId="16" applyNumberFormat="1" applyFont="1" applyBorder="1" applyAlignment="1">
      <alignment vertical="center"/>
    </xf>
    <xf numFmtId="0" fontId="127" fillId="26" borderId="179" xfId="42" applyFont="1" applyFill="1" applyBorder="1" applyAlignment="1">
      <alignment vertical="center"/>
    </xf>
    <xf numFmtId="3" fontId="37" fillId="0" borderId="180" xfId="42" applyNumberFormat="1" applyFont="1" applyFill="1" applyBorder="1" applyAlignment="1">
      <alignment vertical="center"/>
    </xf>
    <xf numFmtId="3" fontId="37" fillId="0" borderId="181" xfId="42" applyNumberFormat="1" applyFont="1" applyFill="1" applyBorder="1" applyAlignment="1">
      <alignment vertical="center"/>
    </xf>
    <xf numFmtId="0" fontId="127" fillId="26" borderId="184" xfId="42" applyFont="1" applyFill="1" applyBorder="1" applyAlignment="1">
      <alignment vertical="center"/>
    </xf>
    <xf numFmtId="3" fontId="132" fillId="0" borderId="185" xfId="42" applyNumberFormat="1" applyFont="1" applyFill="1" applyBorder="1" applyAlignment="1">
      <alignment vertical="center"/>
    </xf>
    <xf numFmtId="3" fontId="132" fillId="0" borderId="186" xfId="42" applyNumberFormat="1" applyFont="1" applyFill="1" applyBorder="1" applyAlignment="1">
      <alignment vertical="center"/>
    </xf>
    <xf numFmtId="3" fontId="130" fillId="0" borderId="187" xfId="42" applyNumberFormat="1" applyFont="1" applyBorder="1" applyAlignment="1">
      <alignment vertical="center"/>
    </xf>
    <xf numFmtId="3" fontId="130" fillId="0" borderId="188" xfId="42" applyNumberFormat="1" applyFont="1" applyBorder="1" applyAlignment="1">
      <alignment vertical="center"/>
    </xf>
    <xf numFmtId="0" fontId="81" fillId="0" borderId="0" xfId="16" applyFont="1" applyFill="1" applyBorder="1" applyAlignment="1" applyProtection="1">
      <alignment horizontal="left"/>
    </xf>
    <xf numFmtId="0" fontId="33" fillId="0" borderId="0" xfId="16" applyFont="1"/>
    <xf numFmtId="0" fontId="38" fillId="0" borderId="0" xfId="16" applyFont="1" applyAlignment="1">
      <alignment horizontal="left" vertical="center" readingOrder="1"/>
    </xf>
    <xf numFmtId="3" fontId="126" fillId="0" borderId="0" xfId="42" applyNumberFormat="1" applyFont="1" applyAlignment="1">
      <alignment vertical="center"/>
    </xf>
    <xf numFmtId="3" fontId="126" fillId="0" borderId="0" xfId="42" applyNumberFormat="1" applyFont="1" applyFill="1" applyAlignment="1">
      <alignment vertical="center"/>
    </xf>
    <xf numFmtId="4" fontId="126" fillId="0" borderId="0" xfId="42" applyNumberFormat="1" applyFont="1" applyAlignment="1">
      <alignment vertical="center"/>
    </xf>
    <xf numFmtId="0" fontId="133" fillId="0" borderId="0" xfId="42" applyFont="1" applyFill="1" applyAlignment="1">
      <alignment horizontal="left"/>
    </xf>
    <xf numFmtId="0" fontId="132" fillId="0" borderId="0" xfId="42" applyFont="1" applyFill="1" applyAlignment="1">
      <alignment horizontal="center"/>
    </xf>
    <xf numFmtId="0" fontId="126" fillId="0" borderId="0" xfId="16" applyFont="1"/>
    <xf numFmtId="0" fontId="126" fillId="0" borderId="0" xfId="42" applyFont="1" applyFill="1" applyAlignment="1"/>
    <xf numFmtId="3" fontId="37" fillId="11" borderId="173" xfId="16" applyNumberFormat="1" applyFont="1" applyFill="1" applyBorder="1" applyAlignment="1">
      <alignment horizontal="center"/>
    </xf>
    <xf numFmtId="0" fontId="37" fillId="11" borderId="189" xfId="16" applyFont="1" applyFill="1" applyBorder="1" applyAlignment="1">
      <alignment horizontal="centerContinuous"/>
    </xf>
    <xf numFmtId="0" fontId="37" fillId="11" borderId="190" xfId="16" applyFont="1" applyFill="1" applyBorder="1" applyAlignment="1">
      <alignment horizontal="centerContinuous"/>
    </xf>
    <xf numFmtId="3" fontId="37" fillId="11" borderId="179" xfId="16" applyNumberFormat="1" applyFont="1" applyFill="1" applyBorder="1" applyAlignment="1">
      <alignment horizontal="center"/>
    </xf>
    <xf numFmtId="0" fontId="37" fillId="11" borderId="191" xfId="16" applyFont="1" applyFill="1" applyBorder="1" applyAlignment="1">
      <alignment horizontal="center"/>
    </xf>
    <xf numFmtId="0" fontId="37" fillId="11" borderId="192" xfId="16" applyFont="1" applyFill="1" applyBorder="1" applyAlignment="1">
      <alignment horizontal="center"/>
    </xf>
    <xf numFmtId="3" fontId="37" fillId="11" borderId="193" xfId="16" applyNumberFormat="1" applyFont="1" applyFill="1" applyBorder="1" applyAlignment="1">
      <alignment horizontal="center"/>
    </xf>
    <xf numFmtId="0" fontId="37" fillId="11" borderId="194" xfId="16" applyFont="1" applyFill="1" applyBorder="1" applyAlignment="1">
      <alignment horizontal="center"/>
    </xf>
    <xf numFmtId="0" fontId="37" fillId="11" borderId="195" xfId="16" applyFont="1" applyFill="1" applyBorder="1" applyAlignment="1">
      <alignment horizontal="center"/>
    </xf>
    <xf numFmtId="3" fontId="37" fillId="25" borderId="179" xfId="16" applyNumberFormat="1" applyFont="1" applyFill="1" applyBorder="1" applyAlignment="1"/>
    <xf numFmtId="3" fontId="37" fillId="0" borderId="180" xfId="16" applyNumberFormat="1" applyFont="1" applyFill="1" applyBorder="1" applyAlignment="1"/>
    <xf numFmtId="3" fontId="37" fillId="0" borderId="181" xfId="16" applyNumberFormat="1" applyFont="1" applyFill="1" applyBorder="1" applyAlignment="1"/>
    <xf numFmtId="3" fontId="33" fillId="0" borderId="180" xfId="36" applyNumberFormat="1" applyFont="1" applyFill="1" applyBorder="1" applyAlignment="1"/>
    <xf numFmtId="3" fontId="33" fillId="0" borderId="181" xfId="36" applyNumberFormat="1" applyFont="1" applyFill="1" applyBorder="1" applyAlignment="1"/>
    <xf numFmtId="3" fontId="37" fillId="0" borderId="180" xfId="36" applyNumberFormat="1" applyFont="1" applyFill="1" applyBorder="1" applyAlignment="1"/>
    <xf numFmtId="3" fontId="37" fillId="0" borderId="181" xfId="36" applyNumberFormat="1" applyFont="1" applyFill="1" applyBorder="1" applyAlignment="1"/>
    <xf numFmtId="0" fontId="126" fillId="0" borderId="0" xfId="16" applyFont="1" applyBorder="1"/>
    <xf numFmtId="3" fontId="37" fillId="25" borderId="184" xfId="16" applyNumberFormat="1" applyFont="1" applyFill="1" applyBorder="1" applyAlignment="1"/>
    <xf numFmtId="3" fontId="37" fillId="0" borderId="185" xfId="36" applyNumberFormat="1" applyFont="1" applyFill="1" applyBorder="1" applyAlignment="1"/>
    <xf numFmtId="3" fontId="37" fillId="0" borderId="186" xfId="36" applyNumberFormat="1" applyFont="1" applyFill="1" applyBorder="1" applyAlignment="1"/>
    <xf numFmtId="0" fontId="49" fillId="0" borderId="0" xfId="42" applyFont="1" applyFill="1" applyAlignment="1"/>
    <xf numFmtId="0" fontId="103" fillId="0" borderId="0" xfId="42" applyFont="1" applyFill="1" applyAlignment="1"/>
    <xf numFmtId="0" fontId="130" fillId="0" borderId="0" xfId="16" applyFont="1"/>
    <xf numFmtId="0" fontId="134" fillId="0" borderId="0" xfId="42" applyFont="1" applyFill="1" applyAlignment="1"/>
    <xf numFmtId="3" fontId="135" fillId="0" borderId="0" xfId="42" applyNumberFormat="1" applyFont="1" applyFill="1" applyAlignment="1"/>
    <xf numFmtId="38" fontId="130" fillId="0" borderId="0" xfId="42" applyNumberFormat="1" applyFont="1"/>
    <xf numFmtId="0" fontId="130" fillId="0" borderId="0" xfId="42" applyFont="1"/>
    <xf numFmtId="0" fontId="33" fillId="0" borderId="0" xfId="16" applyFont="1" applyFill="1"/>
    <xf numFmtId="180" fontId="33" fillId="0" borderId="0" xfId="16" applyNumberFormat="1" applyFont="1"/>
    <xf numFmtId="0" fontId="37" fillId="11" borderId="196" xfId="16" applyFont="1" applyFill="1" applyBorder="1" applyAlignment="1">
      <alignment horizontal="center"/>
    </xf>
    <xf numFmtId="0" fontId="37" fillId="11" borderId="197" xfId="16" applyFont="1" applyFill="1" applyBorder="1" applyAlignment="1">
      <alignment horizontal="centerContinuous"/>
    </xf>
    <xf numFmtId="0" fontId="37" fillId="11" borderId="198" xfId="16" applyFont="1" applyFill="1" applyBorder="1"/>
    <xf numFmtId="0" fontId="37" fillId="11" borderId="199" xfId="16" applyFont="1" applyFill="1" applyBorder="1" applyAlignment="1">
      <alignment horizontal="center"/>
    </xf>
    <xf numFmtId="0" fontId="33" fillId="11" borderId="200" xfId="16" applyFont="1" applyFill="1" applyBorder="1"/>
    <xf numFmtId="0" fontId="37" fillId="11" borderId="201" xfId="16" applyFont="1" applyFill="1" applyBorder="1" applyAlignment="1">
      <alignment horizontal="center"/>
    </xf>
    <xf numFmtId="0" fontId="132" fillId="27" borderId="0" xfId="16" applyFont="1" applyFill="1" applyBorder="1" applyAlignment="1">
      <alignment horizontal="center"/>
    </xf>
    <xf numFmtId="0" fontId="33" fillId="11" borderId="198" xfId="16" applyFont="1" applyFill="1" applyBorder="1"/>
    <xf numFmtId="168" fontId="37" fillId="0" borderId="199" xfId="43" applyNumberFormat="1" applyFont="1" applyBorder="1"/>
    <xf numFmtId="3" fontId="33" fillId="0" borderId="199" xfId="36" applyNumberFormat="1" applyFont="1" applyFill="1" applyBorder="1" applyAlignment="1"/>
    <xf numFmtId="3" fontId="126" fillId="0" borderId="0" xfId="43" applyNumberFormat="1" applyFont="1" applyFill="1" applyBorder="1"/>
    <xf numFmtId="168" fontId="126" fillId="0" borderId="0" xfId="36" applyNumberFormat="1" applyFont="1"/>
    <xf numFmtId="3" fontId="126" fillId="0" borderId="0" xfId="16" applyNumberFormat="1" applyFont="1"/>
    <xf numFmtId="168" fontId="33" fillId="0" borderId="199" xfId="43" applyNumberFormat="1" applyFont="1" applyBorder="1"/>
    <xf numFmtId="168" fontId="132" fillId="0" borderId="0" xfId="36" applyNumberFormat="1" applyFont="1"/>
    <xf numFmtId="168" fontId="37" fillId="0" borderId="201" xfId="43" applyNumberFormat="1" applyFont="1" applyBorder="1"/>
    <xf numFmtId="0" fontId="49" fillId="0" borderId="0" xfId="16" applyFont="1"/>
    <xf numFmtId="0" fontId="81" fillId="0" borderId="0" xfId="16" applyFont="1"/>
    <xf numFmtId="168" fontId="33" fillId="0" borderId="0" xfId="16" applyNumberFormat="1" applyFont="1"/>
    <xf numFmtId="0" fontId="136" fillId="0" borderId="0" xfId="16" applyFont="1" applyAlignment="1"/>
    <xf numFmtId="0" fontId="127" fillId="0" borderId="0" xfId="16" applyFont="1" applyAlignment="1">
      <alignment horizontal="center"/>
    </xf>
    <xf numFmtId="0" fontId="125" fillId="0" borderId="0" xfId="16" applyFont="1" applyAlignment="1"/>
    <xf numFmtId="0" fontId="125" fillId="0" borderId="0" xfId="16" applyFont="1"/>
    <xf numFmtId="0" fontId="126" fillId="0" borderId="0" xfId="16" applyFont="1" applyFill="1" applyAlignment="1">
      <alignment horizontal="left"/>
    </xf>
    <xf numFmtId="0" fontId="126" fillId="0" borderId="0" xfId="16" applyFont="1" applyFill="1" applyAlignment="1">
      <alignment horizontal="right"/>
    </xf>
    <xf numFmtId="0" fontId="126" fillId="0" borderId="0" xfId="16" applyFont="1" applyAlignment="1"/>
    <xf numFmtId="0" fontId="126" fillId="0" borderId="0" xfId="16" applyFont="1" applyFill="1" applyAlignment="1"/>
    <xf numFmtId="0" fontId="127" fillId="11" borderId="173" xfId="16" applyFont="1" applyFill="1" applyBorder="1" applyAlignment="1">
      <alignment horizontal="center"/>
    </xf>
    <xf numFmtId="0" fontId="127" fillId="11" borderId="202" xfId="16" applyFont="1" applyFill="1" applyBorder="1" applyAlignment="1">
      <alignment horizontal="centerContinuous"/>
    </xf>
    <xf numFmtId="0" fontId="127" fillId="11" borderId="203" xfId="16" applyFont="1" applyFill="1" applyBorder="1" applyAlignment="1">
      <alignment horizontal="centerContinuous"/>
    </xf>
    <xf numFmtId="0" fontId="127" fillId="11" borderId="204" xfId="16" applyFont="1" applyFill="1" applyBorder="1" applyAlignment="1">
      <alignment horizontal="centerContinuous"/>
    </xf>
    <xf numFmtId="0" fontId="127" fillId="11" borderId="179" xfId="16" applyFont="1" applyFill="1" applyBorder="1" applyAlignment="1">
      <alignment horizontal="center"/>
    </xf>
    <xf numFmtId="0" fontId="127" fillId="11" borderId="205" xfId="16" applyFont="1" applyFill="1" applyBorder="1" applyAlignment="1">
      <alignment horizontal="centerContinuous"/>
    </xf>
    <xf numFmtId="0" fontId="127" fillId="11" borderId="206" xfId="16" applyFont="1" applyFill="1" applyBorder="1" applyAlignment="1">
      <alignment horizontal="centerContinuous"/>
    </xf>
    <xf numFmtId="0" fontId="127" fillId="11" borderId="207" xfId="16" applyFont="1" applyFill="1" applyBorder="1" applyAlignment="1">
      <alignment horizontal="centerContinuous"/>
    </xf>
    <xf numFmtId="0" fontId="127" fillId="11" borderId="208" xfId="16" applyFont="1" applyFill="1" applyBorder="1" applyAlignment="1">
      <alignment horizontal="centerContinuous"/>
    </xf>
    <xf numFmtId="0" fontId="127" fillId="11" borderId="209" xfId="16" applyFont="1" applyFill="1" applyBorder="1" applyAlignment="1">
      <alignment horizontal="centerContinuous"/>
    </xf>
    <xf numFmtId="0" fontId="127" fillId="11" borderId="210" xfId="16" applyFont="1" applyFill="1" applyBorder="1" applyAlignment="1">
      <alignment horizontal="centerContinuous"/>
    </xf>
    <xf numFmtId="0" fontId="127" fillId="11" borderId="211" xfId="16" applyFont="1" applyFill="1" applyBorder="1" applyAlignment="1">
      <alignment horizontal="center"/>
    </xf>
    <xf numFmtId="0" fontId="127" fillId="11" borderId="212" xfId="16" applyFont="1" applyFill="1" applyBorder="1" applyAlignment="1">
      <alignment horizontal="centerContinuous"/>
    </xf>
    <xf numFmtId="0" fontId="127" fillId="11" borderId="184" xfId="16" applyFont="1" applyFill="1" applyBorder="1" applyAlignment="1">
      <alignment horizontal="center"/>
    </xf>
    <xf numFmtId="0" fontId="127" fillId="7" borderId="213" xfId="16" applyFont="1" applyFill="1" applyBorder="1" applyAlignment="1">
      <alignment horizontal="center"/>
    </xf>
    <xf numFmtId="0" fontId="127" fillId="7" borderId="214" xfId="16" applyFont="1" applyFill="1" applyBorder="1" applyAlignment="1">
      <alignment horizontal="center" wrapText="1"/>
    </xf>
    <xf numFmtId="0" fontId="127" fillId="7" borderId="215" xfId="16" applyFont="1" applyFill="1" applyBorder="1" applyAlignment="1">
      <alignment horizontal="center"/>
    </xf>
    <xf numFmtId="0" fontId="127" fillId="7" borderId="216" xfId="16" applyFont="1" applyFill="1" applyBorder="1" applyAlignment="1">
      <alignment horizontal="center"/>
    </xf>
    <xf numFmtId="0" fontId="127" fillId="7" borderId="217" xfId="16" applyFont="1" applyFill="1" applyBorder="1" applyAlignment="1">
      <alignment horizontal="center" wrapText="1"/>
    </xf>
    <xf numFmtId="0" fontId="127" fillId="7" borderId="218" xfId="16" applyFont="1" applyFill="1" applyBorder="1" applyAlignment="1">
      <alignment horizontal="center"/>
    </xf>
    <xf numFmtId="0" fontId="127" fillId="7" borderId="188" xfId="16" applyFont="1" applyFill="1" applyBorder="1" applyAlignment="1"/>
    <xf numFmtId="0" fontId="127" fillId="7" borderId="219" xfId="16" applyFont="1" applyFill="1" applyBorder="1" applyAlignment="1">
      <alignment horizontal="center"/>
    </xf>
    <xf numFmtId="0" fontId="125" fillId="11" borderId="179" xfId="16" applyFont="1" applyFill="1" applyBorder="1" applyAlignment="1"/>
    <xf numFmtId="0" fontId="126" fillId="0" borderId="220" xfId="16" applyFont="1" applyBorder="1" applyAlignment="1"/>
    <xf numFmtId="0" fontId="126" fillId="0" borderId="221" xfId="16" applyFont="1" applyBorder="1" applyAlignment="1"/>
    <xf numFmtId="0" fontId="126" fillId="0" borderId="222" xfId="16" applyFont="1" applyBorder="1" applyAlignment="1"/>
    <xf numFmtId="0" fontId="126" fillId="0" borderId="223" xfId="16" applyFont="1" applyBorder="1" applyAlignment="1"/>
    <xf numFmtId="0" fontId="126" fillId="0" borderId="224" xfId="16" applyFont="1" applyBorder="1" applyAlignment="1"/>
    <xf numFmtId="0" fontId="126" fillId="0" borderId="183" xfId="16" applyFont="1" applyBorder="1" applyAlignment="1"/>
    <xf numFmtId="0" fontId="127" fillId="11" borderId="179" xfId="16" applyFont="1" applyFill="1" applyBorder="1" applyAlignment="1"/>
    <xf numFmtId="3" fontId="33" fillId="0" borderId="220" xfId="17" applyNumberFormat="1" applyFont="1" applyBorder="1" applyAlignment="1"/>
    <xf numFmtId="3" fontId="33" fillId="0" borderId="221" xfId="17" applyNumberFormat="1" applyFont="1" applyBorder="1" applyAlignment="1"/>
    <xf numFmtId="3" fontId="33" fillId="0" borderId="222" xfId="17" applyNumberFormat="1" applyFont="1" applyBorder="1" applyAlignment="1"/>
    <xf numFmtId="3" fontId="33" fillId="0" borderId="223" xfId="17" applyNumberFormat="1" applyFont="1" applyBorder="1" applyAlignment="1"/>
    <xf numFmtId="3" fontId="33" fillId="0" borderId="224" xfId="17" applyNumberFormat="1" applyFont="1" applyBorder="1" applyAlignment="1"/>
    <xf numFmtId="3" fontId="37" fillId="0" borderId="183" xfId="17" applyNumberFormat="1" applyFont="1" applyBorder="1" applyAlignment="1"/>
    <xf numFmtId="3" fontId="37" fillId="0" borderId="220" xfId="17" applyNumberFormat="1" applyFont="1" applyBorder="1" applyAlignment="1"/>
    <xf numFmtId="3" fontId="37" fillId="0" borderId="221" xfId="17" applyNumberFormat="1" applyFont="1" applyBorder="1" applyAlignment="1"/>
    <xf numFmtId="3" fontId="37" fillId="0" borderId="222" xfId="17" applyNumberFormat="1" applyFont="1" applyBorder="1" applyAlignment="1"/>
    <xf numFmtId="3" fontId="37" fillId="0" borderId="223" xfId="17" applyNumberFormat="1" applyFont="1" applyBorder="1" applyAlignment="1"/>
    <xf numFmtId="3" fontId="37" fillId="0" borderId="224" xfId="17" applyNumberFormat="1" applyFont="1" applyBorder="1" applyAlignment="1"/>
    <xf numFmtId="0" fontId="125" fillId="0" borderId="0" xfId="16" applyFont="1" applyBorder="1"/>
    <xf numFmtId="0" fontId="125" fillId="11" borderId="184" xfId="16" applyFont="1" applyFill="1" applyBorder="1" applyAlignment="1"/>
    <xf numFmtId="3" fontId="126" fillId="0" borderId="219" xfId="16" applyNumberFormat="1" applyFont="1" applyBorder="1" applyAlignment="1"/>
    <xf numFmtId="3" fontId="126" fillId="0" borderId="217" xfId="16" applyNumberFormat="1" applyFont="1" applyBorder="1" applyAlignment="1"/>
    <xf numFmtId="3" fontId="126" fillId="0" borderId="215" xfId="17" applyNumberFormat="1" applyFont="1" applyBorder="1" applyAlignment="1"/>
    <xf numFmtId="3" fontId="126" fillId="0" borderId="216" xfId="16" applyNumberFormat="1" applyFont="1" applyBorder="1" applyAlignment="1"/>
    <xf numFmtId="3" fontId="126" fillId="0" borderId="218" xfId="17" applyNumberFormat="1" applyFont="1" applyBorder="1" applyAlignment="1"/>
    <xf numFmtId="3" fontId="126" fillId="0" borderId="188" xfId="17" applyNumberFormat="1" applyFont="1" applyBorder="1" applyAlignment="1"/>
    <xf numFmtId="3" fontId="126" fillId="0" borderId="0" xfId="16" applyNumberFormat="1" applyFont="1" applyAlignment="1"/>
    <xf numFmtId="0" fontId="81" fillId="0" borderId="0" xfId="16" applyFont="1" applyFill="1" applyBorder="1" applyAlignment="1"/>
    <xf numFmtId="0" fontId="30" fillId="0" borderId="0" xfId="16" applyFont="1" applyAlignment="1">
      <alignment vertical="center"/>
    </xf>
    <xf numFmtId="0" fontId="126" fillId="0" borderId="0" xfId="16" applyFont="1" applyAlignment="1">
      <alignment vertical="center"/>
    </xf>
    <xf numFmtId="0" fontId="38" fillId="0" borderId="0" xfId="16" applyFont="1" applyAlignment="1">
      <alignment horizontal="center" vertical="center"/>
    </xf>
    <xf numFmtId="0" fontId="37" fillId="11" borderId="173" xfId="16" applyFont="1" applyFill="1" applyBorder="1" applyAlignment="1">
      <alignment horizontal="center" vertical="center"/>
    </xf>
    <xf numFmtId="0" fontId="37" fillId="11" borderId="176" xfId="16" applyFont="1" applyFill="1" applyBorder="1" applyAlignment="1">
      <alignment horizontal="centerContinuous" vertical="center" wrapText="1"/>
    </xf>
    <xf numFmtId="0" fontId="33" fillId="11" borderId="178" xfId="16" applyFont="1" applyFill="1" applyBorder="1" applyAlignment="1">
      <alignment horizontal="centerContinuous" vertical="center" wrapText="1"/>
    </xf>
    <xf numFmtId="0" fontId="33" fillId="11" borderId="177" xfId="16" applyFont="1" applyFill="1" applyBorder="1" applyAlignment="1">
      <alignment horizontal="centerContinuous" vertical="center" wrapText="1"/>
    </xf>
    <xf numFmtId="0" fontId="37" fillId="11" borderId="179" xfId="16" applyFont="1" applyFill="1" applyBorder="1" applyAlignment="1">
      <alignment horizontal="center" vertical="center"/>
    </xf>
    <xf numFmtId="0" fontId="37" fillId="11" borderId="191" xfId="16" applyFont="1" applyFill="1" applyBorder="1" applyAlignment="1">
      <alignment horizontal="center" vertical="center"/>
    </xf>
    <xf numFmtId="0" fontId="37" fillId="11" borderId="225" xfId="16" applyFont="1" applyFill="1" applyBorder="1" applyAlignment="1">
      <alignment horizontal="center" vertical="center"/>
    </xf>
    <xf numFmtId="0" fontId="37" fillId="11" borderId="183" xfId="16" applyFont="1" applyFill="1" applyBorder="1" applyAlignment="1">
      <alignment horizontal="center" vertical="center"/>
    </xf>
    <xf numFmtId="0" fontId="37" fillId="11" borderId="184" xfId="16" applyFont="1" applyFill="1" applyBorder="1" applyAlignment="1">
      <alignment horizontal="center" vertical="center"/>
    </xf>
    <xf numFmtId="0" fontId="37" fillId="11" borderId="185" xfId="16" applyFont="1" applyFill="1" applyBorder="1" applyAlignment="1">
      <alignment horizontal="center" vertical="center"/>
    </xf>
    <xf numFmtId="0" fontId="37" fillId="11" borderId="201" xfId="16" applyFont="1" applyFill="1" applyBorder="1" applyAlignment="1">
      <alignment horizontal="center" vertical="center"/>
    </xf>
    <xf numFmtId="0" fontId="37" fillId="11" borderId="188" xfId="16" applyFont="1" applyFill="1" applyBorder="1" applyAlignment="1">
      <alignment horizontal="center" vertical="center"/>
    </xf>
    <xf numFmtId="0" fontId="33" fillId="25" borderId="179" xfId="16" applyFont="1" applyFill="1" applyBorder="1" applyAlignment="1">
      <alignment vertical="center"/>
    </xf>
    <xf numFmtId="0" fontId="33" fillId="0" borderId="180" xfId="16" applyFont="1" applyBorder="1" applyAlignment="1">
      <alignment vertical="center"/>
    </xf>
    <xf numFmtId="0" fontId="33" fillId="0" borderId="199" xfId="16" applyFont="1" applyBorder="1" applyAlignment="1">
      <alignment vertical="center"/>
    </xf>
    <xf numFmtId="0" fontId="33" fillId="0" borderId="183" xfId="16" applyFont="1" applyBorder="1" applyAlignment="1">
      <alignment vertical="center"/>
    </xf>
    <xf numFmtId="0" fontId="37" fillId="25" borderId="179" xfId="16" applyFont="1" applyFill="1" applyBorder="1" applyAlignment="1">
      <alignment vertical="center"/>
    </xf>
    <xf numFmtId="3" fontId="37" fillId="0" borderId="180" xfId="16" applyNumberFormat="1" applyFont="1" applyBorder="1" applyAlignment="1">
      <alignment vertical="center"/>
    </xf>
    <xf numFmtId="3" fontId="37" fillId="0" borderId="199" xfId="16" applyNumberFormat="1" applyFont="1" applyBorder="1" applyAlignment="1">
      <alignment vertical="center"/>
    </xf>
    <xf numFmtId="3" fontId="37" fillId="0" borderId="183" xfId="16" applyNumberFormat="1" applyFont="1" applyBorder="1" applyAlignment="1">
      <alignment vertical="center"/>
    </xf>
    <xf numFmtId="3" fontId="126" fillId="0" borderId="0" xfId="16" applyNumberFormat="1" applyFont="1" applyAlignment="1">
      <alignment vertical="center"/>
    </xf>
    <xf numFmtId="179" fontId="38" fillId="0" borderId="180" xfId="22" applyNumberFormat="1" applyFont="1" applyBorder="1" applyAlignment="1">
      <alignment vertical="center"/>
    </xf>
    <xf numFmtId="179" fontId="38" fillId="0" borderId="199" xfId="22" applyNumberFormat="1" applyFont="1" applyBorder="1" applyAlignment="1">
      <alignment vertical="center"/>
    </xf>
    <xf numFmtId="3" fontId="33" fillId="0" borderId="199" xfId="16" applyNumberFormat="1" applyFont="1" applyBorder="1" applyAlignment="1">
      <alignment vertical="center"/>
    </xf>
    <xf numFmtId="3" fontId="33" fillId="0" borderId="183" xfId="16" applyNumberFormat="1" applyFont="1" applyBorder="1" applyAlignment="1">
      <alignment vertical="center"/>
    </xf>
    <xf numFmtId="0" fontId="37" fillId="25" borderId="184" xfId="16" applyFont="1" applyFill="1" applyBorder="1" applyAlignment="1">
      <alignment vertical="center"/>
    </xf>
    <xf numFmtId="0" fontId="33" fillId="0" borderId="185" xfId="16" applyFont="1" applyBorder="1" applyAlignment="1">
      <alignment vertical="center"/>
    </xf>
    <xf numFmtId="0" fontId="33" fillId="0" borderId="201" xfId="16" applyFont="1" applyBorder="1" applyAlignment="1">
      <alignment vertical="center"/>
    </xf>
    <xf numFmtId="0" fontId="33" fillId="0" borderId="188" xfId="16" applyFont="1" applyBorder="1" applyAlignment="1">
      <alignment vertical="center"/>
    </xf>
    <xf numFmtId="179" fontId="33" fillId="0" borderId="0" xfId="22" applyNumberFormat="1" applyFont="1" applyAlignment="1">
      <alignment vertical="center"/>
    </xf>
    <xf numFmtId="0" fontId="112" fillId="0" borderId="0" xfId="16" applyFont="1" applyAlignment="1">
      <alignment vertical="center"/>
    </xf>
    <xf numFmtId="3" fontId="33" fillId="0" borderId="0" xfId="16" applyNumberFormat="1" applyFont="1" applyAlignment="1">
      <alignment vertical="center"/>
    </xf>
    <xf numFmtId="0" fontId="30" fillId="0" borderId="0" xfId="16" applyFont="1" applyFill="1" applyBorder="1" applyAlignment="1" applyProtection="1">
      <alignment horizontal="left"/>
      <protection locked="0"/>
    </xf>
    <xf numFmtId="0" fontId="35" fillId="0" borderId="0" xfId="16" applyFont="1" applyFill="1"/>
    <xf numFmtId="0" fontId="35" fillId="0" borderId="0" xfId="16" applyFont="1"/>
    <xf numFmtId="0" fontId="138" fillId="0" borderId="21" xfId="16" applyFont="1" applyBorder="1"/>
    <xf numFmtId="0" fontId="139" fillId="0" borderId="21" xfId="16" applyFont="1" applyBorder="1" applyAlignment="1">
      <alignment horizontal="center"/>
    </xf>
    <xf numFmtId="0" fontId="38" fillId="0" borderId="21" xfId="16" applyFont="1" applyBorder="1" applyAlignment="1">
      <alignment horizontal="right"/>
    </xf>
    <xf numFmtId="3" fontId="37" fillId="3" borderId="23" xfId="16" applyNumberFormat="1" applyFont="1" applyFill="1" applyBorder="1" applyAlignment="1">
      <alignment horizontal="center" vertical="top"/>
    </xf>
    <xf numFmtId="0" fontId="35" fillId="0" borderId="0" xfId="16" applyAlignment="1">
      <alignment vertical="top"/>
    </xf>
    <xf numFmtId="3" fontId="37" fillId="3" borderId="11" xfId="16" applyNumberFormat="1" applyFont="1" applyFill="1" applyBorder="1" applyAlignment="1">
      <alignment horizontal="center" vertical="top"/>
    </xf>
    <xf numFmtId="0" fontId="35" fillId="3" borderId="24" xfId="16" applyFill="1" applyBorder="1" applyAlignment="1">
      <alignment vertical="top"/>
    </xf>
    <xf numFmtId="3" fontId="37" fillId="3" borderId="101" xfId="16" applyNumberFormat="1" applyFont="1" applyFill="1" applyBorder="1" applyAlignment="1">
      <alignment horizontal="center" vertical="top"/>
    </xf>
    <xf numFmtId="3" fontId="37" fillId="3" borderId="23" xfId="16" applyNumberFormat="1" applyFont="1" applyFill="1" applyBorder="1"/>
    <xf numFmtId="170" fontId="33" fillId="0" borderId="23" xfId="36" applyNumberFormat="1" applyFont="1" applyFill="1" applyBorder="1"/>
    <xf numFmtId="170" fontId="37" fillId="0" borderId="23" xfId="36" applyNumberFormat="1" applyFont="1" applyFill="1" applyBorder="1"/>
    <xf numFmtId="3" fontId="37" fillId="3" borderId="11" xfId="16" applyNumberFormat="1" applyFont="1" applyFill="1" applyBorder="1"/>
    <xf numFmtId="170" fontId="33" fillId="0" borderId="11" xfId="36" applyNumberFormat="1" applyFont="1" applyFill="1" applyBorder="1"/>
    <xf numFmtId="170" fontId="37" fillId="0" borderId="11" xfId="36" applyNumberFormat="1" applyFont="1" applyFill="1" applyBorder="1"/>
    <xf numFmtId="3" fontId="37" fillId="3" borderId="101" xfId="16" applyNumberFormat="1" applyFont="1" applyFill="1" applyBorder="1" applyAlignment="1">
      <alignment horizontal="left"/>
    </xf>
    <xf numFmtId="170" fontId="37" fillId="0" borderId="101" xfId="36" applyNumberFormat="1" applyFont="1" applyFill="1" applyBorder="1"/>
    <xf numFmtId="172" fontId="35" fillId="0" borderId="0" xfId="16" applyNumberFormat="1" applyFont="1"/>
    <xf numFmtId="3" fontId="38" fillId="0" borderId="0" xfId="16" applyNumberFormat="1" applyFont="1" applyFill="1" applyBorder="1"/>
    <xf numFmtId="0" fontId="38" fillId="0" borderId="0" xfId="16" applyFont="1" applyFill="1" applyBorder="1"/>
    <xf numFmtId="0" fontId="15" fillId="0" borderId="0" xfId="16" applyFont="1" applyFill="1" applyBorder="1"/>
    <xf numFmtId="180" fontId="15" fillId="0" borderId="0" xfId="16" applyNumberFormat="1" applyFont="1" applyFill="1" applyBorder="1"/>
    <xf numFmtId="0" fontId="15" fillId="0" borderId="0" xfId="16" applyFont="1" applyBorder="1"/>
    <xf numFmtId="0" fontId="20" fillId="2" borderId="0" xfId="16" applyFont="1" applyFill="1" applyAlignment="1">
      <alignment vertical="center"/>
    </xf>
    <xf numFmtId="0" fontId="22" fillId="2" borderId="0" xfId="16" applyFont="1" applyFill="1" applyAlignment="1">
      <alignment vertical="center"/>
    </xf>
    <xf numFmtId="0" fontId="22" fillId="2" borderId="0" xfId="16" applyFont="1" applyFill="1" applyAlignment="1">
      <alignment horizontal="center" vertical="center"/>
    </xf>
    <xf numFmtId="0" fontId="2" fillId="2" borderId="0" xfId="16" applyFont="1" applyFill="1" applyAlignment="1">
      <alignment vertical="center"/>
    </xf>
    <xf numFmtId="0" fontId="2" fillId="2" borderId="0" xfId="16" applyFont="1" applyFill="1" applyAlignment="1">
      <alignment horizontal="center" vertical="center"/>
    </xf>
    <xf numFmtId="0" fontId="17" fillId="2" borderId="0" xfId="16" applyFont="1" applyFill="1" applyAlignment="1">
      <alignment vertical="center"/>
    </xf>
    <xf numFmtId="0" fontId="17" fillId="11" borderId="127" xfId="16" applyFont="1" applyFill="1" applyBorder="1" applyAlignment="1">
      <alignment horizontal="center" vertical="center"/>
    </xf>
    <xf numFmtId="0" fontId="17" fillId="11" borderId="122" xfId="16" applyFont="1" applyFill="1" applyBorder="1" applyAlignment="1">
      <alignment horizontal="centerContinuous" vertical="center"/>
    </xf>
    <xf numFmtId="0" fontId="17" fillId="11" borderId="2" xfId="16" applyFont="1" applyFill="1" applyBorder="1" applyAlignment="1">
      <alignment horizontal="center" vertical="center"/>
    </xf>
    <xf numFmtId="0" fontId="17" fillId="11" borderId="2" xfId="16" applyFont="1" applyFill="1" applyBorder="1" applyAlignment="1">
      <alignment horizontal="centerContinuous" vertical="center"/>
    </xf>
    <xf numFmtId="0" fontId="2" fillId="11" borderId="2" xfId="16" applyFont="1" applyFill="1" applyBorder="1" applyAlignment="1">
      <alignment horizontal="centerContinuous" vertical="center"/>
    </xf>
    <xf numFmtId="0" fontId="2" fillId="11" borderId="126" xfId="16" applyFont="1" applyFill="1" applyBorder="1" applyAlignment="1">
      <alignment horizontal="centerContinuous" vertical="center"/>
    </xf>
    <xf numFmtId="0" fontId="17" fillId="11" borderId="46" xfId="16" applyFont="1" applyFill="1" applyBorder="1" applyAlignment="1">
      <alignment horizontal="centerContinuous" vertical="center"/>
    </xf>
    <xf numFmtId="0" fontId="17" fillId="11" borderId="19" xfId="16" applyFont="1" applyFill="1" applyBorder="1" applyAlignment="1">
      <alignment horizontal="center" vertical="center"/>
    </xf>
    <xf numFmtId="0" fontId="17" fillId="11" borderId="122" xfId="16" applyFont="1" applyFill="1" applyBorder="1" applyAlignment="1">
      <alignment horizontal="center" vertical="center"/>
    </xf>
    <xf numFmtId="0" fontId="17" fillId="11" borderId="20" xfId="16" applyFont="1" applyFill="1" applyBorder="1" applyAlignment="1">
      <alignment horizontal="center" vertical="center"/>
    </xf>
    <xf numFmtId="2" fontId="17" fillId="11" borderId="19" xfId="16" applyNumberFormat="1" applyFont="1" applyFill="1" applyBorder="1" applyAlignment="1">
      <alignment horizontal="center" vertical="center"/>
    </xf>
    <xf numFmtId="0" fontId="17" fillId="11" borderId="46" xfId="16" applyFont="1" applyFill="1" applyBorder="1" applyAlignment="1">
      <alignment horizontal="center" vertical="center"/>
    </xf>
    <xf numFmtId="2" fontId="17" fillId="11" borderId="20" xfId="16" applyNumberFormat="1" applyFont="1" applyFill="1" applyBorder="1" applyAlignment="1">
      <alignment horizontal="center" vertical="center"/>
    </xf>
    <xf numFmtId="0" fontId="17" fillId="11" borderId="103" xfId="16" applyFont="1" applyFill="1" applyBorder="1" applyAlignment="1">
      <alignment horizontal="centerContinuous" vertical="center"/>
    </xf>
    <xf numFmtId="0" fontId="17" fillId="11" borderId="28" xfId="16" applyFont="1" applyFill="1" applyBorder="1" applyAlignment="1">
      <alignment horizontal="center" vertical="center"/>
    </xf>
    <xf numFmtId="0" fontId="17" fillId="11" borderId="103" xfId="16" applyFont="1" applyFill="1" applyBorder="1" applyAlignment="1">
      <alignment horizontal="center" vertical="center"/>
    </xf>
    <xf numFmtId="2" fontId="17" fillId="11" borderId="28" xfId="16" applyNumberFormat="1" applyFont="1" applyFill="1" applyBorder="1" applyAlignment="1">
      <alignment horizontal="center" vertical="center"/>
    </xf>
    <xf numFmtId="17" fontId="17" fillId="24" borderId="46" xfId="16" applyNumberFormat="1" applyFont="1" applyFill="1" applyBorder="1" applyAlignment="1">
      <alignment horizontal="left" vertical="center"/>
    </xf>
    <xf numFmtId="1" fontId="2" fillId="2" borderId="46" xfId="16" applyNumberFormat="1" applyFont="1" applyFill="1" applyBorder="1" applyAlignment="1">
      <alignment vertical="center"/>
    </xf>
    <xf numFmtId="2" fontId="2" fillId="2" borderId="46" xfId="16" applyNumberFormat="1" applyFont="1" applyFill="1" applyBorder="1" applyAlignment="1">
      <alignment horizontal="center" vertical="center"/>
    </xf>
    <xf numFmtId="2" fontId="2" fillId="2" borderId="46" xfId="16" applyNumberFormat="1" applyFont="1" applyFill="1" applyBorder="1" applyAlignment="1">
      <alignment vertical="center"/>
    </xf>
    <xf numFmtId="180" fontId="2" fillId="2" borderId="46" xfId="36" applyFont="1" applyFill="1" applyBorder="1" applyAlignment="1">
      <alignment horizontal="right" vertical="center"/>
    </xf>
    <xf numFmtId="172" fontId="2" fillId="2" borderId="46" xfId="36" applyNumberFormat="1" applyFont="1" applyFill="1" applyBorder="1" applyAlignment="1">
      <alignment vertical="center"/>
    </xf>
    <xf numFmtId="180" fontId="2" fillId="2" borderId="46" xfId="36" applyNumberFormat="1" applyFont="1" applyFill="1" applyBorder="1" applyAlignment="1">
      <alignment horizontal="center" vertical="center"/>
    </xf>
    <xf numFmtId="180" fontId="2" fillId="2" borderId="46" xfId="36" applyNumberFormat="1" applyFont="1" applyFill="1" applyBorder="1" applyAlignment="1">
      <alignment vertical="center"/>
    </xf>
    <xf numFmtId="0" fontId="2" fillId="2" borderId="46" xfId="16" applyFont="1" applyFill="1" applyBorder="1" applyAlignment="1">
      <alignment vertical="center"/>
    </xf>
    <xf numFmtId="1" fontId="2" fillId="2" borderId="46" xfId="16" applyNumberFormat="1" applyFont="1" applyFill="1" applyBorder="1" applyAlignment="1">
      <alignment horizontal="center" vertical="center"/>
    </xf>
    <xf numFmtId="180" fontId="2" fillId="2" borderId="46" xfId="36" applyFont="1" applyFill="1" applyBorder="1" applyAlignment="1">
      <alignment horizontal="center" vertical="center"/>
    </xf>
    <xf numFmtId="172" fontId="2" fillId="2" borderId="46" xfId="36" applyNumberFormat="1" applyFont="1" applyFill="1" applyBorder="1" applyAlignment="1">
      <alignment horizontal="center" vertical="center"/>
    </xf>
    <xf numFmtId="1" fontId="2" fillId="2" borderId="5" xfId="16" applyNumberFormat="1" applyFont="1" applyFill="1" applyBorder="1" applyAlignment="1">
      <alignment horizontal="center" vertical="center"/>
    </xf>
    <xf numFmtId="17" fontId="17" fillId="24" borderId="5" xfId="16" applyNumberFormat="1" applyFont="1" applyFill="1" applyBorder="1" applyAlignment="1">
      <alignment horizontal="left" vertical="center"/>
    </xf>
    <xf numFmtId="172" fontId="2" fillId="2" borderId="20" xfId="36" applyNumberFormat="1" applyFont="1" applyFill="1" applyBorder="1" applyAlignment="1">
      <alignment horizontal="center" vertical="center"/>
    </xf>
    <xf numFmtId="180" fontId="2" fillId="2" borderId="46" xfId="36" applyNumberFormat="1" applyFont="1" applyFill="1" applyBorder="1" applyAlignment="1">
      <alignment horizontal="right" vertical="center"/>
    </xf>
    <xf numFmtId="172" fontId="2" fillId="2" borderId="20" xfId="36" applyNumberFormat="1" applyFont="1" applyFill="1" applyBorder="1" applyAlignment="1">
      <alignment vertical="center"/>
    </xf>
    <xf numFmtId="17" fontId="17" fillId="11" borderId="46" xfId="16" applyNumberFormat="1" applyFont="1" applyFill="1" applyBorder="1" applyAlignment="1">
      <alignment horizontal="left" vertical="center"/>
    </xf>
    <xf numFmtId="0" fontId="2" fillId="2" borderId="0" xfId="16" applyFont="1" applyFill="1" applyBorder="1" applyAlignment="1">
      <alignment vertical="center"/>
    </xf>
    <xf numFmtId="17" fontId="17" fillId="11" borderId="103" xfId="16" applyNumberFormat="1" applyFont="1" applyFill="1" applyBorder="1" applyAlignment="1">
      <alignment horizontal="left" vertical="center"/>
    </xf>
    <xf numFmtId="1" fontId="2" fillId="0" borderId="103" xfId="16" applyNumberFormat="1" applyFont="1" applyFill="1" applyBorder="1" applyAlignment="1">
      <alignment horizontal="center" vertical="center"/>
    </xf>
    <xf numFmtId="180" fontId="2" fillId="0" borderId="103" xfId="36" applyNumberFormat="1" applyFont="1" applyFill="1" applyBorder="1" applyAlignment="1">
      <alignment horizontal="center" vertical="center"/>
    </xf>
    <xf numFmtId="180" fontId="2" fillId="0" borderId="103" xfId="36" applyNumberFormat="1" applyFont="1" applyFill="1" applyBorder="1" applyAlignment="1">
      <alignment vertical="center"/>
    </xf>
    <xf numFmtId="180" fontId="2" fillId="0" borderId="103" xfId="36" applyFont="1" applyFill="1" applyBorder="1" applyAlignment="1">
      <alignment horizontal="right" vertical="center"/>
    </xf>
    <xf numFmtId="172" fontId="2" fillId="0" borderId="103" xfId="36" applyNumberFormat="1" applyFont="1" applyFill="1" applyBorder="1" applyAlignment="1">
      <alignment vertical="center"/>
    </xf>
    <xf numFmtId="0" fontId="2" fillId="0" borderId="27" xfId="16" applyFont="1" applyFill="1" applyBorder="1" applyAlignment="1">
      <alignment vertical="center"/>
    </xf>
    <xf numFmtId="0" fontId="2" fillId="2" borderId="27" xfId="16" applyFont="1" applyFill="1" applyBorder="1" applyAlignment="1">
      <alignment vertical="center"/>
    </xf>
    <xf numFmtId="1" fontId="2" fillId="0" borderId="0" xfId="16" applyNumberFormat="1" applyFont="1" applyFill="1" applyBorder="1" applyAlignment="1">
      <alignment horizontal="center" vertical="center"/>
    </xf>
    <xf numFmtId="180" fontId="2" fillId="0" borderId="0" xfId="36" applyNumberFormat="1" applyFont="1" applyFill="1" applyBorder="1" applyAlignment="1">
      <alignment horizontal="center" vertical="center"/>
    </xf>
    <xf numFmtId="180" fontId="2" fillId="0" borderId="0" xfId="36" applyNumberFormat="1" applyFont="1" applyFill="1" applyBorder="1" applyAlignment="1">
      <alignment vertical="center"/>
    </xf>
    <xf numFmtId="180" fontId="2" fillId="0" borderId="0" xfId="36" applyFont="1" applyFill="1" applyBorder="1" applyAlignment="1">
      <alignment horizontal="right" vertical="center"/>
    </xf>
    <xf numFmtId="172" fontId="2" fillId="0" borderId="0" xfId="36" applyNumberFormat="1" applyFont="1" applyFill="1" applyBorder="1" applyAlignment="1">
      <alignment vertical="center"/>
    </xf>
    <xf numFmtId="0" fontId="140" fillId="2" borderId="0" xfId="16" applyFont="1" applyFill="1" applyBorder="1" applyAlignment="1">
      <alignment vertical="center"/>
    </xf>
    <xf numFmtId="0" fontId="43" fillId="2" borderId="0" xfId="16" applyFont="1" applyFill="1" applyBorder="1" applyAlignment="1">
      <alignment vertical="center"/>
    </xf>
    <xf numFmtId="0" fontId="43" fillId="2" borderId="0" xfId="16" applyFont="1" applyFill="1" applyBorder="1" applyAlignment="1">
      <alignment horizontal="center" vertical="center"/>
    </xf>
    <xf numFmtId="2" fontId="43" fillId="2" borderId="0" xfId="16" applyNumberFormat="1" applyFont="1" applyFill="1" applyBorder="1" applyAlignment="1">
      <alignment vertical="center"/>
    </xf>
    <xf numFmtId="0" fontId="43" fillId="2" borderId="0" xfId="16" applyFont="1" applyFill="1" applyAlignment="1">
      <alignment vertical="center"/>
    </xf>
    <xf numFmtId="0" fontId="42" fillId="2" borderId="0" xfId="16" applyFont="1" applyFill="1" applyAlignment="1">
      <alignment vertical="center"/>
    </xf>
    <xf numFmtId="0" fontId="42" fillId="2" borderId="0" xfId="16" applyFont="1" applyFill="1" applyAlignment="1">
      <alignment horizontal="center" vertical="center"/>
    </xf>
    <xf numFmtId="0" fontId="43" fillId="2" borderId="0" xfId="16" applyFont="1" applyFill="1" applyAlignment="1">
      <alignment horizontal="center" vertical="center"/>
    </xf>
    <xf numFmtId="0" fontId="35" fillId="2" borderId="0" xfId="16" applyFill="1" applyAlignment="1">
      <alignment horizontal="left" vertical="center" wrapText="1"/>
    </xf>
    <xf numFmtId="3" fontId="20" fillId="2" borderId="0" xfId="16" applyNumberFormat="1" applyFont="1" applyFill="1" applyAlignment="1">
      <alignment horizontal="left" vertical="center" wrapText="1"/>
    </xf>
    <xf numFmtId="3" fontId="17" fillId="2" borderId="0" xfId="16" applyNumberFormat="1" applyFont="1" applyFill="1" applyAlignment="1">
      <alignment vertical="center"/>
    </xf>
    <xf numFmtId="3" fontId="17" fillId="2" borderId="0" xfId="16" applyNumberFormat="1" applyFont="1" applyFill="1" applyAlignment="1">
      <alignment horizontal="center" vertical="center"/>
    </xf>
    <xf numFmtId="0" fontId="34" fillId="2" borderId="0" xfId="16" applyFont="1" applyFill="1" applyBorder="1" applyAlignment="1">
      <alignment horizontal="center" vertical="center"/>
    </xf>
    <xf numFmtId="3" fontId="20" fillId="11" borderId="1" xfId="16" applyNumberFormat="1" applyFont="1" applyFill="1" applyBorder="1" applyAlignment="1">
      <alignment horizontal="center" vertical="center"/>
    </xf>
    <xf numFmtId="3" fontId="20" fillId="11" borderId="1" xfId="16" applyNumberFormat="1" applyFont="1" applyFill="1" applyBorder="1" applyAlignment="1">
      <alignment horizontal="center" vertical="center" wrapText="1"/>
    </xf>
    <xf numFmtId="170" fontId="2" fillId="2" borderId="46" xfId="16" applyNumberFormat="1" applyFont="1" applyFill="1" applyBorder="1" applyAlignment="1">
      <alignment horizontal="right" vertical="center"/>
    </xf>
    <xf numFmtId="170" fontId="2" fillId="2" borderId="0" xfId="16" applyNumberFormat="1" applyFont="1" applyFill="1" applyAlignment="1">
      <alignment horizontal="center" vertical="center"/>
    </xf>
    <xf numFmtId="3" fontId="2" fillId="2" borderId="46" xfId="16" quotePrefix="1" applyNumberFormat="1" applyFont="1" applyFill="1" applyBorder="1" applyAlignment="1">
      <alignment horizontal="center" vertical="center"/>
    </xf>
    <xf numFmtId="3" fontId="2" fillId="2" borderId="5" xfId="16" quotePrefix="1" applyNumberFormat="1" applyFont="1" applyFill="1" applyBorder="1" applyAlignment="1">
      <alignment horizontal="center" vertical="center"/>
    </xf>
    <xf numFmtId="3" fontId="2" fillId="2" borderId="0" xfId="16" applyNumberFormat="1" applyFont="1" applyFill="1" applyBorder="1" applyAlignment="1">
      <alignment vertical="center"/>
    </xf>
    <xf numFmtId="4" fontId="2" fillId="2" borderId="0" xfId="16" applyNumberFormat="1" applyFont="1" applyFill="1" applyBorder="1" applyAlignment="1">
      <alignment vertical="center"/>
    </xf>
    <xf numFmtId="3" fontId="2" fillId="2" borderId="0" xfId="16" applyNumberFormat="1" applyFont="1" applyFill="1" applyAlignment="1">
      <alignment vertical="center"/>
    </xf>
    <xf numFmtId="170" fontId="2" fillId="2" borderId="20" xfId="16" applyNumberFormat="1" applyFont="1" applyFill="1" applyBorder="1" applyAlignment="1">
      <alignment horizontal="right" vertical="center"/>
    </xf>
    <xf numFmtId="170" fontId="2" fillId="2" borderId="46" xfId="16" applyNumberFormat="1" applyFont="1" applyFill="1" applyBorder="1" applyAlignment="1">
      <alignment horizontal="center" vertical="center"/>
    </xf>
    <xf numFmtId="170" fontId="2" fillId="2" borderId="20" xfId="16" applyNumberFormat="1" applyFont="1" applyFill="1" applyBorder="1" applyAlignment="1">
      <alignment horizontal="center" vertical="center"/>
    </xf>
    <xf numFmtId="170" fontId="2" fillId="2" borderId="0" xfId="16" applyNumberFormat="1" applyFont="1" applyFill="1" applyBorder="1" applyAlignment="1">
      <alignment vertical="center"/>
    </xf>
    <xf numFmtId="2" fontId="2" fillId="2" borderId="0" xfId="16" applyNumberFormat="1" applyFont="1" applyFill="1" applyAlignment="1">
      <alignment vertical="center"/>
    </xf>
    <xf numFmtId="170" fontId="2" fillId="2" borderId="46" xfId="16" quotePrefix="1" applyNumberFormat="1" applyFont="1" applyFill="1" applyBorder="1" applyAlignment="1">
      <alignment horizontal="center" vertical="center"/>
    </xf>
    <xf numFmtId="170" fontId="2" fillId="0" borderId="20" xfId="16" applyNumberFormat="1" applyFont="1" applyFill="1" applyBorder="1" applyAlignment="1">
      <alignment horizontal="center" vertical="center"/>
    </xf>
    <xf numFmtId="170" fontId="2" fillId="0" borderId="46" xfId="16" quotePrefix="1" applyNumberFormat="1" applyFont="1" applyFill="1" applyBorder="1" applyAlignment="1">
      <alignment horizontal="center" vertical="center"/>
    </xf>
    <xf numFmtId="3" fontId="20" fillId="11" borderId="1" xfId="16" applyNumberFormat="1" applyFont="1" applyFill="1" applyBorder="1" applyAlignment="1">
      <alignment horizontal="left" vertical="center"/>
    </xf>
    <xf numFmtId="170" fontId="17" fillId="11" borderId="1" xfId="16" quotePrefix="1" applyNumberFormat="1" applyFont="1" applyFill="1" applyBorder="1" applyAlignment="1">
      <alignment horizontal="center" vertical="center"/>
    </xf>
    <xf numFmtId="3" fontId="20" fillId="2" borderId="0" xfId="16" applyNumberFormat="1" applyFont="1" applyFill="1" applyBorder="1" applyAlignment="1">
      <alignment horizontal="left" vertical="center"/>
    </xf>
    <xf numFmtId="3" fontId="17" fillId="2" borderId="0" xfId="16" applyNumberFormat="1" applyFont="1" applyFill="1" applyBorder="1" applyAlignment="1">
      <alignment horizontal="center" vertical="center"/>
    </xf>
    <xf numFmtId="4" fontId="2" fillId="2" borderId="0" xfId="16" applyNumberFormat="1" applyFont="1" applyFill="1" applyAlignment="1">
      <alignment vertical="center"/>
    </xf>
    <xf numFmtId="0" fontId="19" fillId="2" borderId="0" xfId="16" applyFont="1" applyFill="1" applyAlignment="1">
      <alignment horizontal="center" vertical="center"/>
    </xf>
    <xf numFmtId="3" fontId="19" fillId="2" borderId="0" xfId="16" applyNumberFormat="1" applyFont="1" applyFill="1" applyAlignment="1">
      <alignment horizontal="center" vertical="center"/>
    </xf>
    <xf numFmtId="170" fontId="19" fillId="2" borderId="0" xfId="16" applyNumberFormat="1" applyFont="1" applyFill="1" applyAlignment="1">
      <alignment vertical="center"/>
    </xf>
    <xf numFmtId="4" fontId="2" fillId="2" borderId="0" xfId="16" applyNumberFormat="1" applyFont="1" applyFill="1" applyAlignment="1">
      <alignment horizontal="center" vertical="center"/>
    </xf>
    <xf numFmtId="3" fontId="19" fillId="2" borderId="0" xfId="16" applyNumberFormat="1" applyFont="1" applyFill="1" applyAlignment="1">
      <alignment vertical="center"/>
    </xf>
    <xf numFmtId="180" fontId="2" fillId="2" borderId="0" xfId="36" applyFont="1" applyFill="1" applyAlignment="1">
      <alignment vertical="center"/>
    </xf>
    <xf numFmtId="180" fontId="2" fillId="2" borderId="0" xfId="36" applyFont="1" applyFill="1" applyAlignment="1">
      <alignment horizontal="center" vertical="center"/>
    </xf>
    <xf numFmtId="4" fontId="2" fillId="2" borderId="0" xfId="16" applyNumberFormat="1" applyFont="1" applyFill="1" applyBorder="1" applyAlignment="1">
      <alignment horizontal="center" vertical="center"/>
    </xf>
    <xf numFmtId="0" fontId="35" fillId="2" borderId="0" xfId="16" applyFill="1" applyAlignment="1">
      <alignment vertical="center"/>
    </xf>
    <xf numFmtId="1" fontId="2" fillId="2" borderId="0" xfId="16" applyNumberFormat="1" applyFont="1" applyFill="1" applyBorder="1" applyAlignment="1">
      <alignment vertical="center"/>
    </xf>
    <xf numFmtId="2" fontId="2" fillId="2" borderId="0" xfId="16" applyNumberFormat="1" applyFont="1" applyFill="1" applyBorder="1" applyAlignment="1">
      <alignment horizontal="center" vertical="center"/>
    </xf>
    <xf numFmtId="2" fontId="2" fillId="2" borderId="0" xfId="16" applyNumberFormat="1" applyFont="1" applyFill="1" applyBorder="1" applyAlignment="1">
      <alignment vertical="center"/>
    </xf>
    <xf numFmtId="180" fontId="2" fillId="2" borderId="0" xfId="36" applyFont="1" applyFill="1" applyBorder="1" applyAlignment="1">
      <alignment horizontal="right" vertical="center"/>
    </xf>
    <xf numFmtId="172" fontId="2" fillId="2" borderId="0" xfId="36" applyNumberFormat="1" applyFont="1" applyFill="1" applyBorder="1" applyAlignment="1">
      <alignment vertical="center"/>
    </xf>
    <xf numFmtId="3" fontId="2" fillId="2" borderId="0" xfId="16" applyNumberFormat="1" applyFont="1" applyFill="1" applyAlignment="1">
      <alignment horizontal="center" vertical="center"/>
    </xf>
    <xf numFmtId="39" fontId="2" fillId="2" borderId="0" xfId="16" applyNumberFormat="1" applyFont="1" applyFill="1" applyAlignment="1">
      <alignment horizontal="center" vertical="center"/>
    </xf>
    <xf numFmtId="170" fontId="2" fillId="2" borderId="0" xfId="16" applyNumberFormat="1" applyFont="1" applyFill="1" applyAlignment="1">
      <alignment vertical="center"/>
    </xf>
    <xf numFmtId="204" fontId="2" fillId="2" borderId="0" xfId="16" applyNumberFormat="1" applyFont="1" applyFill="1" applyAlignment="1">
      <alignment vertical="center"/>
    </xf>
    <xf numFmtId="4" fontId="17" fillId="2" borderId="0" xfId="16" applyNumberFormat="1" applyFont="1" applyFill="1" applyAlignment="1">
      <alignment vertical="center"/>
    </xf>
    <xf numFmtId="180" fontId="2" fillId="2" borderId="0" xfId="36" applyNumberFormat="1" applyFont="1" applyFill="1" applyBorder="1" applyAlignment="1">
      <alignment horizontal="center" vertical="center"/>
    </xf>
    <xf numFmtId="0" fontId="20" fillId="0" borderId="0" xfId="44" applyFont="1" applyFill="1" applyAlignment="1" applyProtection="1">
      <alignment horizontal="left" vertical="center"/>
    </xf>
    <xf numFmtId="0" fontId="22" fillId="0" borderId="0" xfId="44" applyFont="1" applyFill="1" applyAlignment="1">
      <alignment horizontal="center" vertical="center"/>
    </xf>
    <xf numFmtId="0" fontId="22" fillId="0" borderId="0" xfId="44" applyFont="1" applyFill="1" applyAlignment="1">
      <alignment vertical="center"/>
    </xf>
    <xf numFmtId="0" fontId="22" fillId="0" borderId="0" xfId="44" applyFont="1" applyAlignment="1">
      <alignment vertical="center"/>
    </xf>
    <xf numFmtId="0" fontId="143" fillId="0" borderId="0" xfId="44" applyFont="1" applyAlignment="1">
      <alignment vertical="center"/>
    </xf>
    <xf numFmtId="0" fontId="2" fillId="0" borderId="0" xfId="44" applyFont="1" applyFill="1" applyAlignment="1">
      <alignment vertical="center"/>
    </xf>
    <xf numFmtId="0" fontId="2" fillId="0" borderId="0" xfId="44" applyFont="1" applyFill="1" applyAlignment="1">
      <alignment horizontal="center" vertical="center"/>
    </xf>
    <xf numFmtId="0" fontId="51" fillId="0" borderId="0" xfId="44" applyFont="1" applyAlignment="1">
      <alignment vertical="center"/>
    </xf>
    <xf numFmtId="0" fontId="144" fillId="0" borderId="0" xfId="44" applyFont="1" applyAlignment="1">
      <alignment vertical="center"/>
    </xf>
    <xf numFmtId="0" fontId="17" fillId="11" borderId="69" xfId="45" applyFont="1" applyFill="1" applyBorder="1" applyAlignment="1" applyProtection="1">
      <alignment horizontal="center" vertical="center"/>
    </xf>
    <xf numFmtId="0" fontId="17" fillId="25" borderId="72" xfId="45" applyFont="1" applyFill="1" applyBorder="1" applyAlignment="1" applyProtection="1">
      <alignment horizontal="center" vertical="center"/>
    </xf>
    <xf numFmtId="0" fontId="17" fillId="11" borderId="72" xfId="45" applyFont="1" applyFill="1" applyBorder="1" applyAlignment="1" applyProtection="1">
      <alignment horizontal="center" vertical="center"/>
    </xf>
    <xf numFmtId="0" fontId="17" fillId="11" borderId="74" xfId="45" applyFont="1" applyFill="1" applyBorder="1" applyAlignment="1" applyProtection="1">
      <alignment horizontal="center" vertical="center"/>
    </xf>
    <xf numFmtId="0" fontId="17" fillId="11" borderId="44" xfId="45" applyFont="1" applyFill="1" applyBorder="1" applyAlignment="1" applyProtection="1">
      <alignment horizontal="left" vertical="center"/>
    </xf>
    <xf numFmtId="164" fontId="2" fillId="0" borderId="46" xfId="45" applyNumberFormat="1" applyFont="1" applyFill="1" applyBorder="1" applyAlignment="1" applyProtection="1">
      <alignment horizontal="right" vertical="center"/>
    </xf>
    <xf numFmtId="164" fontId="2" fillId="0" borderId="33" xfId="45" applyNumberFormat="1" applyFont="1" applyFill="1" applyBorder="1" applyAlignment="1" applyProtection="1">
      <alignment horizontal="right" vertical="center"/>
    </xf>
    <xf numFmtId="164" fontId="144" fillId="0" borderId="0" xfId="44" applyNumberFormat="1" applyFont="1" applyAlignment="1">
      <alignment vertical="center"/>
    </xf>
    <xf numFmtId="0" fontId="141" fillId="0" borderId="46" xfId="44" applyBorder="1" applyAlignment="1">
      <alignment vertical="center"/>
    </xf>
    <xf numFmtId="0" fontId="141" fillId="0" borderId="33" xfId="44" applyBorder="1" applyAlignment="1">
      <alignment vertical="center"/>
    </xf>
    <xf numFmtId="164" fontId="17" fillId="0" borderId="46" xfId="45" applyNumberFormat="1" applyFont="1" applyFill="1" applyBorder="1" applyAlignment="1" applyProtection="1">
      <alignment horizontal="right" vertical="center"/>
    </xf>
    <xf numFmtId="164" fontId="17" fillId="0" borderId="33" xfId="45" applyNumberFormat="1" applyFont="1" applyFill="1" applyBorder="1" applyAlignment="1" applyProtection="1">
      <alignment horizontal="right" vertical="center"/>
    </xf>
    <xf numFmtId="0" fontId="41" fillId="11" borderId="44" xfId="45" applyFont="1" applyFill="1" applyBorder="1" applyAlignment="1" applyProtection="1">
      <alignment horizontal="left" vertical="center"/>
    </xf>
    <xf numFmtId="205" fontId="17" fillId="0" borderId="46" xfId="45" quotePrefix="1" applyNumberFormat="1" applyFont="1" applyFill="1" applyBorder="1" applyAlignment="1">
      <alignment horizontal="right" vertical="center"/>
    </xf>
    <xf numFmtId="205" fontId="17" fillId="0" borderId="33" xfId="45" quotePrefix="1" applyNumberFormat="1" applyFont="1" applyFill="1" applyBorder="1" applyAlignment="1">
      <alignment horizontal="right" vertical="center"/>
    </xf>
    <xf numFmtId="0" fontId="17" fillId="11" borderId="48" xfId="45" applyFont="1" applyFill="1" applyBorder="1" applyAlignment="1" applyProtection="1">
      <alignment horizontal="left" vertical="center"/>
    </xf>
    <xf numFmtId="205" fontId="17" fillId="0" borderId="53" xfId="45" quotePrefix="1" applyNumberFormat="1" applyFont="1" applyFill="1" applyBorder="1" applyAlignment="1">
      <alignment horizontal="right" vertical="center"/>
    </xf>
    <xf numFmtId="205" fontId="17" fillId="0" borderId="38" xfId="45" quotePrefix="1" applyNumberFormat="1" applyFont="1" applyFill="1" applyBorder="1" applyAlignment="1">
      <alignment horizontal="right" vertical="center"/>
    </xf>
    <xf numFmtId="0" fontId="50" fillId="0" borderId="0" xfId="45" applyFont="1" applyFill="1" applyAlignment="1" applyProtection="1">
      <alignment horizontal="left" vertical="center"/>
    </xf>
    <xf numFmtId="0" fontId="19" fillId="0" borderId="0" xfId="45" applyFont="1" applyFill="1" applyAlignment="1">
      <alignment vertical="center"/>
    </xf>
    <xf numFmtId="0" fontId="19" fillId="0" borderId="0" xfId="45" applyFont="1" applyAlignment="1">
      <alignment vertical="center"/>
    </xf>
    <xf numFmtId="0" fontId="141" fillId="0" borderId="0" xfId="44" applyAlignment="1">
      <alignment vertical="center"/>
    </xf>
    <xf numFmtId="0" fontId="7" fillId="0" borderId="0" xfId="44" applyFont="1" applyAlignment="1">
      <alignment vertical="center"/>
    </xf>
    <xf numFmtId="0" fontId="25" fillId="0" borderId="0" xfId="44" applyFont="1"/>
    <xf numFmtId="0" fontId="81" fillId="0" borderId="0" xfId="44" applyFont="1"/>
    <xf numFmtId="0" fontId="25" fillId="0" borderId="0" xfId="45" applyFont="1" applyAlignment="1" applyProtection="1">
      <alignment horizontal="left" vertical="center"/>
    </xf>
    <xf numFmtId="0" fontId="50" fillId="0" borderId="0" xfId="44" applyFont="1" applyFill="1" applyBorder="1" applyAlignment="1" applyProtection="1">
      <alignment horizontal="left" vertical="center"/>
    </xf>
    <xf numFmtId="0" fontId="19" fillId="0" borderId="0" xfId="44" applyFont="1" applyFill="1" applyBorder="1" applyAlignment="1">
      <alignment vertical="center"/>
    </xf>
    <xf numFmtId="0" fontId="19" fillId="0" borderId="0" xfId="44" applyFont="1" applyBorder="1" applyAlignment="1">
      <alignment vertical="center"/>
    </xf>
    <xf numFmtId="0" fontId="20" fillId="0" borderId="0" xfId="44" applyFont="1" applyFill="1" applyAlignment="1" applyProtection="1">
      <alignment horizontal="left"/>
    </xf>
    <xf numFmtId="0" fontId="40" fillId="0" borderId="0" xfId="44" applyFont="1" applyFill="1" applyAlignment="1" applyProtection="1">
      <alignment horizontal="left" vertical="center"/>
    </xf>
    <xf numFmtId="0" fontId="15" fillId="0" borderId="0" xfId="44" applyFont="1" applyAlignment="1">
      <alignment vertical="center"/>
    </xf>
    <xf numFmtId="164" fontId="15" fillId="0" borderId="0" xfId="44" applyNumberFormat="1" applyFont="1" applyAlignment="1">
      <alignment vertical="center"/>
    </xf>
    <xf numFmtId="0" fontId="2" fillId="0" borderId="0" xfId="44" applyFont="1" applyFill="1"/>
    <xf numFmtId="0" fontId="2" fillId="0" borderId="0" xfId="44" applyFont="1" applyFill="1" applyAlignment="1">
      <alignment horizontal="center"/>
    </xf>
    <xf numFmtId="0" fontId="105" fillId="0" borderId="0" xfId="44" applyFont="1"/>
    <xf numFmtId="0" fontId="141" fillId="0" borderId="0" xfId="44" applyFont="1"/>
    <xf numFmtId="179" fontId="141" fillId="0" borderId="0" xfId="46" applyNumberFormat="1" applyFont="1"/>
    <xf numFmtId="0" fontId="141" fillId="0" borderId="0" xfId="44"/>
    <xf numFmtId="0" fontId="17" fillId="11" borderId="69" xfId="44" applyFont="1" applyFill="1" applyBorder="1" applyAlignment="1" applyProtection="1">
      <alignment horizontal="center" vertical="center" wrapText="1"/>
    </xf>
    <xf numFmtId="164" fontId="2" fillId="3" borderId="46" xfId="44" applyNumberFormat="1" applyFont="1" applyFill="1" applyBorder="1" applyAlignment="1" applyProtection="1">
      <alignment horizontal="right"/>
    </xf>
    <xf numFmtId="0" fontId="17" fillId="11" borderId="72" xfId="44" applyFont="1" applyFill="1" applyBorder="1" applyAlignment="1" applyProtection="1">
      <alignment horizontal="center" vertical="center" wrapText="1"/>
    </xf>
    <xf numFmtId="0" fontId="17" fillId="11" borderId="73" xfId="44" applyFont="1" applyFill="1" applyBorder="1" applyAlignment="1" applyProtection="1">
      <alignment horizontal="center" vertical="center" wrapText="1"/>
    </xf>
    <xf numFmtId="0" fontId="17" fillId="11" borderId="228" xfId="44" applyFont="1" applyFill="1" applyBorder="1" applyAlignment="1" applyProtection="1">
      <alignment horizontal="center" vertical="center" wrapText="1"/>
    </xf>
    <xf numFmtId="0" fontId="141" fillId="0" borderId="0" xfId="44" applyFont="1" applyAlignment="1">
      <alignment vertical="center" wrapText="1"/>
    </xf>
    <xf numFmtId="0" fontId="51" fillId="0" borderId="0" xfId="44" applyFont="1" applyAlignment="1">
      <alignment vertical="center" wrapText="1"/>
    </xf>
    <xf numFmtId="0" fontId="144" fillId="0" borderId="0" xfId="44" applyFont="1" applyAlignment="1">
      <alignment vertical="center" wrapText="1"/>
    </xf>
    <xf numFmtId="17" fontId="17" fillId="11" borderId="44" xfId="44" applyNumberFormat="1" applyFont="1" applyFill="1" applyBorder="1" applyAlignment="1" applyProtection="1">
      <alignment horizontal="left"/>
    </xf>
    <xf numFmtId="164" fontId="2" fillId="0" borderId="46" xfId="44" applyNumberFormat="1" applyFont="1" applyFill="1" applyBorder="1" applyAlignment="1" applyProtection="1">
      <alignment horizontal="right"/>
    </xf>
    <xf numFmtId="164" fontId="2" fillId="0" borderId="0" xfId="44" applyNumberFormat="1" applyFont="1" applyFill="1" applyBorder="1" applyAlignment="1" applyProtection="1">
      <alignment horizontal="right"/>
    </xf>
    <xf numFmtId="164" fontId="2" fillId="0" borderId="57" xfId="44" applyNumberFormat="1" applyFont="1" applyFill="1" applyBorder="1" applyAlignment="1" applyProtection="1">
      <alignment horizontal="right"/>
    </xf>
    <xf numFmtId="164" fontId="2" fillId="0" borderId="20" xfId="44" applyNumberFormat="1" applyFont="1" applyFill="1" applyBorder="1" applyAlignment="1" applyProtection="1">
      <alignment horizontal="right"/>
    </xf>
    <xf numFmtId="0" fontId="17" fillId="11" borderId="48" xfId="44" applyFont="1" applyFill="1" applyBorder="1" applyAlignment="1" applyProtection="1">
      <alignment horizontal="left"/>
    </xf>
    <xf numFmtId="205" fontId="2" fillId="0" borderId="66" xfId="44" quotePrefix="1" applyNumberFormat="1" applyFont="1" applyFill="1" applyBorder="1" applyAlignment="1">
      <alignment horizontal="right"/>
    </xf>
    <xf numFmtId="205" fontId="2" fillId="0" borderId="53" xfId="44" quotePrefix="1" applyNumberFormat="1" applyFont="1" applyFill="1" applyBorder="1" applyAlignment="1">
      <alignment horizontal="right"/>
    </xf>
    <xf numFmtId="205" fontId="2" fillId="0" borderId="37" xfId="44" quotePrefix="1" applyNumberFormat="1" applyFont="1" applyFill="1" applyBorder="1" applyAlignment="1">
      <alignment horizontal="right"/>
    </xf>
    <xf numFmtId="205" fontId="2" fillId="0" borderId="64" xfId="44" quotePrefix="1" applyNumberFormat="1" applyFont="1" applyFill="1" applyBorder="1" applyAlignment="1">
      <alignment horizontal="right"/>
    </xf>
    <xf numFmtId="0" fontId="17" fillId="25" borderId="0" xfId="44" applyFont="1" applyFill="1" applyBorder="1" applyAlignment="1" applyProtection="1">
      <alignment horizontal="left"/>
    </xf>
    <xf numFmtId="205" fontId="2" fillId="0" borderId="0" xfId="44" quotePrefix="1" applyNumberFormat="1" applyFont="1" applyFill="1" applyBorder="1" applyAlignment="1">
      <alignment horizontal="right"/>
    </xf>
    <xf numFmtId="0" fontId="25" fillId="0" borderId="0" xfId="44" applyFont="1" applyFill="1"/>
    <xf numFmtId="0" fontId="25" fillId="0" borderId="0" xfId="44" applyFont="1" applyFill="1" applyAlignment="1">
      <alignment horizontal="center"/>
    </xf>
    <xf numFmtId="0" fontId="19" fillId="0" borderId="0" xfId="44" applyFont="1" applyFill="1" applyAlignment="1">
      <alignment vertical="center"/>
    </xf>
    <xf numFmtId="0" fontId="51" fillId="0" borderId="0" xfId="44" applyFont="1" applyFill="1" applyAlignment="1">
      <alignment vertical="center"/>
    </xf>
    <xf numFmtId="0" fontId="13" fillId="0" borderId="0" xfId="44" applyFont="1" applyFill="1" applyAlignment="1">
      <alignment horizontal="center"/>
    </xf>
    <xf numFmtId="0" fontId="50" fillId="0" borderId="0" xfId="44" applyFont="1"/>
    <xf numFmtId="0" fontId="19" fillId="0" borderId="0" xfId="44" applyFont="1" applyAlignment="1">
      <alignment vertical="center"/>
    </xf>
    <xf numFmtId="0" fontId="17" fillId="0" borderId="0" xfId="44" applyFont="1"/>
    <xf numFmtId="0" fontId="2" fillId="0" borderId="0" xfId="44" applyFont="1"/>
    <xf numFmtId="0" fontId="34" fillId="0" borderId="0" xfId="44" applyFont="1" applyAlignment="1">
      <alignment horizontal="center"/>
    </xf>
    <xf numFmtId="179" fontId="2" fillId="0" borderId="0" xfId="46" applyNumberFormat="1" applyFont="1"/>
    <xf numFmtId="0" fontId="4" fillId="0" borderId="0" xfId="44" applyFont="1" applyAlignment="1">
      <alignment vertical="center"/>
    </xf>
    <xf numFmtId="0" fontId="17" fillId="28" borderId="1" xfId="44" applyFont="1" applyFill="1" applyBorder="1" applyAlignment="1">
      <alignment horizontal="center" vertical="center"/>
    </xf>
    <xf numFmtId="0" fontId="2" fillId="0" borderId="0" xfId="44" applyFont="1" applyAlignment="1">
      <alignment vertical="center" wrapText="1"/>
    </xf>
    <xf numFmtId="183" fontId="17" fillId="11" borderId="46" xfId="44" applyNumberFormat="1" applyFont="1" applyFill="1" applyBorder="1" applyAlignment="1">
      <alignment horizontal="center" vertical="center"/>
    </xf>
    <xf numFmtId="0" fontId="2" fillId="0" borderId="0" xfId="44" applyFont="1" applyAlignment="1">
      <alignment vertical="center"/>
    </xf>
    <xf numFmtId="0" fontId="2" fillId="0" borderId="0" xfId="44" applyFont="1" applyBorder="1"/>
    <xf numFmtId="0" fontId="2" fillId="0" borderId="0" xfId="44" applyFont="1" applyBorder="1" applyAlignment="1">
      <alignment vertical="center"/>
    </xf>
    <xf numFmtId="0" fontId="4" fillId="0" borderId="0" xfId="44" applyFont="1" applyBorder="1" applyAlignment="1">
      <alignment vertical="center"/>
    </xf>
    <xf numFmtId="170" fontId="4" fillId="0" borderId="0" xfId="44" applyNumberFormat="1" applyFont="1" applyBorder="1" applyAlignment="1">
      <alignment vertical="center"/>
    </xf>
    <xf numFmtId="183" fontId="17" fillId="11" borderId="103" xfId="44" applyNumberFormat="1" applyFont="1" applyFill="1" applyBorder="1" applyAlignment="1">
      <alignment horizontal="center" vertical="center"/>
    </xf>
    <xf numFmtId="0" fontId="19" fillId="0" borderId="0" xfId="44" applyFont="1"/>
    <xf numFmtId="0" fontId="20" fillId="0" borderId="0" xfId="44" applyFont="1" applyAlignment="1">
      <alignment vertical="center"/>
    </xf>
    <xf numFmtId="0" fontId="40" fillId="0" borderId="0" xfId="44" applyFont="1" applyAlignment="1">
      <alignment vertical="center"/>
    </xf>
    <xf numFmtId="0" fontId="17" fillId="0" borderId="0" xfId="44" applyFont="1" applyFill="1" applyBorder="1" applyAlignment="1">
      <alignment vertical="center"/>
    </xf>
    <xf numFmtId="0" fontId="51" fillId="0" borderId="0" xfId="44" applyFont="1" applyFill="1" applyBorder="1" applyAlignment="1">
      <alignment vertical="center"/>
    </xf>
    <xf numFmtId="0" fontId="17" fillId="11" borderId="169" xfId="44" applyFont="1" applyFill="1" applyBorder="1" applyAlignment="1">
      <alignment horizontal="center" vertical="center"/>
    </xf>
    <xf numFmtId="0" fontId="17" fillId="11" borderId="137" xfId="44" applyFont="1" applyFill="1" applyBorder="1" applyAlignment="1">
      <alignment horizontal="center" vertical="center"/>
    </xf>
    <xf numFmtId="0" fontId="17" fillId="11" borderId="155" xfId="44" applyFont="1" applyFill="1" applyBorder="1" applyAlignment="1">
      <alignment horizontal="center" vertical="center"/>
    </xf>
    <xf numFmtId="0" fontId="17" fillId="11" borderId="156" xfId="44" applyFont="1" applyFill="1" applyBorder="1" applyAlignment="1">
      <alignment horizontal="center" vertical="center"/>
    </xf>
    <xf numFmtId="0" fontId="2" fillId="11" borderId="44" xfId="44" applyFont="1" applyFill="1" applyBorder="1" applyAlignment="1">
      <alignment vertical="center"/>
    </xf>
    <xf numFmtId="0" fontId="17" fillId="0" borderId="42" xfId="44" applyFont="1" applyFill="1" applyBorder="1" applyAlignment="1">
      <alignment horizontal="center" vertical="center"/>
    </xf>
    <xf numFmtId="0" fontId="17" fillId="0" borderId="0" xfId="44" applyFont="1" applyFill="1" applyBorder="1" applyAlignment="1">
      <alignment horizontal="center" vertical="center"/>
    </xf>
    <xf numFmtId="0" fontId="17" fillId="0" borderId="57" xfId="44" applyFont="1" applyFill="1" applyBorder="1" applyAlignment="1">
      <alignment horizontal="center" vertical="center"/>
    </xf>
    <xf numFmtId="0" fontId="17" fillId="0" borderId="5" xfId="44" applyFont="1" applyFill="1" applyBorder="1" applyAlignment="1">
      <alignment horizontal="center" vertical="center"/>
    </xf>
    <xf numFmtId="0" fontId="17" fillId="0" borderId="172" xfId="44" applyFont="1" applyFill="1" applyBorder="1" applyAlignment="1">
      <alignment horizontal="center" vertical="center"/>
    </xf>
    <xf numFmtId="0" fontId="17" fillId="0" borderId="65" xfId="44" applyFont="1" applyFill="1" applyBorder="1" applyAlignment="1">
      <alignment horizontal="center" vertical="center"/>
    </xf>
    <xf numFmtId="0" fontId="17" fillId="0" borderId="31" xfId="44" applyFont="1" applyFill="1" applyBorder="1" applyAlignment="1">
      <alignment horizontal="center" vertical="center"/>
    </xf>
    <xf numFmtId="0" fontId="17" fillId="11" borderId="44" xfId="44" applyFont="1" applyFill="1" applyBorder="1" applyAlignment="1" applyProtection="1">
      <alignment horizontal="left"/>
    </xf>
    <xf numFmtId="164" fontId="2" fillId="0" borderId="0" xfId="44" applyNumberFormat="1" applyFont="1" applyFill="1" applyBorder="1" applyAlignment="1">
      <alignment horizontal="right" vertical="center"/>
    </xf>
    <xf numFmtId="164" fontId="2" fillId="0" borderId="5" xfId="44" applyNumberFormat="1" applyFont="1" applyFill="1" applyBorder="1" applyAlignment="1">
      <alignment horizontal="right" vertical="center"/>
    </xf>
    <xf numFmtId="164" fontId="2" fillId="0" borderId="46" xfId="44" applyNumberFormat="1" applyFont="1" applyFill="1" applyBorder="1" applyAlignment="1">
      <alignment horizontal="right" vertical="center"/>
    </xf>
    <xf numFmtId="170" fontId="2" fillId="0" borderId="46" xfId="44" applyNumberFormat="1" applyFont="1" applyBorder="1" applyAlignment="1">
      <alignment horizontal="right" vertical="center"/>
    </xf>
    <xf numFmtId="170" fontId="2" fillId="0" borderId="57" xfId="44" applyNumberFormat="1" applyFont="1" applyBorder="1" applyAlignment="1">
      <alignment horizontal="right" vertical="center"/>
    </xf>
    <xf numFmtId="164" fontId="2" fillId="0" borderId="46" xfId="44" applyNumberFormat="1" applyFont="1" applyBorder="1" applyAlignment="1">
      <alignment horizontal="right" vertical="center"/>
    </xf>
    <xf numFmtId="164" fontId="2" fillId="0" borderId="5" xfId="44" applyNumberFormat="1" applyFont="1" applyBorder="1" applyAlignment="1">
      <alignment horizontal="right" vertical="center"/>
    </xf>
    <xf numFmtId="170" fontId="2" fillId="0" borderId="33" xfId="44" applyNumberFormat="1" applyFont="1" applyBorder="1" applyAlignment="1">
      <alignment horizontal="right" vertical="center"/>
    </xf>
    <xf numFmtId="170" fontId="4" fillId="0" borderId="0" xfId="44" applyNumberFormat="1" applyFont="1" applyAlignment="1">
      <alignment vertical="center"/>
    </xf>
    <xf numFmtId="164" fontId="4" fillId="0" borderId="0" xfId="44" applyNumberFormat="1" applyFont="1" applyAlignment="1">
      <alignment vertical="center"/>
    </xf>
    <xf numFmtId="0" fontId="2" fillId="0" borderId="46" xfId="44" applyFont="1" applyBorder="1" applyAlignment="1">
      <alignment horizontal="right" vertical="center"/>
    </xf>
    <xf numFmtId="0" fontId="4" fillId="0" borderId="57" xfId="44" applyFont="1" applyBorder="1" applyAlignment="1">
      <alignment vertical="center"/>
    </xf>
    <xf numFmtId="0" fontId="2" fillId="0" borderId="5" xfId="44" applyFont="1" applyBorder="1" applyAlignment="1">
      <alignment horizontal="right" vertical="center"/>
    </xf>
    <xf numFmtId="0" fontId="2" fillId="0" borderId="33" xfId="44" applyFont="1" applyBorder="1" applyAlignment="1">
      <alignment horizontal="right" vertical="center"/>
    </xf>
    <xf numFmtId="0" fontId="17" fillId="11" borderId="48" xfId="44" applyFont="1" applyFill="1" applyBorder="1" applyAlignment="1">
      <alignment horizontal="left" vertical="center"/>
    </xf>
    <xf numFmtId="164" fontId="17" fillId="25" borderId="68" xfId="44" applyNumberFormat="1" applyFont="1" applyFill="1" applyBorder="1" applyAlignment="1">
      <alignment horizontal="right" vertical="center"/>
    </xf>
    <xf numFmtId="170" fontId="17" fillId="25" borderId="68" xfId="44" applyNumberFormat="1" applyFont="1" applyFill="1" applyBorder="1" applyAlignment="1">
      <alignment horizontal="right" vertical="center"/>
    </xf>
    <xf numFmtId="170" fontId="17" fillId="25" borderId="64" xfId="44" applyNumberFormat="1" applyFont="1" applyFill="1" applyBorder="1" applyAlignment="1">
      <alignment horizontal="right" vertical="center"/>
    </xf>
    <xf numFmtId="0" fontId="25" fillId="0" borderId="0" xfId="44" applyFont="1" applyAlignment="1">
      <alignment vertical="center"/>
    </xf>
    <xf numFmtId="49" fontId="25" fillId="0" borderId="0" xfId="44" applyNumberFormat="1" applyFont="1" applyAlignment="1">
      <alignment vertical="center"/>
    </xf>
    <xf numFmtId="4" fontId="144" fillId="0" borderId="0" xfId="44" applyNumberFormat="1" applyFont="1" applyAlignment="1">
      <alignment vertical="center"/>
    </xf>
    <xf numFmtId="0" fontId="17" fillId="11" borderId="70" xfId="44" applyFont="1" applyFill="1" applyBorder="1" applyAlignment="1">
      <alignment horizontal="center" vertical="center"/>
    </xf>
    <xf numFmtId="0" fontId="17" fillId="11" borderId="72" xfId="44" applyFont="1" applyFill="1" applyBorder="1" applyAlignment="1">
      <alignment horizontal="center" vertical="center"/>
    </xf>
    <xf numFmtId="0" fontId="32" fillId="11" borderId="72" xfId="44" applyFont="1" applyFill="1" applyBorder="1" applyAlignment="1">
      <alignment horizontal="center" vertical="center"/>
    </xf>
    <xf numFmtId="0" fontId="32" fillId="11" borderId="228" xfId="44" applyFont="1" applyFill="1" applyBorder="1" applyAlignment="1">
      <alignment horizontal="center" vertical="center"/>
    </xf>
    <xf numFmtId="17" fontId="17" fillId="11" borderId="44" xfId="47" applyNumberFormat="1" applyFont="1" applyFill="1" applyBorder="1" applyAlignment="1" applyProtection="1">
      <alignment horizontal="left" vertical="center"/>
    </xf>
    <xf numFmtId="164" fontId="17" fillId="0" borderId="46" xfId="47" applyNumberFormat="1" applyFont="1" applyFill="1" applyBorder="1" applyAlignment="1" applyProtection="1">
      <alignment horizontal="center" vertical="center"/>
    </xf>
    <xf numFmtId="164" fontId="34" fillId="0" borderId="46" xfId="47" applyNumberFormat="1" applyFont="1" applyFill="1" applyBorder="1" applyAlignment="1" applyProtection="1">
      <alignment horizontal="center" vertical="center"/>
    </xf>
    <xf numFmtId="164" fontId="34" fillId="0" borderId="57" xfId="47" applyNumberFormat="1" applyFont="1" applyFill="1" applyBorder="1" applyAlignment="1" applyProtection="1">
      <alignment horizontal="center" vertical="center"/>
    </xf>
    <xf numFmtId="17" fontId="17" fillId="11" borderId="48" xfId="47" applyNumberFormat="1" applyFont="1" applyFill="1" applyBorder="1" applyAlignment="1" applyProtection="1">
      <alignment horizontal="left" vertical="center"/>
    </xf>
    <xf numFmtId="164" fontId="17" fillId="0" borderId="67" xfId="47" applyNumberFormat="1" applyFont="1" applyFill="1" applyBorder="1" applyAlignment="1" applyProtection="1">
      <alignment horizontal="center" vertical="center"/>
    </xf>
    <xf numFmtId="164" fontId="34" fillId="0" borderId="53" xfId="47" applyNumberFormat="1" applyFont="1" applyFill="1" applyBorder="1" applyAlignment="1" applyProtection="1">
      <alignment horizontal="center" vertical="center"/>
    </xf>
    <xf numFmtId="164" fontId="34" fillId="0" borderId="64" xfId="47" applyNumberFormat="1" applyFont="1" applyFill="1" applyBorder="1" applyAlignment="1" applyProtection="1">
      <alignment horizontal="center" vertical="center"/>
    </xf>
    <xf numFmtId="0" fontId="145" fillId="0" borderId="0" xfId="16" applyFont="1" applyFill="1" applyBorder="1" applyAlignment="1">
      <alignment vertical="center"/>
    </xf>
    <xf numFmtId="0" fontId="146" fillId="0" borderId="0" xfId="16" applyFont="1" applyAlignment="1">
      <alignment vertical="center"/>
    </xf>
    <xf numFmtId="0" fontId="145" fillId="0" borderId="0" xfId="16" applyFont="1" applyAlignment="1">
      <alignment vertical="center"/>
    </xf>
    <xf numFmtId="0" fontId="145" fillId="0" borderId="0" xfId="16" applyFont="1" applyFill="1" applyBorder="1" applyAlignment="1">
      <alignment horizontal="center" vertical="center"/>
    </xf>
    <xf numFmtId="0" fontId="37" fillId="5" borderId="39" xfId="16" applyFont="1" applyFill="1" applyBorder="1" applyAlignment="1">
      <alignment horizontal="center" vertical="center"/>
    </xf>
    <xf numFmtId="0" fontId="76" fillId="5" borderId="65" xfId="16" applyFont="1" applyFill="1" applyBorder="1" applyAlignment="1">
      <alignment horizontal="center" vertical="center"/>
    </xf>
    <xf numFmtId="0" fontId="76" fillId="5" borderId="42" xfId="16" applyFont="1" applyFill="1" applyBorder="1" applyAlignment="1">
      <alignment horizontal="center" vertical="center"/>
    </xf>
    <xf numFmtId="0" fontId="76" fillId="5" borderId="135" xfId="16" applyFont="1" applyFill="1" applyBorder="1" applyAlignment="1">
      <alignment horizontal="centerContinuous" vertical="center"/>
    </xf>
    <xf numFmtId="0" fontId="37" fillId="5" borderId="44" xfId="16" applyFont="1" applyFill="1" applyBorder="1" applyAlignment="1">
      <alignment horizontal="center" vertical="center"/>
    </xf>
    <xf numFmtId="0" fontId="76" fillId="5" borderId="66" xfId="16" applyFont="1" applyFill="1" applyBorder="1" applyAlignment="1">
      <alignment horizontal="center" vertical="center"/>
    </xf>
    <xf numFmtId="0" fontId="76" fillId="5" borderId="46" xfId="16" applyFont="1" applyFill="1" applyBorder="1" applyAlignment="1">
      <alignment horizontal="center" vertical="center"/>
    </xf>
    <xf numFmtId="0" fontId="76" fillId="5" borderId="66" xfId="16" applyFont="1" applyFill="1" applyBorder="1" applyAlignment="1">
      <alignment vertical="center"/>
    </xf>
    <xf numFmtId="0" fontId="100" fillId="5" borderId="48" xfId="16" applyFont="1" applyFill="1" applyBorder="1" applyAlignment="1">
      <alignment horizontal="center" vertical="center"/>
    </xf>
    <xf numFmtId="0" fontId="100" fillId="5" borderId="67" xfId="16" applyFont="1" applyFill="1" applyBorder="1" applyAlignment="1">
      <alignment horizontal="center" vertical="center"/>
    </xf>
    <xf numFmtId="0" fontId="100" fillId="5" borderId="53" xfId="16" applyFont="1" applyFill="1" applyBorder="1" applyAlignment="1">
      <alignment horizontal="center" vertical="center"/>
    </xf>
    <xf numFmtId="0" fontId="100" fillId="0" borderId="0" xfId="16" applyFont="1" applyAlignment="1">
      <alignment horizontal="center" vertical="center"/>
    </xf>
    <xf numFmtId="174" fontId="37" fillId="5" borderId="44" xfId="16" applyNumberFormat="1" applyFont="1" applyFill="1" applyBorder="1" applyAlignment="1">
      <alignment horizontal="center" vertical="center"/>
    </xf>
    <xf numFmtId="0" fontId="37" fillId="0" borderId="65" xfId="16" applyFont="1" applyFill="1" applyBorder="1" applyAlignment="1">
      <alignment horizontal="center" vertical="center"/>
    </xf>
    <xf numFmtId="2" fontId="33" fillId="0" borderId="42" xfId="16" applyNumberFormat="1" applyFont="1" applyBorder="1" applyAlignment="1">
      <alignment horizontal="center" vertical="center"/>
    </xf>
    <xf numFmtId="16" fontId="37" fillId="5" borderId="44" xfId="16" applyNumberFormat="1" applyFont="1" applyFill="1" applyBorder="1" applyAlignment="1">
      <alignment horizontal="center" vertical="center"/>
    </xf>
    <xf numFmtId="2" fontId="33" fillId="0" borderId="66" xfId="16" applyNumberFormat="1" applyFont="1" applyBorder="1" applyAlignment="1">
      <alignment horizontal="center" vertical="center"/>
    </xf>
    <xf numFmtId="2" fontId="33" fillId="0" borderId="46" xfId="16" applyNumberFormat="1" applyFont="1" applyBorder="1" applyAlignment="1">
      <alignment horizontal="center" vertical="center"/>
    </xf>
    <xf numFmtId="4" fontId="33" fillId="0" borderId="46" xfId="16" applyNumberFormat="1" applyFont="1" applyBorder="1" applyAlignment="1">
      <alignment horizontal="center" vertical="center"/>
    </xf>
    <xf numFmtId="207" fontId="37" fillId="5" borderId="144" xfId="16" applyNumberFormat="1" applyFont="1" applyFill="1" applyBorder="1" applyAlignment="1">
      <alignment horizontal="center" vertical="center"/>
    </xf>
    <xf numFmtId="2" fontId="33" fillId="0" borderId="232" xfId="16" applyNumberFormat="1" applyFont="1" applyBorder="1" applyAlignment="1">
      <alignment horizontal="center" vertical="center"/>
    </xf>
    <xf numFmtId="2" fontId="33" fillId="0" borderId="145" xfId="16" applyNumberFormat="1" applyFont="1" applyBorder="1" applyAlignment="1">
      <alignment horizontal="center" vertical="center"/>
    </xf>
    <xf numFmtId="17" fontId="37" fillId="5" borderId="158" xfId="16" quotePrefix="1" applyNumberFormat="1" applyFont="1" applyFill="1" applyBorder="1" applyAlignment="1">
      <alignment horizontal="center" vertical="center"/>
    </xf>
    <xf numFmtId="17" fontId="37" fillId="5" borderId="48" xfId="16" applyNumberFormat="1" applyFont="1" applyFill="1" applyBorder="1" applyAlignment="1">
      <alignment horizontal="center" vertical="center"/>
    </xf>
    <xf numFmtId="2" fontId="33" fillId="0" borderId="67" xfId="16" applyNumberFormat="1" applyFont="1" applyBorder="1" applyAlignment="1">
      <alignment horizontal="center" vertical="center"/>
    </xf>
    <xf numFmtId="2" fontId="33" fillId="0" borderId="53" xfId="16" applyNumberFormat="1" applyFont="1" applyBorder="1" applyAlignment="1">
      <alignment horizontal="center" vertical="center"/>
    </xf>
    <xf numFmtId="17" fontId="112" fillId="0" borderId="0" xfId="16" applyNumberFormat="1" applyFont="1" applyFill="1" applyBorder="1" applyAlignment="1">
      <alignment horizontal="left" vertical="center"/>
    </xf>
    <xf numFmtId="2" fontId="145" fillId="0" borderId="0" xfId="16" applyNumberFormat="1" applyFont="1" applyFill="1" applyBorder="1" applyAlignment="1">
      <alignment vertical="center"/>
    </xf>
    <xf numFmtId="0" fontId="145" fillId="0" borderId="0" xfId="16" applyFont="1" applyFill="1" applyBorder="1" applyAlignment="1">
      <alignment horizontal="right" vertical="center"/>
    </xf>
    <xf numFmtId="17" fontId="81" fillId="0" borderId="0" xfId="16" applyNumberFormat="1" applyFont="1" applyFill="1" applyBorder="1" applyAlignment="1">
      <alignment horizontal="left" vertical="center"/>
    </xf>
    <xf numFmtId="0" fontId="81" fillId="0" borderId="0" xfId="16" applyFont="1" applyAlignment="1">
      <alignment horizontal="left" vertical="center"/>
    </xf>
    <xf numFmtId="2" fontId="148" fillId="0" borderId="0" xfId="16" applyNumberFormat="1" applyFont="1" applyFill="1" applyBorder="1" applyAlignment="1">
      <alignment vertical="center"/>
    </xf>
    <xf numFmtId="15" fontId="81" fillId="0" borderId="0" xfId="16" applyNumberFormat="1" applyFont="1" applyAlignment="1">
      <alignment horizontal="left" vertical="center"/>
    </xf>
    <xf numFmtId="0" fontId="148" fillId="0" borderId="0" xfId="16" applyFont="1" applyAlignment="1">
      <alignment vertical="center"/>
    </xf>
    <xf numFmtId="0" fontId="148" fillId="0" borderId="0" xfId="16" applyFont="1" applyAlignment="1">
      <alignment horizontal="right" vertical="center"/>
    </xf>
    <xf numFmtId="15" fontId="148" fillId="0" borderId="0" xfId="16" applyNumberFormat="1" applyFont="1" applyAlignment="1">
      <alignment horizontal="right" vertical="center"/>
    </xf>
    <xf numFmtId="0" fontId="38" fillId="0" borderId="0" xfId="16" applyFont="1" applyAlignment="1">
      <alignment horizontal="left" vertical="center"/>
    </xf>
    <xf numFmtId="0" fontId="68" fillId="0" borderId="0" xfId="16" applyFont="1" applyFill="1" applyAlignment="1">
      <alignment horizontal="left" vertical="center"/>
    </xf>
    <xf numFmtId="0" fontId="145" fillId="0" borderId="0" xfId="16" applyFont="1" applyFill="1" applyAlignment="1">
      <alignment vertical="center"/>
    </xf>
    <xf numFmtId="0" fontId="146" fillId="0" borderId="0" xfId="16" applyFont="1" applyFill="1" applyAlignment="1">
      <alignment vertical="center"/>
    </xf>
    <xf numFmtId="0" fontId="145" fillId="0" borderId="0" xfId="16" applyFont="1" applyFill="1" applyAlignment="1">
      <alignment horizontal="center" vertical="center"/>
    </xf>
    <xf numFmtId="0" fontId="37" fillId="5" borderId="160" xfId="16" applyFont="1" applyFill="1" applyBorder="1" applyAlignment="1">
      <alignment horizontal="center" vertical="center"/>
    </xf>
    <xf numFmtId="0" fontId="76" fillId="5" borderId="18" xfId="16" applyFont="1" applyFill="1" applyBorder="1" applyAlignment="1">
      <alignment horizontal="center" vertical="center"/>
    </xf>
    <xf numFmtId="0" fontId="76" fillId="5" borderId="10" xfId="16" applyFont="1" applyFill="1" applyBorder="1" applyAlignment="1">
      <alignment horizontal="center" vertical="center"/>
    </xf>
    <xf numFmtId="0" fontId="76" fillId="5" borderId="17" xfId="16" applyFont="1" applyFill="1" applyBorder="1" applyAlignment="1">
      <alignment horizontal="center" vertical="center"/>
    </xf>
    <xf numFmtId="0" fontId="76" fillId="5" borderId="235" xfId="16" applyFont="1" applyFill="1" applyBorder="1" applyAlignment="1">
      <alignment horizontal="center" vertical="center"/>
    </xf>
    <xf numFmtId="0" fontId="76" fillId="5" borderId="19" xfId="16" applyFont="1" applyFill="1" applyBorder="1" applyAlignment="1">
      <alignment horizontal="center" vertical="center"/>
    </xf>
    <xf numFmtId="0" fontId="76" fillId="5" borderId="127" xfId="16" applyFont="1" applyFill="1" applyBorder="1" applyAlignment="1">
      <alignment horizontal="center" vertical="center"/>
    </xf>
    <xf numFmtId="0" fontId="96" fillId="5" borderId="127" xfId="16" applyFont="1" applyFill="1" applyBorder="1" applyAlignment="1">
      <alignment horizontal="center" vertical="center"/>
    </xf>
    <xf numFmtId="0" fontId="37" fillId="5" borderId="57" xfId="16" applyFont="1" applyFill="1" applyBorder="1" applyAlignment="1">
      <alignment horizontal="center" vertical="center"/>
    </xf>
    <xf numFmtId="0" fontId="76" fillId="5" borderId="0" xfId="16" applyFont="1" applyFill="1" applyBorder="1" applyAlignment="1">
      <alignment horizontal="center" vertical="center"/>
    </xf>
    <xf numFmtId="0" fontId="76" fillId="5" borderId="9" xfId="16" applyFont="1" applyFill="1" applyBorder="1" applyAlignment="1">
      <alignment horizontal="center" vertical="center"/>
    </xf>
    <xf numFmtId="0" fontId="76" fillId="5" borderId="5" xfId="16" applyFont="1" applyFill="1" applyBorder="1" applyAlignment="1">
      <alignment horizontal="center" vertical="center"/>
    </xf>
    <xf numFmtId="0" fontId="76" fillId="5" borderId="236" xfId="16" applyFont="1" applyFill="1" applyBorder="1" applyAlignment="1">
      <alignment horizontal="center" vertical="center"/>
    </xf>
    <xf numFmtId="0" fontId="76" fillId="5" borderId="20" xfId="16" applyFont="1" applyFill="1" applyBorder="1" applyAlignment="1">
      <alignment horizontal="center" vertical="center"/>
    </xf>
    <xf numFmtId="0" fontId="96" fillId="5" borderId="46" xfId="16" applyFont="1" applyFill="1" applyBorder="1" applyAlignment="1">
      <alignment horizontal="center" vertical="center"/>
    </xf>
    <xf numFmtId="0" fontId="38" fillId="5" borderId="57" xfId="16" applyFont="1" applyFill="1" applyBorder="1" applyAlignment="1">
      <alignment horizontal="center" vertical="center"/>
    </xf>
    <xf numFmtId="0" fontId="149" fillId="5" borderId="64" xfId="16" applyFont="1" applyFill="1" applyBorder="1" applyAlignment="1">
      <alignment horizontal="center" vertical="center"/>
    </xf>
    <xf numFmtId="0" fontId="151" fillId="0" borderId="0" xfId="16" applyFont="1" applyAlignment="1">
      <alignment vertical="center"/>
    </xf>
    <xf numFmtId="0" fontId="152" fillId="5" borderId="57" xfId="16" applyFont="1" applyFill="1" applyBorder="1" applyAlignment="1">
      <alignment horizontal="center" vertical="center"/>
    </xf>
    <xf numFmtId="0" fontId="152" fillId="0" borderId="0" xfId="16" applyFont="1" applyFill="1" applyBorder="1" applyAlignment="1">
      <alignment horizontal="center" vertical="center"/>
    </xf>
    <xf numFmtId="0" fontId="152" fillId="0" borderId="9" xfId="16" applyFont="1" applyFill="1" applyBorder="1" applyAlignment="1">
      <alignment horizontal="center" vertical="center"/>
    </xf>
    <xf numFmtId="0" fontId="152" fillId="0" borderId="5" xfId="16" applyFont="1" applyFill="1" applyBorder="1" applyAlignment="1">
      <alignment horizontal="center" vertical="center"/>
    </xf>
    <xf numFmtId="0" fontId="152" fillId="0" borderId="236" xfId="16" applyFont="1" applyFill="1" applyBorder="1" applyAlignment="1">
      <alignment horizontal="center" vertical="center"/>
    </xf>
    <xf numFmtId="0" fontId="152" fillId="0" borderId="20" xfId="16" applyFont="1" applyFill="1" applyBorder="1" applyAlignment="1">
      <alignment horizontal="center" vertical="center"/>
    </xf>
    <xf numFmtId="0" fontId="152" fillId="0" borderId="46" xfId="16" applyFont="1" applyFill="1" applyBorder="1" applyAlignment="1">
      <alignment horizontal="center" vertical="center"/>
    </xf>
    <xf numFmtId="17" fontId="23" fillId="5" borderId="57" xfId="16" applyNumberFormat="1" applyFont="1" applyFill="1" applyBorder="1" applyAlignment="1">
      <alignment horizontal="center" vertical="center"/>
    </xf>
    <xf numFmtId="164" fontId="19" fillId="0" borderId="0" xfId="16" applyNumberFormat="1" applyFont="1" applyFill="1" applyBorder="1" applyAlignment="1">
      <alignment horizontal="right" vertical="center"/>
    </xf>
    <xf numFmtId="164" fontId="19" fillId="0" borderId="9" xfId="16" applyNumberFormat="1" applyFont="1" applyFill="1" applyBorder="1" applyAlignment="1">
      <alignment horizontal="center" vertical="center"/>
    </xf>
    <xf numFmtId="164" fontId="19" fillId="0" borderId="5" xfId="16" applyNumberFormat="1" applyFont="1" applyFill="1" applyBorder="1" applyAlignment="1">
      <alignment horizontal="center" vertical="center"/>
    </xf>
    <xf numFmtId="164" fontId="19" fillId="0" borderId="236" xfId="16" applyNumberFormat="1" applyFont="1" applyFill="1" applyBorder="1" applyAlignment="1">
      <alignment horizontal="center" vertical="center"/>
    </xf>
    <xf numFmtId="164" fontId="19" fillId="0" borderId="20" xfId="16" applyNumberFormat="1" applyFont="1" applyFill="1" applyBorder="1" applyAlignment="1">
      <alignment horizontal="center" vertical="center"/>
    </xf>
    <xf numFmtId="164" fontId="19" fillId="0" borderId="46" xfId="16" applyNumberFormat="1" applyFont="1" applyFill="1" applyBorder="1" applyAlignment="1">
      <alignment horizontal="center" vertical="center"/>
    </xf>
    <xf numFmtId="2" fontId="19" fillId="0" borderId="9" xfId="16" applyNumberFormat="1" applyFont="1" applyFill="1" applyBorder="1" applyAlignment="1">
      <alignment horizontal="center" vertical="center"/>
    </xf>
    <xf numFmtId="17" fontId="23" fillId="5" borderId="57" xfId="16" quotePrefix="1" applyNumberFormat="1" applyFont="1" applyFill="1" applyBorder="1" applyAlignment="1">
      <alignment horizontal="center" vertical="center"/>
    </xf>
    <xf numFmtId="2" fontId="19" fillId="0" borderId="236" xfId="16" applyNumberFormat="1" applyFont="1" applyFill="1" applyBorder="1" applyAlignment="1">
      <alignment horizontal="center" vertical="center"/>
    </xf>
    <xf numFmtId="2" fontId="19" fillId="0" borderId="46" xfId="16" applyNumberFormat="1" applyFont="1" applyFill="1" applyBorder="1" applyAlignment="1">
      <alignment horizontal="center" vertical="center"/>
    </xf>
    <xf numFmtId="2" fontId="19" fillId="0" borderId="5" xfId="16" applyNumberFormat="1" applyFont="1" applyFill="1" applyBorder="1" applyAlignment="1">
      <alignment horizontal="center" vertical="center"/>
    </xf>
    <xf numFmtId="164" fontId="19" fillId="0" borderId="32" xfId="16" applyNumberFormat="1" applyFont="1" applyFill="1" applyBorder="1" applyAlignment="1">
      <alignment horizontal="right" vertical="center"/>
    </xf>
    <xf numFmtId="164" fontId="19" fillId="0" borderId="0" xfId="16" applyNumberFormat="1" applyFont="1" applyFill="1" applyBorder="1" applyAlignment="1">
      <alignment horizontal="center" vertical="center"/>
    </xf>
    <xf numFmtId="164" fontId="19" fillId="0" borderId="32" xfId="16" applyNumberFormat="1" applyFont="1" applyFill="1" applyBorder="1" applyAlignment="1">
      <alignment horizontal="center" vertical="center"/>
    </xf>
    <xf numFmtId="17" fontId="37" fillId="5" borderId="57" xfId="16" quotePrefix="1" applyNumberFormat="1" applyFont="1" applyFill="1" applyBorder="1" applyAlignment="1">
      <alignment horizontal="center" vertical="center"/>
    </xf>
    <xf numFmtId="164" fontId="33" fillId="0" borderId="32" xfId="16" applyNumberFormat="1" applyFont="1" applyFill="1" applyBorder="1" applyAlignment="1">
      <alignment horizontal="center" vertical="center"/>
    </xf>
    <xf numFmtId="2" fontId="33" fillId="0" borderId="9" xfId="16" applyNumberFormat="1" applyFont="1" applyFill="1" applyBorder="1" applyAlignment="1">
      <alignment horizontal="center" vertical="center"/>
    </xf>
    <xf numFmtId="164" fontId="33" fillId="0" borderId="5" xfId="16" applyNumberFormat="1" applyFont="1" applyFill="1" applyBorder="1" applyAlignment="1">
      <alignment horizontal="center" vertical="center"/>
    </xf>
    <xf numFmtId="2" fontId="33" fillId="0" borderId="236" xfId="16" applyNumberFormat="1" applyFont="1" applyFill="1" applyBorder="1" applyAlignment="1">
      <alignment horizontal="center" vertical="center"/>
    </xf>
    <xf numFmtId="164" fontId="33" fillId="0" borderId="20" xfId="16" applyNumberFormat="1" applyFont="1" applyFill="1" applyBorder="1" applyAlignment="1">
      <alignment horizontal="center" vertical="center"/>
    </xf>
    <xf numFmtId="164" fontId="33" fillId="0" borderId="46" xfId="16" applyNumberFormat="1" applyFont="1" applyFill="1" applyBorder="1" applyAlignment="1">
      <alignment horizontal="center" vertical="center"/>
    </xf>
    <xf numFmtId="2" fontId="33" fillId="0" borderId="20" xfId="16" applyNumberFormat="1" applyFont="1" applyFill="1" applyBorder="1" applyAlignment="1">
      <alignment horizontal="center" vertical="center"/>
    </xf>
    <xf numFmtId="197" fontId="33" fillId="0" borderId="5" xfId="16" applyNumberFormat="1" applyFont="1" applyFill="1" applyBorder="1" applyAlignment="1">
      <alignment horizontal="center" vertical="center"/>
    </xf>
    <xf numFmtId="197" fontId="33" fillId="0" borderId="239" xfId="16" applyNumberFormat="1" applyFont="1" applyFill="1" applyBorder="1" applyAlignment="1">
      <alignment horizontal="center" vertical="center"/>
    </xf>
    <xf numFmtId="197" fontId="33" fillId="0" borderId="20" xfId="16" applyNumberFormat="1" applyFont="1" applyFill="1" applyBorder="1" applyAlignment="1">
      <alignment horizontal="center" vertical="center"/>
    </xf>
    <xf numFmtId="2" fontId="33" fillId="0" borderId="32" xfId="16" applyNumberFormat="1" applyFont="1" applyFill="1" applyBorder="1" applyAlignment="1">
      <alignment horizontal="center" vertical="center"/>
    </xf>
    <xf numFmtId="17" fontId="37" fillId="5" borderId="57" xfId="16" applyNumberFormat="1" applyFont="1" applyFill="1" applyBorder="1" applyAlignment="1">
      <alignment horizontal="center" vertical="center"/>
    </xf>
    <xf numFmtId="206" fontId="33" fillId="0" borderId="46" xfId="16" applyNumberFormat="1" applyFont="1" applyFill="1" applyBorder="1" applyAlignment="1">
      <alignment horizontal="center" vertical="center"/>
    </xf>
    <xf numFmtId="2" fontId="33" fillId="0" borderId="12" xfId="16" applyNumberFormat="1" applyFont="1" applyFill="1" applyBorder="1" applyAlignment="1">
      <alignment horizontal="center" vertical="center"/>
    </xf>
    <xf numFmtId="2" fontId="33" fillId="0" borderId="131" xfId="16" applyNumberFormat="1" applyFont="1" applyFill="1" applyBorder="1" applyAlignment="1">
      <alignment horizontal="center" vertical="center"/>
    </xf>
    <xf numFmtId="197" fontId="33" fillId="0" borderId="32" xfId="16" applyNumberFormat="1" applyFont="1" applyFill="1" applyBorder="1" applyAlignment="1">
      <alignment horizontal="center" vertical="center"/>
    </xf>
    <xf numFmtId="197" fontId="33" fillId="0" borderId="131" xfId="16" applyNumberFormat="1" applyFont="1" applyFill="1" applyBorder="1" applyAlignment="1">
      <alignment horizontal="center" vertical="center"/>
    </xf>
    <xf numFmtId="17" fontId="37" fillId="5" borderId="148" xfId="16" applyNumberFormat="1" applyFont="1" applyFill="1" applyBorder="1" applyAlignment="1">
      <alignment horizontal="center" vertical="center"/>
    </xf>
    <xf numFmtId="2" fontId="33" fillId="0" borderId="141" xfId="16" applyNumberFormat="1" applyFont="1" applyFill="1" applyBorder="1" applyAlignment="1">
      <alignment horizontal="center" vertical="center"/>
    </xf>
    <xf numFmtId="2" fontId="33" fillId="0" borderId="14" xfId="16" applyNumberFormat="1" applyFont="1" applyFill="1" applyBorder="1" applyAlignment="1">
      <alignment horizontal="center" vertical="center"/>
    </xf>
    <xf numFmtId="2" fontId="33" fillId="0" borderId="26" xfId="16" applyNumberFormat="1" applyFont="1" applyFill="1" applyBorder="1" applyAlignment="1">
      <alignment horizontal="center" vertical="center"/>
    </xf>
    <xf numFmtId="2" fontId="33" fillId="0" borderId="240" xfId="16" applyNumberFormat="1" applyFont="1" applyFill="1" applyBorder="1" applyAlignment="1">
      <alignment horizontal="center" vertical="center"/>
    </xf>
    <xf numFmtId="2" fontId="33" fillId="0" borderId="28" xfId="16" applyNumberFormat="1" applyFont="1" applyFill="1" applyBorder="1" applyAlignment="1">
      <alignment horizontal="center" vertical="center"/>
    </xf>
    <xf numFmtId="206" fontId="33" fillId="0" borderId="103" xfId="16" applyNumberFormat="1" applyFont="1" applyFill="1" applyBorder="1" applyAlignment="1">
      <alignment horizontal="center" vertical="center"/>
    </xf>
    <xf numFmtId="164" fontId="33" fillId="0" borderId="103" xfId="16" applyNumberFormat="1" applyFont="1" applyFill="1" applyBorder="1" applyAlignment="1">
      <alignment horizontal="center" vertical="center"/>
    </xf>
    <xf numFmtId="2" fontId="33" fillId="0" borderId="103" xfId="16" applyNumberFormat="1" applyFont="1" applyFill="1" applyBorder="1" applyAlignment="1">
      <alignment horizontal="center" vertical="center"/>
    </xf>
    <xf numFmtId="0" fontId="145" fillId="0" borderId="0" xfId="16" applyFont="1" applyAlignment="1">
      <alignment horizontal="left" vertical="center"/>
    </xf>
    <xf numFmtId="0" fontId="145" fillId="0" borderId="0" xfId="16" applyFont="1" applyAlignment="1">
      <alignment horizontal="center" vertical="center"/>
    </xf>
    <xf numFmtId="172" fontId="145" fillId="0" borderId="0" xfId="36" applyNumberFormat="1" applyFont="1" applyAlignment="1">
      <alignment vertical="center"/>
    </xf>
    <xf numFmtId="0" fontId="40" fillId="0" borderId="0" xfId="8" applyFont="1"/>
    <xf numFmtId="0" fontId="2" fillId="0" borderId="0" xfId="8"/>
    <xf numFmtId="0" fontId="2" fillId="25" borderId="39" xfId="8" applyFill="1" applyBorder="1"/>
    <xf numFmtId="0" fontId="2" fillId="25" borderId="44" xfId="8" applyFill="1" applyBorder="1"/>
    <xf numFmtId="0" fontId="2" fillId="25" borderId="44" xfId="8" applyFont="1" applyFill="1" applyBorder="1"/>
    <xf numFmtId="0" fontId="17" fillId="25" borderId="245" xfId="8" applyFont="1" applyFill="1" applyBorder="1" applyAlignment="1">
      <alignment horizontal="center"/>
    </xf>
    <xf numFmtId="0" fontId="17" fillId="25" borderId="246" xfId="8" applyFont="1" applyFill="1" applyBorder="1" applyAlignment="1">
      <alignment horizontal="center"/>
    </xf>
    <xf numFmtId="0" fontId="17" fillId="25" borderId="247" xfId="8" applyFont="1" applyFill="1" applyBorder="1" applyAlignment="1">
      <alignment horizontal="center"/>
    </xf>
    <xf numFmtId="0" fontId="2" fillId="25" borderId="48" xfId="8" applyFont="1" applyFill="1" applyBorder="1"/>
    <xf numFmtId="0" fontId="34" fillId="25" borderId="38" xfId="8" applyFont="1" applyFill="1" applyBorder="1" applyAlignment="1">
      <alignment horizontal="center"/>
    </xf>
    <xf numFmtId="49" fontId="17" fillId="25" borderId="44" xfId="8" applyNumberFormat="1" applyFont="1" applyFill="1" applyBorder="1" applyAlignment="1">
      <alignment horizontal="left"/>
    </xf>
    <xf numFmtId="3" fontId="2" fillId="0" borderId="32" xfId="8" applyNumberFormat="1" applyFill="1" applyBorder="1"/>
    <xf numFmtId="3" fontId="2" fillId="0" borderId="11" xfId="8" applyNumberFormat="1" applyFill="1" applyBorder="1"/>
    <xf numFmtId="3" fontId="2" fillId="0" borderId="33" xfId="8" applyNumberFormat="1" applyFill="1" applyBorder="1"/>
    <xf numFmtId="1" fontId="2" fillId="0" borderId="0" xfId="8" applyNumberFormat="1" applyFill="1" applyBorder="1"/>
    <xf numFmtId="164" fontId="2" fillId="0" borderId="233" xfId="8" applyNumberFormat="1" applyFill="1" applyBorder="1" applyAlignment="1">
      <alignment horizontal="right"/>
    </xf>
    <xf numFmtId="170" fontId="17" fillId="0" borderId="33" xfId="8" applyNumberFormat="1" applyFont="1" applyFill="1" applyBorder="1"/>
    <xf numFmtId="170" fontId="17" fillId="0" borderId="44" xfId="8" applyNumberFormat="1" applyFont="1" applyFill="1" applyBorder="1"/>
    <xf numFmtId="182" fontId="2" fillId="0" borderId="0" xfId="48" applyNumberFormat="1" applyFill="1"/>
    <xf numFmtId="3" fontId="2" fillId="0" borderId="9" xfId="8" applyNumberFormat="1" applyFill="1" applyBorder="1"/>
    <xf numFmtId="3" fontId="2" fillId="0" borderId="239" xfId="8" applyNumberFormat="1" applyFill="1" applyBorder="1"/>
    <xf numFmtId="164" fontId="2" fillId="0" borderId="0" xfId="8" applyNumberFormat="1" applyFill="1" applyBorder="1" applyAlignment="1">
      <alignment horizontal="right"/>
    </xf>
    <xf numFmtId="3" fontId="19" fillId="0" borderId="0" xfId="8" applyNumberFormat="1" applyFont="1" applyFill="1" applyBorder="1" applyAlignment="1">
      <alignment horizontal="right"/>
    </xf>
    <xf numFmtId="3" fontId="2" fillId="0" borderId="0" xfId="8" applyNumberFormat="1" applyFill="1" applyBorder="1"/>
    <xf numFmtId="49" fontId="17" fillId="25" borderId="32" xfId="8" applyNumberFormat="1" applyFont="1" applyFill="1" applyBorder="1" applyAlignment="1">
      <alignment horizontal="left"/>
    </xf>
    <xf numFmtId="3" fontId="2" fillId="0" borderId="239" xfId="8" applyNumberFormat="1" applyFill="1" applyBorder="1" applyAlignment="1">
      <alignment horizontal="right"/>
    </xf>
    <xf numFmtId="3" fontId="2" fillId="0" borderId="233" xfId="8" applyNumberFormat="1" applyFill="1" applyBorder="1"/>
    <xf numFmtId="3" fontId="2" fillId="0" borderId="13" xfId="8" applyNumberFormat="1" applyFill="1" applyBorder="1"/>
    <xf numFmtId="164" fontId="2" fillId="0" borderId="9" xfId="8" applyNumberFormat="1" applyFill="1" applyBorder="1" applyAlignment="1">
      <alignment horizontal="right"/>
    </xf>
    <xf numFmtId="3" fontId="2" fillId="0" borderId="233" xfId="8" applyNumberFormat="1" applyFont="1" applyFill="1" applyBorder="1" applyAlignment="1">
      <alignment horizontal="right"/>
    </xf>
    <xf numFmtId="17" fontId="17" fillId="25" borderId="32" xfId="8" applyNumberFormat="1" applyFont="1" applyFill="1" applyBorder="1" applyAlignment="1">
      <alignment horizontal="left"/>
    </xf>
    <xf numFmtId="17" fontId="17" fillId="25" borderId="44" xfId="8" applyNumberFormat="1" applyFont="1" applyFill="1" applyBorder="1" applyAlignment="1">
      <alignment horizontal="left"/>
    </xf>
    <xf numFmtId="3" fontId="2" fillId="0" borderId="32" xfId="8" applyNumberFormat="1" applyFill="1" applyBorder="1" applyAlignment="1">
      <alignment horizontal="right"/>
    </xf>
    <xf numFmtId="3" fontId="2" fillId="0" borderId="33" xfId="8" applyNumberFormat="1" applyFont="1" applyFill="1" applyBorder="1" applyAlignment="1">
      <alignment horizontal="right"/>
    </xf>
    <xf numFmtId="170" fontId="17" fillId="0" borderId="0" xfId="8" applyNumberFormat="1" applyFont="1" applyFill="1" applyBorder="1"/>
    <xf numFmtId="3" fontId="2" fillId="0" borderId="0" xfId="8" applyNumberFormat="1" applyFill="1" applyBorder="1" applyAlignment="1">
      <alignment horizontal="right"/>
    </xf>
    <xf numFmtId="208" fontId="2" fillId="0" borderId="0" xfId="1" applyNumberFormat="1" applyFont="1"/>
    <xf numFmtId="3" fontId="2" fillId="0" borderId="0" xfId="8" applyNumberFormat="1" applyFont="1" applyFill="1" applyBorder="1" applyAlignment="1">
      <alignment horizontal="right"/>
    </xf>
    <xf numFmtId="164" fontId="2" fillId="0" borderId="0" xfId="8" applyNumberFormat="1"/>
    <xf numFmtId="17" fontId="17" fillId="25" borderId="48" xfId="8" quotePrefix="1" applyNumberFormat="1" applyFont="1" applyFill="1" applyBorder="1" applyAlignment="1">
      <alignment horizontal="left"/>
    </xf>
    <xf numFmtId="3" fontId="2" fillId="0" borderId="37" xfId="8" applyNumberFormat="1" applyFill="1" applyBorder="1" applyAlignment="1">
      <alignment horizontal="right"/>
    </xf>
    <xf numFmtId="3" fontId="2" fillId="0" borderId="50" xfId="8" applyNumberFormat="1" applyFill="1" applyBorder="1"/>
    <xf numFmtId="3" fontId="2" fillId="0" borderId="38" xfId="8" applyNumberFormat="1" applyFont="1" applyFill="1" applyBorder="1" applyAlignment="1">
      <alignment horizontal="right"/>
    </xf>
    <xf numFmtId="3" fontId="2" fillId="0" borderId="37" xfId="8" applyNumberFormat="1" applyFill="1" applyBorder="1"/>
    <xf numFmtId="164" fontId="2" fillId="0" borderId="234" xfId="8" applyNumberFormat="1" applyFill="1" applyBorder="1" applyAlignment="1">
      <alignment horizontal="right"/>
    </xf>
    <xf numFmtId="170" fontId="17" fillId="0" borderId="48" xfId="8" applyNumberFormat="1" applyFont="1" applyFill="1" applyBorder="1"/>
    <xf numFmtId="0" fontId="34" fillId="0" borderId="0" xfId="8" applyFont="1" applyFill="1"/>
    <xf numFmtId="170" fontId="2" fillId="0" borderId="0" xfId="8" applyNumberFormat="1" applyFont="1"/>
    <xf numFmtId="3" fontId="2" fillId="0" borderId="0" xfId="8" applyNumberFormat="1" applyFont="1"/>
    <xf numFmtId="0" fontId="153" fillId="0" borderId="0" xfId="8" applyFont="1" applyFill="1"/>
    <xf numFmtId="0" fontId="2" fillId="0" borderId="0" xfId="8" applyFont="1"/>
    <xf numFmtId="0" fontId="34" fillId="0" borderId="0" xfId="8" applyFont="1"/>
    <xf numFmtId="3" fontId="2" fillId="0" borderId="0" xfId="8" applyNumberFormat="1"/>
    <xf numFmtId="0" fontId="36" fillId="0" borderId="0" xfId="16" applyFont="1" applyAlignment="1">
      <alignment horizontal="left" vertical="center"/>
    </xf>
    <xf numFmtId="0" fontId="17" fillId="0" borderId="0" xfId="16" applyFont="1" applyAlignment="1">
      <alignment horizontal="center" vertical="center"/>
    </xf>
    <xf numFmtId="0" fontId="2" fillId="0" borderId="0" xfId="16" applyFont="1" applyAlignment="1">
      <alignment vertical="center"/>
    </xf>
    <xf numFmtId="0" fontId="2" fillId="25" borderId="39" xfId="16" applyFont="1" applyFill="1" applyBorder="1" applyAlignment="1">
      <alignment vertical="center"/>
    </xf>
    <xf numFmtId="0" fontId="17" fillId="25" borderId="30" xfId="16" applyFont="1" applyFill="1" applyBorder="1" applyAlignment="1">
      <alignment horizontal="center" vertical="center"/>
    </xf>
    <xf numFmtId="0" fontId="17" fillId="25" borderId="249" xfId="16" applyFont="1" applyFill="1" applyBorder="1" applyAlignment="1">
      <alignment horizontal="center" vertical="center"/>
    </xf>
    <xf numFmtId="0" fontId="17" fillId="25" borderId="250" xfId="16" applyFont="1" applyFill="1" applyBorder="1" applyAlignment="1">
      <alignment horizontal="center" vertical="center"/>
    </xf>
    <xf numFmtId="0" fontId="17" fillId="25" borderId="251" xfId="16" applyFont="1" applyFill="1" applyBorder="1" applyAlignment="1">
      <alignment horizontal="center" vertical="center"/>
    </xf>
    <xf numFmtId="0" fontId="17" fillId="25" borderId="31" xfId="16" applyFont="1" applyFill="1" applyBorder="1" applyAlignment="1">
      <alignment horizontal="center" vertical="center"/>
    </xf>
    <xf numFmtId="0" fontId="68" fillId="25" borderId="44" xfId="16" applyFont="1" applyFill="1" applyBorder="1" applyAlignment="1">
      <alignment vertical="center"/>
    </xf>
    <xf numFmtId="0" fontId="68" fillId="25" borderId="60" xfId="16" applyFont="1" applyFill="1" applyBorder="1" applyAlignment="1">
      <alignment horizontal="center" vertical="center"/>
    </xf>
    <xf numFmtId="0" fontId="68" fillId="25" borderId="24" xfId="16" applyFont="1" applyFill="1" applyBorder="1" applyAlignment="1">
      <alignment horizontal="center" vertical="center"/>
    </xf>
    <xf numFmtId="0" fontId="68" fillId="25" borderId="153" xfId="16" applyFont="1" applyFill="1" applyBorder="1" applyAlignment="1">
      <alignment horizontal="center" vertical="center"/>
    </xf>
    <xf numFmtId="0" fontId="68" fillId="25" borderId="252" xfId="16" applyFont="1" applyFill="1" applyBorder="1" applyAlignment="1">
      <alignment horizontal="center" vertical="center"/>
    </xf>
    <xf numFmtId="0" fontId="68" fillId="25" borderId="253" xfId="16" applyFont="1" applyFill="1" applyBorder="1" applyAlignment="1">
      <alignment horizontal="center" vertical="center"/>
    </xf>
    <xf numFmtId="0" fontId="2" fillId="0" borderId="0" xfId="16" applyFont="1" applyBorder="1" applyAlignment="1">
      <alignment vertical="center"/>
    </xf>
    <xf numFmtId="0" fontId="24" fillId="25" borderId="58" xfId="16" applyFont="1" applyFill="1" applyBorder="1" applyAlignment="1">
      <alignment vertical="center"/>
    </xf>
    <xf numFmtId="0" fontId="156" fillId="0" borderId="0" xfId="16" applyFont="1" applyAlignment="1">
      <alignment vertical="center"/>
    </xf>
    <xf numFmtId="17" fontId="17" fillId="25" borderId="167" xfId="16" applyNumberFormat="1" applyFont="1" applyFill="1" applyBorder="1" applyAlignment="1">
      <alignment horizontal="left" vertical="center"/>
    </xf>
    <xf numFmtId="197" fontId="2" fillId="0" borderId="227" xfId="16" applyNumberFormat="1" applyFont="1" applyBorder="1" applyAlignment="1">
      <alignment horizontal="center" vertical="center"/>
    </xf>
    <xf numFmtId="197" fontId="2" fillId="0" borderId="23" xfId="16" applyNumberFormat="1" applyFont="1" applyBorder="1" applyAlignment="1">
      <alignment horizontal="center" vertical="center"/>
    </xf>
    <xf numFmtId="197" fontId="2" fillId="0" borderId="151" xfId="16" applyNumberFormat="1" applyFont="1" applyBorder="1" applyAlignment="1">
      <alignment horizontal="center" vertical="center"/>
    </xf>
    <xf numFmtId="197" fontId="2" fillId="0" borderId="256" xfId="16" applyNumberFormat="1" applyFont="1" applyBorder="1" applyAlignment="1">
      <alignment horizontal="center" vertical="center"/>
    </xf>
    <xf numFmtId="197" fontId="2" fillId="0" borderId="257" xfId="16" applyNumberFormat="1" applyFont="1" applyBorder="1" applyAlignment="1">
      <alignment horizontal="center" vertical="center"/>
    </xf>
    <xf numFmtId="17" fontId="17" fillId="25" borderId="44" xfId="16" applyNumberFormat="1" applyFont="1" applyFill="1" applyBorder="1" applyAlignment="1">
      <alignment horizontal="left" vertical="center"/>
    </xf>
    <xf numFmtId="197" fontId="2" fillId="0" borderId="13" xfId="16" applyNumberFormat="1" applyFont="1" applyBorder="1" applyAlignment="1">
      <alignment horizontal="center" vertical="center"/>
    </xf>
    <xf numFmtId="197" fontId="2" fillId="0" borderId="11" xfId="16" applyNumberFormat="1" applyFont="1" applyBorder="1" applyAlignment="1">
      <alignment horizontal="center" vertical="center"/>
    </xf>
    <xf numFmtId="197" fontId="2" fillId="0" borderId="9" xfId="16" applyNumberFormat="1" applyFont="1" applyBorder="1" applyAlignment="1">
      <alignment horizontal="center" vertical="center"/>
    </xf>
    <xf numFmtId="197" fontId="2" fillId="0" borderId="258" xfId="16" applyNumberFormat="1" applyFont="1" applyBorder="1" applyAlignment="1">
      <alignment horizontal="center" vertical="center"/>
    </xf>
    <xf numFmtId="197" fontId="2" fillId="0" borderId="233" xfId="16" applyNumberFormat="1" applyFont="1" applyBorder="1" applyAlignment="1">
      <alignment horizontal="center" vertical="center"/>
    </xf>
    <xf numFmtId="197" fontId="2" fillId="0" borderId="13" xfId="16" applyNumberFormat="1" applyFont="1" applyBorder="1" applyAlignment="1">
      <alignment horizontal="right" vertical="center"/>
    </xf>
    <xf numFmtId="197" fontId="2" fillId="0" borderId="11" xfId="16" applyNumberFormat="1" applyFont="1" applyBorder="1" applyAlignment="1">
      <alignment horizontal="right" vertical="center"/>
    </xf>
    <xf numFmtId="197" fontId="2" fillId="0" borderId="9" xfId="16" applyNumberFormat="1" applyFont="1" applyBorder="1" applyAlignment="1">
      <alignment horizontal="right" vertical="center"/>
    </xf>
    <xf numFmtId="197" fontId="2" fillId="0" borderId="258" xfId="16" applyNumberFormat="1" applyFont="1" applyBorder="1" applyAlignment="1">
      <alignment horizontal="right" vertical="center"/>
    </xf>
    <xf numFmtId="197" fontId="2" fillId="0" borderId="233" xfId="16" applyNumberFormat="1" applyFont="1" applyBorder="1" applyAlignment="1">
      <alignment horizontal="right" vertical="center"/>
    </xf>
    <xf numFmtId="17" fontId="68" fillId="25" borderId="44" xfId="16" applyNumberFormat="1" applyFont="1" applyFill="1" applyBorder="1" applyAlignment="1">
      <alignment horizontal="left" vertical="center"/>
    </xf>
    <xf numFmtId="197" fontId="33" fillId="0" borderId="13" xfId="16" applyNumberFormat="1" applyFont="1" applyBorder="1" applyAlignment="1">
      <alignment horizontal="right" vertical="center"/>
    </xf>
    <xf numFmtId="197" fontId="33" fillId="0" borderId="11" xfId="16" applyNumberFormat="1" applyFont="1" applyBorder="1" applyAlignment="1">
      <alignment horizontal="right" vertical="center"/>
    </xf>
    <xf numFmtId="209" fontId="33" fillId="0" borderId="9" xfId="16" applyNumberFormat="1" applyFont="1" applyBorder="1" applyAlignment="1">
      <alignment horizontal="right" vertical="center"/>
    </xf>
    <xf numFmtId="197" fontId="33" fillId="0" borderId="258" xfId="16" applyNumberFormat="1" applyFont="1" applyBorder="1" applyAlignment="1">
      <alignment horizontal="right" vertical="center"/>
    </xf>
    <xf numFmtId="197" fontId="33" fillId="0" borderId="233" xfId="16" applyNumberFormat="1" applyFont="1" applyBorder="1" applyAlignment="1">
      <alignment horizontal="right" vertical="center"/>
    </xf>
    <xf numFmtId="197" fontId="33" fillId="0" borderId="9" xfId="16" applyNumberFormat="1" applyFont="1" applyBorder="1" applyAlignment="1">
      <alignment horizontal="right" vertical="center"/>
    </xf>
    <xf numFmtId="210" fontId="33" fillId="0" borderId="9" xfId="16" applyNumberFormat="1" applyFont="1" applyBorder="1" applyAlignment="1">
      <alignment horizontal="right" vertical="center"/>
    </xf>
    <xf numFmtId="0" fontId="2" fillId="0" borderId="0" xfId="16" applyFont="1" applyAlignment="1">
      <alignment horizontal="center" vertical="center"/>
    </xf>
    <xf numFmtId="197" fontId="33" fillId="0" borderId="236" xfId="16" applyNumberFormat="1" applyFont="1" applyBorder="1" applyAlignment="1">
      <alignment horizontal="right" vertical="center"/>
    </xf>
    <xf numFmtId="197" fontId="33" fillId="0" borderId="0" xfId="16" applyNumberFormat="1" applyFont="1" applyBorder="1" applyAlignment="1">
      <alignment horizontal="right" vertical="center"/>
    </xf>
    <xf numFmtId="197" fontId="33" fillId="0" borderId="33" xfId="16" applyNumberFormat="1" applyFont="1" applyBorder="1" applyAlignment="1">
      <alignment horizontal="right" vertical="center"/>
    </xf>
    <xf numFmtId="197" fontId="33" fillId="0" borderId="32" xfId="16" applyNumberFormat="1" applyFont="1" applyBorder="1" applyAlignment="1">
      <alignment horizontal="right" vertical="center"/>
    </xf>
    <xf numFmtId="197" fontId="33" fillId="0" borderId="239" xfId="16" applyNumberFormat="1" applyFont="1" applyBorder="1" applyAlignment="1">
      <alignment horizontal="right" vertical="center"/>
    </xf>
    <xf numFmtId="197" fontId="33" fillId="0" borderId="0" xfId="16" applyNumberFormat="1" applyFont="1" applyBorder="1" applyAlignment="1">
      <alignment horizontal="center" vertical="center"/>
    </xf>
    <xf numFmtId="197" fontId="33" fillId="0" borderId="11" xfId="16" applyNumberFormat="1" applyFont="1" applyBorder="1" applyAlignment="1">
      <alignment horizontal="center" vertical="center"/>
    </xf>
    <xf numFmtId="197" fontId="33" fillId="0" borderId="236" xfId="16" applyNumberFormat="1" applyFont="1" applyBorder="1" applyAlignment="1">
      <alignment horizontal="center" vertical="center"/>
    </xf>
    <xf numFmtId="197" fontId="33" fillId="0" borderId="13" xfId="16" applyNumberFormat="1" applyFont="1" applyBorder="1" applyAlignment="1">
      <alignment horizontal="center" vertical="center"/>
    </xf>
    <xf numFmtId="197" fontId="33" fillId="0" borderId="33" xfId="16" applyNumberFormat="1" applyFont="1" applyBorder="1" applyAlignment="1">
      <alignment horizontal="center" vertical="center"/>
    </xf>
    <xf numFmtId="197" fontId="33" fillId="0" borderId="233" xfId="16" applyNumberFormat="1" applyFont="1" applyBorder="1" applyAlignment="1">
      <alignment horizontal="center" vertical="center"/>
    </xf>
    <xf numFmtId="197" fontId="33" fillId="0" borderId="121" xfId="16" applyNumberFormat="1" applyFont="1" applyBorder="1" applyAlignment="1">
      <alignment horizontal="center" vertical="center"/>
    </xf>
    <xf numFmtId="164" fontId="2" fillId="0" borderId="0" xfId="16" applyNumberFormat="1" applyFont="1" applyAlignment="1">
      <alignment vertical="center"/>
    </xf>
    <xf numFmtId="17" fontId="68" fillId="25" borderId="32" xfId="16" applyNumberFormat="1" applyFont="1" applyFill="1" applyBorder="1" applyAlignment="1">
      <alignment horizontal="left" vertical="center"/>
    </xf>
    <xf numFmtId="197" fontId="33" fillId="0" borderId="239" xfId="16" applyNumberFormat="1" applyFont="1" applyBorder="1" applyAlignment="1">
      <alignment horizontal="center" vertical="center"/>
    </xf>
    <xf numFmtId="197" fontId="33" fillId="0" borderId="9" xfId="16" applyNumberFormat="1" applyFont="1" applyBorder="1" applyAlignment="1">
      <alignment horizontal="center" vertical="center"/>
    </xf>
    <xf numFmtId="197" fontId="33" fillId="0" borderId="130" xfId="16" applyNumberFormat="1" applyFont="1" applyBorder="1" applyAlignment="1">
      <alignment horizontal="center" vertical="center"/>
    </xf>
    <xf numFmtId="197" fontId="33" fillId="0" borderId="12" xfId="16" applyNumberFormat="1" applyFont="1" applyBorder="1" applyAlignment="1">
      <alignment horizontal="center" vertical="center"/>
    </xf>
    <xf numFmtId="197" fontId="33" fillId="0" borderId="258" xfId="16" applyNumberFormat="1" applyFont="1" applyBorder="1" applyAlignment="1">
      <alignment horizontal="center" vertical="center"/>
    </xf>
    <xf numFmtId="206" fontId="35" fillId="0" borderId="0" xfId="16" applyNumberFormat="1" applyAlignment="1">
      <alignment horizontal="center"/>
    </xf>
    <xf numFmtId="206" fontId="17" fillId="0" borderId="0" xfId="16" applyNumberFormat="1" applyFont="1" applyAlignment="1">
      <alignment horizontal="center"/>
    </xf>
    <xf numFmtId="197" fontId="33" fillId="0" borderId="11" xfId="16" applyNumberFormat="1" applyFont="1" applyFill="1" applyBorder="1" applyAlignment="1">
      <alignment horizontal="center" vertical="center"/>
    </xf>
    <xf numFmtId="197" fontId="33" fillId="0" borderId="9" xfId="16" applyNumberFormat="1" applyFont="1" applyFill="1" applyBorder="1" applyAlignment="1">
      <alignment horizontal="center" vertical="center"/>
    </xf>
    <xf numFmtId="197" fontId="33" fillId="0" borderId="258" xfId="16" applyNumberFormat="1" applyFont="1" applyFill="1" applyBorder="1" applyAlignment="1">
      <alignment horizontal="center" vertical="center"/>
    </xf>
    <xf numFmtId="197" fontId="33" fillId="0" borderId="233" xfId="16" applyNumberFormat="1" applyFont="1" applyFill="1" applyBorder="1" applyAlignment="1">
      <alignment horizontal="center" vertical="center"/>
    </xf>
    <xf numFmtId="17" fontId="68" fillId="25" borderId="48" xfId="16" applyNumberFormat="1" applyFont="1" applyFill="1" applyBorder="1" applyAlignment="1">
      <alignment horizontal="left" vertical="center"/>
    </xf>
    <xf numFmtId="197" fontId="33" fillId="0" borderId="244" xfId="16" applyNumberFormat="1" applyFont="1" applyFill="1" applyBorder="1" applyAlignment="1">
      <alignment horizontal="center" vertical="center"/>
    </xf>
    <xf numFmtId="197" fontId="33" fillId="0" borderId="50" xfId="16" applyNumberFormat="1" applyFont="1" applyFill="1" applyBorder="1" applyAlignment="1">
      <alignment horizontal="center" vertical="center"/>
    </xf>
    <xf numFmtId="197" fontId="33" fillId="0" borderId="237" xfId="16" applyNumberFormat="1" applyFont="1" applyFill="1" applyBorder="1" applyAlignment="1">
      <alignment horizontal="center" vertical="center"/>
    </xf>
    <xf numFmtId="197" fontId="33" fillId="0" borderId="259" xfId="16" applyNumberFormat="1" applyFont="1" applyFill="1" applyBorder="1" applyAlignment="1">
      <alignment horizontal="center" vertical="center"/>
    </xf>
    <xf numFmtId="197" fontId="33" fillId="0" borderId="234" xfId="16" applyNumberFormat="1" applyFont="1" applyFill="1" applyBorder="1" applyAlignment="1">
      <alignment horizontal="center" vertical="center"/>
    </xf>
    <xf numFmtId="0" fontId="95" fillId="0" borderId="0" xfId="16" applyFont="1" applyAlignment="1">
      <alignment horizontal="left" vertical="center"/>
    </xf>
    <xf numFmtId="0" fontId="25" fillId="0" borderId="0" xfId="16" applyFont="1" applyAlignment="1">
      <alignment horizontal="left" vertical="center"/>
    </xf>
    <xf numFmtId="0" fontId="25" fillId="0" borderId="0" xfId="16" applyFont="1" applyAlignment="1">
      <alignment vertical="center"/>
    </xf>
    <xf numFmtId="0" fontId="19" fillId="0" borderId="0" xfId="16" applyFont="1" applyAlignment="1">
      <alignment vertical="center"/>
    </xf>
    <xf numFmtId="0" fontId="19" fillId="0" borderId="0" xfId="16" applyFont="1" applyBorder="1" applyAlignment="1">
      <alignment vertical="center"/>
    </xf>
    <xf numFmtId="49" fontId="38" fillId="0" borderId="0" xfId="16" applyNumberFormat="1" applyFont="1" applyAlignment="1">
      <alignment horizontal="left" vertical="center"/>
    </xf>
    <xf numFmtId="0" fontId="95" fillId="0" borderId="0" xfId="16" applyFont="1" applyAlignment="1">
      <alignment vertical="center"/>
    </xf>
    <xf numFmtId="2" fontId="2" fillId="0" borderId="0" xfId="16" applyNumberFormat="1" applyFont="1" applyAlignment="1">
      <alignment horizontal="center" vertical="center"/>
    </xf>
    <xf numFmtId="0" fontId="109" fillId="0" borderId="0" xfId="16" applyFont="1" applyFill="1" applyAlignment="1">
      <alignment horizontal="left"/>
    </xf>
    <xf numFmtId="0" fontId="35" fillId="0" borderId="37" xfId="16" applyBorder="1"/>
    <xf numFmtId="0" fontId="17" fillId="25" borderId="39" xfId="16" applyFont="1" applyFill="1" applyBorder="1" applyAlignment="1">
      <alignment horizontal="center"/>
    </xf>
    <xf numFmtId="17" fontId="17" fillId="5" borderId="42" xfId="16" applyNumberFormat="1" applyFont="1" applyFill="1" applyBorder="1" applyAlignment="1">
      <alignment horizontal="center"/>
    </xf>
    <xf numFmtId="17" fontId="17" fillId="25" borderId="42" xfId="16" applyNumberFormat="1" applyFont="1" applyFill="1" applyBorder="1" applyAlignment="1">
      <alignment horizontal="center"/>
    </xf>
    <xf numFmtId="17" fontId="17" fillId="25" borderId="260" xfId="16" applyNumberFormat="1" applyFont="1" applyFill="1" applyBorder="1" applyAlignment="1">
      <alignment horizontal="center"/>
    </xf>
    <xf numFmtId="17" fontId="17" fillId="25" borderId="242" xfId="16" applyNumberFormat="1" applyFont="1" applyFill="1" applyBorder="1" applyAlignment="1">
      <alignment horizontal="center"/>
    </xf>
    <xf numFmtId="17" fontId="17" fillId="25" borderId="249" xfId="16" applyNumberFormat="1" applyFont="1" applyFill="1" applyBorder="1" applyAlignment="1">
      <alignment horizontal="center"/>
    </xf>
    <xf numFmtId="17" fontId="17" fillId="25" borderId="30" xfId="16" applyNumberFormat="1" applyFont="1" applyFill="1" applyBorder="1" applyAlignment="1">
      <alignment horizontal="center"/>
    </xf>
    <xf numFmtId="17" fontId="17" fillId="25" borderId="251" xfId="16" applyNumberFormat="1" applyFont="1" applyFill="1" applyBorder="1" applyAlignment="1">
      <alignment horizontal="center"/>
    </xf>
    <xf numFmtId="17" fontId="17" fillId="25" borderId="41" xfId="16" applyNumberFormat="1" applyFont="1" applyFill="1" applyBorder="1" applyAlignment="1">
      <alignment horizontal="center"/>
    </xf>
    <xf numFmtId="0" fontId="17" fillId="25" borderId="142" xfId="16" applyFont="1" applyFill="1" applyBorder="1" applyAlignment="1" applyProtection="1">
      <alignment horizontal="center"/>
    </xf>
    <xf numFmtId="0" fontId="17" fillId="5" borderId="103" xfId="16" applyFont="1" applyFill="1" applyBorder="1" applyAlignment="1">
      <alignment horizontal="center"/>
    </xf>
    <xf numFmtId="0" fontId="17" fillId="25" borderId="103" xfId="16" applyFont="1" applyFill="1" applyBorder="1" applyAlignment="1">
      <alignment horizontal="center"/>
    </xf>
    <xf numFmtId="0" fontId="17" fillId="25" borderId="15" xfId="16" applyFont="1" applyFill="1" applyBorder="1" applyAlignment="1">
      <alignment horizontal="center"/>
    </xf>
    <xf numFmtId="0" fontId="17" fillId="25" borderId="16" xfId="16" applyFont="1" applyFill="1" applyBorder="1" applyAlignment="1">
      <alignment horizontal="center"/>
    </xf>
    <xf numFmtId="0" fontId="17" fillId="25" borderId="14" xfId="16" applyFont="1" applyFill="1" applyBorder="1" applyAlignment="1">
      <alignment horizontal="center"/>
    </xf>
    <xf numFmtId="0" fontId="17" fillId="25" borderId="27" xfId="16" applyFont="1" applyFill="1" applyBorder="1" applyAlignment="1">
      <alignment horizontal="center"/>
    </xf>
    <xf numFmtId="0" fontId="17" fillId="25" borderId="104" xfId="16" applyFont="1" applyFill="1" applyBorder="1" applyAlignment="1">
      <alignment horizontal="center"/>
    </xf>
    <xf numFmtId="0" fontId="17" fillId="25" borderId="28" xfId="16" applyFont="1" applyFill="1" applyBorder="1" applyAlignment="1">
      <alignment horizontal="center"/>
    </xf>
    <xf numFmtId="0" fontId="17" fillId="25" borderId="44" xfId="16" applyFont="1" applyFill="1" applyBorder="1" applyAlignment="1" applyProtection="1">
      <alignment horizontal="left"/>
    </xf>
    <xf numFmtId="197" fontId="35" fillId="0" borderId="46" xfId="16" applyNumberFormat="1" applyFont="1" applyFill="1" applyBorder="1"/>
    <xf numFmtId="197" fontId="35" fillId="0" borderId="6" xfId="16" applyNumberFormat="1" applyFont="1" applyFill="1" applyBorder="1"/>
    <xf numFmtId="197" fontId="35" fillId="0" borderId="7" xfId="16" applyNumberFormat="1" applyFont="1" applyFill="1" applyBorder="1"/>
    <xf numFmtId="197" fontId="35" fillId="0" borderId="9" xfId="16" applyNumberFormat="1" applyFont="1" applyFill="1" applyBorder="1"/>
    <xf numFmtId="197" fontId="35" fillId="0" borderId="11" xfId="16" applyNumberFormat="1" applyFont="1" applyFill="1" applyBorder="1"/>
    <xf numFmtId="197" fontId="35" fillId="0" borderId="18" xfId="16" applyNumberFormat="1" applyFont="1" applyFill="1" applyBorder="1"/>
    <xf numFmtId="197" fontId="35" fillId="0" borderId="10" xfId="16" applyNumberFormat="1" applyFont="1" applyFill="1" applyBorder="1"/>
    <xf numFmtId="197" fontId="35" fillId="0" borderId="8" xfId="16" applyNumberFormat="1" applyFont="1" applyFill="1" applyBorder="1"/>
    <xf numFmtId="197" fontId="35" fillId="0" borderId="7" xfId="16" applyNumberFormat="1" applyBorder="1"/>
    <xf numFmtId="197" fontId="35" fillId="0" borderId="46" xfId="16" applyNumberFormat="1" applyFont="1" applyFill="1" applyBorder="1" applyAlignment="1">
      <alignment horizontal="right"/>
    </xf>
    <xf numFmtId="197" fontId="35" fillId="0" borderId="46" xfId="16" applyNumberFormat="1" applyFont="1" applyFill="1" applyBorder="1" applyAlignment="1"/>
    <xf numFmtId="197" fontId="35" fillId="0" borderId="12" xfId="16" applyNumberFormat="1" applyFont="1" applyFill="1" applyBorder="1" applyAlignment="1">
      <alignment horizontal="right"/>
    </xf>
    <xf numFmtId="197" fontId="35" fillId="0" borderId="11" xfId="16" applyNumberFormat="1" applyFont="1" applyFill="1" applyBorder="1" applyAlignment="1">
      <alignment horizontal="right"/>
    </xf>
    <xf numFmtId="197" fontId="35" fillId="0" borderId="9" xfId="16" applyNumberFormat="1" applyFont="1" applyFill="1" applyBorder="1" applyAlignment="1">
      <alignment horizontal="right"/>
    </xf>
    <xf numFmtId="197" fontId="35" fillId="0" borderId="0" xfId="16" applyNumberFormat="1" applyFont="1" applyFill="1" applyBorder="1" applyAlignment="1">
      <alignment horizontal="right"/>
    </xf>
    <xf numFmtId="197" fontId="35" fillId="0" borderId="13" xfId="16" applyNumberFormat="1" applyFont="1" applyFill="1" applyBorder="1" applyAlignment="1">
      <alignment horizontal="right"/>
    </xf>
    <xf numFmtId="197" fontId="35" fillId="0" borderId="11" xfId="16" applyNumberFormat="1" applyBorder="1"/>
    <xf numFmtId="197" fontId="35" fillId="0" borderId="20" xfId="16" applyNumberFormat="1" applyBorder="1"/>
    <xf numFmtId="197" fontId="35" fillId="0" borderId="12" xfId="16" applyNumberFormat="1" applyBorder="1"/>
    <xf numFmtId="197" fontId="35" fillId="0" borderId="9" xfId="16" applyNumberFormat="1" applyBorder="1"/>
    <xf numFmtId="197" fontId="35" fillId="0" borderId="11" xfId="16" applyNumberFormat="1" applyFill="1" applyBorder="1"/>
    <xf numFmtId="197" fontId="35" fillId="0" borderId="0" xfId="16" applyNumberFormat="1" applyFill="1" applyBorder="1"/>
    <xf numFmtId="197" fontId="35" fillId="0" borderId="9" xfId="16" applyNumberFormat="1" applyFill="1" applyBorder="1"/>
    <xf numFmtId="197" fontId="35" fillId="0" borderId="13" xfId="16" applyNumberFormat="1" applyFill="1" applyBorder="1"/>
    <xf numFmtId="197" fontId="35" fillId="0" borderId="46" xfId="16" applyNumberFormat="1" applyBorder="1"/>
    <xf numFmtId="0" fontId="35" fillId="0" borderId="20" xfId="16" applyBorder="1"/>
    <xf numFmtId="0" fontId="35" fillId="0" borderId="46" xfId="16" applyBorder="1"/>
    <xf numFmtId="0" fontId="2" fillId="25" borderId="48" xfId="16" applyFont="1" applyFill="1" applyBorder="1" applyAlignment="1" applyProtection="1">
      <alignment horizontal="left"/>
    </xf>
    <xf numFmtId="197" fontId="35" fillId="0" borderId="53" xfId="16" applyNumberFormat="1" applyFont="1" applyFill="1" applyBorder="1"/>
    <xf numFmtId="0" fontId="35" fillId="0" borderId="103" xfId="16" applyBorder="1"/>
    <xf numFmtId="0" fontId="35" fillId="0" borderId="15" xfId="16" applyBorder="1"/>
    <xf numFmtId="0" fontId="35" fillId="0" borderId="16" xfId="16" applyBorder="1"/>
    <xf numFmtId="0" fontId="35" fillId="0" borderId="14" xfId="16" applyBorder="1"/>
    <xf numFmtId="0" fontId="35" fillId="0" borderId="27" xfId="16" applyBorder="1"/>
    <xf numFmtId="197" fontId="35" fillId="0" borderId="14" xfId="16" applyNumberFormat="1" applyFill="1" applyBorder="1"/>
    <xf numFmtId="197" fontId="35" fillId="0" borderId="16" xfId="16" applyNumberFormat="1" applyFill="1" applyBorder="1"/>
    <xf numFmtId="197" fontId="35" fillId="0" borderId="104" xfId="16" applyNumberFormat="1" applyFill="1" applyBorder="1"/>
    <xf numFmtId="197" fontId="35" fillId="0" borderId="27" xfId="16" applyNumberFormat="1" applyFill="1" applyBorder="1"/>
    <xf numFmtId="0" fontId="35" fillId="0" borderId="50" xfId="16" applyBorder="1"/>
    <xf numFmtId="0" fontId="157" fillId="0" borderId="0" xfId="16" applyFont="1" applyFill="1" applyBorder="1" applyAlignment="1" applyProtection="1">
      <alignment horizontal="left"/>
    </xf>
    <xf numFmtId="0" fontId="35" fillId="0" borderId="30" xfId="16" applyBorder="1"/>
    <xf numFmtId="0" fontId="35" fillId="0" borderId="0" xfId="16" applyAlignment="1">
      <alignment horizontal="right"/>
    </xf>
    <xf numFmtId="0" fontId="25" fillId="0" borderId="0" xfId="16" applyFont="1"/>
    <xf numFmtId="0" fontId="25" fillId="0" borderId="0" xfId="16" applyFont="1" applyFill="1"/>
    <xf numFmtId="0" fontId="109" fillId="0" borderId="0" xfId="16" applyFont="1" applyAlignment="1">
      <alignment horizontal="left"/>
    </xf>
    <xf numFmtId="0" fontId="17" fillId="25" borderId="160" xfId="16" applyFont="1" applyFill="1" applyBorder="1" applyAlignment="1">
      <alignment horizontal="center"/>
    </xf>
    <xf numFmtId="17" fontId="17" fillId="5" borderId="160" xfId="16" applyNumberFormat="1" applyFont="1" applyFill="1" applyBorder="1" applyAlignment="1">
      <alignment horizontal="center"/>
    </xf>
    <xf numFmtId="17" fontId="17" fillId="25" borderId="17" xfId="16" applyNumberFormat="1" applyFont="1" applyFill="1" applyBorder="1" applyAlignment="1">
      <alignment horizontal="center"/>
    </xf>
    <xf numFmtId="17" fontId="17" fillId="25" borderId="7" xfId="16" applyNumberFormat="1" applyFont="1" applyFill="1" applyBorder="1" applyAlignment="1">
      <alignment horizontal="center"/>
    </xf>
    <xf numFmtId="17" fontId="17" fillId="25" borderId="18" xfId="16" applyNumberFormat="1" applyFont="1" applyFill="1" applyBorder="1" applyAlignment="1">
      <alignment horizontal="center"/>
    </xf>
    <xf numFmtId="17" fontId="17" fillId="25" borderId="10" xfId="16" applyNumberFormat="1" applyFont="1" applyFill="1" applyBorder="1" applyAlignment="1">
      <alignment horizontal="center"/>
    </xf>
    <xf numFmtId="17" fontId="17" fillId="25" borderId="43" xfId="16" applyNumberFormat="1" applyFont="1" applyFill="1" applyBorder="1" applyAlignment="1">
      <alignment horizontal="center"/>
    </xf>
    <xf numFmtId="0" fontId="17" fillId="25" borderId="148" xfId="16" applyFont="1" applyFill="1" applyBorder="1" applyAlignment="1">
      <alignment horizontal="center"/>
    </xf>
    <xf numFmtId="0" fontId="17" fillId="5" borderId="143" xfId="16" applyFont="1" applyFill="1" applyBorder="1" applyAlignment="1">
      <alignment horizontal="center"/>
    </xf>
    <xf numFmtId="0" fontId="17" fillId="25" borderId="105" xfId="16" applyFont="1" applyFill="1" applyBorder="1" applyAlignment="1">
      <alignment horizontal="center"/>
    </xf>
    <xf numFmtId="197" fontId="35" fillId="0" borderId="33" xfId="16" applyNumberFormat="1" applyFont="1" applyFill="1" applyBorder="1"/>
    <xf numFmtId="197" fontId="35" fillId="0" borderId="0" xfId="16" applyNumberFormat="1" applyFont="1" applyFill="1" applyBorder="1"/>
    <xf numFmtId="197" fontId="35" fillId="0" borderId="10" xfId="16" applyNumberFormat="1" applyBorder="1"/>
    <xf numFmtId="197" fontId="35" fillId="0" borderId="18" xfId="16" applyNumberFormat="1" applyBorder="1"/>
    <xf numFmtId="197" fontId="35" fillId="0" borderId="0" xfId="16" applyNumberFormat="1" applyBorder="1"/>
    <xf numFmtId="197" fontId="35" fillId="0" borderId="33" xfId="16" applyNumberFormat="1" applyFont="1" applyFill="1" applyBorder="1" applyAlignment="1">
      <alignment horizontal="right"/>
    </xf>
    <xf numFmtId="197" fontId="35" fillId="0" borderId="44" xfId="16" applyNumberFormat="1" applyBorder="1"/>
    <xf numFmtId="197" fontId="35" fillId="0" borderId="32" xfId="16" applyNumberFormat="1" applyBorder="1"/>
    <xf numFmtId="197" fontId="35" fillId="0" borderId="44" xfId="16" applyNumberFormat="1" applyFont="1" applyFill="1" applyBorder="1"/>
    <xf numFmtId="0" fontId="35" fillId="0" borderId="44" xfId="16" applyBorder="1"/>
    <xf numFmtId="197" fontId="35" fillId="0" borderId="38" xfId="16" applyNumberFormat="1" applyFont="1" applyFill="1" applyBorder="1"/>
    <xf numFmtId="0" fontId="35" fillId="0" borderId="48" xfId="16" applyBorder="1"/>
    <xf numFmtId="197" fontId="35" fillId="0" borderId="48" xfId="16" applyNumberFormat="1" applyBorder="1"/>
    <xf numFmtId="0" fontId="35" fillId="0" borderId="36" xfId="16" applyBorder="1"/>
    <xf numFmtId="0" fontId="35" fillId="0" borderId="237" xfId="16" applyBorder="1"/>
    <xf numFmtId="197" fontId="35" fillId="0" borderId="14" xfId="16" applyNumberFormat="1" applyBorder="1"/>
    <xf numFmtId="197" fontId="35" fillId="0" borderId="16" xfId="16" applyNumberFormat="1" applyBorder="1"/>
    <xf numFmtId="197" fontId="35" fillId="0" borderId="27" xfId="16" applyNumberFormat="1" applyBorder="1"/>
    <xf numFmtId="0" fontId="17" fillId="0" borderId="14" xfId="16" applyFont="1" applyBorder="1"/>
    <xf numFmtId="0" fontId="40" fillId="0" borderId="0" xfId="16" applyFont="1" applyAlignment="1">
      <alignment horizontal="left"/>
    </xf>
    <xf numFmtId="206" fontId="20" fillId="0" borderId="20" xfId="16" applyNumberFormat="1" applyFont="1" applyBorder="1"/>
    <xf numFmtId="206" fontId="20" fillId="0" borderId="0" xfId="16" applyNumberFormat="1" applyFont="1" applyFill="1"/>
    <xf numFmtId="0" fontId="20" fillId="0" borderId="0" xfId="16" applyFont="1" applyAlignment="1">
      <alignment vertical="center"/>
    </xf>
    <xf numFmtId="206" fontId="20" fillId="0" borderId="0" xfId="16" applyNumberFormat="1" applyFont="1" applyBorder="1"/>
    <xf numFmtId="206" fontId="35" fillId="0" borderId="0" xfId="16" applyNumberFormat="1" applyBorder="1"/>
    <xf numFmtId="206" fontId="35" fillId="0" borderId="0" xfId="16" applyNumberFormat="1" applyFill="1"/>
    <xf numFmtId="0" fontId="17" fillId="25" borderId="39" xfId="16" applyFont="1" applyFill="1" applyBorder="1" applyAlignment="1" applyProtection="1">
      <alignment horizontal="center"/>
    </xf>
    <xf numFmtId="206" fontId="17" fillId="25" borderId="65" xfId="16" applyNumberFormat="1" applyFont="1" applyFill="1" applyBorder="1" applyAlignment="1" applyProtection="1">
      <alignment horizontal="center"/>
    </xf>
    <xf numFmtId="206" fontId="17" fillId="25" borderId="41" xfId="16" applyNumberFormat="1" applyFont="1" applyFill="1" applyBorder="1" applyAlignment="1" applyProtection="1">
      <alignment horizontal="center"/>
    </xf>
    <xf numFmtId="0" fontId="17" fillId="25" borderId="243" xfId="16" applyFont="1" applyFill="1" applyBorder="1" applyAlignment="1" applyProtection="1">
      <alignment horizontal="center"/>
    </xf>
    <xf numFmtId="0" fontId="17" fillId="25" borderId="44" xfId="16" applyFont="1" applyFill="1" applyBorder="1" applyAlignment="1" applyProtection="1">
      <alignment horizontal="center"/>
    </xf>
    <xf numFmtId="206" fontId="17" fillId="25" borderId="20" xfId="16" applyNumberFormat="1" applyFont="1" applyFill="1" applyBorder="1" applyAlignment="1" applyProtection="1">
      <alignment horizontal="center"/>
    </xf>
    <xf numFmtId="0" fontId="17" fillId="25" borderId="233" xfId="16" applyFont="1" applyFill="1" applyBorder="1" applyAlignment="1" applyProtection="1">
      <alignment horizontal="center"/>
    </xf>
    <xf numFmtId="0" fontId="32" fillId="25" borderId="44" xfId="16" applyFont="1" applyFill="1" applyBorder="1" applyAlignment="1" applyProtection="1">
      <alignment horizontal="left"/>
    </xf>
    <xf numFmtId="0" fontId="17" fillId="25" borderId="48" xfId="16" applyFont="1" applyFill="1" applyBorder="1"/>
    <xf numFmtId="206" fontId="17" fillId="25" borderId="67" xfId="16" applyNumberFormat="1" applyFont="1" applyFill="1" applyBorder="1" applyAlignment="1" applyProtection="1">
      <alignment horizontal="center"/>
    </xf>
    <xf numFmtId="206" fontId="17" fillId="25" borderId="51" xfId="16" applyNumberFormat="1" applyFont="1" applyFill="1" applyBorder="1" applyAlignment="1" applyProtection="1">
      <alignment horizontal="center"/>
    </xf>
    <xf numFmtId="0" fontId="17" fillId="25" borderId="234" xfId="16" applyFont="1" applyFill="1" applyBorder="1" applyAlignment="1" applyProtection="1">
      <alignment horizontal="center"/>
    </xf>
    <xf numFmtId="211" fontId="35" fillId="0" borderId="239" xfId="16" applyNumberFormat="1" applyBorder="1" applyAlignment="1">
      <alignment horizontal="center"/>
    </xf>
    <xf numFmtId="184" fontId="2" fillId="0" borderId="57" xfId="16" applyNumberFormat="1" applyFont="1" applyFill="1" applyBorder="1" applyAlignment="1" applyProtection="1">
      <alignment horizontal="center"/>
    </xf>
    <xf numFmtId="185" fontId="2" fillId="0" borderId="57" xfId="16" applyNumberFormat="1" applyFont="1" applyFill="1" applyBorder="1" applyAlignment="1" applyProtection="1">
      <alignment horizontal="center"/>
    </xf>
    <xf numFmtId="0" fontId="2" fillId="0" borderId="36" xfId="16" applyFont="1" applyFill="1" applyBorder="1" applyAlignment="1" applyProtection="1">
      <alignment horizontal="left"/>
    </xf>
    <xf numFmtId="206" fontId="35" fillId="0" borderId="54" xfId="16" applyNumberFormat="1" applyFill="1" applyBorder="1"/>
    <xf numFmtId="184" fontId="2" fillId="0" borderId="64" xfId="16" applyNumberFormat="1" applyFont="1" applyFill="1" applyBorder="1" applyAlignment="1" applyProtection="1">
      <alignment horizontal="right"/>
    </xf>
    <xf numFmtId="206" fontId="35" fillId="0" borderId="20" xfId="16" applyNumberFormat="1" applyBorder="1"/>
    <xf numFmtId="184" fontId="2" fillId="0" borderId="0" xfId="16" applyNumberFormat="1" applyFont="1" applyFill="1" applyBorder="1" applyAlignment="1" applyProtection="1">
      <alignment horizontal="right"/>
    </xf>
    <xf numFmtId="206" fontId="35" fillId="0" borderId="0" xfId="16" applyNumberFormat="1" applyFill="1" applyBorder="1"/>
    <xf numFmtId="0" fontId="17" fillId="25" borderId="39" xfId="16" applyFont="1" applyFill="1" applyBorder="1"/>
    <xf numFmtId="17" fontId="17" fillId="25" borderId="65" xfId="16" applyNumberFormat="1" applyFont="1" applyFill="1" applyBorder="1" applyAlignment="1">
      <alignment horizontal="center"/>
    </xf>
    <xf numFmtId="0" fontId="17" fillId="25" borderId="31" xfId="16" applyFont="1" applyFill="1" applyBorder="1" applyAlignment="1">
      <alignment horizontal="center"/>
    </xf>
    <xf numFmtId="0" fontId="17" fillId="25" borderId="44" xfId="16" applyFont="1" applyFill="1" applyBorder="1" applyAlignment="1">
      <alignment horizontal="center"/>
    </xf>
    <xf numFmtId="0" fontId="17" fillId="25" borderId="66" xfId="16" quotePrefix="1" applyFont="1" applyFill="1" applyBorder="1" applyAlignment="1">
      <alignment horizontal="center"/>
    </xf>
    <xf numFmtId="17" fontId="17" fillId="25" borderId="46" xfId="16" applyNumberFormat="1" applyFont="1" applyFill="1" applyBorder="1" applyAlignment="1">
      <alignment horizontal="center"/>
    </xf>
    <xf numFmtId="0" fontId="17" fillId="25" borderId="33" xfId="16" applyFont="1" applyFill="1" applyBorder="1" applyAlignment="1">
      <alignment horizontal="center"/>
    </xf>
    <xf numFmtId="0" fontId="17" fillId="25" borderId="66" xfId="16" applyFont="1" applyFill="1" applyBorder="1" applyAlignment="1">
      <alignment horizontal="center"/>
    </xf>
    <xf numFmtId="17" fontId="17" fillId="25" borderId="20" xfId="16" applyNumberFormat="1" applyFont="1" applyFill="1" applyBorder="1" applyAlignment="1">
      <alignment horizontal="center"/>
    </xf>
    <xf numFmtId="0" fontId="2" fillId="25" borderId="48" xfId="16" applyFont="1" applyFill="1" applyBorder="1"/>
    <xf numFmtId="0" fontId="17" fillId="25" borderId="67" xfId="16" applyFont="1" applyFill="1" applyBorder="1" applyAlignment="1">
      <alignment horizontal="center"/>
    </xf>
    <xf numFmtId="17" fontId="17" fillId="25" borderId="51" xfId="16" applyNumberFormat="1" applyFont="1" applyFill="1" applyBorder="1" applyAlignment="1">
      <alignment horizontal="center"/>
    </xf>
    <xf numFmtId="0" fontId="17" fillId="25" borderId="38" xfId="16" applyFont="1" applyFill="1" applyBorder="1" applyAlignment="1">
      <alignment horizontal="center"/>
    </xf>
    <xf numFmtId="0" fontId="17" fillId="25" borderId="44" xfId="16" applyFont="1" applyFill="1" applyBorder="1" applyAlignment="1">
      <alignment horizontal="left"/>
    </xf>
    <xf numFmtId="206" fontId="2" fillId="0" borderId="66" xfId="16" applyNumberFormat="1" applyFont="1" applyBorder="1" applyAlignment="1">
      <alignment horizontal="center"/>
    </xf>
    <xf numFmtId="212" fontId="2" fillId="0" borderId="33" xfId="16" applyNumberFormat="1" applyFont="1" applyBorder="1" applyAlignment="1">
      <alignment horizontal="center"/>
    </xf>
    <xf numFmtId="4" fontId="2" fillId="0" borderId="66" xfId="16" applyNumberFormat="1" applyFont="1" applyBorder="1" applyAlignment="1">
      <alignment horizontal="center"/>
    </xf>
    <xf numFmtId="197" fontId="2" fillId="0" borderId="66" xfId="16" applyNumberFormat="1" applyFont="1" applyBorder="1" applyAlignment="1">
      <alignment horizontal="center"/>
    </xf>
    <xf numFmtId="197" fontId="2" fillId="0" borderId="44" xfId="16" applyNumberFormat="1" applyFont="1" applyBorder="1" applyAlignment="1">
      <alignment horizontal="center"/>
    </xf>
    <xf numFmtId="197" fontId="2" fillId="0" borderId="20" xfId="16" applyNumberFormat="1" applyFont="1" applyFill="1" applyBorder="1" applyAlignment="1">
      <alignment horizontal="center"/>
    </xf>
    <xf numFmtId="0" fontId="17" fillId="25" borderId="48" xfId="16" applyFont="1" applyFill="1" applyBorder="1" applyAlignment="1">
      <alignment horizontal="left"/>
    </xf>
    <xf numFmtId="206" fontId="2" fillId="0" borderId="67" xfId="16" applyNumberFormat="1" applyFont="1" applyBorder="1" applyAlignment="1">
      <alignment horizontal="right"/>
    </xf>
    <xf numFmtId="206" fontId="2" fillId="0" borderId="51" xfId="16" applyNumberFormat="1" applyFont="1" applyFill="1" applyBorder="1" applyAlignment="1">
      <alignment horizontal="right"/>
    </xf>
    <xf numFmtId="164" fontId="2" fillId="0" borderId="38" xfId="16" applyNumberFormat="1" applyFont="1" applyBorder="1" applyAlignment="1">
      <alignment horizontal="center"/>
    </xf>
    <xf numFmtId="206" fontId="23" fillId="0" borderId="0" xfId="16" applyNumberFormat="1" applyFont="1" applyBorder="1" applyAlignment="1">
      <alignment horizontal="right"/>
    </xf>
    <xf numFmtId="206" fontId="17" fillId="0" borderId="0" xfId="16" applyNumberFormat="1" applyFont="1" applyBorder="1" applyAlignment="1">
      <alignment horizontal="right"/>
    </xf>
    <xf numFmtId="2" fontId="17" fillId="0" borderId="0" xfId="16" applyNumberFormat="1" applyFont="1" applyBorder="1"/>
    <xf numFmtId="0" fontId="19" fillId="0" borderId="0" xfId="16" applyFont="1"/>
    <xf numFmtId="0" fontId="20" fillId="0" borderId="0" xfId="16" applyFont="1" applyAlignment="1">
      <alignment horizontal="left"/>
    </xf>
    <xf numFmtId="0" fontId="40" fillId="0" borderId="0" xfId="16" applyFont="1" applyFill="1" applyAlignment="1">
      <alignment horizontal="left"/>
    </xf>
    <xf numFmtId="0" fontId="19" fillId="0" borderId="0" xfId="16" applyFont="1" applyFill="1" applyAlignment="1">
      <alignment horizontal="centerContinuous"/>
    </xf>
    <xf numFmtId="0" fontId="158" fillId="0" borderId="0" xfId="16" applyFont="1"/>
    <xf numFmtId="0" fontId="19" fillId="0" borderId="0" xfId="16" applyFont="1" applyFill="1"/>
    <xf numFmtId="0" fontId="2" fillId="25" borderId="39" xfId="16" applyFont="1" applyFill="1" applyBorder="1"/>
    <xf numFmtId="0" fontId="2" fillId="25" borderId="44" xfId="16" applyFont="1" applyFill="1" applyBorder="1"/>
    <xf numFmtId="0" fontId="17" fillId="25" borderId="46" xfId="16" applyFont="1" applyFill="1" applyBorder="1" applyAlignment="1">
      <alignment horizontal="center"/>
    </xf>
    <xf numFmtId="0" fontId="17" fillId="25" borderId="53" xfId="16" applyFont="1" applyFill="1" applyBorder="1" applyAlignment="1">
      <alignment horizontal="center"/>
    </xf>
    <xf numFmtId="0" fontId="17" fillId="25" borderId="44" xfId="16" applyFont="1" applyFill="1" applyBorder="1"/>
    <xf numFmtId="0" fontId="2" fillId="0" borderId="32" xfId="16" applyFont="1" applyFill="1" applyBorder="1" applyAlignment="1">
      <alignment horizontal="center"/>
    </xf>
    <xf numFmtId="0" fontId="2" fillId="0" borderId="46" xfId="16" applyFont="1" applyFill="1" applyBorder="1" applyAlignment="1">
      <alignment horizontal="center"/>
    </xf>
    <xf numFmtId="0" fontId="2" fillId="0" borderId="20" xfId="16" applyFont="1" applyFill="1" applyBorder="1" applyAlignment="1">
      <alignment horizontal="center"/>
    </xf>
    <xf numFmtId="0" fontId="2" fillId="0" borderId="5" xfId="16" applyFont="1" applyFill="1" applyBorder="1" applyAlignment="1">
      <alignment horizontal="center"/>
    </xf>
    <xf numFmtId="0" fontId="2" fillId="0" borderId="67" xfId="16" applyFont="1" applyFill="1" applyBorder="1" applyAlignment="1">
      <alignment horizontal="right"/>
    </xf>
    <xf numFmtId="0" fontId="2" fillId="0" borderId="53" xfId="16" applyFont="1" applyFill="1" applyBorder="1" applyAlignment="1">
      <alignment horizontal="right"/>
    </xf>
    <xf numFmtId="0" fontId="50" fillId="0" borderId="0" xfId="16" applyFont="1" applyFill="1"/>
    <xf numFmtId="0" fontId="2" fillId="0" borderId="0" xfId="16" applyFont="1" applyFill="1" applyBorder="1" applyAlignment="1">
      <alignment horizontal="center"/>
    </xf>
    <xf numFmtId="0" fontId="20" fillId="2" borderId="0" xfId="16" applyFont="1" applyFill="1" applyAlignment="1">
      <alignment horizontal="left"/>
    </xf>
    <xf numFmtId="0" fontId="19" fillId="2" borderId="0" xfId="16" applyFont="1" applyFill="1" applyBorder="1" applyAlignment="1">
      <alignment horizontal="centerContinuous"/>
    </xf>
    <xf numFmtId="0" fontId="158" fillId="2" borderId="0" xfId="16" applyFont="1" applyFill="1" applyBorder="1"/>
    <xf numFmtId="0" fontId="40" fillId="2" borderId="0" xfId="16" applyFont="1" applyFill="1" applyBorder="1" applyAlignment="1">
      <alignment horizontal="left"/>
    </xf>
    <xf numFmtId="0" fontId="17" fillId="4" borderId="17" xfId="16" applyFont="1" applyFill="1" applyBorder="1" applyAlignment="1">
      <alignment horizontal="center"/>
    </xf>
    <xf numFmtId="0" fontId="17" fillId="4" borderId="62" xfId="16" applyFont="1" applyFill="1" applyBorder="1" applyAlignment="1">
      <alignment horizontal="center"/>
    </xf>
    <xf numFmtId="0" fontId="17" fillId="4" borderId="101" xfId="16" applyFont="1" applyFill="1" applyBorder="1" applyAlignment="1">
      <alignment horizontal="center"/>
    </xf>
    <xf numFmtId="0" fontId="17" fillId="4" borderId="264" xfId="16" applyFont="1" applyFill="1" applyBorder="1" applyAlignment="1">
      <alignment horizontal="center"/>
    </xf>
    <xf numFmtId="0" fontId="17" fillId="4" borderId="265" xfId="16" applyFont="1" applyFill="1" applyBorder="1" applyAlignment="1">
      <alignment horizontal="center"/>
    </xf>
    <xf numFmtId="0" fontId="17" fillId="4" borderId="166" xfId="16" applyFont="1" applyFill="1" applyBorder="1" applyAlignment="1">
      <alignment horizontal="center"/>
    </xf>
    <xf numFmtId="0" fontId="17" fillId="4" borderId="5" xfId="16" applyFont="1" applyFill="1" applyBorder="1"/>
    <xf numFmtId="0" fontId="19" fillId="0" borderId="11" xfId="16" applyFont="1" applyFill="1" applyBorder="1" applyAlignment="1">
      <alignment horizontal="right"/>
    </xf>
    <xf numFmtId="0" fontId="19" fillId="0" borderId="9" xfId="16" applyFont="1" applyFill="1" applyBorder="1" applyAlignment="1">
      <alignment horizontal="right"/>
    </xf>
    <xf numFmtId="0" fontId="19" fillId="0" borderId="256" xfId="16" applyFont="1" applyFill="1" applyBorder="1" applyAlignment="1">
      <alignment horizontal="right"/>
    </xf>
    <xf numFmtId="0" fontId="19" fillId="0" borderId="13" xfId="16" applyFont="1" applyFill="1" applyBorder="1" applyAlignment="1">
      <alignment horizontal="right"/>
    </xf>
    <xf numFmtId="0" fontId="19" fillId="0" borderId="20" xfId="16" applyFont="1" applyFill="1" applyBorder="1" applyAlignment="1">
      <alignment horizontal="right"/>
    </xf>
    <xf numFmtId="0" fontId="17" fillId="4" borderId="266" xfId="16" applyFont="1" applyFill="1" applyBorder="1"/>
    <xf numFmtId="0" fontId="19" fillId="0" borderId="267" xfId="16" applyFont="1" applyFill="1" applyBorder="1" applyAlignment="1">
      <alignment horizontal="right"/>
    </xf>
    <xf numFmtId="0" fontId="19" fillId="0" borderId="268" xfId="16" applyFont="1" applyFill="1" applyBorder="1" applyAlignment="1">
      <alignment horizontal="right"/>
    </xf>
    <xf numFmtId="0" fontId="19" fillId="0" borderId="269" xfId="16" applyFont="1" applyFill="1" applyBorder="1" applyAlignment="1">
      <alignment horizontal="right"/>
    </xf>
    <xf numFmtId="0" fontId="19" fillId="0" borderId="270" xfId="16" applyFont="1" applyFill="1" applyBorder="1" applyAlignment="1">
      <alignment horizontal="right"/>
    </xf>
    <xf numFmtId="177" fontId="2" fillId="0" borderId="271" xfId="16" applyNumberFormat="1" applyFont="1" applyBorder="1"/>
    <xf numFmtId="177" fontId="2" fillId="0" borderId="272" xfId="16" applyNumberFormat="1" applyFont="1" applyBorder="1"/>
    <xf numFmtId="197" fontId="2" fillId="0" borderId="272" xfId="16" applyNumberFormat="1" applyFont="1" applyBorder="1"/>
    <xf numFmtId="0" fontId="17" fillId="4" borderId="26" xfId="16" applyFont="1" applyFill="1" applyBorder="1"/>
    <xf numFmtId="0" fontId="19" fillId="0" borderId="16" xfId="16" applyFont="1" applyFill="1" applyBorder="1" applyAlignment="1">
      <alignment horizontal="right"/>
    </xf>
    <xf numFmtId="197" fontId="2" fillId="0" borderId="240" xfId="16" applyNumberFormat="1" applyFont="1" applyBorder="1"/>
    <xf numFmtId="0" fontId="19" fillId="0" borderId="104" xfId="16" applyFont="1" applyFill="1" applyBorder="1" applyAlignment="1">
      <alignment horizontal="right"/>
    </xf>
    <xf numFmtId="0" fontId="19" fillId="0" borderId="28" xfId="16" applyFont="1" applyFill="1" applyBorder="1" applyAlignment="1">
      <alignment horizontal="right"/>
    </xf>
    <xf numFmtId="0" fontId="20" fillId="2" borderId="0" xfId="16" applyFont="1" applyFill="1" applyBorder="1"/>
    <xf numFmtId="0" fontId="17" fillId="4" borderId="6" xfId="16" applyFont="1" applyFill="1" applyBorder="1" applyAlignment="1">
      <alignment horizontal="center"/>
    </xf>
    <xf numFmtId="0" fontId="17" fillId="2" borderId="0" xfId="16" applyFont="1" applyFill="1" applyBorder="1" applyAlignment="1">
      <alignment horizontal="center"/>
    </xf>
    <xf numFmtId="0" fontId="17" fillId="0" borderId="0" xfId="16" applyFont="1" applyBorder="1" applyAlignment="1">
      <alignment horizontal="center"/>
    </xf>
    <xf numFmtId="0" fontId="17" fillId="4" borderId="277" xfId="16" applyFont="1" applyFill="1" applyBorder="1" applyAlignment="1">
      <alignment horizontal="center"/>
    </xf>
    <xf numFmtId="213" fontId="17" fillId="4" borderId="12" xfId="16" applyNumberFormat="1" applyFont="1" applyFill="1" applyBorder="1" applyAlignment="1">
      <alignment horizontal="left"/>
    </xf>
    <xf numFmtId="177" fontId="2" fillId="0" borderId="11" xfId="16" applyNumberFormat="1" applyFont="1" applyBorder="1"/>
    <xf numFmtId="177" fontId="2" fillId="0" borderId="236" xfId="16" applyNumberFormat="1" applyFont="1" applyBorder="1"/>
    <xf numFmtId="177" fontId="2" fillId="0" borderId="47" xfId="16" applyNumberFormat="1" applyFont="1" applyBorder="1"/>
    <xf numFmtId="213" fontId="17" fillId="4" borderId="278" xfId="16" applyNumberFormat="1" applyFont="1" applyFill="1" applyBorder="1" applyAlignment="1">
      <alignment horizontal="left"/>
    </xf>
    <xf numFmtId="177" fontId="2" fillId="0" borderId="267" xfId="16" applyNumberFormat="1" applyFont="1" applyBorder="1"/>
    <xf numFmtId="177" fontId="2" fillId="0" borderId="279" xfId="16" applyNumberFormat="1" applyFont="1" applyBorder="1"/>
    <xf numFmtId="197" fontId="2" fillId="0" borderId="267" xfId="16" applyNumberFormat="1" applyFont="1" applyBorder="1"/>
    <xf numFmtId="213" fontId="17" fillId="4" borderId="15" xfId="16" applyNumberFormat="1" applyFont="1" applyFill="1" applyBorder="1" applyAlignment="1">
      <alignment horizontal="left"/>
    </xf>
    <xf numFmtId="177" fontId="2" fillId="0" borderId="16" xfId="16" applyNumberFormat="1" applyFont="1" applyBorder="1"/>
    <xf numFmtId="177" fontId="2" fillId="0" borderId="105" xfId="16" applyNumberFormat="1" applyFont="1" applyBorder="1"/>
    <xf numFmtId="213" fontId="34" fillId="17" borderId="0" xfId="16" applyNumberFormat="1" applyFont="1" applyFill="1" applyBorder="1" applyAlignment="1">
      <alignment horizontal="left"/>
    </xf>
    <xf numFmtId="194" fontId="2" fillId="17" borderId="0" xfId="16" applyNumberFormat="1" applyFont="1" applyFill="1" applyBorder="1"/>
    <xf numFmtId="0" fontId="4" fillId="2" borderId="0" xfId="16" applyFont="1" applyFill="1" applyAlignment="1">
      <alignment vertical="center"/>
    </xf>
    <xf numFmtId="0" fontId="40" fillId="2" borderId="0" xfId="16" applyFont="1" applyFill="1" applyAlignment="1">
      <alignment horizontal="left" vertical="center"/>
    </xf>
    <xf numFmtId="0" fontId="4" fillId="2" borderId="0" xfId="16" applyFont="1" applyFill="1"/>
    <xf numFmtId="0" fontId="17" fillId="11" borderId="39" xfId="16" applyFont="1" applyFill="1" applyBorder="1" applyAlignment="1">
      <alignment horizontal="center"/>
    </xf>
    <xf numFmtId="0" fontId="161" fillId="2" borderId="0" xfId="16" applyFont="1" applyFill="1" applyAlignment="1">
      <alignment vertical="center"/>
    </xf>
    <xf numFmtId="0" fontId="17" fillId="11" borderId="44" xfId="16" applyFont="1" applyFill="1" applyBorder="1" applyAlignment="1">
      <alignment horizontal="center"/>
    </xf>
    <xf numFmtId="0" fontId="17" fillId="11" borderId="171" xfId="16" applyFont="1" applyFill="1" applyBorder="1" applyAlignment="1">
      <alignment horizontal="center" vertical="center"/>
    </xf>
    <xf numFmtId="0" fontId="17" fillId="11" borderId="48" xfId="16" applyFont="1" applyFill="1" applyBorder="1" applyAlignment="1">
      <alignment horizontal="center"/>
    </xf>
    <xf numFmtId="0" fontId="17" fillId="11" borderId="38" xfId="16" applyFont="1" applyFill="1" applyBorder="1" applyAlignment="1">
      <alignment horizontal="center" vertical="top"/>
    </xf>
    <xf numFmtId="0" fontId="17" fillId="11" borderId="44" xfId="16" applyFont="1" applyFill="1" applyBorder="1" applyAlignment="1">
      <alignment vertical="center"/>
    </xf>
    <xf numFmtId="3" fontId="2" fillId="2" borderId="66" xfId="16" applyNumberFormat="1" applyFont="1" applyFill="1" applyBorder="1" applyAlignment="1">
      <alignment horizontal="center" vertical="center"/>
    </xf>
    <xf numFmtId="3" fontId="2" fillId="2" borderId="33" xfId="16" applyNumberFormat="1" applyFont="1" applyFill="1" applyBorder="1" applyAlignment="1">
      <alignment horizontal="center" vertical="center"/>
    </xf>
    <xf numFmtId="0" fontId="17" fillId="11" borderId="280" xfId="16" applyFont="1" applyFill="1" applyBorder="1" applyAlignment="1">
      <alignment horizontal="left" vertical="center"/>
    </xf>
    <xf numFmtId="3" fontId="162" fillId="7" borderId="281" xfId="16" applyNumberFormat="1" applyFont="1" applyFill="1" applyBorder="1" applyAlignment="1">
      <alignment horizontal="center" vertical="center"/>
    </xf>
    <xf numFmtId="3" fontId="162" fillId="7" borderId="280" xfId="16" applyNumberFormat="1" applyFont="1" applyFill="1" applyBorder="1" applyAlignment="1">
      <alignment horizontal="center" vertical="center"/>
    </xf>
    <xf numFmtId="3" fontId="4" fillId="2" borderId="0" xfId="16" applyNumberFormat="1" applyFont="1" applyFill="1"/>
    <xf numFmtId="0" fontId="4" fillId="2" borderId="0" xfId="16" applyFont="1" applyFill="1" applyAlignment="1">
      <alignment horizontal="left"/>
    </xf>
    <xf numFmtId="0" fontId="163" fillId="2" borderId="0" xfId="16" applyFont="1" applyFill="1"/>
    <xf numFmtId="0" fontId="25" fillId="2" borderId="0" xfId="49" applyFont="1" applyFill="1"/>
    <xf numFmtId="3" fontId="4" fillId="2" borderId="0" xfId="16" applyNumberFormat="1" applyFont="1" applyFill="1" applyAlignment="1">
      <alignment vertical="center"/>
    </xf>
    <xf numFmtId="0" fontId="164" fillId="0" borderId="0" xfId="16" applyFont="1" applyFill="1" applyAlignment="1">
      <alignment vertical="center"/>
    </xf>
    <xf numFmtId="0" fontId="107" fillId="0" borderId="0" xfId="16" applyFont="1" applyFill="1" applyAlignment="1">
      <alignment vertical="center"/>
    </xf>
    <xf numFmtId="0" fontId="102" fillId="0" borderId="0" xfId="16" applyFont="1" applyFill="1" applyAlignment="1">
      <alignment vertical="center"/>
    </xf>
    <xf numFmtId="0" fontId="102" fillId="0" borderId="0" xfId="16" applyFont="1" applyAlignment="1">
      <alignment vertical="center"/>
    </xf>
    <xf numFmtId="0" fontId="102" fillId="0" borderId="0" xfId="16" applyFont="1" applyAlignment="1">
      <alignment horizontal="center" vertical="center"/>
    </xf>
    <xf numFmtId="0" fontId="113" fillId="0" borderId="0" xfId="16" applyFont="1" applyBorder="1" applyAlignment="1">
      <alignment horizontal="right" vertical="center"/>
    </xf>
    <xf numFmtId="0" fontId="25" fillId="0" borderId="21" xfId="16" applyFont="1" applyFill="1" applyBorder="1" applyAlignment="1">
      <alignment horizontal="right" vertical="center"/>
    </xf>
    <xf numFmtId="0" fontId="102" fillId="0" borderId="0" xfId="16" applyFont="1" applyBorder="1" applyAlignment="1">
      <alignment vertical="center"/>
    </xf>
    <xf numFmtId="0" fontId="23" fillId="0" borderId="0" xfId="16" applyFont="1" applyAlignment="1">
      <alignment vertical="center" wrapText="1"/>
    </xf>
    <xf numFmtId="0" fontId="19" fillId="0" borderId="0" xfId="16" applyFont="1" applyAlignment="1">
      <alignment vertical="center" wrapText="1"/>
    </xf>
    <xf numFmtId="0" fontId="23" fillId="3" borderId="286" xfId="16" applyFont="1" applyFill="1" applyBorder="1" applyAlignment="1">
      <alignment horizontal="center" vertical="center" wrapText="1"/>
    </xf>
    <xf numFmtId="0" fontId="19" fillId="3" borderId="286" xfId="16" applyFont="1" applyFill="1" applyBorder="1" applyAlignment="1">
      <alignment vertical="center" wrapText="1"/>
    </xf>
    <xf numFmtId="3" fontId="19" fillId="0" borderId="11" xfId="16" applyNumberFormat="1" applyFont="1" applyFill="1" applyBorder="1" applyAlignment="1">
      <alignment horizontal="center" vertical="center"/>
    </xf>
    <xf numFmtId="37" fontId="19" fillId="0" borderId="11" xfId="16" applyNumberFormat="1" applyFont="1" applyFill="1" applyBorder="1" applyAlignment="1">
      <alignment horizontal="center" vertical="center" wrapText="1"/>
    </xf>
    <xf numFmtId="37" fontId="19" fillId="0" borderId="0" xfId="16" applyNumberFormat="1" applyFont="1" applyAlignment="1">
      <alignment vertical="center" wrapText="1"/>
    </xf>
    <xf numFmtId="3" fontId="19" fillId="0" borderId="0" xfId="16" applyNumberFormat="1" applyFont="1" applyAlignment="1">
      <alignment vertical="center" wrapText="1"/>
    </xf>
    <xf numFmtId="0" fontId="25" fillId="3" borderId="286" xfId="16" applyFont="1" applyFill="1" applyBorder="1" applyAlignment="1">
      <alignment vertical="center" wrapText="1"/>
    </xf>
    <xf numFmtId="37" fontId="25" fillId="0" borderId="11" xfId="16" applyNumberFormat="1" applyFont="1" applyFill="1" applyBorder="1" applyAlignment="1">
      <alignment horizontal="center" vertical="center" wrapText="1"/>
    </xf>
    <xf numFmtId="3" fontId="25" fillId="0" borderId="11" xfId="16" applyNumberFormat="1" applyFont="1" applyFill="1" applyBorder="1" applyAlignment="1">
      <alignment horizontal="center" vertical="center"/>
    </xf>
    <xf numFmtId="3" fontId="25" fillId="0" borderId="0" xfId="16" applyNumberFormat="1" applyFont="1" applyFill="1" applyBorder="1" applyAlignment="1">
      <alignment horizontal="center" vertical="center"/>
    </xf>
    <xf numFmtId="168" fontId="23" fillId="0" borderId="0" xfId="17" applyNumberFormat="1" applyFont="1" applyAlignment="1">
      <alignment vertical="center" wrapText="1"/>
    </xf>
    <xf numFmtId="3" fontId="23" fillId="0" borderId="289" xfId="16" applyNumberFormat="1" applyFont="1" applyFill="1" applyBorder="1" applyAlignment="1">
      <alignment horizontal="center" vertical="center"/>
    </xf>
    <xf numFmtId="0" fontId="19" fillId="0" borderId="0" xfId="16" applyFont="1" applyFill="1" applyAlignment="1">
      <alignment vertical="center"/>
    </xf>
    <xf numFmtId="0" fontId="113" fillId="0" borderId="0" xfId="16" applyFont="1" applyAlignment="1">
      <alignment vertical="center"/>
    </xf>
    <xf numFmtId="168" fontId="113" fillId="0" borderId="0" xfId="16" applyNumberFormat="1" applyFont="1" applyAlignment="1">
      <alignment horizontal="center" vertical="center"/>
    </xf>
    <xf numFmtId="0" fontId="113" fillId="0" borderId="0" xfId="16" applyFont="1" applyFill="1" applyAlignment="1">
      <alignment vertical="center"/>
    </xf>
    <xf numFmtId="0" fontId="107" fillId="0" borderId="0" xfId="16" applyFont="1" applyFill="1" applyAlignment="1">
      <alignment horizontal="center" vertical="center"/>
    </xf>
    <xf numFmtId="3" fontId="107" fillId="0" borderId="0" xfId="16" applyNumberFormat="1" applyFont="1" applyFill="1" applyAlignment="1">
      <alignment horizontal="center" vertical="center"/>
    </xf>
    <xf numFmtId="0" fontId="102" fillId="0" borderId="0" xfId="16" applyNumberFormat="1" applyFont="1" applyFill="1" applyAlignment="1">
      <alignment vertical="center"/>
    </xf>
    <xf numFmtId="3" fontId="102" fillId="0" borderId="0" xfId="16" applyNumberFormat="1" applyFont="1" applyFill="1" applyAlignment="1">
      <alignment vertical="center"/>
    </xf>
    <xf numFmtId="0" fontId="23" fillId="3" borderId="101" xfId="16" applyNumberFormat="1" applyFont="1" applyFill="1" applyBorder="1" applyAlignment="1">
      <alignment horizontal="center" vertical="center"/>
    </xf>
    <xf numFmtId="49" fontId="23" fillId="3" borderId="101" xfId="16" applyNumberFormat="1" applyFont="1" applyFill="1" applyBorder="1" applyAlignment="1">
      <alignment horizontal="center" vertical="center"/>
    </xf>
    <xf numFmtId="49" fontId="23" fillId="3" borderId="101" xfId="16" applyNumberFormat="1" applyFont="1" applyFill="1" applyBorder="1" applyAlignment="1">
      <alignment horizontal="center" vertical="center" wrapText="1"/>
    </xf>
    <xf numFmtId="0" fontId="23" fillId="3" borderId="151" xfId="16" applyFont="1" applyFill="1" applyBorder="1" applyAlignment="1">
      <alignment horizontal="left" vertical="center"/>
    </xf>
    <xf numFmtId="0" fontId="23" fillId="3" borderId="227" xfId="16" applyFont="1" applyFill="1" applyBorder="1" applyAlignment="1">
      <alignment horizontal="left" vertical="center"/>
    </xf>
    <xf numFmtId="3" fontId="23" fillId="0" borderId="11" xfId="17" applyNumberFormat="1" applyFont="1" applyFill="1" applyBorder="1" applyAlignment="1">
      <alignment horizontal="center" vertical="center"/>
    </xf>
    <xf numFmtId="0" fontId="23" fillId="0" borderId="0" xfId="16" applyFont="1" applyFill="1" applyAlignment="1">
      <alignment vertical="center"/>
    </xf>
    <xf numFmtId="3" fontId="23" fillId="0" borderId="0" xfId="16" applyNumberFormat="1" applyFont="1" applyFill="1" applyAlignment="1">
      <alignment vertical="center"/>
    </xf>
    <xf numFmtId="0" fontId="23" fillId="3" borderId="9" xfId="16" applyFont="1" applyFill="1" applyBorder="1" applyAlignment="1">
      <alignment horizontal="left" vertical="center"/>
    </xf>
    <xf numFmtId="0" fontId="19" fillId="3" borderId="13" xfId="16" applyFont="1" applyFill="1" applyBorder="1" applyAlignment="1">
      <alignment horizontal="left" vertical="center"/>
    </xf>
    <xf numFmtId="3" fontId="19" fillId="0" borderId="11" xfId="17" applyNumberFormat="1" applyFont="1" applyFill="1" applyBorder="1" applyAlignment="1">
      <alignment horizontal="center" vertical="center"/>
    </xf>
    <xf numFmtId="0" fontId="19" fillId="3" borderId="9" xfId="16" applyFont="1" applyFill="1" applyBorder="1" applyAlignment="1">
      <alignment horizontal="left" vertical="center"/>
    </xf>
    <xf numFmtId="43" fontId="19" fillId="0" borderId="11" xfId="50" applyNumberFormat="1" applyFont="1" applyFill="1" applyBorder="1" applyAlignment="1">
      <alignment horizontal="center" vertical="center"/>
    </xf>
    <xf numFmtId="3" fontId="19" fillId="0" borderId="11" xfId="50" applyNumberFormat="1" applyFont="1" applyFill="1" applyBorder="1" applyAlignment="1">
      <alignment horizontal="center" vertical="center"/>
    </xf>
    <xf numFmtId="3" fontId="23" fillId="0" borderId="24" xfId="17" applyNumberFormat="1" applyFont="1" applyFill="1" applyBorder="1" applyAlignment="1">
      <alignment horizontal="center" vertical="center"/>
    </xf>
    <xf numFmtId="43" fontId="23" fillId="0" borderId="24" xfId="50" applyNumberFormat="1" applyFont="1" applyFill="1" applyBorder="1" applyAlignment="1">
      <alignment horizontal="center" vertical="center"/>
    </xf>
    <xf numFmtId="0" fontId="19" fillId="0" borderId="0" xfId="16" applyFont="1" applyFill="1" applyBorder="1" applyAlignment="1">
      <alignment vertical="center"/>
    </xf>
    <xf numFmtId="1" fontId="19" fillId="0" borderId="0" xfId="16" applyNumberFormat="1" applyFont="1" applyFill="1" applyAlignment="1">
      <alignment horizontal="center" vertical="center"/>
    </xf>
    <xf numFmtId="0" fontId="50" fillId="0" borderId="0" xfId="16" applyFont="1" applyFill="1" applyAlignment="1">
      <alignment horizontal="right" vertical="center"/>
    </xf>
    <xf numFmtId="0" fontId="50" fillId="0" borderId="0" xfId="16" applyFont="1" applyAlignment="1">
      <alignment vertical="center"/>
    </xf>
    <xf numFmtId="0" fontId="19" fillId="0" borderId="0" xfId="16" applyFont="1" applyFill="1" applyAlignment="1">
      <alignment horizontal="center" vertical="center"/>
    </xf>
    <xf numFmtId="1" fontId="19" fillId="0" borderId="0" xfId="16" applyNumberFormat="1" applyFont="1" applyAlignment="1">
      <alignment horizontal="center" vertical="center"/>
    </xf>
    <xf numFmtId="0" fontId="19" fillId="0" borderId="0" xfId="16" applyFont="1" applyAlignment="1">
      <alignment horizontal="center" vertical="center"/>
    </xf>
    <xf numFmtId="0" fontId="165" fillId="0" borderId="0" xfId="16" applyFont="1" applyAlignment="1">
      <alignment vertical="center"/>
    </xf>
    <xf numFmtId="0" fontId="164" fillId="0" borderId="0" xfId="8" applyFont="1" applyFill="1" applyAlignment="1">
      <alignment vertical="center"/>
    </xf>
    <xf numFmtId="0" fontId="108" fillId="0" borderId="0" xfId="8" applyFont="1" applyFill="1" applyAlignment="1">
      <alignment vertical="center"/>
    </xf>
    <xf numFmtId="0" fontId="102" fillId="0" borderId="0" xfId="8" applyFont="1" applyFill="1" applyAlignment="1">
      <alignment vertical="center"/>
    </xf>
    <xf numFmtId="0" fontId="107" fillId="0" borderId="0" xfId="8" applyFont="1" applyFill="1" applyAlignment="1">
      <alignment vertical="center"/>
    </xf>
    <xf numFmtId="0" fontId="102" fillId="0" borderId="0" xfId="8" applyFont="1" applyAlignment="1">
      <alignment vertical="center"/>
    </xf>
    <xf numFmtId="0" fontId="113" fillId="0" borderId="21" xfId="8" applyFont="1" applyBorder="1" applyAlignment="1">
      <alignment horizontal="right" vertical="center"/>
    </xf>
    <xf numFmtId="0" fontId="25" fillId="0" borderId="21" xfId="8" applyFont="1" applyBorder="1" applyAlignment="1">
      <alignment horizontal="right" vertical="center"/>
    </xf>
    <xf numFmtId="0" fontId="19" fillId="0" borderId="0" xfId="8" applyFont="1" applyAlignment="1">
      <alignment vertical="center"/>
    </xf>
    <xf numFmtId="0" fontId="23" fillId="3" borderId="293" xfId="8" applyFont="1" applyFill="1" applyBorder="1" applyAlignment="1">
      <alignment horizontal="center" vertical="center"/>
    </xf>
    <xf numFmtId="0" fontId="19" fillId="3" borderId="282" xfId="8" applyFont="1" applyFill="1" applyBorder="1" applyAlignment="1">
      <alignment vertical="center" wrapText="1"/>
    </xf>
    <xf numFmtId="3" fontId="19" fillId="0" borderId="294" xfId="8" applyNumberFormat="1" applyFont="1" applyFill="1" applyBorder="1" applyAlignment="1">
      <alignment horizontal="center" vertical="center"/>
    </xf>
    <xf numFmtId="1" fontId="19" fillId="0" borderId="0" xfId="8" applyNumberFormat="1" applyFont="1" applyAlignment="1">
      <alignment vertical="center"/>
    </xf>
    <xf numFmtId="3" fontId="19" fillId="0" borderId="0" xfId="8" applyNumberFormat="1" applyFont="1" applyAlignment="1">
      <alignment vertical="center"/>
    </xf>
    <xf numFmtId="0" fontId="23" fillId="3" borderId="286" xfId="8" applyFont="1" applyFill="1" applyBorder="1" applyAlignment="1">
      <alignment horizontal="center" vertical="center"/>
    </xf>
    <xf numFmtId="0" fontId="19" fillId="3" borderId="286" xfId="8" applyFont="1" applyFill="1" applyBorder="1" applyAlignment="1">
      <alignment vertical="center" wrapText="1"/>
    </xf>
    <xf numFmtId="37" fontId="19" fillId="0" borderId="11" xfId="8" applyNumberFormat="1" applyFont="1" applyFill="1" applyBorder="1" applyAlignment="1">
      <alignment horizontal="center" vertical="center" wrapText="1"/>
    </xf>
    <xf numFmtId="0" fontId="23" fillId="0" borderId="0" xfId="8" applyFont="1" applyAlignment="1">
      <alignment horizontal="center" vertical="center"/>
    </xf>
    <xf numFmtId="1" fontId="23" fillId="0" borderId="0" xfId="8" applyNumberFormat="1" applyFont="1" applyAlignment="1">
      <alignment horizontal="center" vertical="center"/>
    </xf>
    <xf numFmtId="3" fontId="23" fillId="0" borderId="295" xfId="8" applyNumberFormat="1" applyFont="1" applyFill="1" applyBorder="1" applyAlignment="1">
      <alignment horizontal="center" vertical="center"/>
    </xf>
    <xf numFmtId="0" fontId="19" fillId="0" borderId="0" xfId="8" applyFont="1" applyFill="1" applyAlignment="1">
      <alignment vertical="center"/>
    </xf>
    <xf numFmtId="1" fontId="19" fillId="0" borderId="0" xfId="8" applyNumberFormat="1" applyFont="1" applyFill="1" applyAlignment="1">
      <alignment vertical="center"/>
    </xf>
    <xf numFmtId="0" fontId="113" fillId="0" borderId="0" xfId="8" applyFont="1"/>
    <xf numFmtId="0" fontId="113" fillId="0" borderId="0" xfId="8" applyFont="1" applyAlignment="1">
      <alignment vertical="center"/>
    </xf>
    <xf numFmtId="0" fontId="164" fillId="0" borderId="0" xfId="8" applyFont="1" applyFill="1" applyAlignment="1">
      <alignment horizontal="left" vertical="center"/>
    </xf>
    <xf numFmtId="0" fontId="108" fillId="0" borderId="0" xfId="8" applyNumberFormat="1" applyFont="1" applyFill="1" applyAlignment="1">
      <alignment horizontal="centerContinuous" vertical="center"/>
    </xf>
    <xf numFmtId="0" fontId="25" fillId="0" borderId="0" xfId="8" applyFont="1" applyFill="1" applyAlignment="1">
      <alignment vertical="center"/>
    </xf>
    <xf numFmtId="0" fontId="102" fillId="0" borderId="0" xfId="8" applyNumberFormat="1" applyFont="1" applyFill="1" applyAlignment="1">
      <alignment vertical="center"/>
    </xf>
    <xf numFmtId="0" fontId="19" fillId="0" borderId="0" xfId="8" applyFont="1" applyFill="1" applyAlignment="1">
      <alignment horizontal="center" vertical="center"/>
    </xf>
    <xf numFmtId="0" fontId="25" fillId="0" borderId="21" xfId="8" applyFont="1" applyFill="1" applyBorder="1" applyAlignment="1">
      <alignment horizontal="right" vertical="center"/>
    </xf>
    <xf numFmtId="0" fontId="23" fillId="3" borderId="101" xfId="8" applyNumberFormat="1" applyFont="1" applyFill="1" applyBorder="1" applyAlignment="1">
      <alignment horizontal="center" vertical="center"/>
    </xf>
    <xf numFmtId="49" fontId="23" fillId="3" borderId="101" xfId="8" applyNumberFormat="1" applyFont="1" applyFill="1" applyBorder="1" applyAlignment="1">
      <alignment horizontal="center" vertical="center"/>
    </xf>
    <xf numFmtId="49" fontId="23" fillId="3" borderId="101" xfId="8" applyNumberFormat="1" applyFont="1" applyFill="1" applyBorder="1" applyAlignment="1">
      <alignment horizontal="center" vertical="center" wrapText="1"/>
    </xf>
    <xf numFmtId="0" fontId="23" fillId="0" borderId="0" xfId="8" applyFont="1" applyFill="1" applyAlignment="1">
      <alignment vertical="center"/>
    </xf>
    <xf numFmtId="3" fontId="23" fillId="0" borderId="23" xfId="8" applyNumberFormat="1" applyFont="1" applyFill="1" applyBorder="1" applyAlignment="1">
      <alignment horizontal="center" vertical="center"/>
    </xf>
    <xf numFmtId="3" fontId="23" fillId="0" borderId="11" xfId="8" applyNumberFormat="1" applyFont="1" applyFill="1" applyBorder="1" applyAlignment="1">
      <alignment horizontal="center" vertical="center"/>
    </xf>
    <xf numFmtId="3" fontId="23" fillId="0" borderId="9" xfId="8" applyNumberFormat="1" applyFont="1" applyFill="1" applyBorder="1" applyAlignment="1">
      <alignment horizontal="center" vertical="center"/>
    </xf>
    <xf numFmtId="0" fontId="19" fillId="3" borderId="9" xfId="8" applyFont="1" applyFill="1" applyBorder="1" applyAlignment="1">
      <alignment horizontal="left" vertical="center"/>
    </xf>
    <xf numFmtId="0" fontId="19" fillId="3" borderId="13" xfId="8" applyFont="1" applyFill="1" applyBorder="1" applyAlignment="1">
      <alignment vertical="center"/>
    </xf>
    <xf numFmtId="3" fontId="19" fillId="0" borderId="11" xfId="8" applyNumberFormat="1" applyFont="1" applyFill="1" applyBorder="1" applyAlignment="1">
      <alignment horizontal="center" vertical="center"/>
    </xf>
    <xf numFmtId="3" fontId="19" fillId="0" borderId="9" xfId="8" applyNumberFormat="1" applyFont="1" applyFill="1" applyBorder="1" applyAlignment="1">
      <alignment horizontal="center" vertical="center"/>
    </xf>
    <xf numFmtId="43" fontId="23" fillId="0" borderId="11" xfId="8" applyNumberFormat="1" applyFont="1" applyFill="1" applyBorder="1" applyAlignment="1">
      <alignment horizontal="center" vertical="center"/>
    </xf>
    <xf numFmtId="3" fontId="19" fillId="0" borderId="296" xfId="8" applyNumberFormat="1" applyFont="1" applyBorder="1" applyAlignment="1">
      <alignment horizontal="center" vertical="center"/>
    </xf>
    <xf numFmtId="214" fontId="23" fillId="0" borderId="11" xfId="8" applyNumberFormat="1" applyFont="1" applyFill="1" applyBorder="1" applyAlignment="1">
      <alignment horizontal="center" vertical="center"/>
    </xf>
    <xf numFmtId="3" fontId="19" fillId="0" borderId="294" xfId="8" applyNumberFormat="1" applyFont="1" applyBorder="1" applyAlignment="1">
      <alignment horizontal="center" vertical="center"/>
    </xf>
    <xf numFmtId="0" fontId="23" fillId="3" borderId="9" xfId="8" applyFont="1" applyFill="1" applyBorder="1" applyAlignment="1">
      <alignment horizontal="left" vertical="center"/>
    </xf>
    <xf numFmtId="3" fontId="19" fillId="0" borderId="0" xfId="8" applyNumberFormat="1" applyFont="1" applyFill="1" applyAlignment="1">
      <alignment vertical="center"/>
    </xf>
    <xf numFmtId="43" fontId="19" fillId="0" borderId="11" xfId="8" applyNumberFormat="1" applyFont="1" applyFill="1" applyBorder="1" applyAlignment="1">
      <alignment horizontal="center" vertical="center"/>
    </xf>
    <xf numFmtId="43" fontId="19" fillId="0" borderId="0" xfId="8" applyNumberFormat="1" applyFont="1" applyFill="1" applyAlignment="1">
      <alignment vertical="center"/>
    </xf>
    <xf numFmtId="0" fontId="23" fillId="3" borderId="153" xfId="8" applyFont="1" applyFill="1" applyBorder="1" applyAlignment="1">
      <alignment horizontal="left" vertical="center"/>
    </xf>
    <xf numFmtId="0" fontId="19" fillId="3" borderId="60" xfId="8" applyFont="1" applyFill="1" applyBorder="1" applyAlignment="1">
      <alignment vertical="center"/>
    </xf>
    <xf numFmtId="3" fontId="23" fillId="0" borderId="153" xfId="8" applyNumberFormat="1" applyFont="1" applyFill="1" applyBorder="1" applyAlignment="1">
      <alignment horizontal="center" vertical="center"/>
    </xf>
    <xf numFmtId="43" fontId="23" fillId="0" borderId="24" xfId="8" applyNumberFormat="1" applyFont="1" applyFill="1" applyBorder="1" applyAlignment="1">
      <alignment horizontal="center" vertical="center"/>
    </xf>
    <xf numFmtId="0" fontId="50" fillId="0" borderId="0" xfId="8" applyFont="1" applyFill="1" applyAlignment="1">
      <alignment horizontal="left" vertical="center"/>
    </xf>
    <xf numFmtId="0" fontId="50" fillId="0" borderId="0" xfId="8" applyFont="1" applyFill="1" applyAlignment="1">
      <alignment horizontal="right" vertical="center"/>
    </xf>
    <xf numFmtId="0" fontId="50" fillId="0" borderId="0" xfId="8" applyFont="1" applyAlignment="1">
      <alignment vertical="center"/>
    </xf>
    <xf numFmtId="0" fontId="25" fillId="0" borderId="0" xfId="8" applyFont="1"/>
    <xf numFmtId="215" fontId="19" fillId="0" borderId="0" xfId="8" applyNumberFormat="1" applyFont="1" applyFill="1" applyBorder="1" applyAlignment="1">
      <alignment horizontal="center" vertical="center"/>
    </xf>
    <xf numFmtId="0" fontId="168" fillId="0" borderId="0" xfId="51" applyFont="1" applyAlignment="1">
      <alignment horizontal="right"/>
    </xf>
    <xf numFmtId="0" fontId="169" fillId="0" borderId="0" xfId="51" applyFont="1" applyAlignment="1">
      <alignment horizontal="right"/>
    </xf>
    <xf numFmtId="170" fontId="170" fillId="0" borderId="0" xfId="16" applyNumberFormat="1" applyFont="1" applyBorder="1" applyAlignment="1">
      <alignment horizontal="right"/>
    </xf>
    <xf numFmtId="3" fontId="170" fillId="0" borderId="0" xfId="16" applyNumberFormat="1" applyFont="1" applyBorder="1" applyAlignment="1">
      <alignment horizontal="right"/>
    </xf>
    <xf numFmtId="0" fontId="174" fillId="0" borderId="0" xfId="16" applyFont="1"/>
    <xf numFmtId="0" fontId="172" fillId="14" borderId="299" xfId="51" applyFont="1" applyFill="1" applyBorder="1" applyAlignment="1">
      <alignment horizontal="center" vertical="center" wrapText="1"/>
    </xf>
    <xf numFmtId="0" fontId="172" fillId="14" borderId="292" xfId="51" applyFont="1" applyFill="1" applyBorder="1" applyAlignment="1">
      <alignment horizontal="center" vertical="center" wrapText="1"/>
    </xf>
    <xf numFmtId="0" fontId="172" fillId="14" borderId="277" xfId="51" applyFont="1" applyFill="1" applyBorder="1" applyAlignment="1">
      <alignment horizontal="center" vertical="center" wrapText="1"/>
    </xf>
    <xf numFmtId="0" fontId="73" fillId="14" borderId="12" xfId="51" applyFont="1" applyFill="1" applyBorder="1"/>
    <xf numFmtId="0" fontId="171" fillId="14" borderId="9" xfId="51" applyFont="1" applyFill="1" applyBorder="1" applyAlignment="1">
      <alignment horizontal="center" vertical="top" wrapText="1"/>
    </xf>
    <xf numFmtId="3" fontId="172" fillId="0" borderId="300" xfId="51" applyNumberFormat="1" applyFont="1" applyFill="1" applyBorder="1" applyAlignment="1"/>
    <xf numFmtId="3" fontId="172" fillId="0" borderId="151" xfId="51" applyNumberFormat="1" applyFont="1" applyFill="1" applyBorder="1" applyAlignment="1"/>
    <xf numFmtId="3" fontId="172" fillId="0" borderId="152" xfId="51" applyNumberFormat="1" applyFont="1" applyFill="1" applyBorder="1" applyAlignment="1"/>
    <xf numFmtId="3" fontId="172" fillId="0" borderId="46" xfId="51" applyNumberFormat="1" applyFont="1" applyFill="1" applyBorder="1" applyAlignment="1"/>
    <xf numFmtId="0" fontId="171" fillId="0" borderId="0" xfId="16" applyFont="1"/>
    <xf numFmtId="0" fontId="175" fillId="14" borderId="9" xfId="51" applyFont="1" applyFill="1" applyBorder="1"/>
    <xf numFmtId="3" fontId="172" fillId="0" borderId="5" xfId="16" applyNumberFormat="1" applyFont="1" applyBorder="1"/>
    <xf numFmtId="3" fontId="172" fillId="0" borderId="9" xfId="16" applyNumberFormat="1" applyFont="1" applyBorder="1"/>
    <xf numFmtId="3" fontId="172" fillId="0" borderId="47" xfId="16" applyNumberFormat="1" applyFont="1" applyBorder="1"/>
    <xf numFmtId="0" fontId="175" fillId="0" borderId="0" xfId="16" applyFont="1"/>
    <xf numFmtId="0" fontId="171" fillId="14" borderId="9" xfId="51" applyFont="1" applyFill="1" applyBorder="1"/>
    <xf numFmtId="3" fontId="176" fillId="0" borderId="9" xfId="16" applyNumberFormat="1" applyFont="1" applyFill="1" applyBorder="1"/>
    <xf numFmtId="3" fontId="176" fillId="0" borderId="47" xfId="16" applyNumberFormat="1" applyFont="1" applyFill="1" applyBorder="1"/>
    <xf numFmtId="3" fontId="176" fillId="0" borderId="5" xfId="51" applyNumberFormat="1" applyFont="1" applyFill="1" applyBorder="1" applyAlignment="1"/>
    <xf numFmtId="3" fontId="176" fillId="0" borderId="9" xfId="51" applyNumberFormat="1" applyFont="1" applyFill="1" applyBorder="1" applyAlignment="1"/>
    <xf numFmtId="3" fontId="176" fillId="0" borderId="47" xfId="51" applyNumberFormat="1" applyFont="1" applyFill="1" applyBorder="1" applyAlignment="1"/>
    <xf numFmtId="3" fontId="176" fillId="0" borderId="5" xfId="16" applyNumberFormat="1" applyFont="1" applyFill="1" applyBorder="1"/>
    <xf numFmtId="0" fontId="74" fillId="14" borderId="12" xfId="51" applyFont="1" applyFill="1" applyBorder="1"/>
    <xf numFmtId="3" fontId="172" fillId="0" borderId="5" xfId="16" applyNumberFormat="1" applyFont="1" applyFill="1" applyBorder="1"/>
    <xf numFmtId="3" fontId="172" fillId="0" borderId="9" xfId="16" applyNumberFormat="1" applyFont="1" applyFill="1" applyBorder="1"/>
    <xf numFmtId="3" fontId="172" fillId="0" borderId="47" xfId="16" applyNumberFormat="1" applyFont="1" applyFill="1" applyBorder="1"/>
    <xf numFmtId="0" fontId="177" fillId="14" borderId="12" xfId="51" applyFont="1" applyFill="1" applyBorder="1"/>
    <xf numFmtId="0" fontId="169" fillId="14" borderId="9" xfId="51" applyFont="1" applyFill="1" applyBorder="1"/>
    <xf numFmtId="3" fontId="170" fillId="0" borderId="5" xfId="51" applyNumberFormat="1" applyFont="1" applyFill="1" applyBorder="1" applyAlignment="1"/>
    <xf numFmtId="3" fontId="170" fillId="0" borderId="9" xfId="51" applyNumberFormat="1" applyFont="1" applyFill="1" applyBorder="1" applyAlignment="1"/>
    <xf numFmtId="3" fontId="170" fillId="0" borderId="47" xfId="51" applyNumberFormat="1" applyFont="1" applyFill="1" applyBorder="1" applyAlignment="1"/>
    <xf numFmtId="0" fontId="169" fillId="0" borderId="0" xfId="16" applyFont="1"/>
    <xf numFmtId="3" fontId="170" fillId="0" borderId="12" xfId="16" applyNumberFormat="1" applyFont="1" applyFill="1" applyBorder="1"/>
    <xf numFmtId="3" fontId="170" fillId="0" borderId="9" xfId="16" applyNumberFormat="1" applyFont="1" applyFill="1" applyBorder="1"/>
    <xf numFmtId="3" fontId="170" fillId="0" borderId="47" xfId="16" applyNumberFormat="1" applyFont="1" applyFill="1" applyBorder="1"/>
    <xf numFmtId="0" fontId="168" fillId="14" borderId="12" xfId="51" applyFont="1" applyFill="1" applyBorder="1"/>
    <xf numFmtId="3" fontId="170" fillId="0" borderId="5" xfId="16" applyNumberFormat="1" applyFont="1" applyFill="1" applyBorder="1"/>
    <xf numFmtId="3" fontId="176" fillId="0" borderId="5" xfId="36" applyNumberFormat="1" applyFont="1" applyFill="1" applyBorder="1"/>
    <xf numFmtId="3" fontId="176" fillId="0" borderId="9" xfId="36" applyNumberFormat="1" applyFont="1" applyFill="1" applyBorder="1"/>
    <xf numFmtId="3" fontId="176" fillId="0" borderId="47" xfId="36" applyNumberFormat="1" applyFont="1" applyFill="1" applyBorder="1"/>
    <xf numFmtId="3" fontId="172" fillId="0" borderId="5" xfId="51" applyNumberFormat="1" applyFont="1" applyFill="1" applyBorder="1" applyAlignment="1"/>
    <xf numFmtId="3" fontId="172" fillId="0" borderId="9" xfId="51" applyNumberFormat="1" applyFont="1" applyFill="1" applyBorder="1" applyAlignment="1"/>
    <xf numFmtId="3" fontId="172" fillId="0" borderId="47" xfId="51" applyNumberFormat="1" applyFont="1" applyFill="1" applyBorder="1" applyAlignment="1"/>
    <xf numFmtId="3" fontId="170" fillId="0" borderId="11" xfId="16" applyNumberFormat="1" applyFont="1" applyFill="1" applyBorder="1"/>
    <xf numFmtId="0" fontId="168" fillId="14" borderId="15" xfId="51" applyFont="1" applyFill="1" applyBorder="1"/>
    <xf numFmtId="0" fontId="169" fillId="14" borderId="14" xfId="51" applyFont="1" applyFill="1" applyBorder="1"/>
    <xf numFmtId="3" fontId="170" fillId="0" borderId="26" xfId="16" applyNumberFormat="1" applyFont="1" applyFill="1" applyBorder="1"/>
    <xf numFmtId="3" fontId="170" fillId="0" borderId="14" xfId="16" applyNumberFormat="1" applyFont="1" applyFill="1" applyBorder="1"/>
    <xf numFmtId="3" fontId="170" fillId="0" borderId="105" xfId="16" applyNumberFormat="1" applyFont="1" applyFill="1" applyBorder="1"/>
    <xf numFmtId="1" fontId="178" fillId="0" borderId="0" xfId="16" applyNumberFormat="1" applyFont="1"/>
    <xf numFmtId="0" fontId="176" fillId="0" borderId="0" xfId="16" applyFont="1" applyBorder="1"/>
    <xf numFmtId="0" fontId="176" fillId="0" borderId="18" xfId="16" applyFont="1" applyBorder="1"/>
    <xf numFmtId="0" fontId="177" fillId="0" borderId="0" xfId="16" applyFont="1"/>
    <xf numFmtId="0" fontId="171" fillId="14" borderId="0" xfId="51" applyFont="1" applyFill="1" applyBorder="1" applyAlignment="1">
      <alignment horizontal="center" vertical="top" wrapText="1"/>
    </xf>
    <xf numFmtId="3" fontId="176" fillId="0" borderId="300" xfId="16" applyNumberFormat="1" applyFont="1" applyBorder="1"/>
    <xf numFmtId="3" fontId="176" fillId="0" borderId="151" xfId="16" applyNumberFormat="1" applyFont="1" applyBorder="1"/>
    <xf numFmtId="3" fontId="176" fillId="0" borderId="152" xfId="16" applyNumberFormat="1" applyFont="1" applyBorder="1"/>
    <xf numFmtId="3" fontId="176" fillId="0" borderId="159" xfId="16" applyNumberFormat="1" applyFont="1" applyBorder="1"/>
    <xf numFmtId="0" fontId="73" fillId="14" borderId="5" xfId="51" applyFont="1" applyFill="1" applyBorder="1"/>
    <xf numFmtId="3" fontId="176" fillId="0" borderId="46" xfId="51" applyNumberFormat="1" applyFont="1" applyFill="1" applyBorder="1" applyAlignment="1"/>
    <xf numFmtId="3" fontId="176" fillId="0" borderId="5" xfId="16" applyNumberFormat="1" applyFont="1" applyBorder="1"/>
    <xf numFmtId="3" fontId="176" fillId="0" borderId="9" xfId="16" applyNumberFormat="1" applyFont="1" applyBorder="1"/>
    <xf numFmtId="3" fontId="176" fillId="0" borderId="46" xfId="16" applyNumberFormat="1" applyFont="1" applyBorder="1"/>
    <xf numFmtId="3" fontId="176" fillId="0" borderId="46" xfId="16" applyNumberFormat="1" applyFont="1" applyFill="1" applyBorder="1"/>
    <xf numFmtId="0" fontId="168" fillId="14" borderId="5" xfId="51" applyFont="1" applyFill="1" applyBorder="1"/>
    <xf numFmtId="3" fontId="170" fillId="0" borderId="46" xfId="16" applyNumberFormat="1" applyFont="1" applyFill="1" applyBorder="1"/>
    <xf numFmtId="3" fontId="170" fillId="0" borderId="5" xfId="16" applyNumberFormat="1" applyFont="1" applyBorder="1"/>
    <xf numFmtId="3" fontId="170" fillId="0" borderId="9" xfId="16" applyNumberFormat="1" applyFont="1" applyBorder="1"/>
    <xf numFmtId="3" fontId="170" fillId="0" borderId="46" xfId="16" applyNumberFormat="1" applyFont="1" applyBorder="1"/>
    <xf numFmtId="3" fontId="176" fillId="0" borderId="12" xfId="51" applyNumberFormat="1" applyFont="1" applyFill="1" applyBorder="1" applyAlignment="1"/>
    <xf numFmtId="3" fontId="176" fillId="0" borderId="0" xfId="51" applyNumberFormat="1" applyFont="1" applyFill="1" applyBorder="1" applyAlignment="1"/>
    <xf numFmtId="3" fontId="172" fillId="0" borderId="5" xfId="51" applyNumberFormat="1" applyFont="1" applyBorder="1" applyAlignment="1"/>
    <xf numFmtId="3" fontId="172" fillId="0" borderId="9" xfId="51" applyNumberFormat="1" applyFont="1" applyBorder="1" applyAlignment="1"/>
    <xf numFmtId="3" fontId="172" fillId="0" borderId="46" xfId="51" applyNumberFormat="1" applyFont="1" applyBorder="1" applyAlignment="1"/>
    <xf numFmtId="3" fontId="172" fillId="0" borderId="11" xfId="51" applyNumberFormat="1" applyFont="1" applyBorder="1" applyAlignment="1"/>
    <xf numFmtId="3" fontId="175" fillId="0" borderId="0" xfId="16" applyNumberFormat="1" applyFont="1"/>
    <xf numFmtId="3" fontId="170" fillId="0" borderId="46" xfId="51" applyNumberFormat="1" applyFont="1" applyFill="1" applyBorder="1" applyAlignment="1"/>
    <xf numFmtId="3" fontId="171" fillId="0" borderId="0" xfId="16" applyNumberFormat="1" applyFont="1"/>
    <xf numFmtId="3" fontId="176" fillId="0" borderId="46" xfId="36" applyNumberFormat="1" applyFont="1" applyFill="1" applyBorder="1"/>
    <xf numFmtId="0" fontId="176" fillId="0" borderId="5" xfId="16" applyFont="1" applyBorder="1"/>
    <xf numFmtId="0" fontId="176" fillId="0" borderId="9" xfId="16" applyFont="1" applyBorder="1"/>
    <xf numFmtId="0" fontId="176" fillId="0" borderId="46" xfId="16" applyFont="1" applyBorder="1"/>
    <xf numFmtId="0" fontId="73" fillId="14" borderId="15" xfId="51" applyFont="1" applyFill="1" applyBorder="1"/>
    <xf numFmtId="0" fontId="175" fillId="14" borderId="14" xfId="51" applyFont="1" applyFill="1" applyBorder="1"/>
    <xf numFmtId="0" fontId="176" fillId="0" borderId="26" xfId="16" applyFont="1" applyBorder="1"/>
    <xf numFmtId="0" fontId="176" fillId="0" borderId="14" xfId="16" applyFont="1" applyBorder="1"/>
    <xf numFmtId="0" fontId="176" fillId="0" borderId="105" xfId="16" applyFont="1" applyBorder="1"/>
    <xf numFmtId="0" fontId="176" fillId="0" borderId="103" xfId="16" applyFont="1" applyBorder="1"/>
    <xf numFmtId="0" fontId="179" fillId="0" borderId="0" xfId="51" applyFont="1"/>
    <xf numFmtId="0" fontId="180" fillId="0" borderId="0" xfId="51" applyFont="1"/>
    <xf numFmtId="0" fontId="180" fillId="0" borderId="0" xfId="16" applyFont="1"/>
    <xf numFmtId="0" fontId="176" fillId="0" borderId="0" xfId="16" applyFont="1"/>
    <xf numFmtId="3" fontId="176" fillId="0" borderId="0" xfId="16" applyNumberFormat="1" applyFont="1"/>
    <xf numFmtId="0" fontId="74" fillId="0" borderId="0" xfId="16" applyFont="1"/>
    <xf numFmtId="3" fontId="170" fillId="0" borderId="0" xfId="16" applyNumberFormat="1" applyFont="1"/>
    <xf numFmtId="0" fontId="172" fillId="14" borderId="301" xfId="51" applyFont="1" applyFill="1" applyBorder="1" applyAlignment="1">
      <alignment horizontal="center" vertical="center" wrapText="1"/>
    </xf>
    <xf numFmtId="0" fontId="172" fillId="14" borderId="101" xfId="51" applyFont="1" applyFill="1" applyBorder="1" applyAlignment="1">
      <alignment horizontal="center" vertical="center" wrapText="1"/>
    </xf>
    <xf numFmtId="3" fontId="172" fillId="0" borderId="12" xfId="51" applyNumberFormat="1" applyFont="1" applyFill="1" applyBorder="1" applyAlignment="1"/>
    <xf numFmtId="3" fontId="172" fillId="0" borderId="11" xfId="51" applyNumberFormat="1" applyFont="1" applyFill="1" applyBorder="1" applyAlignment="1"/>
    <xf numFmtId="3" fontId="172" fillId="0" borderId="12" xfId="16" applyNumberFormat="1" applyFont="1" applyBorder="1"/>
    <xf numFmtId="3" fontId="172" fillId="0" borderId="11" xfId="16" applyNumberFormat="1" applyFont="1" applyBorder="1"/>
    <xf numFmtId="3" fontId="172" fillId="0" borderId="46" xfId="16" applyNumberFormat="1" applyFont="1" applyBorder="1"/>
    <xf numFmtId="3" fontId="176" fillId="0" borderId="11" xfId="16" applyNumberFormat="1" applyFont="1" applyFill="1" applyBorder="1"/>
    <xf numFmtId="3" fontId="176" fillId="0" borderId="0" xfId="16" applyNumberFormat="1" applyFont="1" applyFill="1" applyBorder="1"/>
    <xf numFmtId="3" fontId="176" fillId="0" borderId="11" xfId="51" applyNumberFormat="1" applyFont="1" applyFill="1" applyBorder="1" applyAlignment="1"/>
    <xf numFmtId="3" fontId="176" fillId="0" borderId="12" xfId="16" applyNumberFormat="1" applyFont="1" applyFill="1" applyBorder="1"/>
    <xf numFmtId="3" fontId="172" fillId="0" borderId="12" xfId="16" applyNumberFormat="1" applyFont="1" applyFill="1" applyBorder="1"/>
    <xf numFmtId="3" fontId="172" fillId="0" borderId="11" xfId="16" applyNumberFormat="1" applyFont="1" applyFill="1" applyBorder="1"/>
    <xf numFmtId="3" fontId="172" fillId="0" borderId="46" xfId="16" applyNumberFormat="1" applyFont="1" applyFill="1" applyBorder="1"/>
    <xf numFmtId="3" fontId="170" fillId="0" borderId="12" xfId="51" applyNumberFormat="1" applyFont="1" applyFill="1" applyBorder="1" applyAlignment="1"/>
    <xf numFmtId="3" fontId="170" fillId="0" borderId="11" xfId="51" applyNumberFormat="1" applyFont="1" applyFill="1" applyBorder="1" applyAlignment="1"/>
    <xf numFmtId="3" fontId="176" fillId="0" borderId="12" xfId="36" applyNumberFormat="1" applyFont="1" applyFill="1" applyBorder="1"/>
    <xf numFmtId="3" fontId="176" fillId="0" borderId="11" xfId="36" applyNumberFormat="1" applyFont="1" applyFill="1" applyBorder="1"/>
    <xf numFmtId="3" fontId="170" fillId="0" borderId="15" xfId="16" applyNumberFormat="1" applyFont="1" applyFill="1" applyBorder="1"/>
    <xf numFmtId="3" fontId="170" fillId="0" borderId="16" xfId="16" applyNumberFormat="1" applyFont="1" applyFill="1" applyBorder="1"/>
    <xf numFmtId="3" fontId="170" fillId="0" borderId="103" xfId="16" applyNumberFormat="1" applyFont="1" applyFill="1" applyBorder="1"/>
    <xf numFmtId="0" fontId="176" fillId="0" borderId="0" xfId="16" applyFont="1" applyBorder="1" applyAlignment="1"/>
    <xf numFmtId="0" fontId="172" fillId="14" borderId="302" xfId="51" applyFont="1" applyFill="1" applyBorder="1" applyAlignment="1">
      <alignment horizontal="center" vertical="center" wrapText="1"/>
    </xf>
    <xf numFmtId="3" fontId="176" fillId="0" borderId="150" xfId="16" applyNumberFormat="1" applyFont="1" applyBorder="1"/>
    <xf numFmtId="3" fontId="176" fillId="0" borderId="23" xfId="16" applyNumberFormat="1" applyFont="1" applyBorder="1"/>
    <xf numFmtId="3" fontId="176" fillId="0" borderId="0" xfId="16" applyNumberFormat="1" applyFont="1" applyBorder="1"/>
    <xf numFmtId="3" fontId="176" fillId="0" borderId="12" xfId="16" applyNumberFormat="1" applyFont="1" applyBorder="1"/>
    <xf numFmtId="3" fontId="176" fillId="0" borderId="11" xfId="16" applyNumberFormat="1" applyFont="1" applyBorder="1"/>
    <xf numFmtId="3" fontId="170" fillId="0" borderId="0" xfId="16" applyNumberFormat="1" applyFont="1" applyFill="1" applyBorder="1"/>
    <xf numFmtId="3" fontId="170" fillId="0" borderId="12" xfId="16" applyNumberFormat="1" applyFont="1" applyBorder="1"/>
    <xf numFmtId="3" fontId="170" fillId="0" borderId="11" xfId="16" applyNumberFormat="1" applyFont="1" applyBorder="1"/>
    <xf numFmtId="3" fontId="170" fillId="0" borderId="0" xfId="16" applyNumberFormat="1" applyFont="1" applyBorder="1"/>
    <xf numFmtId="3" fontId="172" fillId="0" borderId="0" xfId="51" applyNumberFormat="1" applyFont="1" applyFill="1" applyBorder="1" applyAlignment="1"/>
    <xf numFmtId="3" fontId="172" fillId="0" borderId="12" xfId="51" applyNumberFormat="1" applyFont="1" applyBorder="1" applyAlignment="1"/>
    <xf numFmtId="3" fontId="172" fillId="0" borderId="0" xfId="51" applyNumberFormat="1" applyFont="1" applyBorder="1" applyAlignment="1"/>
    <xf numFmtId="3" fontId="170" fillId="0" borderId="0" xfId="51" applyNumberFormat="1" applyFont="1" applyFill="1" applyBorder="1" applyAlignment="1"/>
    <xf numFmtId="3" fontId="176" fillId="0" borderId="12" xfId="36" applyNumberFormat="1" applyFont="1" applyBorder="1"/>
    <xf numFmtId="3" fontId="176" fillId="0" borderId="11" xfId="36" applyNumberFormat="1" applyFont="1" applyBorder="1"/>
    <xf numFmtId="3" fontId="176" fillId="0" borderId="0" xfId="36" applyNumberFormat="1" applyFont="1" applyBorder="1"/>
    <xf numFmtId="3" fontId="176" fillId="0" borderId="46" xfId="36" applyNumberFormat="1" applyFont="1" applyBorder="1"/>
    <xf numFmtId="0" fontId="176" fillId="0" borderId="12" xfId="16" applyFont="1" applyBorder="1"/>
    <xf numFmtId="0" fontId="176" fillId="0" borderId="11" xfId="16" applyFont="1" applyBorder="1"/>
    <xf numFmtId="0" fontId="176" fillId="0" borderId="16" xfId="16" applyFont="1" applyBorder="1"/>
    <xf numFmtId="0" fontId="176" fillId="0" borderId="27" xfId="16" applyFont="1" applyBorder="1"/>
    <xf numFmtId="0" fontId="174" fillId="0" borderId="18" xfId="16" applyFont="1" applyBorder="1"/>
    <xf numFmtId="0" fontId="181" fillId="0" borderId="0" xfId="0" applyFont="1" applyBorder="1" applyAlignment="1">
      <alignment horizontal="left" vertical="center"/>
    </xf>
    <xf numFmtId="0" fontId="182" fillId="0" borderId="0" xfId="0" applyFont="1" applyBorder="1" applyAlignment="1">
      <alignment vertical="center"/>
    </xf>
    <xf numFmtId="0" fontId="182" fillId="30" borderId="0" xfId="0" applyFont="1" applyFill="1" applyBorder="1" applyAlignment="1">
      <alignment vertical="center"/>
    </xf>
    <xf numFmtId="0" fontId="2" fillId="0" borderId="0" xfId="0" applyFont="1" applyBorder="1" applyAlignment="1">
      <alignment horizontal="left" vertical="center" indent="1"/>
    </xf>
    <xf numFmtId="0" fontId="2" fillId="0" borderId="0" xfId="0" applyFont="1" applyBorder="1" applyAlignment="1">
      <alignment vertical="center"/>
    </xf>
    <xf numFmtId="0" fontId="2" fillId="30" borderId="0" xfId="0" applyFont="1" applyFill="1" applyBorder="1" applyAlignment="1">
      <alignment vertical="center"/>
    </xf>
    <xf numFmtId="0" fontId="2" fillId="6" borderId="303" xfId="0" applyFont="1" applyFill="1" applyBorder="1" applyAlignment="1">
      <alignment horizontal="center" vertical="center"/>
    </xf>
    <xf numFmtId="17" fontId="17" fillId="3" borderId="273" xfId="0" applyNumberFormat="1" applyFont="1" applyFill="1" applyBorder="1" applyAlignment="1">
      <alignment horizontal="center" vertical="center"/>
    </xf>
    <xf numFmtId="17" fontId="17" fillId="6" borderId="273" xfId="0" applyNumberFormat="1" applyFont="1" applyFill="1" applyBorder="1" applyAlignment="1">
      <alignment horizontal="center" vertical="center"/>
    </xf>
    <xf numFmtId="17" fontId="17" fillId="6" borderId="261" xfId="0" applyNumberFormat="1" applyFont="1" applyFill="1" applyBorder="1" applyAlignment="1">
      <alignment horizontal="center" vertical="center"/>
    </xf>
    <xf numFmtId="172" fontId="183" fillId="3" borderId="24" xfId="37" applyNumberFormat="1" applyFont="1" applyFill="1" applyBorder="1" applyAlignment="1">
      <alignment horizontal="center" vertical="center"/>
    </xf>
    <xf numFmtId="17" fontId="17" fillId="6" borderId="303" xfId="0" applyNumberFormat="1" applyFont="1" applyFill="1" applyBorder="1" applyAlignment="1">
      <alignment horizontal="center" vertical="center"/>
    </xf>
    <xf numFmtId="183" fontId="17" fillId="6" borderId="276" xfId="0" applyNumberFormat="1" applyFont="1" applyFill="1" applyBorder="1" applyAlignment="1">
      <alignment horizontal="center" vertical="center"/>
    </xf>
    <xf numFmtId="0" fontId="17" fillId="0" borderId="0" xfId="0" applyFont="1" applyBorder="1" applyAlignment="1">
      <alignment horizontal="center" vertical="center"/>
    </xf>
    <xf numFmtId="0" fontId="2" fillId="6" borderId="12" xfId="0" applyFont="1" applyFill="1" applyBorder="1" applyAlignment="1">
      <alignment horizontal="centerContinuous" vertical="center"/>
    </xf>
    <xf numFmtId="17" fontId="17" fillId="0" borderId="11" xfId="0" applyNumberFormat="1" applyFont="1" applyBorder="1" applyAlignment="1">
      <alignment horizontal="centerContinuous" vertical="center"/>
    </xf>
    <xf numFmtId="17" fontId="17" fillId="30" borderId="11" xfId="0" applyNumberFormat="1" applyFont="1" applyFill="1" applyBorder="1" applyAlignment="1">
      <alignment horizontal="centerContinuous" vertical="center"/>
    </xf>
    <xf numFmtId="17" fontId="17" fillId="31" borderId="11" xfId="0" applyNumberFormat="1" applyFont="1" applyFill="1" applyBorder="1" applyAlignment="1">
      <alignment horizontal="centerContinuous" vertical="center"/>
    </xf>
    <xf numFmtId="17" fontId="17" fillId="31" borderId="11" xfId="0" applyNumberFormat="1" applyFont="1" applyFill="1" applyBorder="1" applyAlignment="1">
      <alignment horizontal="center" vertical="center"/>
    </xf>
    <xf numFmtId="17" fontId="17" fillId="31" borderId="9" xfId="0" applyNumberFormat="1" applyFont="1" applyFill="1" applyBorder="1" applyAlignment="1">
      <alignment horizontal="centerContinuous" vertical="center"/>
    </xf>
    <xf numFmtId="172" fontId="183" fillId="0" borderId="16" xfId="37" applyNumberFormat="1" applyFont="1" applyBorder="1" applyAlignment="1">
      <alignment horizontal="center" vertical="center"/>
    </xf>
    <xf numFmtId="172" fontId="183" fillId="3" borderId="16" xfId="37" applyNumberFormat="1" applyFont="1" applyFill="1" applyBorder="1" applyAlignment="1">
      <alignment horizontal="center" vertical="center"/>
    </xf>
    <xf numFmtId="17" fontId="17" fillId="0" borderId="9" xfId="0" applyNumberFormat="1" applyFont="1" applyBorder="1" applyAlignment="1">
      <alignment horizontal="centerContinuous" vertical="center"/>
    </xf>
    <xf numFmtId="17" fontId="17" fillId="0" borderId="12" xfId="0" applyNumberFormat="1" applyFont="1" applyBorder="1" applyAlignment="1">
      <alignment horizontal="centerContinuous" vertical="center"/>
    </xf>
    <xf numFmtId="17" fontId="17" fillId="0" borderId="0" xfId="0" applyNumberFormat="1" applyFont="1" applyBorder="1" applyAlignment="1">
      <alignment horizontal="centerContinuous" vertical="center"/>
    </xf>
    <xf numFmtId="17" fontId="17" fillId="0" borderId="23" xfId="0" applyNumberFormat="1" applyFont="1" applyBorder="1" applyAlignment="1">
      <alignment horizontal="centerContinuous" vertical="center"/>
    </xf>
    <xf numFmtId="17" fontId="17" fillId="0" borderId="226" xfId="0" applyNumberFormat="1" applyFont="1" applyBorder="1" applyAlignment="1">
      <alignment horizontal="centerContinuous" vertical="center"/>
    </xf>
    <xf numFmtId="0" fontId="17" fillId="0" borderId="9" xfId="0" applyFont="1" applyBorder="1" applyAlignment="1">
      <alignment horizontal="center" vertical="center"/>
    </xf>
    <xf numFmtId="0" fontId="17" fillId="0" borderId="23" xfId="0" applyFont="1" applyBorder="1" applyAlignment="1">
      <alignment horizontal="center" vertical="center"/>
    </xf>
    <xf numFmtId="0" fontId="17" fillId="0" borderId="226" xfId="0" applyFont="1" applyBorder="1" applyAlignment="1">
      <alignment horizontal="center" vertical="center"/>
    </xf>
    <xf numFmtId="0" fontId="17" fillId="0" borderId="151" xfId="0" applyFont="1" applyBorder="1" applyAlignment="1">
      <alignment horizontal="center" vertical="center"/>
    </xf>
    <xf numFmtId="0" fontId="17" fillId="0" borderId="152" xfId="0" applyFont="1" applyBorder="1" applyAlignment="1">
      <alignment horizontal="center" vertical="center"/>
    </xf>
    <xf numFmtId="0" fontId="17" fillId="0" borderId="127" xfId="0" applyFont="1" applyBorder="1" applyAlignment="1">
      <alignment horizontal="center" vertical="center"/>
    </xf>
    <xf numFmtId="0" fontId="17" fillId="0" borderId="20" xfId="0" applyFont="1" applyBorder="1" applyAlignment="1">
      <alignment horizontal="center" vertical="center"/>
    </xf>
    <xf numFmtId="0" fontId="2" fillId="6" borderId="12" xfId="0" applyFont="1" applyFill="1" applyBorder="1" applyAlignment="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30" borderId="11" xfId="0" applyFont="1" applyFill="1" applyBorder="1" applyAlignment="1">
      <alignment horizontal="right" vertical="center"/>
    </xf>
    <xf numFmtId="168" fontId="2" fillId="0" borderId="11" xfId="37" applyNumberFormat="1" applyFont="1" applyBorder="1" applyAlignment="1">
      <alignment horizontal="right" vertical="center"/>
    </xf>
    <xf numFmtId="168" fontId="2" fillId="0" borderId="11" xfId="37" applyNumberFormat="1" applyFont="1" applyBorder="1" applyAlignment="1">
      <alignment vertical="center"/>
    </xf>
    <xf numFmtId="168" fontId="2" fillId="0" borderId="9" xfId="37" applyNumberFormat="1" applyFont="1" applyBorder="1" applyAlignment="1">
      <alignment vertical="center"/>
    </xf>
    <xf numFmtId="168" fontId="2" fillId="0" borderId="12" xfId="37" applyNumberFormat="1" applyFont="1" applyBorder="1" applyAlignment="1">
      <alignment vertical="center"/>
    </xf>
    <xf numFmtId="168" fontId="2" fillId="0" borderId="0" xfId="37" applyNumberFormat="1"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alignment vertical="center"/>
    </xf>
    <xf numFmtId="0" fontId="2" fillId="0" borderId="46" xfId="0" applyFont="1" applyBorder="1" applyAlignment="1">
      <alignment vertical="center"/>
    </xf>
    <xf numFmtId="0" fontId="2" fillId="6" borderId="12" xfId="0" applyFont="1" applyFill="1" applyBorder="1" applyAlignment="1">
      <alignment horizontal="left" vertical="center" indent="1"/>
    </xf>
    <xf numFmtId="0" fontId="2" fillId="0" borderId="9"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47" xfId="0" applyFont="1" applyBorder="1" applyAlignment="1">
      <alignment vertical="center"/>
    </xf>
    <xf numFmtId="0" fontId="2" fillId="0" borderId="103" xfId="0" applyFont="1" applyBorder="1" applyAlignment="1">
      <alignment vertical="center"/>
    </xf>
    <xf numFmtId="0" fontId="2" fillId="32" borderId="122" xfId="0" applyFont="1" applyFill="1" applyBorder="1" applyAlignment="1">
      <alignment vertical="center"/>
    </xf>
    <xf numFmtId="0" fontId="2" fillId="0" borderId="127" xfId="0" applyFont="1" applyBorder="1" applyAlignment="1">
      <alignment vertical="center"/>
    </xf>
    <xf numFmtId="168" fontId="2" fillId="0" borderId="11" xfId="37" applyNumberFormat="1" applyFont="1" applyBorder="1" applyAlignment="1">
      <alignment horizontal="center" vertical="center"/>
    </xf>
    <xf numFmtId="168" fontId="2" fillId="30" borderId="11" xfId="37" applyNumberFormat="1" applyFont="1" applyFill="1" applyBorder="1" applyAlignment="1">
      <alignment horizontal="right" vertical="center"/>
    </xf>
    <xf numFmtId="168" fontId="2" fillId="0" borderId="12" xfId="37" applyNumberFormat="1" applyFont="1" applyBorder="1" applyAlignment="1">
      <alignment vertical="center" shrinkToFit="1"/>
    </xf>
    <xf numFmtId="168" fontId="2" fillId="0" borderId="11" xfId="37" applyNumberFormat="1" applyFont="1" applyBorder="1" applyAlignment="1">
      <alignment vertical="center" shrinkToFit="1"/>
    </xf>
    <xf numFmtId="168" fontId="2" fillId="0" borderId="0" xfId="37" applyNumberFormat="1" applyFont="1" applyBorder="1" applyAlignment="1">
      <alignment vertical="center" shrinkToFit="1"/>
    </xf>
    <xf numFmtId="168" fontId="2" fillId="0" borderId="9" xfId="37" applyNumberFormat="1" applyFont="1" applyBorder="1" applyAlignment="1">
      <alignment vertical="center" shrinkToFit="1"/>
    </xf>
    <xf numFmtId="168" fontId="2" fillId="0" borderId="20" xfId="37" applyNumberFormat="1" applyFont="1" applyBorder="1" applyAlignment="1">
      <alignment vertical="center"/>
    </xf>
    <xf numFmtId="168" fontId="2" fillId="0" borderId="46" xfId="37" applyNumberFormat="1" applyFont="1" applyBorder="1" applyAlignment="1">
      <alignment vertical="center"/>
    </xf>
    <xf numFmtId="3" fontId="2" fillId="0" borderId="11" xfId="0" applyNumberFormat="1" applyFont="1" applyBorder="1" applyAlignment="1">
      <alignment horizontal="center" vertical="center"/>
    </xf>
    <xf numFmtId="3" fontId="2" fillId="0" borderId="11" xfId="0" applyNumberFormat="1" applyFont="1" applyBorder="1" applyAlignment="1">
      <alignment horizontal="right" vertical="center"/>
    </xf>
    <xf numFmtId="3" fontId="2" fillId="30" borderId="11" xfId="0" applyNumberFormat="1" applyFont="1" applyFill="1" applyBorder="1" applyAlignment="1">
      <alignment horizontal="right" vertical="center"/>
    </xf>
    <xf numFmtId="172" fontId="2" fillId="0" borderId="20" xfId="37" applyNumberFormat="1" applyFont="1" applyBorder="1" applyAlignment="1">
      <alignment horizontal="center" vertical="center"/>
    </xf>
    <xf numFmtId="172" fontId="2" fillId="0" borderId="46" xfId="37" applyNumberFormat="1" applyFont="1" applyBorder="1" applyAlignment="1">
      <alignment horizontal="center" vertical="center"/>
    </xf>
    <xf numFmtId="0" fontId="2" fillId="0" borderId="0" xfId="0" applyFont="1" applyBorder="1" applyAlignment="1">
      <alignment horizontal="center" vertical="center"/>
    </xf>
    <xf numFmtId="3" fontId="2" fillId="0" borderId="11"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2" xfId="0" applyNumberFormat="1" applyFont="1" applyBorder="1" applyAlignment="1">
      <alignment horizontal="right" vertical="center" wrapText="1"/>
    </xf>
    <xf numFmtId="3" fontId="2" fillId="0" borderId="0" xfId="0" applyNumberFormat="1" applyFont="1" applyBorder="1" applyAlignment="1">
      <alignment horizontal="right" vertical="center" wrapText="1"/>
    </xf>
    <xf numFmtId="0" fontId="2" fillId="0" borderId="9"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103" xfId="0" applyFont="1" applyBorder="1" applyAlignment="1">
      <alignment horizontal="center" vertical="center"/>
    </xf>
    <xf numFmtId="0" fontId="17" fillId="0" borderId="11" xfId="0" applyFont="1" applyBorder="1" applyAlignment="1">
      <alignment vertical="center"/>
    </xf>
    <xf numFmtId="168" fontId="2" fillId="6" borderId="12" xfId="37" applyNumberFormat="1" applyFont="1" applyFill="1" applyBorder="1" applyAlignment="1">
      <alignment vertical="center"/>
    </xf>
    <xf numFmtId="168" fontId="2" fillId="0" borderId="9" xfId="37" applyNumberFormat="1" applyFont="1" applyBorder="1" applyAlignment="1">
      <alignment horizontal="right" vertical="center"/>
    </xf>
    <xf numFmtId="168" fontId="2" fillId="0" borderId="12" xfId="37" applyNumberFormat="1" applyFont="1" applyBorder="1" applyAlignment="1">
      <alignment horizontal="right" vertical="center"/>
    </xf>
    <xf numFmtId="168" fontId="2" fillId="0" borderId="0" xfId="37" applyNumberFormat="1" applyFont="1" applyBorder="1" applyAlignment="1">
      <alignment horizontal="right" vertical="center"/>
    </xf>
    <xf numFmtId="168" fontId="2" fillId="0" borderId="11" xfId="37" applyNumberFormat="1" applyFont="1" applyFill="1" applyBorder="1" applyAlignment="1">
      <alignment horizontal="right" vertical="center"/>
    </xf>
    <xf numFmtId="168" fontId="2" fillId="0" borderId="0" xfId="37" applyNumberFormat="1" applyFont="1" applyFill="1" applyBorder="1" applyAlignment="1">
      <alignment horizontal="right" vertical="center"/>
    </xf>
    <xf numFmtId="168" fontId="17" fillId="0" borderId="11" xfId="37" applyNumberFormat="1" applyFont="1" applyBorder="1" applyAlignment="1">
      <alignment vertical="center"/>
    </xf>
    <xf numFmtId="168" fontId="2" fillId="0" borderId="46" xfId="37" applyNumberFormat="1" applyFont="1" applyBorder="1" applyAlignment="1">
      <alignment horizontal="right" vertical="center"/>
    </xf>
    <xf numFmtId="168" fontId="2" fillId="0" borderId="20" xfId="37" applyNumberFormat="1" applyFont="1" applyBorder="1" applyAlignment="1">
      <alignment horizontal="right" vertical="center"/>
    </xf>
    <xf numFmtId="168" fontId="184" fillId="0" borderId="11" xfId="37" applyNumberFormat="1" applyFont="1" applyBorder="1" applyAlignment="1">
      <alignment vertical="center"/>
    </xf>
    <xf numFmtId="168" fontId="184" fillId="0" borderId="11" xfId="37" applyNumberFormat="1" applyFont="1" applyBorder="1" applyAlignment="1">
      <alignment horizontal="right" vertical="center"/>
    </xf>
    <xf numFmtId="168" fontId="184" fillId="30" borderId="11" xfId="37" applyNumberFormat="1" applyFont="1" applyFill="1" applyBorder="1" applyAlignment="1">
      <alignment horizontal="right" vertical="center"/>
    </xf>
    <xf numFmtId="168" fontId="184" fillId="0" borderId="9" xfId="37" applyNumberFormat="1" applyFont="1" applyBorder="1" applyAlignment="1">
      <alignment horizontal="right" vertical="center"/>
    </xf>
    <xf numFmtId="168" fontId="2" fillId="0" borderId="11" xfId="37" applyNumberFormat="1" applyFont="1" applyBorder="1" applyAlignment="1">
      <alignment horizontal="right" vertical="center" shrinkToFit="1"/>
    </xf>
    <xf numFmtId="168" fontId="2" fillId="0" borderId="0" xfId="37" applyNumberFormat="1" applyFont="1" applyBorder="1" applyAlignment="1">
      <alignment horizontal="right" vertical="center" shrinkToFit="1"/>
    </xf>
    <xf numFmtId="168" fontId="2" fillId="0" borderId="9" xfId="37" applyNumberFormat="1" applyFont="1" applyBorder="1" applyAlignment="1">
      <alignment horizontal="right" vertical="center" shrinkToFit="1"/>
    </xf>
    <xf numFmtId="168" fontId="2" fillId="6" borderId="12" xfId="37" applyNumberFormat="1" applyFont="1" applyFill="1" applyBorder="1" applyAlignment="1">
      <alignment horizontal="left" vertical="center" indent="2"/>
    </xf>
    <xf numFmtId="168" fontId="184" fillId="0" borderId="12" xfId="37" applyNumberFormat="1" applyFont="1" applyBorder="1" applyAlignment="1">
      <alignment horizontal="right" vertical="center"/>
    </xf>
    <xf numFmtId="168" fontId="184" fillId="0" borderId="0" xfId="37" applyNumberFormat="1" applyFont="1" applyBorder="1" applyAlignment="1">
      <alignment horizontal="right" vertical="center"/>
    </xf>
    <xf numFmtId="167" fontId="2" fillId="0" borderId="11" xfId="37" applyNumberFormat="1" applyFont="1" applyBorder="1" applyAlignment="1">
      <alignment horizontal="right" vertical="center"/>
    </xf>
    <xf numFmtId="167" fontId="2" fillId="0" borderId="11" xfId="37" applyNumberFormat="1" applyFont="1" applyBorder="1" applyAlignment="1">
      <alignment vertical="center"/>
    </xf>
    <xf numFmtId="167" fontId="2" fillId="0" borderId="9" xfId="37" applyNumberFormat="1" applyFont="1" applyBorder="1" applyAlignment="1">
      <alignment vertical="center"/>
    </xf>
    <xf numFmtId="167" fontId="2" fillId="0" borderId="12" xfId="37" applyNumberFormat="1" applyFont="1" applyBorder="1" applyAlignment="1">
      <alignment vertical="center"/>
    </xf>
    <xf numFmtId="167" fontId="2" fillId="0" borderId="0" xfId="37" applyNumberFormat="1" applyFont="1" applyBorder="1" applyAlignment="1">
      <alignment vertical="center"/>
    </xf>
    <xf numFmtId="170" fontId="2" fillId="0" borderId="20" xfId="0" applyNumberFormat="1" applyFont="1" applyBorder="1" applyAlignment="1">
      <alignment vertical="center"/>
    </xf>
    <xf numFmtId="170" fontId="2" fillId="0" borderId="46" xfId="0" applyNumberFormat="1" applyFont="1" applyBorder="1" applyAlignment="1">
      <alignment vertical="center"/>
    </xf>
    <xf numFmtId="167" fontId="17" fillId="0" borderId="11" xfId="37" applyNumberFormat="1" applyFont="1" applyBorder="1" applyAlignment="1">
      <alignment vertical="center"/>
    </xf>
    <xf numFmtId="0" fontId="34" fillId="6" borderId="12" xfId="0" applyFont="1" applyFill="1" applyBorder="1" applyAlignment="1">
      <alignment vertical="center"/>
    </xf>
    <xf numFmtId="0" fontId="34" fillId="6" borderId="12" xfId="0" applyFont="1" applyFill="1" applyBorder="1" applyAlignment="1">
      <alignment vertical="center" wrapText="1"/>
    </xf>
    <xf numFmtId="167" fontId="34" fillId="0" borderId="0" xfId="37" applyNumberFormat="1" applyFont="1" applyBorder="1" applyAlignment="1">
      <alignment vertical="center"/>
    </xf>
    <xf numFmtId="167" fontId="34" fillId="0" borderId="9" xfId="37" applyNumberFormat="1" applyFont="1" applyBorder="1" applyAlignment="1">
      <alignment vertical="center"/>
    </xf>
    <xf numFmtId="167" fontId="34" fillId="0" borderId="11" xfId="37" applyNumberFormat="1" applyFont="1" applyBorder="1" applyAlignment="1">
      <alignment vertical="center"/>
    </xf>
    <xf numFmtId="170" fontId="34" fillId="0" borderId="20" xfId="0" applyNumberFormat="1" applyFont="1" applyBorder="1" applyAlignment="1">
      <alignment vertical="center"/>
    </xf>
    <xf numFmtId="170" fontId="34" fillId="0" borderId="46" xfId="0" applyNumberFormat="1" applyFont="1" applyBorder="1" applyAlignment="1">
      <alignment vertical="center"/>
    </xf>
    <xf numFmtId="167" fontId="2" fillId="0" borderId="20" xfId="37" applyNumberFormat="1" applyFont="1" applyBorder="1" applyAlignment="1">
      <alignment vertical="center"/>
    </xf>
    <xf numFmtId="164" fontId="2" fillId="0" borderId="20" xfId="0" applyNumberFormat="1" applyFont="1" applyBorder="1" applyAlignment="1">
      <alignment vertical="center"/>
    </xf>
    <xf numFmtId="0" fontId="2" fillId="6" borderId="15" xfId="0" applyFont="1" applyFill="1" applyBorder="1" applyAlignment="1">
      <alignment horizontal="left" vertical="center" indent="1"/>
    </xf>
    <xf numFmtId="0" fontId="2" fillId="0" borderId="16" xfId="0" applyFont="1" applyBorder="1" applyAlignment="1">
      <alignment vertical="center"/>
    </xf>
    <xf numFmtId="0" fontId="2" fillId="30" borderId="16" xfId="0" applyFont="1" applyFill="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vertical="center"/>
    </xf>
    <xf numFmtId="0" fontId="17" fillId="0" borderId="16" xfId="0" applyFont="1" applyFill="1" applyBorder="1" applyAlignment="1">
      <alignment vertical="center"/>
    </xf>
    <xf numFmtId="0" fontId="2" fillId="0" borderId="28" xfId="0" applyFont="1" applyFill="1" applyBorder="1" applyAlignment="1">
      <alignment vertical="center"/>
    </xf>
    <xf numFmtId="0" fontId="2" fillId="0" borderId="103" xfId="0" applyFont="1" applyFill="1" applyBorder="1" applyAlignment="1">
      <alignment vertical="center"/>
    </xf>
    <xf numFmtId="0" fontId="2" fillId="0" borderId="0" xfId="0" applyFont="1" applyFill="1" applyBorder="1" applyAlignment="1">
      <alignment vertical="center"/>
    </xf>
    <xf numFmtId="0" fontId="34" fillId="0" borderId="0" xfId="0" applyFont="1" applyBorder="1" applyAlignment="1">
      <alignment horizontal="left" vertical="center" indent="1"/>
    </xf>
    <xf numFmtId="0" fontId="181" fillId="0" borderId="0" xfId="0" applyFont="1" applyBorder="1" applyAlignment="1">
      <alignment vertical="center"/>
    </xf>
    <xf numFmtId="0" fontId="0" fillId="0" borderId="0" xfId="0" applyBorder="1"/>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183" fontId="17" fillId="6" borderId="45" xfId="0" applyNumberFormat="1" applyFont="1" applyFill="1" applyBorder="1" applyAlignment="1">
      <alignment horizontal="center" vertical="center"/>
    </xf>
    <xf numFmtId="0" fontId="183" fillId="0" borderId="0" xfId="0" applyFont="1" applyAlignment="1">
      <alignment horizontal="center" vertical="center"/>
    </xf>
    <xf numFmtId="0" fontId="2" fillId="6" borderId="5"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20" xfId="0" applyFont="1" applyFill="1" applyBorder="1" applyAlignment="1">
      <alignment horizontal="center" vertical="center"/>
    </xf>
    <xf numFmtId="17" fontId="17" fillId="32" borderId="300" xfId="0" applyNumberFormat="1" applyFont="1" applyFill="1" applyBorder="1" applyAlignment="1">
      <alignment vertical="center"/>
    </xf>
    <xf numFmtId="17" fontId="17" fillId="32" borderId="226" xfId="0" applyNumberFormat="1" applyFont="1" applyFill="1" applyBorder="1" applyAlignment="1">
      <alignment vertical="center"/>
    </xf>
    <xf numFmtId="17" fontId="17" fillId="32" borderId="304" xfId="0" applyNumberFormat="1" applyFont="1" applyFill="1" applyBorder="1" applyAlignment="1">
      <alignment vertical="center"/>
    </xf>
    <xf numFmtId="0" fontId="2" fillId="6" borderId="5" xfId="0" applyFont="1" applyFill="1" applyBorder="1" applyAlignment="1">
      <alignment horizontal="left" vertical="center"/>
    </xf>
    <xf numFmtId="0" fontId="2" fillId="6" borderId="0" xfId="0" applyFont="1" applyFill="1" applyBorder="1" applyAlignment="1">
      <alignment horizontal="left" vertical="center"/>
    </xf>
    <xf numFmtId="0" fontId="2" fillId="6" borderId="20" xfId="0" applyFont="1" applyFill="1" applyBorder="1" applyAlignment="1">
      <alignment horizontal="left" vertical="center"/>
    </xf>
    <xf numFmtId="0" fontId="2" fillId="5" borderId="5" xfId="0" applyFont="1" applyFill="1" applyBorder="1" applyAlignment="1">
      <alignment horizontal="left" vertical="center"/>
    </xf>
    <xf numFmtId="216" fontId="17" fillId="0" borderId="6" xfId="0" applyNumberFormat="1" applyFont="1" applyFill="1" applyBorder="1" applyAlignment="1">
      <alignment horizontal="center" vertical="center"/>
    </xf>
    <xf numFmtId="0" fontId="183" fillId="0" borderId="19" xfId="0" applyFont="1" applyBorder="1" applyAlignment="1">
      <alignment horizontal="center" vertical="center"/>
    </xf>
    <xf numFmtId="0" fontId="183" fillId="0" borderId="127" xfId="0" applyFont="1" applyBorder="1" applyAlignment="1">
      <alignment horizontal="center" vertical="center"/>
    </xf>
    <xf numFmtId="0" fontId="183" fillId="0" borderId="17" xfId="0" applyFont="1" applyBorder="1" applyAlignment="1">
      <alignment horizontal="center" vertical="center"/>
    </xf>
    <xf numFmtId="216" fontId="17" fillId="0" borderId="7" xfId="0" applyNumberFormat="1" applyFont="1" applyFill="1" applyBorder="1" applyAlignment="1">
      <alignment horizontal="center" vertical="center"/>
    </xf>
    <xf numFmtId="0" fontId="183" fillId="0" borderId="7" xfId="0" applyFont="1" applyBorder="1" applyAlignment="1">
      <alignment horizontal="center" vertical="center"/>
    </xf>
    <xf numFmtId="0" fontId="183" fillId="0" borderId="10" xfId="0" applyFont="1" applyBorder="1" applyAlignment="1">
      <alignment horizontal="center" vertical="center"/>
    </xf>
    <xf numFmtId="216" fontId="2" fillId="0" borderId="12" xfId="0" applyNumberFormat="1" applyFont="1" applyFill="1" applyBorder="1" applyAlignment="1">
      <alignment horizontal="center" vertical="center"/>
    </xf>
    <xf numFmtId="172" fontId="183" fillId="0" borderId="20" xfId="37" applyNumberFormat="1" applyFont="1" applyBorder="1" applyAlignment="1">
      <alignment horizontal="center" vertical="center"/>
    </xf>
    <xf numFmtId="172" fontId="183" fillId="0" borderId="46" xfId="37" applyNumberFormat="1" applyFont="1" applyBorder="1" applyAlignment="1">
      <alignment horizontal="center" vertical="center"/>
    </xf>
    <xf numFmtId="172" fontId="183" fillId="0" borderId="5" xfId="37" applyNumberFormat="1" applyFont="1" applyBorder="1" applyAlignment="1">
      <alignment horizontal="center" vertical="center"/>
    </xf>
    <xf numFmtId="216" fontId="2" fillId="0" borderId="11" xfId="0" applyNumberFormat="1" applyFont="1" applyFill="1" applyBorder="1" applyAlignment="1">
      <alignment horizontal="center" vertical="center"/>
    </xf>
    <xf numFmtId="172" fontId="183" fillId="0" borderId="11" xfId="37" applyNumberFormat="1" applyFont="1" applyBorder="1" applyAlignment="1">
      <alignment horizontal="center" vertical="center"/>
    </xf>
    <xf numFmtId="172" fontId="183" fillId="0" borderId="9" xfId="37" applyNumberFormat="1" applyFont="1" applyBorder="1" applyAlignment="1">
      <alignment horizontal="center" vertical="center"/>
    </xf>
    <xf numFmtId="172" fontId="183" fillId="2" borderId="20" xfId="37" applyNumberFormat="1" applyFont="1" applyFill="1" applyBorder="1" applyAlignment="1">
      <alignment horizontal="center" vertical="center"/>
    </xf>
    <xf numFmtId="216" fontId="2" fillId="0" borderId="15" xfId="0" applyNumberFormat="1" applyFont="1" applyFill="1" applyBorder="1" applyAlignment="1">
      <alignment horizontal="center" vertical="center"/>
    </xf>
    <xf numFmtId="172" fontId="183" fillId="0" borderId="28" xfId="37" applyNumberFormat="1" applyFont="1" applyBorder="1" applyAlignment="1">
      <alignment horizontal="center" vertical="center"/>
    </xf>
    <xf numFmtId="172" fontId="183" fillId="0" borderId="103" xfId="37" applyNumberFormat="1" applyFont="1" applyBorder="1" applyAlignment="1">
      <alignment horizontal="center" vertical="center"/>
    </xf>
    <xf numFmtId="172" fontId="183" fillId="0" borderId="26" xfId="37" applyNumberFormat="1" applyFont="1" applyBorder="1" applyAlignment="1">
      <alignment horizontal="center" vertical="center"/>
    </xf>
    <xf numFmtId="216" fontId="2" fillId="0" borderId="16" xfId="0" applyNumberFormat="1" applyFont="1" applyFill="1" applyBorder="1" applyAlignment="1">
      <alignment horizontal="center" vertical="center"/>
    </xf>
    <xf numFmtId="172" fontId="183" fillId="0" borderId="14" xfId="37" applyNumberFormat="1" applyFont="1" applyBorder="1" applyAlignment="1">
      <alignment horizontal="center" vertical="center"/>
    </xf>
    <xf numFmtId="0" fontId="2" fillId="5" borderId="5" xfId="0" applyFont="1" applyFill="1" applyBorder="1" applyAlignment="1">
      <alignment horizontal="center" vertical="center"/>
    </xf>
    <xf numFmtId="0" fontId="183" fillId="32" borderId="0" xfId="0" applyFont="1" applyFill="1" applyBorder="1" applyAlignment="1">
      <alignment horizontal="center" vertical="center"/>
    </xf>
    <xf numFmtId="0" fontId="183" fillId="32" borderId="20" xfId="0" applyFont="1" applyFill="1" applyBorder="1" applyAlignment="1">
      <alignment horizontal="center" vertical="center"/>
    </xf>
    <xf numFmtId="216" fontId="2" fillId="0" borderId="6" xfId="0" applyNumberFormat="1" applyFont="1" applyFill="1" applyBorder="1" applyAlignment="1">
      <alignment horizontal="center" vertical="center"/>
    </xf>
    <xf numFmtId="172" fontId="183" fillId="0" borderId="19" xfId="37" applyNumberFormat="1" applyFont="1" applyBorder="1" applyAlignment="1">
      <alignment horizontal="center" vertical="center"/>
    </xf>
    <xf numFmtId="172" fontId="183" fillId="0" borderId="127" xfId="37" applyNumberFormat="1" applyFont="1" applyBorder="1" applyAlignment="1">
      <alignment horizontal="center" vertical="center"/>
    </xf>
    <xf numFmtId="172" fontId="183" fillId="0" borderId="17" xfId="37" applyNumberFormat="1" applyFont="1" applyBorder="1" applyAlignment="1">
      <alignment horizontal="center" vertical="center"/>
    </xf>
    <xf numFmtId="216" fontId="2" fillId="0" borderId="7" xfId="0" applyNumberFormat="1" applyFont="1" applyFill="1" applyBorder="1" applyAlignment="1">
      <alignment horizontal="center" vertical="center"/>
    </xf>
    <xf numFmtId="172" fontId="183" fillId="0" borderId="7" xfId="37" applyNumberFormat="1" applyFont="1" applyBorder="1" applyAlignment="1">
      <alignment horizontal="center" vertical="center"/>
    </xf>
    <xf numFmtId="172" fontId="183" fillId="0" borderId="10" xfId="37" applyNumberFormat="1" applyFont="1" applyBorder="1" applyAlignment="1">
      <alignment horizontal="center" vertical="center"/>
    </xf>
    <xf numFmtId="168" fontId="183" fillId="0" borderId="127" xfId="37" applyNumberFormat="1" applyFont="1" applyBorder="1" applyAlignment="1">
      <alignment horizontal="center" vertical="center"/>
    </xf>
    <xf numFmtId="172" fontId="183" fillId="0" borderId="0" xfId="0" applyNumberFormat="1" applyFont="1" applyAlignment="1">
      <alignment horizontal="center" vertical="center"/>
    </xf>
    <xf numFmtId="0" fontId="183" fillId="0" borderId="46" xfId="0" applyFont="1" applyBorder="1" applyAlignment="1">
      <alignment horizontal="center" vertical="center"/>
    </xf>
    <xf numFmtId="0" fontId="2" fillId="6" borderId="26" xfId="0" applyFont="1" applyFill="1" applyBorder="1" applyAlignment="1">
      <alignment horizontal="left"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5" borderId="26" xfId="0" applyFont="1" applyFill="1" applyBorder="1" applyAlignment="1">
      <alignment horizontal="center" vertical="center"/>
    </xf>
    <xf numFmtId="0" fontId="183" fillId="0" borderId="15" xfId="0" applyFont="1" applyBorder="1" applyAlignment="1">
      <alignment horizontal="center" vertical="center"/>
    </xf>
    <xf numFmtId="0" fontId="183" fillId="0" borderId="28" xfId="0" applyFont="1" applyBorder="1" applyAlignment="1">
      <alignment horizontal="center" vertical="center"/>
    </xf>
    <xf numFmtId="0" fontId="183" fillId="0" borderId="103" xfId="0" applyFont="1" applyBorder="1" applyAlignment="1">
      <alignment horizontal="center" vertical="center"/>
    </xf>
    <xf numFmtId="0" fontId="183" fillId="0" borderId="26" xfId="0" applyFont="1" applyBorder="1" applyAlignment="1">
      <alignment horizontal="center" vertical="center"/>
    </xf>
    <xf numFmtId="216" fontId="2" fillId="0" borderId="14" xfId="0" applyNumberFormat="1" applyFont="1" applyFill="1" applyBorder="1" applyAlignment="1">
      <alignment horizontal="center" vertical="center"/>
    </xf>
    <xf numFmtId="216" fontId="2" fillId="0" borderId="28" xfId="0" applyNumberFormat="1" applyFont="1" applyFill="1" applyBorder="1" applyAlignment="1">
      <alignment horizontal="center" vertical="center"/>
    </xf>
    <xf numFmtId="172" fontId="9" fillId="0" borderId="0" xfId="37" applyNumberFormat="1" applyFont="1" applyBorder="1"/>
    <xf numFmtId="0" fontId="185" fillId="0" borderId="0" xfId="16" applyFont="1" applyAlignment="1">
      <alignment vertical="center"/>
    </xf>
    <xf numFmtId="0" fontId="17" fillId="0" borderId="0" xfId="16" applyFont="1" applyAlignment="1">
      <alignment vertical="center" textRotation="135"/>
    </xf>
    <xf numFmtId="0" fontId="186" fillId="5" borderId="39" xfId="16" applyFont="1" applyFill="1" applyBorder="1" applyAlignment="1">
      <alignment vertical="center"/>
    </xf>
    <xf numFmtId="0" fontId="17" fillId="5" borderId="65" xfId="16" applyFont="1" applyFill="1" applyBorder="1" applyAlignment="1">
      <alignment vertical="center"/>
    </xf>
    <xf numFmtId="0" fontId="17" fillId="5" borderId="42" xfId="16" applyFont="1" applyFill="1" applyBorder="1" applyAlignment="1">
      <alignment vertical="center"/>
    </xf>
    <xf numFmtId="0" fontId="186" fillId="5" borderId="48" xfId="16" applyFont="1" applyFill="1" applyBorder="1" applyAlignment="1">
      <alignment horizontal="center" vertical="center" wrapText="1"/>
    </xf>
    <xf numFmtId="0" fontId="17" fillId="5" borderId="67" xfId="16" applyFont="1" applyFill="1" applyBorder="1" applyAlignment="1">
      <alignment horizontal="center" vertical="center" wrapText="1"/>
    </xf>
    <xf numFmtId="0" fontId="17" fillId="5" borderId="53" xfId="16" applyFont="1" applyFill="1" applyBorder="1" applyAlignment="1">
      <alignment horizontal="center" vertical="center" wrapText="1"/>
    </xf>
    <xf numFmtId="0" fontId="17" fillId="5" borderId="64" xfId="16" applyFont="1" applyFill="1" applyBorder="1" applyAlignment="1">
      <alignment horizontal="center" vertical="center" wrapText="1"/>
    </xf>
    <xf numFmtId="0" fontId="17" fillId="0" borderId="0" xfId="16" applyFont="1" applyAlignment="1">
      <alignment horizontal="center" vertical="center" wrapText="1"/>
    </xf>
    <xf numFmtId="0" fontId="186" fillId="5" borderId="44" xfId="16" applyFont="1" applyFill="1" applyBorder="1" applyAlignment="1">
      <alignment horizontal="center" vertical="center" wrapText="1"/>
    </xf>
    <xf numFmtId="0" fontId="17" fillId="0" borderId="66" xfId="16" applyFont="1" applyFill="1" applyBorder="1" applyAlignment="1">
      <alignment horizontal="center" vertical="center" wrapText="1"/>
    </xf>
    <xf numFmtId="0" fontId="17" fillId="0" borderId="46" xfId="16" applyFont="1" applyFill="1" applyBorder="1" applyAlignment="1">
      <alignment horizontal="center" vertical="center" wrapText="1"/>
    </xf>
    <xf numFmtId="0" fontId="17" fillId="0" borderId="57" xfId="16" applyFont="1" applyFill="1" applyBorder="1" applyAlignment="1">
      <alignment horizontal="center" vertical="center" wrapText="1"/>
    </xf>
    <xf numFmtId="0" fontId="17" fillId="5" borderId="44" xfId="16" applyFont="1" applyFill="1" applyBorder="1" applyAlignment="1">
      <alignment horizontal="left" vertical="center"/>
    </xf>
    <xf numFmtId="0" fontId="35" fillId="0" borderId="66" xfId="16" applyBorder="1" applyAlignment="1">
      <alignment horizontal="right" vertical="center"/>
    </xf>
    <xf numFmtId="3" fontId="35" fillId="0" borderId="46" xfId="16" applyNumberFormat="1" applyBorder="1" applyAlignment="1">
      <alignment horizontal="right" vertical="center"/>
    </xf>
    <xf numFmtId="0" fontId="35" fillId="0" borderId="46" xfId="16" applyBorder="1" applyAlignment="1">
      <alignment horizontal="right" vertical="center"/>
    </xf>
    <xf numFmtId="3" fontId="35" fillId="0" borderId="57" xfId="16" applyNumberFormat="1" applyBorder="1" applyAlignment="1">
      <alignment horizontal="right" vertical="center"/>
    </xf>
    <xf numFmtId="17" fontId="17" fillId="5" borderId="44" xfId="16" applyNumberFormat="1" applyFont="1" applyFill="1" applyBorder="1" applyAlignment="1">
      <alignment horizontal="left" vertical="center"/>
    </xf>
    <xf numFmtId="3" fontId="35" fillId="0" borderId="66" xfId="16" applyNumberFormat="1" applyBorder="1" applyAlignment="1">
      <alignment horizontal="right" vertical="center"/>
    </xf>
    <xf numFmtId="3" fontId="35" fillId="0" borderId="32" xfId="16" applyNumberFormat="1" applyBorder="1" applyAlignment="1">
      <alignment horizontal="right" vertical="center"/>
    </xf>
    <xf numFmtId="3" fontId="35" fillId="0" borderId="33" xfId="16" applyNumberFormat="1" applyBorder="1" applyAlignment="1">
      <alignment horizontal="right" vertical="center"/>
    </xf>
    <xf numFmtId="3" fontId="35" fillId="0" borderId="0" xfId="16" applyNumberFormat="1" applyBorder="1" applyAlignment="1">
      <alignment horizontal="right" vertical="center"/>
    </xf>
    <xf numFmtId="3" fontId="35" fillId="0" borderId="0" xfId="16" applyNumberFormat="1" applyBorder="1" applyAlignment="1">
      <alignment horizontal="center" vertical="center"/>
    </xf>
    <xf numFmtId="0" fontId="35" fillId="0" borderId="46" xfId="16" applyBorder="1" applyAlignment="1">
      <alignment horizontal="center" vertical="center"/>
    </xf>
    <xf numFmtId="3" fontId="35" fillId="0" borderId="33" xfId="16" applyNumberFormat="1" applyBorder="1" applyAlignment="1">
      <alignment horizontal="center" vertical="center"/>
    </xf>
    <xf numFmtId="3" fontId="35" fillId="0" borderId="32" xfId="16" applyNumberFormat="1" applyBorder="1" applyAlignment="1">
      <alignment horizontal="center" vertical="center"/>
    </xf>
    <xf numFmtId="3" fontId="2" fillId="0" borderId="32" xfId="16" applyNumberFormat="1" applyFont="1" applyBorder="1" applyAlignment="1">
      <alignment horizontal="center" vertical="center"/>
    </xf>
    <xf numFmtId="3" fontId="2" fillId="0" borderId="33" xfId="16" applyNumberFormat="1" applyFont="1" applyBorder="1" applyAlignment="1">
      <alignment horizontal="center" vertical="center"/>
    </xf>
    <xf numFmtId="3" fontId="2" fillId="0" borderId="66" xfId="16" applyNumberFormat="1" applyFont="1" applyBorder="1" applyAlignment="1">
      <alignment horizontal="center" vertical="center"/>
    </xf>
    <xf numFmtId="3" fontId="2" fillId="0" borderId="57" xfId="16" applyNumberFormat="1" applyFont="1" applyBorder="1" applyAlignment="1">
      <alignment horizontal="center" vertical="center"/>
    </xf>
    <xf numFmtId="3" fontId="2" fillId="0" borderId="0" xfId="16" applyNumberFormat="1" applyFont="1" applyBorder="1" applyAlignment="1">
      <alignment horizontal="center" vertical="center"/>
    </xf>
    <xf numFmtId="3" fontId="2" fillId="0" borderId="103" xfId="16" applyNumberFormat="1" applyFont="1" applyBorder="1" applyAlignment="1">
      <alignment horizontal="center" vertical="center"/>
    </xf>
    <xf numFmtId="3" fontId="2" fillId="0" borderId="148" xfId="16" applyNumberFormat="1" applyFont="1" applyBorder="1" applyAlignment="1">
      <alignment horizontal="center" vertical="center"/>
    </xf>
    <xf numFmtId="0" fontId="35" fillId="0" borderId="0" xfId="16" applyBorder="1" applyAlignment="1">
      <alignment horizontal="right" vertical="center"/>
    </xf>
    <xf numFmtId="3" fontId="35" fillId="17" borderId="0" xfId="16" applyNumberFormat="1" applyFill="1" applyBorder="1" applyAlignment="1">
      <alignment horizontal="right" vertical="center"/>
    </xf>
    <xf numFmtId="0" fontId="185" fillId="0" borderId="0" xfId="0" applyFont="1" applyAlignment="1">
      <alignment vertical="center"/>
    </xf>
    <xf numFmtId="0" fontId="183" fillId="0" borderId="0" xfId="0" applyFont="1" applyAlignment="1">
      <alignment vertical="center"/>
    </xf>
    <xf numFmtId="0" fontId="58" fillId="0" borderId="0" xfId="0" applyFont="1" applyAlignment="1">
      <alignment horizontal="right" vertical="center"/>
    </xf>
    <xf numFmtId="0" fontId="162" fillId="4" borderId="295" xfId="0" applyFont="1" applyFill="1" applyBorder="1" applyAlignment="1">
      <alignment horizontal="center" vertical="center" wrapText="1"/>
    </xf>
    <xf numFmtId="0" fontId="162" fillId="0" borderId="0" xfId="0" applyFont="1" applyAlignment="1">
      <alignment horizontal="center" vertical="center"/>
    </xf>
    <xf numFmtId="0" fontId="187" fillId="0" borderId="0" xfId="0" applyFont="1" applyAlignment="1">
      <alignment horizontal="center" vertical="center"/>
    </xf>
    <xf numFmtId="17" fontId="162" fillId="4" borderId="306" xfId="0" applyNumberFormat="1" applyFont="1" applyFill="1" applyBorder="1" applyAlignment="1">
      <alignment horizontal="center" vertical="center" wrapText="1"/>
    </xf>
    <xf numFmtId="172" fontId="183" fillId="0" borderId="307" xfId="37" applyNumberFormat="1" applyFont="1" applyFill="1" applyBorder="1" applyAlignment="1">
      <alignment horizontal="right" vertical="center" wrapText="1"/>
    </xf>
    <xf numFmtId="172" fontId="183" fillId="0" borderId="308" xfId="37" applyNumberFormat="1" applyFont="1" applyFill="1" applyBorder="1" applyAlignment="1">
      <alignment horizontal="right" vertical="center" wrapText="1"/>
    </xf>
    <xf numFmtId="172" fontId="183" fillId="0" borderId="309" xfId="37" applyNumberFormat="1" applyFont="1" applyFill="1" applyBorder="1" applyAlignment="1">
      <alignment horizontal="right" vertical="center" wrapText="1"/>
    </xf>
    <xf numFmtId="172" fontId="183" fillId="0" borderId="310" xfId="37" applyNumberFormat="1" applyFont="1" applyFill="1" applyBorder="1" applyAlignment="1">
      <alignment horizontal="right" vertical="center" wrapText="1"/>
    </xf>
    <xf numFmtId="17" fontId="162" fillId="4" borderId="311" xfId="0" applyNumberFormat="1" applyFont="1" applyFill="1" applyBorder="1" applyAlignment="1">
      <alignment horizontal="center" vertical="center" wrapText="1"/>
    </xf>
    <xf numFmtId="172" fontId="183" fillId="0" borderId="312" xfId="37" applyNumberFormat="1" applyFont="1" applyFill="1" applyBorder="1" applyAlignment="1">
      <alignment horizontal="right" vertical="center" wrapText="1"/>
    </xf>
    <xf numFmtId="17" fontId="162" fillId="4" borderId="313" xfId="0" applyNumberFormat="1" applyFont="1" applyFill="1" applyBorder="1" applyAlignment="1">
      <alignment horizontal="center" vertical="center" wrapText="1"/>
    </xf>
    <xf numFmtId="172" fontId="183" fillId="0" borderId="314" xfId="37" applyNumberFormat="1" applyFont="1" applyFill="1" applyBorder="1" applyAlignment="1">
      <alignment horizontal="right" vertical="center" wrapText="1"/>
    </xf>
    <xf numFmtId="172" fontId="183" fillId="0" borderId="315" xfId="37" applyNumberFormat="1" applyFont="1" applyFill="1" applyBorder="1" applyAlignment="1">
      <alignment horizontal="right" vertical="center" wrapText="1"/>
    </xf>
    <xf numFmtId="17" fontId="162" fillId="4" borderId="316" xfId="0" applyNumberFormat="1" applyFont="1" applyFill="1" applyBorder="1" applyAlignment="1">
      <alignment horizontal="center" vertical="center" wrapText="1"/>
    </xf>
    <xf numFmtId="172" fontId="183" fillId="0" borderId="317" xfId="37" applyNumberFormat="1" applyFont="1" applyFill="1" applyBorder="1" applyAlignment="1">
      <alignment horizontal="right" vertical="center" wrapText="1"/>
    </xf>
    <xf numFmtId="172" fontId="183" fillId="0" borderId="318" xfId="37" applyNumberFormat="1" applyFont="1" applyFill="1" applyBorder="1" applyAlignment="1">
      <alignment horizontal="right" vertical="center" wrapText="1"/>
    </xf>
    <xf numFmtId="172" fontId="183" fillId="0" borderId="319" xfId="37" applyNumberFormat="1" applyFont="1" applyFill="1" applyBorder="1" applyAlignment="1">
      <alignment horizontal="right" vertical="center" wrapText="1"/>
    </xf>
    <xf numFmtId="172" fontId="183" fillId="0" borderId="320" xfId="37" applyNumberFormat="1" applyFont="1" applyFill="1" applyBorder="1" applyAlignment="1">
      <alignment horizontal="right" vertical="center" wrapText="1"/>
    </xf>
    <xf numFmtId="172" fontId="183" fillId="0" borderId="321" xfId="37" applyNumberFormat="1" applyFont="1" applyFill="1" applyBorder="1" applyAlignment="1">
      <alignment horizontal="right" vertical="center" wrapText="1"/>
    </xf>
    <xf numFmtId="172" fontId="183" fillId="0" borderId="322" xfId="37" applyNumberFormat="1" applyFont="1" applyFill="1" applyBorder="1" applyAlignment="1">
      <alignment horizontal="right" vertical="center" wrapText="1"/>
    </xf>
    <xf numFmtId="172" fontId="183" fillId="0" borderId="323" xfId="37" applyNumberFormat="1" applyFont="1" applyFill="1" applyBorder="1" applyAlignment="1">
      <alignment horizontal="right" vertical="center" wrapText="1"/>
    </xf>
    <xf numFmtId="172" fontId="183" fillId="0" borderId="324" xfId="37" applyNumberFormat="1" applyFont="1" applyFill="1" applyBorder="1" applyAlignment="1">
      <alignment horizontal="right" vertical="center" wrapText="1"/>
    </xf>
    <xf numFmtId="172" fontId="183" fillId="0" borderId="325" xfId="37" applyNumberFormat="1" applyFont="1" applyFill="1" applyBorder="1" applyAlignment="1">
      <alignment horizontal="right" vertical="center" wrapText="1"/>
    </xf>
    <xf numFmtId="172" fontId="183" fillId="0" borderId="326" xfId="37" applyNumberFormat="1" applyFont="1" applyFill="1" applyBorder="1" applyAlignment="1">
      <alignment horizontal="right" vertical="center" wrapText="1"/>
    </xf>
    <xf numFmtId="17" fontId="162" fillId="4" borderId="327" xfId="0" applyNumberFormat="1" applyFont="1" applyFill="1" applyBorder="1" applyAlignment="1">
      <alignment horizontal="center" vertical="center" wrapText="1"/>
    </xf>
    <xf numFmtId="17" fontId="162" fillId="4" borderId="328" xfId="0" applyNumberFormat="1" applyFont="1" applyFill="1" applyBorder="1" applyAlignment="1">
      <alignment horizontal="center" vertical="center" wrapText="1"/>
    </xf>
    <xf numFmtId="172" fontId="183" fillId="0" borderId="329" xfId="37" applyNumberFormat="1" applyFont="1" applyFill="1" applyBorder="1" applyAlignment="1">
      <alignment horizontal="right" vertical="center" wrapText="1"/>
    </xf>
    <xf numFmtId="172" fontId="183" fillId="0" borderId="330" xfId="37" applyNumberFormat="1" applyFont="1" applyFill="1" applyBorder="1" applyAlignment="1">
      <alignment horizontal="right" vertical="center" wrapText="1"/>
    </xf>
    <xf numFmtId="172" fontId="183" fillId="0" borderId="331" xfId="37" applyNumberFormat="1" applyFont="1" applyFill="1" applyBorder="1" applyAlignment="1">
      <alignment horizontal="right" vertical="center" wrapText="1"/>
    </xf>
    <xf numFmtId="0" fontId="34" fillId="0" borderId="0" xfId="0" applyFont="1" applyAlignment="1">
      <alignment vertical="center"/>
    </xf>
    <xf numFmtId="0" fontId="58" fillId="0" borderId="0" xfId="0" applyFont="1" applyAlignment="1">
      <alignment vertical="center"/>
    </xf>
    <xf numFmtId="0" fontId="183" fillId="0" borderId="0" xfId="0" applyFont="1" applyBorder="1" applyAlignment="1">
      <alignment vertical="center"/>
    </xf>
    <xf numFmtId="0" fontId="68" fillId="16" borderId="17" xfId="0" applyFont="1" applyFill="1" applyBorder="1" applyAlignment="1">
      <alignment vertical="center"/>
    </xf>
    <xf numFmtId="0" fontId="68" fillId="16" borderId="332" xfId="0" applyFont="1" applyFill="1" applyBorder="1" applyAlignment="1">
      <alignment vertical="center"/>
    </xf>
    <xf numFmtId="0" fontId="24" fillId="16" borderId="26" xfId="0" applyFont="1" applyFill="1" applyBorder="1" applyAlignment="1">
      <alignment horizontal="right" vertical="center"/>
    </xf>
    <xf numFmtId="0" fontId="24" fillId="16" borderId="28" xfId="0" applyFont="1" applyFill="1" applyBorder="1" applyAlignment="1">
      <alignment horizontal="right" vertical="center"/>
    </xf>
    <xf numFmtId="15" fontId="76" fillId="10" borderId="2" xfId="0" applyNumberFormat="1" applyFont="1" applyFill="1" applyBorder="1" applyAlignment="1">
      <alignment horizontal="center" vertical="center"/>
    </xf>
    <xf numFmtId="15" fontId="76" fillId="10" borderId="122" xfId="0" applyNumberFormat="1" applyFont="1" applyFill="1" applyBorder="1" applyAlignment="1">
      <alignment horizontal="center" vertical="center"/>
    </xf>
    <xf numFmtId="15" fontId="76" fillId="10" borderId="1" xfId="0" applyNumberFormat="1" applyFont="1" applyFill="1" applyBorder="1" applyAlignment="1">
      <alignment horizontal="center" vertical="center"/>
    </xf>
    <xf numFmtId="15" fontId="76" fillId="10" borderId="125" xfId="0" applyNumberFormat="1" applyFont="1" applyFill="1" applyBorder="1" applyAlignment="1">
      <alignment horizontal="center" vertical="center"/>
    </xf>
    <xf numFmtId="0" fontId="68" fillId="16" borderId="20" xfId="0" applyFont="1" applyFill="1" applyBorder="1" applyAlignment="1">
      <alignment horizontal="left" vertical="center"/>
    </xf>
    <xf numFmtId="193" fontId="68" fillId="0" borderId="129" xfId="37" applyNumberFormat="1" applyFont="1" applyFill="1" applyBorder="1" applyAlignment="1">
      <alignment horizontal="center" vertical="center"/>
    </xf>
    <xf numFmtId="193" fontId="68" fillId="0" borderId="17" xfId="37" applyNumberFormat="1" applyFont="1" applyFill="1" applyBorder="1" applyAlignment="1">
      <alignment horizontal="center" vertical="center"/>
    </xf>
    <xf numFmtId="193" fontId="68" fillId="0" borderId="127" xfId="37" applyNumberFormat="1" applyFont="1" applyFill="1" applyBorder="1" applyAlignment="1">
      <alignment horizontal="center" vertical="center"/>
    </xf>
    <xf numFmtId="40" fontId="68" fillId="0" borderId="131" xfId="37" applyNumberFormat="1" applyFont="1" applyFill="1" applyBorder="1" applyAlignment="1">
      <alignment horizontal="center" vertical="center"/>
    </xf>
    <xf numFmtId="40" fontId="68" fillId="0" borderId="5" xfId="37" applyNumberFormat="1" applyFont="1" applyFill="1" applyBorder="1" applyAlignment="1">
      <alignment horizontal="center" vertical="center"/>
    </xf>
    <xf numFmtId="40" fontId="68" fillId="0" borderId="46" xfId="37" applyNumberFormat="1" applyFont="1" applyFill="1" applyBorder="1" applyAlignment="1">
      <alignment horizontal="center" vertical="center"/>
    </xf>
    <xf numFmtId="49" fontId="68" fillId="0" borderId="131" xfId="37" applyNumberFormat="1" applyFont="1" applyFill="1" applyBorder="1" applyAlignment="1">
      <alignment horizontal="center" vertical="center"/>
    </xf>
    <xf numFmtId="49" fontId="68" fillId="0" borderId="5" xfId="37" applyNumberFormat="1" applyFont="1" applyFill="1" applyBorder="1" applyAlignment="1">
      <alignment horizontal="center" vertical="center"/>
    </xf>
    <xf numFmtId="49" fontId="68" fillId="0" borderId="46" xfId="37" applyNumberFormat="1" applyFont="1" applyFill="1" applyBorder="1" applyAlignment="1">
      <alignment horizontal="center" vertical="center"/>
    </xf>
    <xf numFmtId="0" fontId="24" fillId="16" borderId="26" xfId="0" applyFont="1" applyFill="1" applyBorder="1" applyAlignment="1">
      <alignment vertical="center"/>
    </xf>
    <xf numFmtId="0" fontId="68" fillId="16" borderId="334" xfId="0" applyFont="1" applyFill="1" applyBorder="1" applyAlignment="1">
      <alignment vertical="center"/>
    </xf>
    <xf numFmtId="0" fontId="0" fillId="0" borderId="28" xfId="0" applyBorder="1"/>
    <xf numFmtId="0" fontId="0" fillId="0" borderId="103" xfId="0" applyBorder="1"/>
    <xf numFmtId="0" fontId="0" fillId="0" borderId="26" xfId="0" applyBorder="1"/>
    <xf numFmtId="0" fontId="0" fillId="0" borderId="134" xfId="0" applyBorder="1"/>
    <xf numFmtId="0" fontId="95" fillId="0" borderId="18" xfId="0" applyFont="1" applyBorder="1" applyAlignment="1">
      <alignment vertical="center"/>
    </xf>
    <xf numFmtId="0" fontId="38" fillId="0" borderId="0" xfId="0" applyFont="1" applyAlignment="1">
      <alignment vertical="center"/>
    </xf>
    <xf numFmtId="0" fontId="68" fillId="16" borderId="19" xfId="0" applyFont="1" applyFill="1" applyBorder="1" applyAlignment="1">
      <alignment vertical="center"/>
    </xf>
    <xf numFmtId="15" fontId="68" fillId="10" borderId="122" xfId="0" applyNumberFormat="1" applyFont="1" applyFill="1" applyBorder="1" applyAlignment="1">
      <alignment horizontal="center" vertical="center"/>
    </xf>
    <xf numFmtId="15" fontId="68" fillId="10" borderId="1" xfId="0" applyNumberFormat="1" applyFont="1" applyFill="1" applyBorder="1" applyAlignment="1">
      <alignment horizontal="center" vertical="center"/>
    </xf>
    <xf numFmtId="193" fontId="68" fillId="0" borderId="5" xfId="37" applyNumberFormat="1" applyFont="1" applyFill="1" applyBorder="1" applyAlignment="1">
      <alignment horizontal="center" vertical="center"/>
    </xf>
    <xf numFmtId="193" fontId="68" fillId="0" borderId="46" xfId="37" applyNumberFormat="1" applyFont="1" applyFill="1" applyBorder="1" applyAlignment="1">
      <alignment horizontal="center" vertical="center"/>
    </xf>
    <xf numFmtId="0" fontId="68" fillId="16" borderId="20" xfId="0" applyFont="1" applyFill="1" applyBorder="1" applyAlignment="1">
      <alignment vertical="center"/>
    </xf>
    <xf numFmtId="2" fontId="68" fillId="0" borderId="46" xfId="37" applyNumberFormat="1" applyFont="1" applyFill="1" applyBorder="1" applyAlignment="1">
      <alignment horizontal="center" vertical="center"/>
    </xf>
    <xf numFmtId="2" fontId="68" fillId="0" borderId="20" xfId="37" applyNumberFormat="1" applyFont="1" applyFill="1" applyBorder="1" applyAlignment="1">
      <alignment horizontal="center" vertical="center"/>
    </xf>
    <xf numFmtId="0" fontId="68" fillId="16" borderId="28" xfId="0" applyFont="1" applyFill="1" applyBorder="1" applyAlignment="1">
      <alignment vertical="center"/>
    </xf>
    <xf numFmtId="38" fontId="68" fillId="0" borderId="103" xfId="0" applyNumberFormat="1" applyFont="1" applyFill="1" applyBorder="1" applyAlignment="1">
      <alignment horizontal="center" vertical="center"/>
    </xf>
    <xf numFmtId="0" fontId="2" fillId="0" borderId="0" xfId="0" applyFont="1" applyAlignment="1">
      <alignment horizontal="left" vertical="center"/>
    </xf>
    <xf numFmtId="0" fontId="4" fillId="0" borderId="0" xfId="3" applyFont="1" applyFill="1"/>
    <xf numFmtId="0" fontId="4" fillId="0" borderId="0" xfId="2" applyFont="1" applyFill="1"/>
    <xf numFmtId="0" fontId="0" fillId="0" borderId="0" xfId="0"/>
    <xf numFmtId="0" fontId="3" fillId="2" borderId="0" xfId="2" applyFont="1" applyFill="1"/>
    <xf numFmtId="0" fontId="4" fillId="2" borderId="0" xfId="2" applyFont="1" applyFill="1"/>
    <xf numFmtId="0" fontId="4" fillId="2" borderId="0" xfId="3" applyFont="1" applyFill="1"/>
    <xf numFmtId="0" fontId="4" fillId="0" borderId="0" xfId="3" applyFont="1" applyFill="1"/>
    <xf numFmtId="0" fontId="5" fillId="3" borderId="1" xfId="2" applyFont="1" applyFill="1" applyBorder="1" applyAlignment="1">
      <alignment horizontal="center"/>
    </xf>
    <xf numFmtId="0" fontId="5" fillId="3" borderId="2" xfId="2" applyFont="1" applyFill="1" applyBorder="1" applyAlignment="1">
      <alignment horizontal="center"/>
    </xf>
    <xf numFmtId="0" fontId="5" fillId="3" borderId="3" xfId="2" applyFont="1" applyFill="1" applyBorder="1" applyAlignment="1">
      <alignment horizontal="center"/>
    </xf>
    <xf numFmtId="0" fontId="5" fillId="3" borderId="4" xfId="2" applyFont="1" applyFill="1" applyBorder="1" applyAlignment="1">
      <alignment horizontal="center"/>
    </xf>
    <xf numFmtId="0" fontId="5" fillId="3" borderId="5" xfId="2" applyFont="1" applyFill="1" applyBorder="1" applyAlignment="1">
      <alignment horizontal="left"/>
    </xf>
    <xf numFmtId="0" fontId="7" fillId="2" borderId="6" xfId="2" applyFont="1" applyFill="1" applyBorder="1" applyAlignment="1">
      <alignment horizontal="left"/>
    </xf>
    <xf numFmtId="0" fontId="7" fillId="2" borderId="7" xfId="2" applyFont="1" applyFill="1" applyBorder="1" applyAlignment="1">
      <alignment horizontal="left"/>
    </xf>
    <xf numFmtId="3" fontId="7" fillId="2" borderId="0" xfId="4" applyNumberFormat="1" applyFont="1" applyFill="1" applyBorder="1" applyAlignment="1">
      <alignment horizontal="right"/>
    </xf>
    <xf numFmtId="3" fontId="7" fillId="2" borderId="7" xfId="4" applyNumberFormat="1" applyFont="1" applyFill="1" applyBorder="1" applyAlignment="1">
      <alignment horizontal="right"/>
    </xf>
    <xf numFmtId="3" fontId="7" fillId="2" borderId="8" xfId="4" applyNumberFormat="1" applyFont="1" applyFill="1" applyBorder="1" applyAlignment="1">
      <alignment horizontal="right"/>
    </xf>
    <xf numFmtId="3" fontId="7" fillId="2" borderId="9" xfId="4" applyNumberFormat="1" applyFont="1" applyFill="1" applyBorder="1" applyAlignment="1">
      <alignment horizontal="right"/>
    </xf>
    <xf numFmtId="3" fontId="7" fillId="2" borderId="10" xfId="4" applyNumberFormat="1" applyFont="1" applyFill="1" applyBorder="1" applyAlignment="1">
      <alignment horizontal="right"/>
    </xf>
    <xf numFmtId="3" fontId="7" fillId="2" borderId="11" xfId="4" applyNumberFormat="1" applyFont="1" applyFill="1" applyBorder="1" applyAlignment="1">
      <alignment horizontal="right"/>
    </xf>
    <xf numFmtId="3" fontId="7" fillId="2" borderId="7" xfId="3" applyNumberFormat="1" applyFont="1" applyFill="1" applyBorder="1" applyAlignment="1">
      <alignment horizontal="right"/>
    </xf>
    <xf numFmtId="0" fontId="7" fillId="2" borderId="7" xfId="3" applyFont="1" applyFill="1" applyBorder="1" applyAlignment="1">
      <alignment horizontal="right"/>
    </xf>
    <xf numFmtId="3" fontId="9" fillId="0" borderId="0" xfId="5" applyNumberFormat="1"/>
    <xf numFmtId="0" fontId="7" fillId="2" borderId="12" xfId="2" applyFont="1" applyFill="1" applyBorder="1" applyAlignment="1">
      <alignment horizontal="left"/>
    </xf>
    <xf numFmtId="0" fontId="7" fillId="2" borderId="11" xfId="2" applyFont="1" applyFill="1" applyBorder="1" applyAlignment="1">
      <alignment horizontal="left"/>
    </xf>
    <xf numFmtId="3" fontId="7" fillId="2" borderId="13" xfId="2" applyNumberFormat="1" applyFont="1" applyFill="1" applyBorder="1" applyAlignment="1">
      <alignment horizontal="right"/>
    </xf>
    <xf numFmtId="3" fontId="7" fillId="2" borderId="11" xfId="2" applyNumberFormat="1" applyFont="1" applyFill="1" applyBorder="1" applyAlignment="1">
      <alignment horizontal="right"/>
    </xf>
    <xf numFmtId="3" fontId="7" fillId="2" borderId="13" xfId="4" applyNumberFormat="1" applyFont="1" applyFill="1" applyBorder="1" applyAlignment="1">
      <alignment horizontal="right"/>
    </xf>
    <xf numFmtId="3" fontId="7" fillId="2" borderId="11" xfId="3" applyNumberFormat="1" applyFont="1" applyFill="1" applyBorder="1" applyAlignment="1">
      <alignment horizontal="right"/>
    </xf>
    <xf numFmtId="3" fontId="7" fillId="2" borderId="11" xfId="3" quotePrefix="1" applyNumberFormat="1" applyFont="1" applyFill="1" applyBorder="1" applyAlignment="1">
      <alignment horizontal="right"/>
    </xf>
    <xf numFmtId="3" fontId="7" fillId="2" borderId="11" xfId="4" quotePrefix="1" applyNumberFormat="1" applyFont="1" applyFill="1" applyBorder="1" applyAlignment="1">
      <alignment horizontal="right"/>
    </xf>
    <xf numFmtId="164" fontId="7" fillId="2" borderId="13" xfId="4" applyNumberFormat="1" applyFont="1" applyFill="1" applyBorder="1" applyAlignment="1">
      <alignment horizontal="right"/>
    </xf>
    <xf numFmtId="164" fontId="7" fillId="2" borderId="11" xfId="4" applyNumberFormat="1" applyFont="1" applyFill="1" applyBorder="1" applyAlignment="1">
      <alignment horizontal="right"/>
    </xf>
    <xf numFmtId="164" fontId="7" fillId="2" borderId="9" xfId="4" applyNumberFormat="1" applyFont="1" applyFill="1" applyBorder="1" applyAlignment="1">
      <alignment horizontal="right"/>
    </xf>
    <xf numFmtId="164" fontId="7" fillId="2" borderId="0" xfId="4" applyNumberFormat="1" applyFont="1" applyFill="1" applyBorder="1" applyAlignment="1">
      <alignment horizontal="right"/>
    </xf>
    <xf numFmtId="165" fontId="2" fillId="0" borderId="0" xfId="6" applyNumberFormat="1" applyFont="1" applyBorder="1" applyAlignment="1">
      <alignment horizontal="center"/>
    </xf>
    <xf numFmtId="166" fontId="2" fillId="0" borderId="0" xfId="6" applyNumberFormat="1" applyFont="1" applyBorder="1" applyAlignment="1">
      <alignment horizontal="right" wrapText="1" indent="1"/>
    </xf>
    <xf numFmtId="0" fontId="5" fillId="3" borderId="5" xfId="2" applyFont="1" applyFill="1" applyBorder="1" applyAlignment="1"/>
    <xf numFmtId="167" fontId="7" fillId="2" borderId="0" xfId="4" applyNumberFormat="1" applyFont="1" applyFill="1" applyBorder="1"/>
    <xf numFmtId="167" fontId="7" fillId="2" borderId="11" xfId="4" applyNumberFormat="1" applyFont="1" applyFill="1" applyBorder="1"/>
    <xf numFmtId="167" fontId="7" fillId="2" borderId="13" xfId="4" applyNumberFormat="1" applyFont="1" applyFill="1" applyBorder="1"/>
    <xf numFmtId="167" fontId="7" fillId="2" borderId="9" xfId="4" applyNumberFormat="1" applyFont="1" applyFill="1" applyBorder="1" applyAlignment="1">
      <alignment horizontal="right"/>
    </xf>
    <xf numFmtId="168" fontId="2" fillId="0" borderId="0" xfId="7" applyNumberFormat="1" applyFont="1" applyBorder="1" applyAlignment="1">
      <alignment horizontal="right" wrapText="1" indent="1"/>
    </xf>
    <xf numFmtId="167" fontId="7" fillId="2" borderId="9" xfId="4" applyNumberFormat="1" applyFont="1" applyFill="1" applyBorder="1"/>
    <xf numFmtId="3" fontId="7" fillId="2" borderId="0" xfId="2" applyNumberFormat="1" applyFont="1" applyFill="1" applyBorder="1" applyAlignment="1">
      <alignment horizontal="right"/>
    </xf>
    <xf numFmtId="169" fontId="7" fillId="2" borderId="13" xfId="2" applyNumberFormat="1" applyFont="1" applyFill="1" applyBorder="1" applyAlignment="1">
      <alignment horizontal="right"/>
    </xf>
    <xf numFmtId="169" fontId="7" fillId="2" borderId="11" xfId="2" quotePrefix="1" applyNumberFormat="1" applyFont="1" applyFill="1" applyBorder="1" applyAlignment="1">
      <alignment horizontal="right"/>
    </xf>
    <xf numFmtId="1" fontId="7" fillId="2" borderId="11" xfId="2" quotePrefix="1" applyNumberFormat="1" applyFont="1" applyFill="1" applyBorder="1" applyAlignment="1">
      <alignment horizontal="right"/>
    </xf>
    <xf numFmtId="1" fontId="7" fillId="2" borderId="9" xfId="2" quotePrefix="1" applyNumberFormat="1" applyFont="1" applyFill="1" applyBorder="1" applyAlignment="1">
      <alignment horizontal="right"/>
    </xf>
    <xf numFmtId="3" fontId="7" fillId="2" borderId="11" xfId="2" quotePrefix="1" applyNumberFormat="1" applyFont="1" applyFill="1" applyBorder="1" applyAlignment="1">
      <alignment horizontal="right"/>
    </xf>
    <xf numFmtId="169" fontId="7" fillId="2" borderId="0" xfId="2" applyNumberFormat="1" applyFont="1" applyFill="1" applyBorder="1" applyAlignment="1">
      <alignment horizontal="right"/>
    </xf>
    <xf numFmtId="169" fontId="7" fillId="2" borderId="11" xfId="2" applyNumberFormat="1" applyFont="1" applyFill="1" applyBorder="1" applyAlignment="1">
      <alignment horizontal="right"/>
    </xf>
    <xf numFmtId="168" fontId="7" fillId="2" borderId="0" xfId="4" applyNumberFormat="1" applyFont="1" applyFill="1" applyBorder="1" applyAlignment="1">
      <alignment horizontal="right"/>
    </xf>
    <xf numFmtId="168" fontId="7" fillId="2" borderId="11" xfId="4" applyNumberFormat="1" applyFont="1" applyFill="1" applyBorder="1" applyAlignment="1">
      <alignment horizontal="right"/>
    </xf>
    <xf numFmtId="168" fontId="7" fillId="2" borderId="13" xfId="4" applyNumberFormat="1" applyFont="1" applyFill="1" applyBorder="1" applyAlignment="1">
      <alignment horizontal="right"/>
    </xf>
    <xf numFmtId="3" fontId="7" fillId="2" borderId="11" xfId="3" applyNumberFormat="1" applyFont="1" applyFill="1" applyBorder="1"/>
    <xf numFmtId="170" fontId="7" fillId="2" borderId="11" xfId="4" applyNumberFormat="1" applyFont="1" applyFill="1" applyBorder="1" applyAlignment="1">
      <alignment horizontal="right"/>
    </xf>
    <xf numFmtId="170" fontId="7" fillId="2" borderId="9" xfId="4" applyNumberFormat="1" applyFont="1" applyFill="1" applyBorder="1" applyAlignment="1">
      <alignment horizontal="right"/>
    </xf>
    <xf numFmtId="164" fontId="7" fillId="2" borderId="9" xfId="4" quotePrefix="1" applyNumberFormat="1" applyFont="1" applyFill="1" applyBorder="1" applyAlignment="1">
      <alignment horizontal="right"/>
    </xf>
    <xf numFmtId="164" fontId="7" fillId="2" borderId="11" xfId="4" quotePrefix="1" applyNumberFormat="1" applyFont="1" applyFill="1" applyBorder="1" applyAlignment="1">
      <alignment horizontal="right"/>
    </xf>
    <xf numFmtId="164" fontId="7" fillId="0" borderId="11" xfId="4" quotePrefix="1" applyNumberFormat="1" applyFont="1" applyFill="1" applyBorder="1" applyAlignment="1">
      <alignment horizontal="right"/>
    </xf>
    <xf numFmtId="3" fontId="7" fillId="0" borderId="11" xfId="4" applyNumberFormat="1" applyFont="1" applyFill="1" applyBorder="1" applyAlignment="1">
      <alignment horizontal="right"/>
    </xf>
    <xf numFmtId="0" fontId="5" fillId="3" borderId="9" xfId="2" applyFont="1" applyFill="1" applyBorder="1" applyAlignment="1">
      <alignment horizontal="left"/>
    </xf>
    <xf numFmtId="0" fontId="11" fillId="2" borderId="12" xfId="2" applyFont="1" applyFill="1" applyBorder="1" applyAlignment="1">
      <alignment horizontal="left"/>
    </xf>
    <xf numFmtId="0" fontId="11" fillId="2" borderId="11" xfId="2" applyFont="1" applyFill="1" applyBorder="1" applyAlignment="1">
      <alignment horizontal="left"/>
    </xf>
    <xf numFmtId="168" fontId="11" fillId="2" borderId="0" xfId="4" applyNumberFormat="1" applyFont="1" applyFill="1" applyBorder="1" applyAlignment="1">
      <alignment horizontal="right"/>
    </xf>
    <xf numFmtId="168" fontId="11" fillId="2" borderId="11" xfId="4" applyNumberFormat="1" applyFont="1" applyFill="1" applyBorder="1" applyAlignment="1">
      <alignment horizontal="right"/>
    </xf>
    <xf numFmtId="168" fontId="11" fillId="2" borderId="13" xfId="4" applyNumberFormat="1" applyFont="1" applyFill="1" applyBorder="1" applyAlignment="1">
      <alignment horizontal="right"/>
    </xf>
    <xf numFmtId="3" fontId="11" fillId="2" borderId="11" xfId="4" applyNumberFormat="1" applyFont="1" applyFill="1" applyBorder="1" applyAlignment="1">
      <alignment horizontal="right"/>
    </xf>
    <xf numFmtId="3" fontId="11" fillId="2" borderId="0" xfId="4" applyNumberFormat="1" applyFont="1" applyFill="1" applyBorder="1" applyAlignment="1">
      <alignment horizontal="right"/>
    </xf>
    <xf numFmtId="3" fontId="11" fillId="2" borderId="9" xfId="4" applyNumberFormat="1" applyFont="1" applyFill="1" applyBorder="1" applyAlignment="1">
      <alignment horizontal="right"/>
    </xf>
    <xf numFmtId="3" fontId="11" fillId="2" borderId="11" xfId="3" applyNumberFormat="1" applyFont="1" applyFill="1" applyBorder="1"/>
    <xf numFmtId="3" fontId="11" fillId="0" borderId="11" xfId="3" applyNumberFormat="1" applyFont="1" applyFill="1" applyBorder="1"/>
    <xf numFmtId="167" fontId="11" fillId="2" borderId="0" xfId="4" applyNumberFormat="1" applyFont="1" applyFill="1" applyBorder="1" applyAlignment="1">
      <alignment horizontal="right"/>
    </xf>
    <xf numFmtId="167" fontId="11" fillId="2" borderId="11" xfId="4" applyNumberFormat="1" applyFont="1" applyFill="1" applyBorder="1" applyAlignment="1">
      <alignment horizontal="right"/>
    </xf>
    <xf numFmtId="167" fontId="11" fillId="2" borderId="13" xfId="4" applyNumberFormat="1" applyFont="1" applyFill="1" applyBorder="1" applyAlignment="1">
      <alignment horizontal="right"/>
    </xf>
    <xf numFmtId="170" fontId="11" fillId="2" borderId="11" xfId="4" applyNumberFormat="1" applyFont="1" applyFill="1" applyBorder="1" applyAlignment="1">
      <alignment horizontal="right"/>
    </xf>
    <xf numFmtId="164" fontId="11" fillId="2" borderId="0" xfId="4" applyNumberFormat="1" applyFont="1" applyFill="1" applyBorder="1" applyAlignment="1">
      <alignment horizontal="right"/>
    </xf>
    <xf numFmtId="164" fontId="11" fillId="2" borderId="9" xfId="4" applyNumberFormat="1" applyFont="1" applyFill="1" applyBorder="1" applyAlignment="1">
      <alignment horizontal="right"/>
    </xf>
    <xf numFmtId="0" fontId="11" fillId="2" borderId="11" xfId="3" applyFont="1" applyFill="1" applyBorder="1"/>
    <xf numFmtId="164" fontId="4" fillId="0" borderId="0" xfId="3" applyNumberFormat="1" applyFont="1" applyFill="1"/>
    <xf numFmtId="3" fontId="11" fillId="2" borderId="11" xfId="2" applyNumberFormat="1" applyFont="1" applyFill="1" applyBorder="1" applyAlignment="1">
      <alignment horizontal="right"/>
    </xf>
    <xf numFmtId="3" fontId="11" fillId="2" borderId="0" xfId="2" applyNumberFormat="1" applyFont="1" applyFill="1" applyBorder="1" applyAlignment="1">
      <alignment horizontal="right"/>
    </xf>
    <xf numFmtId="170" fontId="11" fillId="2" borderId="9" xfId="4" applyNumberFormat="1" applyFont="1" applyFill="1" applyBorder="1" applyAlignment="1">
      <alignment horizontal="right"/>
    </xf>
    <xf numFmtId="170" fontId="11" fillId="2" borderId="0" xfId="4" applyNumberFormat="1" applyFont="1" applyFill="1" applyBorder="1" applyAlignment="1">
      <alignment horizontal="right"/>
    </xf>
    <xf numFmtId="170" fontId="11" fillId="2" borderId="11" xfId="3" applyNumberFormat="1" applyFont="1" applyFill="1" applyBorder="1"/>
    <xf numFmtId="0" fontId="5" fillId="3" borderId="14" xfId="2" applyFont="1" applyFill="1" applyBorder="1" applyAlignment="1">
      <alignment horizontal="left"/>
    </xf>
    <xf numFmtId="0" fontId="7" fillId="2" borderId="15" xfId="2" applyFont="1" applyFill="1" applyBorder="1" applyAlignment="1">
      <alignment horizontal="left"/>
    </xf>
    <xf numFmtId="0" fontId="12" fillId="2" borderId="16" xfId="2" applyFont="1" applyFill="1" applyBorder="1" applyAlignment="1">
      <alignment horizontal="left"/>
    </xf>
    <xf numFmtId="0" fontId="4" fillId="2" borderId="16" xfId="2" applyFont="1" applyFill="1" applyBorder="1"/>
    <xf numFmtId="0" fontId="4" fillId="2" borderId="16" xfId="3" applyFont="1" applyFill="1" applyBorder="1"/>
    <xf numFmtId="0" fontId="7" fillId="2" borderId="16" xfId="3" applyFont="1" applyFill="1" applyBorder="1"/>
    <xf numFmtId="0" fontId="12" fillId="2" borderId="0" xfId="2" applyFont="1" applyFill="1"/>
    <xf numFmtId="0" fontId="13" fillId="2" borderId="0" xfId="2" applyFont="1" applyFill="1"/>
    <xf numFmtId="0" fontId="7" fillId="2" borderId="0" xfId="3" applyFont="1" applyFill="1"/>
    <xf numFmtId="0" fontId="7" fillId="0" borderId="0" xfId="3" applyFont="1" applyFill="1"/>
    <xf numFmtId="0" fontId="7" fillId="2" borderId="0" xfId="2" applyFont="1" applyFill="1"/>
    <xf numFmtId="0" fontId="12" fillId="2" borderId="0" xfId="2" applyFont="1" applyFill="1" applyAlignment="1"/>
    <xf numFmtId="3" fontId="7" fillId="2" borderId="0" xfId="3" applyNumberFormat="1" applyFont="1" applyFill="1"/>
    <xf numFmtId="0" fontId="12" fillId="2" borderId="0" xfId="3" applyFont="1" applyFill="1"/>
    <xf numFmtId="0" fontId="12" fillId="0" borderId="0" xfId="8" applyFont="1" applyFill="1"/>
    <xf numFmtId="0" fontId="13" fillId="2" borderId="0" xfId="8" quotePrefix="1" applyFont="1" applyFill="1" applyAlignment="1">
      <alignment horizontal="left" wrapText="1"/>
    </xf>
    <xf numFmtId="0" fontId="5" fillId="0" borderId="0" xfId="2" applyFont="1" applyFill="1"/>
    <xf numFmtId="164" fontId="11" fillId="2" borderId="11" xfId="3" applyNumberFormat="1" applyFont="1" applyFill="1" applyBorder="1"/>
    <xf numFmtId="0" fontId="13" fillId="2" borderId="0" xfId="8" quotePrefix="1" applyFont="1" applyFill="1" applyAlignment="1">
      <alignment horizontal="left" wrapText="1"/>
    </xf>
    <xf numFmtId="0" fontId="23" fillId="6" borderId="55" xfId="16" applyFont="1" applyFill="1" applyBorder="1" applyAlignment="1">
      <alignment horizontal="center"/>
    </xf>
    <xf numFmtId="0" fontId="23" fillId="6" borderId="40" xfId="16" applyFont="1" applyFill="1" applyBorder="1" applyAlignment="1">
      <alignment horizontal="center"/>
    </xf>
    <xf numFmtId="0" fontId="25" fillId="2" borderId="91" xfId="16" applyFont="1" applyFill="1" applyBorder="1" applyAlignment="1">
      <alignment horizontal="center"/>
    </xf>
    <xf numFmtId="0" fontId="25" fillId="2" borderId="91" xfId="8" applyFont="1" applyFill="1" applyBorder="1" applyAlignment="1">
      <alignment horizontal="center" vertical="center"/>
    </xf>
    <xf numFmtId="0" fontId="36" fillId="2" borderId="0" xfId="16" applyFont="1" applyFill="1" applyBorder="1" applyAlignment="1">
      <alignment horizontal="left" wrapText="1"/>
    </xf>
    <xf numFmtId="0" fontId="35" fillId="2" borderId="0" xfId="16" applyFill="1" applyBorder="1" applyAlignment="1">
      <alignment horizontal="left" wrapText="1"/>
    </xf>
    <xf numFmtId="0" fontId="38" fillId="2" borderId="18" xfId="16" applyFont="1" applyFill="1" applyBorder="1" applyAlignment="1">
      <alignment horizontal="center" vertical="top" wrapText="1"/>
    </xf>
    <xf numFmtId="0" fontId="25" fillId="2" borderId="37" xfId="16" applyFont="1" applyFill="1" applyBorder="1" applyAlignment="1" applyProtection="1">
      <alignment horizontal="center" vertical="center"/>
    </xf>
    <xf numFmtId="0" fontId="39" fillId="0" borderId="27" xfId="16" applyFont="1" applyFill="1" applyBorder="1" applyAlignment="1">
      <alignment horizontal="center" vertical="center"/>
    </xf>
    <xf numFmtId="0" fontId="39" fillId="0" borderId="0" xfId="16" applyFont="1" applyFill="1" applyBorder="1" applyAlignment="1">
      <alignment horizontal="center" vertical="center"/>
    </xf>
    <xf numFmtId="0" fontId="76" fillId="5" borderId="122" xfId="16" applyFont="1" applyFill="1" applyBorder="1" applyAlignment="1">
      <alignment horizontal="center" vertical="center"/>
    </xf>
    <xf numFmtId="0" fontId="76" fillId="5" borderId="2" xfId="16" applyFont="1" applyFill="1" applyBorder="1" applyAlignment="1">
      <alignment horizontal="center" vertical="center"/>
    </xf>
    <xf numFmtId="0" fontId="76" fillId="5" borderId="123" xfId="16" applyFont="1" applyFill="1" applyBorder="1" applyAlignment="1">
      <alignment horizontal="center" vertical="center"/>
    </xf>
    <xf numFmtId="0" fontId="37" fillId="5" borderId="137" xfId="16" applyFont="1" applyFill="1" applyBorder="1" applyAlignment="1">
      <alignment horizontal="center" vertical="center"/>
    </xf>
    <xf numFmtId="0" fontId="37" fillId="5" borderId="138" xfId="16" applyFont="1" applyFill="1" applyBorder="1" applyAlignment="1">
      <alignment horizontal="center" vertical="center"/>
    </xf>
    <xf numFmtId="0" fontId="84" fillId="5" borderId="2" xfId="16" applyFont="1" applyFill="1" applyBorder="1" applyAlignment="1">
      <alignment horizontal="center" vertical="center"/>
    </xf>
    <xf numFmtId="0" fontId="84" fillId="5" borderId="126" xfId="16" applyFont="1" applyFill="1" applyBorder="1" applyAlignment="1">
      <alignment horizontal="center" vertical="center"/>
    </xf>
    <xf numFmtId="15" fontId="68" fillId="10" borderId="122" xfId="16" applyNumberFormat="1" applyFont="1" applyFill="1" applyBorder="1" applyAlignment="1">
      <alignment horizontal="center" vertical="center"/>
    </xf>
    <xf numFmtId="15" fontId="68" fillId="10" borderId="2" xfId="16" applyNumberFormat="1" applyFont="1" applyFill="1" applyBorder="1" applyAlignment="1">
      <alignment horizontal="center" vertical="center"/>
    </xf>
    <xf numFmtId="0" fontId="38" fillId="0" borderId="27" xfId="16" applyFont="1" applyFill="1" applyBorder="1" applyAlignment="1">
      <alignment horizontal="right" vertical="center"/>
    </xf>
    <xf numFmtId="0" fontId="37" fillId="16" borderId="122" xfId="16" applyFont="1" applyFill="1" applyBorder="1" applyAlignment="1">
      <alignment horizontal="center" vertical="center"/>
    </xf>
    <xf numFmtId="0" fontId="37" fillId="16" borderId="2" xfId="16" applyFont="1" applyFill="1" applyBorder="1" applyAlignment="1">
      <alignment horizontal="center" vertical="center"/>
    </xf>
    <xf numFmtId="0" fontId="37" fillId="16" borderId="126" xfId="16" applyFont="1" applyFill="1" applyBorder="1" applyAlignment="1">
      <alignment horizontal="center" vertical="center"/>
    </xf>
    <xf numFmtId="0" fontId="68" fillId="0" borderId="0" xfId="16" applyFont="1" applyFill="1" applyAlignment="1">
      <alignment horizontal="left" vertical="center"/>
    </xf>
    <xf numFmtId="170" fontId="96" fillId="16" borderId="122" xfId="16" applyNumberFormat="1" applyFont="1" applyFill="1" applyBorder="1" applyAlignment="1">
      <alignment horizontal="center" vertical="center"/>
    </xf>
    <xf numFmtId="170" fontId="96" fillId="16" borderId="2" xfId="16" applyNumberFormat="1" applyFont="1" applyFill="1" applyBorder="1" applyAlignment="1">
      <alignment horizontal="center" vertical="center"/>
    </xf>
    <xf numFmtId="193" fontId="68" fillId="0" borderId="17" xfId="36" applyNumberFormat="1" applyFont="1" applyFill="1" applyBorder="1" applyAlignment="1">
      <alignment horizontal="center" vertical="center"/>
    </xf>
    <xf numFmtId="193" fontId="68" fillId="0" borderId="18" xfId="36" applyNumberFormat="1" applyFont="1" applyFill="1" applyBorder="1" applyAlignment="1">
      <alignment horizontal="center" vertical="center"/>
    </xf>
    <xf numFmtId="193" fontId="68" fillId="0" borderId="5" xfId="36" applyNumberFormat="1" applyFont="1" applyFill="1" applyBorder="1" applyAlignment="1">
      <alignment horizontal="center" vertical="center"/>
    </xf>
    <xf numFmtId="193" fontId="68" fillId="0" borderId="0" xfId="36" applyNumberFormat="1" applyFont="1" applyFill="1" applyBorder="1" applyAlignment="1">
      <alignment horizontal="center" vertical="center"/>
    </xf>
    <xf numFmtId="2" fontId="68" fillId="0" borderId="5" xfId="36" applyNumberFormat="1" applyFont="1" applyFill="1" applyBorder="1" applyAlignment="1">
      <alignment horizontal="center" vertical="center"/>
    </xf>
    <xf numFmtId="2" fontId="68" fillId="0" borderId="0" xfId="36" applyNumberFormat="1" applyFont="1" applyFill="1" applyBorder="1" applyAlignment="1">
      <alignment horizontal="center" vertical="center"/>
    </xf>
    <xf numFmtId="38" fontId="68" fillId="0" borderId="26" xfId="16" applyNumberFormat="1" applyFont="1" applyFill="1" applyBorder="1" applyAlignment="1">
      <alignment horizontal="center" vertical="center"/>
    </xf>
    <xf numFmtId="38" fontId="68" fillId="0" borderId="27" xfId="16" applyNumberFormat="1" applyFont="1" applyFill="1" applyBorder="1" applyAlignment="1">
      <alignment horizontal="center" vertical="center"/>
    </xf>
    <xf numFmtId="0" fontId="30" fillId="0" borderId="0" xfId="16" applyFont="1" applyFill="1" applyAlignment="1">
      <alignment horizontal="left" vertical="center"/>
    </xf>
    <xf numFmtId="0" fontId="30" fillId="16" borderId="122" xfId="16" applyFont="1" applyFill="1" applyBorder="1" applyAlignment="1">
      <alignment horizontal="center" vertical="center"/>
    </xf>
    <xf numFmtId="0" fontId="30" fillId="16" borderId="2" xfId="16" applyFont="1" applyFill="1" applyBorder="1" applyAlignment="1">
      <alignment horizontal="center" vertical="center"/>
    </xf>
    <xf numFmtId="0" fontId="30" fillId="16" borderId="126" xfId="16" applyFont="1" applyFill="1" applyBorder="1" applyAlignment="1">
      <alignment horizontal="center" vertical="center"/>
    </xf>
    <xf numFmtId="40" fontId="68" fillId="0" borderId="5" xfId="36" applyNumberFormat="1" applyFont="1" applyFill="1" applyBorder="1" applyAlignment="1">
      <alignment horizontal="center" vertical="center"/>
    </xf>
    <xf numFmtId="40" fontId="68" fillId="0" borderId="0" xfId="36" applyNumberFormat="1" applyFont="1" applyFill="1" applyBorder="1" applyAlignment="1">
      <alignment horizontal="center" vertical="center"/>
    </xf>
    <xf numFmtId="49" fontId="68" fillId="0" borderId="5" xfId="36" applyNumberFormat="1" applyFont="1" applyFill="1" applyBorder="1" applyAlignment="1">
      <alignment horizontal="center" vertical="center"/>
    </xf>
    <xf numFmtId="49" fontId="68" fillId="0" borderId="0" xfId="36" applyNumberFormat="1" applyFont="1" applyFill="1" applyBorder="1" applyAlignment="1">
      <alignment horizontal="center" vertical="center"/>
    </xf>
    <xf numFmtId="0" fontId="30" fillId="16" borderId="17" xfId="16" applyFont="1" applyFill="1" applyBorder="1" applyAlignment="1">
      <alignment horizontal="center" vertical="center"/>
    </xf>
    <xf numFmtId="0" fontId="30" fillId="16" borderId="19" xfId="16" applyFont="1" applyFill="1" applyBorder="1" applyAlignment="1">
      <alignment horizontal="center" vertical="center"/>
    </xf>
    <xf numFmtId="15" fontId="37" fillId="16" borderId="26" xfId="16" applyNumberFormat="1" applyFont="1" applyFill="1" applyBorder="1" applyAlignment="1">
      <alignment horizontal="center" vertical="center"/>
    </xf>
    <xf numFmtId="15" fontId="37" fillId="16" borderId="28" xfId="16" applyNumberFormat="1" applyFont="1" applyFill="1" applyBorder="1" applyAlignment="1">
      <alignment horizontal="center" vertical="center"/>
    </xf>
    <xf numFmtId="0" fontId="30" fillId="15" borderId="0" xfId="16" applyFont="1" applyFill="1" applyBorder="1" applyAlignment="1">
      <alignment horizontal="left" vertical="center"/>
    </xf>
    <xf numFmtId="0" fontId="30" fillId="15" borderId="20" xfId="16" applyFont="1" applyFill="1" applyBorder="1" applyAlignment="1">
      <alignment horizontal="left" vertical="center"/>
    </xf>
    <xf numFmtId="191" fontId="30" fillId="0" borderId="17" xfId="17" applyNumberFormat="1" applyFont="1" applyFill="1" applyBorder="1" applyAlignment="1">
      <alignment horizontal="center" vertical="center"/>
    </xf>
    <xf numFmtId="191" fontId="30" fillId="0" borderId="19" xfId="17" applyNumberFormat="1" applyFont="1" applyFill="1" applyBorder="1" applyAlignment="1">
      <alignment horizontal="center" vertical="center"/>
    </xf>
    <xf numFmtId="191" fontId="30" fillId="0" borderId="5" xfId="17" applyNumberFormat="1" applyFont="1" applyFill="1" applyBorder="1" applyAlignment="1">
      <alignment horizontal="center" vertical="center"/>
    </xf>
    <xf numFmtId="191" fontId="30" fillId="0" borderId="20" xfId="17" applyNumberFormat="1" applyFont="1" applyFill="1" applyBorder="1" applyAlignment="1">
      <alignment horizontal="center" vertical="center"/>
    </xf>
    <xf numFmtId="40" fontId="30" fillId="0" borderId="5" xfId="17" applyNumberFormat="1" applyFont="1" applyFill="1" applyBorder="1" applyAlignment="1">
      <alignment horizontal="center" vertical="center"/>
    </xf>
    <xf numFmtId="40" fontId="30" fillId="0" borderId="20" xfId="17" applyNumberFormat="1" applyFont="1" applyFill="1" applyBorder="1" applyAlignment="1">
      <alignment horizontal="center" vertical="center"/>
    </xf>
    <xf numFmtId="0" fontId="89" fillId="0" borderId="0" xfId="16" applyFont="1" applyBorder="1" applyAlignment="1">
      <alignment horizontal="left" vertical="center"/>
    </xf>
    <xf numFmtId="0" fontId="90" fillId="0" borderId="0" xfId="16" applyFont="1" applyBorder="1" applyAlignment="1">
      <alignment horizontal="left" vertical="center"/>
    </xf>
    <xf numFmtId="192" fontId="30" fillId="0" borderId="5" xfId="17" applyNumberFormat="1" applyFont="1" applyFill="1" applyBorder="1" applyAlignment="1">
      <alignment horizontal="center" vertical="center"/>
    </xf>
    <xf numFmtId="192" fontId="30" fillId="0" borderId="20" xfId="17" applyNumberFormat="1" applyFont="1" applyFill="1" applyBorder="1" applyAlignment="1">
      <alignment horizontal="center" vertical="center"/>
    </xf>
    <xf numFmtId="0" fontId="15" fillId="0" borderId="26" xfId="16" applyFont="1" applyBorder="1" applyAlignment="1">
      <alignment horizontal="center" vertical="center"/>
    </xf>
    <xf numFmtId="0" fontId="15" fillId="0" borderId="28" xfId="16" applyFont="1" applyBorder="1" applyAlignment="1">
      <alignment horizontal="center" vertical="center"/>
    </xf>
    <xf numFmtId="0" fontId="77" fillId="16" borderId="17" xfId="16" applyFont="1" applyFill="1" applyBorder="1" applyAlignment="1">
      <alignment horizontal="center" vertical="center" wrapText="1"/>
    </xf>
    <xf numFmtId="0" fontId="35" fillId="16" borderId="19" xfId="16" applyFill="1" applyBorder="1" applyAlignment="1">
      <alignment horizontal="center" vertical="center" wrapText="1"/>
    </xf>
    <xf numFmtId="0" fontId="35" fillId="16" borderId="26" xfId="16" applyFill="1" applyBorder="1" applyAlignment="1">
      <alignment horizontal="center" vertical="center" wrapText="1"/>
    </xf>
    <xf numFmtId="0" fontId="35" fillId="16" borderId="28" xfId="16" applyFill="1" applyBorder="1" applyAlignment="1">
      <alignment horizontal="center" vertical="center" wrapText="1"/>
    </xf>
    <xf numFmtId="170" fontId="37" fillId="16" borderId="2" xfId="16" applyNumberFormat="1" applyFont="1" applyFill="1" applyBorder="1" applyAlignment="1">
      <alignment horizontal="center" vertical="center"/>
    </xf>
    <xf numFmtId="170" fontId="37" fillId="16" borderId="126" xfId="16" applyNumberFormat="1" applyFont="1" applyFill="1" applyBorder="1" applyAlignment="1">
      <alignment horizontal="center" vertical="center"/>
    </xf>
    <xf numFmtId="0" fontId="90" fillId="0" borderId="0" xfId="16" applyFont="1" applyAlignment="1">
      <alignment horizontal="left" vertical="center"/>
    </xf>
    <xf numFmtId="193" fontId="30" fillId="0" borderId="5" xfId="17" applyNumberFormat="1" applyFont="1" applyFill="1" applyBorder="1" applyAlignment="1">
      <alignment horizontal="center" vertical="center"/>
    </xf>
    <xf numFmtId="193" fontId="30" fillId="0" borderId="20" xfId="17" applyNumberFormat="1" applyFont="1" applyFill="1" applyBorder="1" applyAlignment="1">
      <alignment horizontal="center" vertical="center"/>
    </xf>
    <xf numFmtId="0" fontId="30" fillId="0" borderId="0" xfId="16" applyFont="1" applyFill="1" applyBorder="1" applyAlignment="1">
      <alignment horizontal="left" vertical="center"/>
    </xf>
    <xf numFmtId="0" fontId="77" fillId="0" borderId="0" xfId="16" applyFont="1" applyFill="1" applyBorder="1" applyAlignment="1">
      <alignment horizontal="center" vertical="center" wrapText="1"/>
    </xf>
    <xf numFmtId="0" fontId="35" fillId="0" borderId="0" xfId="16" applyFill="1" applyBorder="1" applyAlignment="1">
      <alignment horizontal="center" vertical="center" wrapText="1"/>
    </xf>
    <xf numFmtId="170" fontId="37" fillId="0" borderId="0" xfId="16" applyNumberFormat="1" applyFont="1" applyFill="1" applyBorder="1" applyAlignment="1">
      <alignment horizontal="center" vertical="center"/>
    </xf>
    <xf numFmtId="194" fontId="30" fillId="4" borderId="26" xfId="0" applyNumberFormat="1" applyFont="1" applyFill="1" applyBorder="1" applyAlignment="1">
      <alignment horizontal="center"/>
    </xf>
    <xf numFmtId="0" fontId="0" fillId="4" borderId="104" xfId="0" applyFill="1" applyBorder="1" applyAlignment="1">
      <alignment horizontal="center"/>
    </xf>
    <xf numFmtId="0" fontId="30" fillId="4" borderId="17"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0" fillId="4" borderId="26" xfId="0" applyFill="1" applyBorder="1" applyAlignment="1">
      <alignment horizontal="center" vertical="center" wrapText="1"/>
    </xf>
    <xf numFmtId="0" fontId="0" fillId="4" borderId="104" xfId="0" applyFill="1" applyBorder="1" applyAlignment="1">
      <alignment horizontal="center" vertical="center" wrapText="1"/>
    </xf>
    <xf numFmtId="194" fontId="30" fillId="4" borderId="17" xfId="0" applyNumberFormat="1" applyFont="1" applyFill="1" applyBorder="1" applyAlignment="1">
      <alignment horizontal="center" vertical="center"/>
    </xf>
    <xf numFmtId="0" fontId="0" fillId="4" borderId="8" xfId="0" applyFill="1" applyBorder="1"/>
    <xf numFmtId="194" fontId="30" fillId="4" borderId="5" xfId="0" applyNumberFormat="1" applyFont="1" applyFill="1" applyBorder="1" applyAlignment="1">
      <alignment horizontal="center" vertical="center"/>
    </xf>
    <xf numFmtId="0" fontId="0" fillId="4" borderId="13" xfId="0" applyFill="1" applyBorder="1"/>
    <xf numFmtId="195" fontId="30" fillId="4" borderId="5" xfId="0" applyNumberFormat="1" applyFont="1" applyFill="1" applyBorder="1" applyAlignment="1">
      <alignment horizontal="center" vertical="center"/>
    </xf>
    <xf numFmtId="0" fontId="0" fillId="4" borderId="13" xfId="0" applyFill="1" applyBorder="1" applyAlignment="1">
      <alignment horizontal="center"/>
    </xf>
    <xf numFmtId="195" fontId="30" fillId="4" borderId="13" xfId="0" applyNumberFormat="1" applyFont="1" applyFill="1" applyBorder="1" applyAlignment="1">
      <alignment horizontal="center" vertical="center"/>
    </xf>
    <xf numFmtId="0" fontId="77" fillId="0" borderId="0" xfId="0" applyFont="1" applyFill="1" applyBorder="1" applyAlignment="1">
      <alignment horizontal="center" vertical="center"/>
    </xf>
    <xf numFmtId="15" fontId="76" fillId="16" borderId="26" xfId="0" applyNumberFormat="1" applyFont="1" applyFill="1" applyBorder="1" applyAlignment="1">
      <alignment horizontal="center" vertical="center"/>
    </xf>
    <xf numFmtId="15" fontId="76" fillId="16" borderId="28" xfId="0" applyNumberFormat="1" applyFont="1" applyFill="1" applyBorder="1" applyAlignment="1">
      <alignment horizontal="center" vertical="center"/>
    </xf>
    <xf numFmtId="3" fontId="24" fillId="0" borderId="5" xfId="0" applyNumberFormat="1" applyFont="1" applyFill="1" applyBorder="1" applyAlignment="1">
      <alignment horizontal="center" vertical="center"/>
    </xf>
    <xf numFmtId="3" fontId="24" fillId="0" borderId="20" xfId="0" applyNumberFormat="1" applyFont="1" applyFill="1" applyBorder="1" applyAlignment="1">
      <alignment horizontal="center" vertical="center"/>
    </xf>
    <xf numFmtId="2" fontId="24" fillId="0" borderId="5" xfId="0" applyNumberFormat="1" applyFont="1" applyFill="1" applyBorder="1" applyAlignment="1">
      <alignment horizontal="center" vertical="center"/>
    </xf>
    <xf numFmtId="2" fontId="24" fillId="0" borderId="20" xfId="0" applyNumberFormat="1" applyFont="1" applyFill="1" applyBorder="1" applyAlignment="1">
      <alignment horizontal="center" vertical="center"/>
    </xf>
    <xf numFmtId="0" fontId="77" fillId="4" borderId="17" xfId="0" applyFont="1" applyFill="1" applyBorder="1" applyAlignment="1">
      <alignment horizontal="center" vertical="center"/>
    </xf>
    <xf numFmtId="0" fontId="77" fillId="4" borderId="19" xfId="0" applyFont="1" applyFill="1" applyBorder="1" applyAlignment="1">
      <alignment horizontal="center" vertical="center"/>
    </xf>
    <xf numFmtId="174" fontId="68" fillId="16" borderId="333" xfId="0" applyNumberFormat="1" applyFont="1" applyFill="1" applyBorder="1" applyAlignment="1">
      <alignment horizontal="center" vertical="center"/>
    </xf>
    <xf numFmtId="174" fontId="68" fillId="16" borderId="2" xfId="0" applyNumberFormat="1" applyFont="1" applyFill="1" applyBorder="1" applyAlignment="1">
      <alignment horizontal="center" vertical="center"/>
    </xf>
    <xf numFmtId="174" fontId="68" fillId="16" borderId="126" xfId="0" applyNumberFormat="1" applyFont="1" applyFill="1" applyBorder="1" applyAlignment="1">
      <alignment horizontal="center" vertical="center"/>
    </xf>
    <xf numFmtId="197" fontId="68" fillId="0" borderId="5" xfId="37" applyNumberFormat="1" applyFont="1" applyFill="1" applyBorder="1" applyAlignment="1">
      <alignment horizontal="center" vertical="center"/>
    </xf>
    <xf numFmtId="197" fontId="68" fillId="0" borderId="20" xfId="37" applyNumberFormat="1" applyFont="1" applyFill="1" applyBorder="1" applyAlignment="1">
      <alignment horizontal="center" vertical="center"/>
    </xf>
    <xf numFmtId="38" fontId="68" fillId="0" borderId="26" xfId="0" applyNumberFormat="1" applyFont="1" applyFill="1" applyBorder="1" applyAlignment="1">
      <alignment horizontal="center" vertical="center"/>
    </xf>
    <xf numFmtId="38" fontId="68" fillId="0" borderId="28" xfId="0" applyNumberFormat="1" applyFont="1" applyFill="1" applyBorder="1" applyAlignment="1">
      <alignment horizontal="center" vertical="center"/>
    </xf>
    <xf numFmtId="0" fontId="95" fillId="0" borderId="18" xfId="0" applyFont="1" applyBorder="1" applyAlignment="1">
      <alignment vertical="center"/>
    </xf>
    <xf numFmtId="170" fontId="68" fillId="16" borderId="122" xfId="0" applyNumberFormat="1" applyFont="1" applyFill="1" applyBorder="1" applyAlignment="1">
      <alignment horizontal="center" vertical="center"/>
    </xf>
    <xf numFmtId="170" fontId="68" fillId="16" borderId="2" xfId="0" applyNumberFormat="1" applyFont="1" applyFill="1" applyBorder="1" applyAlignment="1">
      <alignment horizontal="center" vertical="center"/>
    </xf>
    <xf numFmtId="170" fontId="68" fillId="16" borderId="126" xfId="0" applyNumberFormat="1" applyFont="1" applyFill="1" applyBorder="1" applyAlignment="1">
      <alignment horizontal="center" vertical="center"/>
    </xf>
    <xf numFmtId="170" fontId="76" fillId="16" borderId="122" xfId="0" applyNumberFormat="1" applyFont="1" applyFill="1" applyBorder="1" applyAlignment="1">
      <alignment horizontal="center" vertical="center"/>
    </xf>
    <xf numFmtId="170" fontId="76" fillId="16" borderId="126" xfId="0" applyNumberFormat="1" applyFont="1" applyFill="1" applyBorder="1" applyAlignment="1">
      <alignment horizontal="center" vertical="center"/>
    </xf>
    <xf numFmtId="15" fontId="68" fillId="10" borderId="122" xfId="0" applyNumberFormat="1" applyFont="1" applyFill="1" applyBorder="1" applyAlignment="1">
      <alignment horizontal="center" vertical="center"/>
    </xf>
    <xf numFmtId="15" fontId="68" fillId="10" borderId="126" xfId="0" applyNumberFormat="1" applyFont="1" applyFill="1" applyBorder="1" applyAlignment="1">
      <alignment horizontal="center" vertical="center"/>
    </xf>
    <xf numFmtId="193" fontId="68" fillId="0" borderId="17" xfId="37" applyNumberFormat="1" applyFont="1" applyFill="1" applyBorder="1" applyAlignment="1">
      <alignment horizontal="center" vertical="center"/>
    </xf>
    <xf numFmtId="193" fontId="68" fillId="0" borderId="19" xfId="37" applyNumberFormat="1" applyFont="1" applyFill="1" applyBorder="1" applyAlignment="1">
      <alignment horizontal="center" vertical="center"/>
    </xf>
    <xf numFmtId="2" fontId="68" fillId="0" borderId="5" xfId="37" applyNumberFormat="1" applyFont="1" applyFill="1" applyBorder="1" applyAlignment="1">
      <alignment horizontal="center" vertical="center"/>
    </xf>
    <xf numFmtId="2" fontId="68" fillId="0" borderId="20" xfId="37" applyNumberFormat="1" applyFont="1" applyFill="1" applyBorder="1" applyAlignment="1">
      <alignment horizontal="center" vertical="center"/>
    </xf>
    <xf numFmtId="40" fontId="68" fillId="0" borderId="5" xfId="37" applyNumberFormat="1" applyFont="1" applyFill="1" applyBorder="1" applyAlignment="1">
      <alignment horizontal="center" vertical="center"/>
    </xf>
    <xf numFmtId="40" fontId="68" fillId="0" borderId="20" xfId="37" applyNumberFormat="1" applyFont="1" applyFill="1" applyBorder="1" applyAlignment="1">
      <alignment horizontal="center" vertical="center"/>
    </xf>
    <xf numFmtId="0" fontId="68" fillId="4" borderId="1" xfId="16" applyFont="1" applyFill="1" applyBorder="1" applyAlignment="1">
      <alignment horizontal="center" vertical="center"/>
    </xf>
    <xf numFmtId="0" fontId="50" fillId="0" borderId="0" xfId="16" applyFont="1" applyFill="1" applyAlignment="1">
      <alignment horizontal="left" vertical="center"/>
    </xf>
    <xf numFmtId="0" fontId="25" fillId="0" borderId="0" xfId="16" applyFont="1" applyFill="1" applyAlignment="1">
      <alignment horizontal="left" vertical="center"/>
    </xf>
    <xf numFmtId="0" fontId="98" fillId="23" borderId="136" xfId="16" applyFont="1" applyFill="1" applyBorder="1" applyAlignment="1">
      <alignment horizontal="center" vertical="center"/>
    </xf>
    <xf numFmtId="0" fontId="98" fillId="23" borderId="137" xfId="16" applyFont="1" applyFill="1" applyBorder="1" applyAlignment="1">
      <alignment horizontal="center" vertical="center"/>
    </xf>
    <xf numFmtId="0" fontId="98" fillId="23" borderId="138" xfId="16" applyFont="1" applyFill="1" applyBorder="1" applyAlignment="1">
      <alignment horizontal="center" vertical="center"/>
    </xf>
    <xf numFmtId="0" fontId="98" fillId="23" borderId="155" xfId="16" applyFont="1" applyFill="1" applyBorder="1" applyAlignment="1">
      <alignment horizontal="center" vertical="center"/>
    </xf>
    <xf numFmtId="0" fontId="98" fillId="23" borderId="156" xfId="16" applyFont="1" applyFill="1" applyBorder="1" applyAlignment="1">
      <alignment horizontal="center" vertical="center"/>
    </xf>
    <xf numFmtId="0" fontId="98" fillId="23" borderId="122" xfId="16" applyFont="1" applyFill="1" applyBorder="1" applyAlignment="1">
      <alignment horizontal="center" vertical="center"/>
    </xf>
    <xf numFmtId="0" fontId="98" fillId="23" borderId="126" xfId="16" applyFont="1" applyFill="1" applyBorder="1" applyAlignment="1">
      <alignment horizontal="center" vertical="center"/>
    </xf>
    <xf numFmtId="0" fontId="113" fillId="2" borderId="0" xfId="38" applyFont="1" applyFill="1" applyAlignment="1">
      <alignment horizontal="left" vertical="center" wrapText="1"/>
    </xf>
    <xf numFmtId="49" fontId="122" fillId="2" borderId="0" xfId="16" applyNumberFormat="1" applyFont="1" applyFill="1" applyAlignment="1" applyProtection="1">
      <alignment horizontal="left" vertical="center" wrapText="1" readingOrder="1"/>
      <protection locked="0"/>
    </xf>
    <xf numFmtId="0" fontId="106" fillId="2" borderId="0" xfId="16" applyFont="1" applyFill="1" applyAlignment="1" applyProtection="1">
      <alignment vertical="center" wrapText="1" readingOrder="1"/>
      <protection locked="0"/>
    </xf>
    <xf numFmtId="0" fontId="23" fillId="6" borderId="2" xfId="16" applyFont="1" applyFill="1" applyBorder="1" applyAlignment="1">
      <alignment horizontal="center" vertical="center" readingOrder="1"/>
    </xf>
    <xf numFmtId="0" fontId="127" fillId="7" borderId="176" xfId="16" applyFont="1" applyFill="1" applyBorder="1" applyAlignment="1">
      <alignment horizontal="center" vertical="center" wrapText="1"/>
    </xf>
    <xf numFmtId="0" fontId="33" fillId="3" borderId="177" xfId="16" applyFont="1" applyFill="1" applyBorder="1" applyAlignment="1">
      <alignment horizontal="center" vertical="center" wrapText="1"/>
    </xf>
    <xf numFmtId="3" fontId="37" fillId="3" borderId="151" xfId="16" applyNumberFormat="1" applyFont="1" applyFill="1" applyBorder="1" applyAlignment="1">
      <alignment horizontal="center" vertical="top" wrapText="1"/>
    </xf>
    <xf numFmtId="3" fontId="37" fillId="3" borderId="226" xfId="16" applyNumberFormat="1" applyFont="1" applyFill="1" applyBorder="1" applyAlignment="1">
      <alignment horizontal="center" vertical="top" wrapText="1"/>
    </xf>
    <xf numFmtId="3" fontId="37" fillId="3" borderId="227" xfId="16" applyNumberFormat="1" applyFont="1" applyFill="1" applyBorder="1" applyAlignment="1">
      <alignment horizontal="center" vertical="top" wrapText="1"/>
    </xf>
    <xf numFmtId="0" fontId="35" fillId="3" borderId="153" xfId="16" applyFill="1" applyBorder="1" applyAlignment="1">
      <alignment horizontal="center" vertical="top" wrapText="1"/>
    </xf>
    <xf numFmtId="0" fontId="35" fillId="3" borderId="21" xfId="16" applyFill="1" applyBorder="1" applyAlignment="1">
      <alignment horizontal="center" vertical="top" wrapText="1"/>
    </xf>
    <xf numFmtId="0" fontId="35" fillId="3" borderId="60" xfId="16" applyFill="1" applyBorder="1" applyAlignment="1">
      <alignment horizontal="center" vertical="top" wrapText="1"/>
    </xf>
    <xf numFmtId="0" fontId="35" fillId="3" borderId="13" xfId="16" applyFill="1" applyBorder="1" applyAlignment="1">
      <alignment horizontal="center" vertical="top" wrapText="1"/>
    </xf>
    <xf numFmtId="3" fontId="37" fillId="3" borderId="151" xfId="16" applyNumberFormat="1" applyFont="1" applyFill="1" applyBorder="1" applyAlignment="1">
      <alignment horizontal="center" vertical="top"/>
    </xf>
    <xf numFmtId="3" fontId="37" fillId="3" borderId="226" xfId="16" applyNumberFormat="1" applyFont="1" applyFill="1" applyBorder="1" applyAlignment="1">
      <alignment horizontal="center" vertical="top"/>
    </xf>
    <xf numFmtId="3" fontId="37" fillId="3" borderId="227" xfId="16" applyNumberFormat="1" applyFont="1" applyFill="1" applyBorder="1" applyAlignment="1">
      <alignment horizontal="center" vertical="top"/>
    </xf>
    <xf numFmtId="3" fontId="37" fillId="3" borderId="23" xfId="16" applyNumberFormat="1" applyFont="1" applyFill="1" applyBorder="1" applyAlignment="1">
      <alignment horizontal="center" vertical="top" wrapText="1"/>
    </xf>
    <xf numFmtId="3" fontId="37" fillId="3" borderId="11" xfId="16" applyNumberFormat="1" applyFont="1" applyFill="1" applyBorder="1" applyAlignment="1">
      <alignment horizontal="center" vertical="top" wrapText="1"/>
    </xf>
    <xf numFmtId="3" fontId="37" fillId="3" borderId="24" xfId="16" applyNumberFormat="1" applyFont="1" applyFill="1" applyBorder="1" applyAlignment="1">
      <alignment horizontal="center" vertical="top" wrapText="1"/>
    </xf>
    <xf numFmtId="0" fontId="35" fillId="3" borderId="153" xfId="16" applyFill="1" applyBorder="1" applyAlignment="1">
      <alignment vertical="top" wrapText="1"/>
    </xf>
    <xf numFmtId="0" fontId="35" fillId="3" borderId="24" xfId="16" applyFill="1" applyBorder="1" applyAlignment="1">
      <alignment vertical="top" wrapText="1"/>
    </xf>
    <xf numFmtId="0" fontId="35" fillId="3" borderId="60" xfId="16" applyFill="1" applyBorder="1" applyAlignment="1">
      <alignment vertical="top" wrapText="1"/>
    </xf>
    <xf numFmtId="0" fontId="17" fillId="11" borderId="2" xfId="16" applyFont="1" applyFill="1" applyBorder="1" applyAlignment="1">
      <alignment horizontal="left" vertical="center"/>
    </xf>
    <xf numFmtId="0" fontId="17" fillId="11" borderId="126" xfId="16" applyFont="1" applyFill="1" applyBorder="1" applyAlignment="1">
      <alignment horizontal="left" vertical="center"/>
    </xf>
    <xf numFmtId="3" fontId="20" fillId="2" borderId="0" xfId="16" applyNumberFormat="1" applyFont="1" applyFill="1" applyAlignment="1">
      <alignment horizontal="left" vertical="center" wrapText="1"/>
    </xf>
    <xf numFmtId="170" fontId="2" fillId="0" borderId="46" xfId="44" applyNumberFormat="1" applyFont="1" applyBorder="1" applyAlignment="1">
      <alignment horizontal="center" vertical="center"/>
    </xf>
    <xf numFmtId="0" fontId="17" fillId="28" borderId="122" xfId="44" applyFont="1" applyFill="1" applyBorder="1" applyAlignment="1">
      <alignment horizontal="center" vertical="center" wrapText="1"/>
    </xf>
    <xf numFmtId="0" fontId="17" fillId="28" borderId="126" xfId="44" applyFont="1" applyFill="1" applyBorder="1" applyAlignment="1">
      <alignment horizontal="center" vertical="center" wrapText="1"/>
    </xf>
    <xf numFmtId="170" fontId="2" fillId="0" borderId="46" xfId="44" applyNumberFormat="1" applyFont="1" applyFill="1" applyBorder="1" applyAlignment="1">
      <alignment horizontal="center" vertical="center"/>
    </xf>
    <xf numFmtId="170" fontId="2" fillId="0" borderId="103" xfId="44" applyNumberFormat="1" applyFont="1" applyFill="1" applyBorder="1" applyAlignment="1">
      <alignment horizontal="center" vertical="center"/>
    </xf>
    <xf numFmtId="0" fontId="20" fillId="0" borderId="0" xfId="44" applyFont="1" applyAlignment="1">
      <alignment horizontal="left" vertical="center"/>
    </xf>
    <xf numFmtId="0" fontId="25" fillId="0" borderId="0" xfId="44" applyFont="1" applyFill="1" applyBorder="1" applyAlignment="1">
      <alignment horizontal="center" vertical="center"/>
    </xf>
    <xf numFmtId="0" fontId="17" fillId="11" borderId="39" xfId="44" applyFont="1" applyFill="1" applyBorder="1" applyAlignment="1">
      <alignment horizontal="center" vertical="center" wrapText="1"/>
    </xf>
    <xf numFmtId="0" fontId="17" fillId="11" borderId="48" xfId="44" applyFont="1" applyFill="1" applyBorder="1" applyAlignment="1">
      <alignment horizontal="center" vertical="center" wrapText="1"/>
    </xf>
    <xf numFmtId="0" fontId="17" fillId="11" borderId="229" xfId="44" applyFont="1" applyFill="1" applyBorder="1" applyAlignment="1">
      <alignment horizontal="center" vertical="center"/>
    </xf>
    <xf numFmtId="0" fontId="17" fillId="11" borderId="40" xfId="44" applyFont="1" applyFill="1" applyBorder="1" applyAlignment="1">
      <alignment horizontal="center" vertical="center"/>
    </xf>
    <xf numFmtId="0" fontId="17" fillId="11" borderId="55" xfId="44" applyFont="1" applyFill="1" applyBorder="1" applyAlignment="1">
      <alignment horizontal="center" vertical="center"/>
    </xf>
    <xf numFmtId="0" fontId="17" fillId="11" borderId="230" xfId="44" applyFont="1" applyFill="1" applyBorder="1" applyAlignment="1">
      <alignment horizontal="center" vertical="center"/>
    </xf>
    <xf numFmtId="0" fontId="17" fillId="11" borderId="231" xfId="44" applyFont="1" applyFill="1" applyBorder="1" applyAlignment="1">
      <alignment horizontal="center" vertical="center"/>
    </xf>
    <xf numFmtId="0" fontId="34" fillId="25" borderId="248" xfId="8" applyFont="1" applyFill="1" applyBorder="1" applyAlignment="1">
      <alignment horizontal="center"/>
    </xf>
    <xf numFmtId="0" fontId="34" fillId="25" borderId="73" xfId="8" applyFont="1" applyFill="1" applyBorder="1" applyAlignment="1">
      <alignment horizontal="center"/>
    </xf>
    <xf numFmtId="0" fontId="34" fillId="25" borderId="74" xfId="8" applyFont="1" applyFill="1" applyBorder="1" applyAlignment="1">
      <alignment horizontal="center"/>
    </xf>
    <xf numFmtId="3" fontId="34" fillId="0" borderId="30" xfId="8" applyNumberFormat="1" applyFont="1" applyFill="1" applyBorder="1" applyAlignment="1">
      <alignment horizontal="left" wrapText="1"/>
    </xf>
    <xf numFmtId="0" fontId="154" fillId="0" borderId="30" xfId="0" applyFont="1" applyBorder="1" applyAlignment="1">
      <alignment horizontal="left" wrapText="1"/>
    </xf>
    <xf numFmtId="0" fontId="34" fillId="0" borderId="0" xfId="8" applyFont="1" applyFill="1" applyAlignment="1">
      <alignment wrapText="1"/>
    </xf>
    <xf numFmtId="0" fontId="155" fillId="0" borderId="0" xfId="0" applyFont="1" applyAlignment="1">
      <alignment wrapText="1"/>
    </xf>
    <xf numFmtId="0" fontId="17" fillId="25" borderId="241" xfId="8" applyFont="1" applyFill="1" applyBorder="1" applyAlignment="1">
      <alignment horizontal="center"/>
    </xf>
    <xf numFmtId="0" fontId="17" fillId="25" borderId="242" xfId="8" applyFont="1" applyFill="1" applyBorder="1" applyAlignment="1">
      <alignment horizontal="center"/>
    </xf>
    <xf numFmtId="0" fontId="17" fillId="25" borderId="243" xfId="8" applyFont="1" applyFill="1" applyBorder="1" applyAlignment="1">
      <alignment horizontal="center"/>
    </xf>
    <xf numFmtId="0" fontId="17" fillId="25" borderId="241" xfId="8" applyFont="1" applyFill="1" applyBorder="1" applyAlignment="1">
      <alignment horizontal="center" vertical="center" wrapText="1"/>
    </xf>
    <xf numFmtId="0" fontId="0" fillId="0" borderId="239" xfId="0" applyBorder="1" applyAlignment="1">
      <alignment horizontal="center" vertical="center" wrapText="1"/>
    </xf>
    <xf numFmtId="0" fontId="0" fillId="0" borderId="244" xfId="0" applyBorder="1" applyAlignment="1">
      <alignment horizontal="center" vertical="center" wrapText="1"/>
    </xf>
    <xf numFmtId="0" fontId="17" fillId="25" borderId="39" xfId="8" applyFont="1" applyFill="1" applyBorder="1" applyAlignment="1">
      <alignment horizontal="center" vertical="center" wrapText="1"/>
    </xf>
    <xf numFmtId="0" fontId="0" fillId="0" borderId="44" xfId="0" applyBorder="1" applyAlignment="1">
      <alignment horizontal="center" vertical="center" wrapText="1"/>
    </xf>
    <xf numFmtId="0" fontId="0" fillId="0" borderId="48" xfId="0" applyBorder="1" applyAlignment="1">
      <alignment horizontal="center" vertical="center" wrapText="1"/>
    </xf>
    <xf numFmtId="0" fontId="17" fillId="25" borderId="239" xfId="8" applyFont="1" applyFill="1" applyBorder="1" applyAlignment="1">
      <alignment horizontal="center"/>
    </xf>
    <xf numFmtId="0" fontId="17" fillId="25" borderId="11" xfId="8" applyFont="1" applyFill="1" applyBorder="1" applyAlignment="1">
      <alignment horizontal="center"/>
    </xf>
    <xf numFmtId="0" fontId="17" fillId="25" borderId="233" xfId="8" applyFont="1" applyFill="1" applyBorder="1" applyAlignment="1">
      <alignment horizontal="center"/>
    </xf>
    <xf numFmtId="0" fontId="17" fillId="25" borderId="244" xfId="8" applyFont="1" applyFill="1" applyBorder="1" applyAlignment="1">
      <alignment horizontal="center"/>
    </xf>
    <xf numFmtId="0" fontId="17" fillId="25" borderId="50" xfId="8" applyFont="1" applyFill="1" applyBorder="1" applyAlignment="1">
      <alignment horizontal="center"/>
    </xf>
    <xf numFmtId="0" fontId="17" fillId="25" borderId="234" xfId="8" applyFont="1" applyFill="1" applyBorder="1" applyAlignment="1">
      <alignment horizontal="center"/>
    </xf>
    <xf numFmtId="206" fontId="33" fillId="0" borderId="0" xfId="16" applyNumberFormat="1" applyFont="1" applyBorder="1" applyAlignment="1">
      <alignment horizontal="center" vertical="center"/>
    </xf>
    <xf numFmtId="206" fontId="33" fillId="0" borderId="33" xfId="16" applyNumberFormat="1" applyFont="1" applyBorder="1" applyAlignment="1">
      <alignment horizontal="center" vertical="center"/>
    </xf>
    <xf numFmtId="206" fontId="33" fillId="0" borderId="25" xfId="16" applyNumberFormat="1" applyFont="1" applyBorder="1" applyAlignment="1">
      <alignment horizontal="center" vertical="center"/>
    </xf>
    <xf numFmtId="206" fontId="33" fillId="0" borderId="146" xfId="16" applyNumberFormat="1" applyFont="1" applyBorder="1" applyAlignment="1">
      <alignment horizontal="center" vertical="center"/>
    </xf>
    <xf numFmtId="0" fontId="76" fillId="5" borderId="172" xfId="16" applyFont="1" applyFill="1" applyBorder="1" applyAlignment="1">
      <alignment horizontal="center" vertical="center"/>
    </xf>
    <xf numFmtId="0" fontId="76" fillId="5" borderId="31" xfId="16" applyFont="1" applyFill="1" applyBorder="1" applyAlignment="1">
      <alignment horizontal="center" vertical="center"/>
    </xf>
    <xf numFmtId="0" fontId="76" fillId="5" borderId="5" xfId="16" applyFont="1" applyFill="1" applyBorder="1" applyAlignment="1">
      <alignment horizontal="center" vertical="center"/>
    </xf>
    <xf numFmtId="0" fontId="76" fillId="5" borderId="33" xfId="16" applyFont="1" applyFill="1" applyBorder="1" applyAlignment="1">
      <alignment horizontal="center" vertical="center"/>
    </xf>
    <xf numFmtId="0" fontId="100" fillId="5" borderId="68" xfId="16" applyFont="1" applyFill="1" applyBorder="1" applyAlignment="1">
      <alignment horizontal="center" vertical="center"/>
    </xf>
    <xf numFmtId="0" fontId="100" fillId="5" borderId="38" xfId="16" applyFont="1" applyFill="1" applyBorder="1" applyAlignment="1">
      <alignment horizontal="center" vertical="center"/>
    </xf>
    <xf numFmtId="0" fontId="37" fillId="0" borderId="30" xfId="16" applyFont="1" applyFill="1" applyBorder="1" applyAlignment="1">
      <alignment horizontal="center" vertical="center"/>
    </xf>
    <xf numFmtId="0" fontId="37" fillId="0" borderId="31" xfId="16" applyFont="1" applyFill="1" applyBorder="1" applyAlignment="1">
      <alignment horizontal="center" vertical="center"/>
    </xf>
    <xf numFmtId="2" fontId="33" fillId="0" borderId="0" xfId="16" applyNumberFormat="1" applyFont="1" applyBorder="1" applyAlignment="1">
      <alignment horizontal="center" vertical="center"/>
    </xf>
    <xf numFmtId="2" fontId="33" fillId="0" borderId="33" xfId="16" applyNumberFormat="1" applyFont="1" applyBorder="1" applyAlignment="1">
      <alignment horizontal="center" vertical="center"/>
    </xf>
    <xf numFmtId="206" fontId="33" fillId="0" borderId="13" xfId="16" applyNumberFormat="1" applyFont="1" applyBorder="1" applyAlignment="1">
      <alignment horizontal="center" vertical="center"/>
    </xf>
    <xf numFmtId="206" fontId="33" fillId="0" borderId="233" xfId="16" applyNumberFormat="1" applyFont="1" applyBorder="1" applyAlignment="1">
      <alignment horizontal="center" vertical="center"/>
    </xf>
    <xf numFmtId="206" fontId="33" fillId="0" borderId="5" xfId="16" applyNumberFormat="1" applyFont="1" applyBorder="1" applyAlignment="1">
      <alignment horizontal="center" vertical="center"/>
    </xf>
    <xf numFmtId="206" fontId="33" fillId="0" borderId="49" xfId="16" applyNumberFormat="1" applyFont="1" applyBorder="1" applyAlignment="1">
      <alignment horizontal="center" vertical="center"/>
    </xf>
    <xf numFmtId="206" fontId="33" fillId="0" borderId="234" xfId="16" applyNumberFormat="1" applyFont="1" applyBorder="1" applyAlignment="1">
      <alignment horizontal="center" vertical="center"/>
    </xf>
    <xf numFmtId="0" fontId="149" fillId="5" borderId="46" xfId="16" applyFont="1" applyFill="1" applyBorder="1" applyAlignment="1">
      <alignment horizontal="center" vertical="center" wrapText="1"/>
    </xf>
    <xf numFmtId="0" fontId="35" fillId="0" borderId="53" xfId="16" applyBorder="1" applyAlignment="1">
      <alignment horizontal="center" vertical="center" wrapText="1"/>
    </xf>
    <xf numFmtId="0" fontId="149" fillId="5" borderId="5" xfId="16" applyFont="1" applyFill="1" applyBorder="1" applyAlignment="1">
      <alignment horizontal="center" vertical="center" wrapText="1"/>
    </xf>
    <xf numFmtId="0" fontId="35" fillId="0" borderId="68" xfId="16" applyBorder="1" applyAlignment="1">
      <alignment horizontal="center" vertical="center" wrapText="1"/>
    </xf>
    <xf numFmtId="0" fontId="150" fillId="0" borderId="53" xfId="16" applyFont="1" applyBorder="1" applyAlignment="1">
      <alignment horizontal="center" vertical="center" wrapText="1"/>
    </xf>
    <xf numFmtId="0" fontId="149" fillId="5" borderId="32" xfId="16" applyFont="1" applyFill="1" applyBorder="1" applyAlignment="1">
      <alignment horizontal="center" vertical="center" wrapText="1"/>
    </xf>
    <xf numFmtId="0" fontId="35" fillId="0" borderId="36" xfId="16" applyBorder="1" applyAlignment="1">
      <alignment horizontal="center" vertical="center" wrapText="1"/>
    </xf>
    <xf numFmtId="0" fontId="149" fillId="5" borderId="9" xfId="16" applyFont="1" applyFill="1" applyBorder="1" applyAlignment="1">
      <alignment horizontal="center" vertical="center" wrapText="1"/>
    </xf>
    <xf numFmtId="0" fontId="35" fillId="0" borderId="237" xfId="16" applyBorder="1" applyAlignment="1">
      <alignment horizontal="center" vertical="center" wrapText="1"/>
    </xf>
    <xf numFmtId="0" fontId="149" fillId="5" borderId="236" xfId="16" applyFont="1" applyFill="1" applyBorder="1" applyAlignment="1">
      <alignment horizontal="center" vertical="center" wrapText="1"/>
    </xf>
    <xf numFmtId="0" fontId="35" fillId="0" borderId="238" xfId="16" applyBorder="1" applyAlignment="1">
      <alignment horizontal="center" vertical="center" wrapText="1"/>
    </xf>
    <xf numFmtId="0" fontId="149" fillId="5" borderId="20" xfId="16" applyFont="1" applyFill="1" applyBorder="1" applyAlignment="1">
      <alignment horizontal="center" vertical="center" wrapText="1"/>
    </xf>
    <xf numFmtId="0" fontId="35" fillId="0" borderId="51" xfId="16" applyBorder="1" applyAlignment="1">
      <alignment horizontal="center" vertical="center" wrapText="1"/>
    </xf>
    <xf numFmtId="0" fontId="68" fillId="10" borderId="34" xfId="16" applyFont="1" applyFill="1" applyBorder="1" applyAlignment="1">
      <alignment horizontal="center" vertical="center"/>
    </xf>
    <xf numFmtId="0" fontId="68" fillId="10" borderId="254" xfId="16" applyFont="1" applyFill="1" applyBorder="1" applyAlignment="1">
      <alignment horizontal="center" vertical="center"/>
    </xf>
    <xf numFmtId="0" fontId="68" fillId="10" borderId="255" xfId="16" applyFont="1" applyFill="1" applyBorder="1" applyAlignment="1">
      <alignment horizontal="center" vertical="center"/>
    </xf>
    <xf numFmtId="0" fontId="34" fillId="17" borderId="0" xfId="16" applyFont="1" applyFill="1" applyBorder="1" applyAlignment="1">
      <alignment horizontal="left" wrapText="1" readingOrder="1"/>
    </xf>
    <xf numFmtId="0" fontId="17" fillId="4" borderId="261" xfId="16" applyFont="1" applyFill="1" applyBorder="1" applyAlignment="1">
      <alignment horizontal="center"/>
    </xf>
    <xf numFmtId="0" fontId="17" fillId="4" borderId="262" xfId="16" applyFont="1" applyFill="1" applyBorder="1" applyAlignment="1">
      <alignment horizontal="center"/>
    </xf>
    <xf numFmtId="0" fontId="17" fillId="4" borderId="263" xfId="16" applyFont="1" applyFill="1" applyBorder="1" applyAlignment="1">
      <alignment horizontal="center"/>
    </xf>
    <xf numFmtId="0" fontId="17" fillId="4" borderId="128" xfId="16" applyFont="1" applyFill="1" applyBorder="1" applyAlignment="1">
      <alignment horizontal="center"/>
    </xf>
    <xf numFmtId="0" fontId="17" fillId="4" borderId="18" xfId="16" applyFont="1" applyFill="1" applyBorder="1" applyAlignment="1">
      <alignment horizontal="center"/>
    </xf>
    <xf numFmtId="0" fontId="17" fillId="4" borderId="8" xfId="16" applyFont="1" applyFill="1" applyBorder="1" applyAlignment="1">
      <alignment horizontal="center"/>
    </xf>
    <xf numFmtId="0" fontId="17" fillId="4" borderId="19" xfId="16" applyFont="1" applyFill="1" applyBorder="1" applyAlignment="1">
      <alignment horizontal="center"/>
    </xf>
    <xf numFmtId="0" fontId="17" fillId="29" borderId="273" xfId="16" applyFont="1" applyFill="1" applyBorder="1" applyAlignment="1">
      <alignment horizontal="center"/>
    </xf>
    <xf numFmtId="0" fontId="17" fillId="29" borderId="274" xfId="16" applyFont="1" applyFill="1" applyBorder="1" applyAlignment="1">
      <alignment horizontal="center"/>
    </xf>
    <xf numFmtId="0" fontId="17" fillId="29" borderId="275" xfId="16" applyFont="1" applyFill="1" applyBorder="1" applyAlignment="1">
      <alignment horizontal="center"/>
    </xf>
    <xf numFmtId="0" fontId="17" fillId="29" borderId="276" xfId="16" applyFont="1" applyFill="1" applyBorder="1" applyAlignment="1">
      <alignment horizontal="center"/>
    </xf>
    <xf numFmtId="0" fontId="17" fillId="11" borderId="229" xfId="16" applyFont="1" applyFill="1" applyBorder="1" applyAlignment="1">
      <alignment horizontal="center" vertical="center"/>
    </xf>
    <xf numFmtId="0" fontId="17" fillId="11" borderId="231" xfId="16" applyFont="1" applyFill="1" applyBorder="1" applyAlignment="1">
      <alignment horizontal="center" vertical="center"/>
    </xf>
    <xf numFmtId="0" fontId="17" fillId="11" borderId="161" xfId="16" applyFont="1" applyFill="1" applyBorder="1" applyAlignment="1">
      <alignment horizontal="center" vertical="center"/>
    </xf>
    <xf numFmtId="0" fontId="17" fillId="11" borderId="67" xfId="16" applyFont="1" applyFill="1" applyBorder="1" applyAlignment="1">
      <alignment horizontal="center" vertical="center"/>
    </xf>
    <xf numFmtId="0" fontId="19" fillId="3" borderId="9" xfId="16" applyFont="1" applyFill="1" applyBorder="1" applyAlignment="1">
      <alignment horizontal="left" vertical="center"/>
    </xf>
    <xf numFmtId="0" fontId="19" fillId="3" borderId="13" xfId="16" applyFont="1" applyFill="1" applyBorder="1" applyAlignment="1">
      <alignment horizontal="left" vertical="center"/>
    </xf>
    <xf numFmtId="0" fontId="23" fillId="3" borderId="292" xfId="16" applyFont="1" applyFill="1" applyBorder="1" applyAlignment="1">
      <alignment horizontal="center" vertical="center" wrapText="1"/>
    </xf>
    <xf numFmtId="0" fontId="35" fillId="3" borderId="265" xfId="16" applyFill="1" applyBorder="1" applyAlignment="1">
      <alignment horizontal="center" vertical="center" wrapText="1"/>
    </xf>
    <xf numFmtId="49" fontId="23" fillId="3" borderId="282" xfId="16" applyNumberFormat="1" applyFont="1" applyFill="1" applyBorder="1" applyAlignment="1">
      <alignment horizontal="center" vertical="center" wrapText="1"/>
    </xf>
    <xf numFmtId="49" fontId="23" fillId="3" borderId="284" xfId="16" applyNumberFormat="1" applyFont="1" applyFill="1" applyBorder="1" applyAlignment="1">
      <alignment horizontal="center" vertical="center" wrapText="1"/>
    </xf>
    <xf numFmtId="0" fontId="23" fillId="3" borderId="283" xfId="16" applyFont="1" applyFill="1" applyBorder="1" applyAlignment="1">
      <alignment horizontal="center" vertical="center" wrapText="1"/>
    </xf>
    <xf numFmtId="0" fontId="23" fillId="3" borderId="285" xfId="16" applyFont="1" applyFill="1" applyBorder="1" applyAlignment="1">
      <alignment horizontal="center" vertical="center" wrapText="1"/>
    </xf>
    <xf numFmtId="49" fontId="23" fillId="3" borderId="23" xfId="16" applyNumberFormat="1" applyFont="1" applyFill="1" applyBorder="1" applyAlignment="1">
      <alignment horizontal="center" vertical="center" wrapText="1"/>
    </xf>
    <xf numFmtId="49" fontId="23" fillId="3" borderId="24" xfId="16" applyNumberFormat="1" applyFont="1" applyFill="1" applyBorder="1" applyAlignment="1">
      <alignment horizontal="center" vertical="center" wrapText="1"/>
    </xf>
    <xf numFmtId="168" fontId="23" fillId="3" borderId="287" xfId="17" applyNumberFormat="1" applyFont="1" applyFill="1" applyBorder="1" applyAlignment="1">
      <alignment horizontal="center" vertical="center" wrapText="1"/>
    </xf>
    <xf numFmtId="168" fontId="23" fillId="3" borderId="288" xfId="17" applyNumberFormat="1" applyFont="1" applyFill="1" applyBorder="1" applyAlignment="1">
      <alignment horizontal="center" vertical="center" wrapText="1"/>
    </xf>
    <xf numFmtId="0" fontId="50" fillId="0" borderId="290" xfId="16" applyFont="1" applyFill="1" applyBorder="1" applyAlignment="1">
      <alignment horizontal="left" vertical="center" wrapText="1"/>
    </xf>
    <xf numFmtId="0" fontId="35" fillId="0" borderId="291" xfId="16" applyBorder="1" applyAlignment="1">
      <alignment horizontal="left" vertical="center" wrapText="1"/>
    </xf>
    <xf numFmtId="0" fontId="35" fillId="0" borderId="291" xfId="16" applyBorder="1" applyAlignment="1">
      <alignment vertical="center" wrapText="1"/>
    </xf>
    <xf numFmtId="0" fontId="23" fillId="3" borderId="153" xfId="16" applyFont="1" applyFill="1" applyBorder="1" applyAlignment="1">
      <alignment horizontal="left" vertical="center"/>
    </xf>
    <xf numFmtId="0" fontId="23" fillId="3" borderId="60" xfId="16" applyFont="1" applyFill="1" applyBorder="1" applyAlignment="1">
      <alignment horizontal="left" vertical="center"/>
    </xf>
    <xf numFmtId="49" fontId="23" fillId="3" borderId="23" xfId="8" applyNumberFormat="1" applyFont="1" applyFill="1" applyBorder="1" applyAlignment="1">
      <alignment horizontal="center" vertical="center" wrapText="1"/>
    </xf>
    <xf numFmtId="49" fontId="23" fillId="3" borderId="24" xfId="8" applyNumberFormat="1" applyFont="1" applyFill="1" applyBorder="1" applyAlignment="1">
      <alignment horizontal="center" vertical="center" wrapText="1"/>
    </xf>
    <xf numFmtId="0" fontId="23" fillId="3" borderId="287" xfId="8" applyFont="1" applyFill="1" applyBorder="1" applyAlignment="1">
      <alignment horizontal="center" vertical="center"/>
    </xf>
    <xf numFmtId="0" fontId="23" fillId="3" borderId="288" xfId="8" applyFont="1" applyFill="1" applyBorder="1" applyAlignment="1">
      <alignment horizontal="center" vertical="center"/>
    </xf>
    <xf numFmtId="0" fontId="50" fillId="0" borderId="290" xfId="8" applyFont="1" applyFill="1" applyBorder="1" applyAlignment="1">
      <alignment horizontal="left" vertical="center" wrapText="1"/>
    </xf>
    <xf numFmtId="0" fontId="2" fillId="0" borderId="290" xfId="8" applyFont="1" applyFill="1" applyBorder="1" applyAlignment="1">
      <alignment horizontal="left" vertical="center" wrapText="1"/>
    </xf>
    <xf numFmtId="0" fontId="2" fillId="0" borderId="290" xfId="8" applyFont="1" applyFill="1" applyBorder="1" applyAlignment="1">
      <alignment vertical="center" wrapText="1"/>
    </xf>
    <xf numFmtId="0" fontId="23" fillId="3" borderId="292" xfId="8" applyFont="1" applyFill="1" applyBorder="1" applyAlignment="1">
      <alignment horizontal="center" vertical="center" wrapText="1"/>
    </xf>
    <xf numFmtId="0" fontId="2" fillId="3" borderId="265" xfId="8" applyFill="1" applyBorder="1" applyAlignment="1">
      <alignment horizontal="center" vertical="center" wrapText="1"/>
    </xf>
    <xf numFmtId="49" fontId="23" fillId="3" borderId="282" xfId="8" applyNumberFormat="1" applyFont="1" applyFill="1" applyBorder="1" applyAlignment="1">
      <alignment horizontal="center" vertical="center" wrapText="1"/>
    </xf>
    <xf numFmtId="49" fontId="23" fillId="3" borderId="284" xfId="8" applyNumberFormat="1" applyFont="1" applyFill="1" applyBorder="1" applyAlignment="1">
      <alignment horizontal="center" vertical="center" wrapText="1"/>
    </xf>
    <xf numFmtId="0" fontId="23" fillId="3" borderId="283" xfId="8" applyFont="1" applyFill="1" applyBorder="1" applyAlignment="1">
      <alignment horizontal="center" vertical="center" wrapText="1"/>
    </xf>
    <xf numFmtId="0" fontId="23" fillId="3" borderId="285" xfId="8" applyFont="1" applyFill="1" applyBorder="1" applyAlignment="1">
      <alignment horizontal="center" vertical="center" wrapText="1"/>
    </xf>
    <xf numFmtId="0" fontId="19" fillId="3" borderId="9" xfId="8" applyFont="1" applyFill="1" applyBorder="1" applyAlignment="1">
      <alignment horizontal="left" vertical="center"/>
    </xf>
    <xf numFmtId="0" fontId="19" fillId="3" borderId="13" xfId="8" applyFont="1" applyFill="1" applyBorder="1" applyAlignment="1">
      <alignment horizontal="left" vertical="center"/>
    </xf>
    <xf numFmtId="0" fontId="23" fillId="3" borderId="151" xfId="8" applyFont="1" applyFill="1" applyBorder="1" applyAlignment="1">
      <alignment horizontal="left" vertical="center"/>
    </xf>
    <xf numFmtId="0" fontId="23" fillId="3" borderId="227" xfId="8" applyFont="1" applyFill="1" applyBorder="1" applyAlignment="1">
      <alignment horizontal="left" vertical="center"/>
    </xf>
    <xf numFmtId="0" fontId="23" fillId="3" borderId="9" xfId="8" applyFont="1" applyFill="1" applyBorder="1" applyAlignment="1">
      <alignment horizontal="left" vertical="center"/>
    </xf>
    <xf numFmtId="0" fontId="23" fillId="3" borderId="13" xfId="8" applyFont="1" applyFill="1" applyBorder="1" applyAlignment="1">
      <alignment horizontal="left" vertical="center"/>
    </xf>
    <xf numFmtId="0" fontId="73" fillId="14" borderId="17" xfId="51" applyFont="1" applyFill="1" applyBorder="1" applyAlignment="1">
      <alignment horizontal="center"/>
    </xf>
    <xf numFmtId="0" fontId="73" fillId="14" borderId="299" xfId="51" applyFont="1" applyFill="1" applyBorder="1" applyAlignment="1">
      <alignment horizontal="center"/>
    </xf>
    <xf numFmtId="0" fontId="175" fillId="14" borderId="10" xfId="51" applyFont="1" applyFill="1" applyBorder="1" applyAlignment="1">
      <alignment horizontal="center"/>
    </xf>
    <xf numFmtId="0" fontId="175" fillId="14" borderId="153" xfId="51" applyFont="1" applyFill="1" applyBorder="1" applyAlignment="1">
      <alignment horizontal="center"/>
    </xf>
    <xf numFmtId="0" fontId="172" fillId="14" borderId="297" xfId="51" applyFont="1" applyFill="1" applyBorder="1" applyAlignment="1">
      <alignment horizontal="center" vertical="center" wrapText="1"/>
    </xf>
    <xf numFmtId="0" fontId="35" fillId="0" borderId="262" xfId="16" applyBorder="1" applyAlignment="1">
      <alignment horizontal="center" vertical="center" wrapText="1"/>
    </xf>
    <xf numFmtId="0" fontId="35" fillId="0" borderId="298" xfId="16" applyBorder="1" applyAlignment="1">
      <alignment wrapText="1"/>
    </xf>
    <xf numFmtId="0" fontId="172" fillId="14" borderId="127" xfId="51" applyFont="1" applyFill="1" applyBorder="1" applyAlignment="1">
      <alignment horizontal="center" vertical="center" wrapText="1"/>
    </xf>
    <xf numFmtId="0" fontId="35" fillId="0" borderId="61" xfId="16" applyBorder="1" applyAlignment="1">
      <alignment horizontal="center" vertical="center" wrapText="1"/>
    </xf>
    <xf numFmtId="0" fontId="166" fillId="0" borderId="0" xfId="51" applyFont="1" applyAlignment="1">
      <alignment wrapText="1"/>
    </xf>
    <xf numFmtId="0" fontId="167" fillId="0" borderId="0" xfId="16" applyFont="1" applyAlignment="1">
      <alignment wrapText="1"/>
    </xf>
    <xf numFmtId="0" fontId="35" fillId="0" borderId="0" xfId="16" applyAlignment="1">
      <alignment wrapText="1"/>
    </xf>
    <xf numFmtId="0" fontId="73" fillId="14" borderId="6" xfId="51" applyFont="1" applyFill="1" applyBorder="1" applyAlignment="1">
      <alignment horizontal="center"/>
    </xf>
    <xf numFmtId="0" fontId="73" fillId="14" borderId="62" xfId="51" applyFont="1" applyFill="1" applyBorder="1" applyAlignment="1">
      <alignment horizontal="center"/>
    </xf>
    <xf numFmtId="0" fontId="171" fillId="14" borderId="10" xfId="51" applyFont="1" applyFill="1" applyBorder="1" applyAlignment="1">
      <alignment horizontal="center" vertical="top" wrapText="1"/>
    </xf>
    <xf numFmtId="0" fontId="171" fillId="14" borderId="153" xfId="51" applyFont="1" applyFill="1" applyBorder="1" applyAlignment="1">
      <alignment horizontal="center" vertical="top" wrapText="1"/>
    </xf>
    <xf numFmtId="0" fontId="180" fillId="0" borderId="0" xfId="16" applyFont="1" applyAlignment="1">
      <alignment wrapText="1"/>
    </xf>
    <xf numFmtId="0" fontId="172" fillId="14" borderId="297" xfId="51" applyFont="1" applyFill="1" applyBorder="1" applyAlignment="1">
      <alignment horizontal="center" vertical="top"/>
    </xf>
    <xf numFmtId="0" fontId="172" fillId="14" borderId="262" xfId="51" applyFont="1" applyFill="1" applyBorder="1" applyAlignment="1">
      <alignment horizontal="center" vertical="top"/>
    </xf>
    <xf numFmtId="0" fontId="2" fillId="6" borderId="5" xfId="0" applyFont="1" applyFill="1" applyBorder="1" applyAlignment="1">
      <alignment horizontal="left" vertical="center"/>
    </xf>
    <xf numFmtId="0" fontId="2" fillId="6" borderId="0" xfId="0" applyFont="1" applyFill="1" applyBorder="1" applyAlignment="1">
      <alignment horizontal="left" vertical="center"/>
    </xf>
    <xf numFmtId="0" fontId="2" fillId="6" borderId="20" xfId="0" applyFont="1" applyFill="1" applyBorder="1" applyAlignment="1">
      <alignment horizontal="left" vertical="center"/>
    </xf>
    <xf numFmtId="17" fontId="17" fillId="7" borderId="122" xfId="0" applyNumberFormat="1" applyFont="1" applyFill="1" applyBorder="1" applyAlignment="1">
      <alignment horizontal="center" vertical="center"/>
    </xf>
    <xf numFmtId="17" fontId="17" fillId="7" borderId="2" xfId="0" applyNumberFormat="1" applyFont="1" applyFill="1" applyBorder="1" applyAlignment="1">
      <alignment horizontal="center" vertical="center"/>
    </xf>
    <xf numFmtId="17" fontId="17" fillId="7" borderId="126" xfId="0" applyNumberFormat="1" applyFont="1" applyFill="1" applyBorder="1" applyAlignment="1">
      <alignment horizontal="center" vertical="center"/>
    </xf>
    <xf numFmtId="17" fontId="17" fillId="32" borderId="122" xfId="0" applyNumberFormat="1" applyFont="1" applyFill="1" applyBorder="1" applyAlignment="1">
      <alignment horizontal="center" vertical="center"/>
    </xf>
    <xf numFmtId="17" fontId="17" fillId="32" borderId="2" xfId="0" applyNumberFormat="1" applyFont="1" applyFill="1" applyBorder="1" applyAlignment="1">
      <alignment horizontal="center" vertical="center"/>
    </xf>
    <xf numFmtId="17" fontId="17" fillId="32" borderId="126" xfId="0" applyNumberFormat="1" applyFont="1" applyFill="1" applyBorder="1" applyAlignment="1">
      <alignment horizontal="center" vertical="center"/>
    </xf>
    <xf numFmtId="0" fontId="17" fillId="5" borderId="135" xfId="16" applyFont="1" applyFill="1" applyBorder="1" applyAlignment="1">
      <alignment horizontal="center" vertical="center"/>
    </xf>
    <xf numFmtId="0" fontId="17" fillId="5" borderId="305" xfId="16" applyFont="1" applyFill="1" applyBorder="1" applyAlignment="1">
      <alignment horizontal="center" vertical="center"/>
    </xf>
    <xf numFmtId="0" fontId="25" fillId="0" borderId="30" xfId="16" applyFont="1" applyBorder="1" applyAlignment="1">
      <alignment horizontal="left" vertical="center" wrapText="1"/>
    </xf>
    <xf numFmtId="0" fontId="25" fillId="0" borderId="0" xfId="16" applyFont="1" applyBorder="1" applyAlignment="1">
      <alignment horizontal="left" vertical="center" wrapText="1"/>
    </xf>
    <xf numFmtId="0" fontId="36" fillId="2" borderId="0" xfId="0" applyFont="1" applyFill="1" applyAlignment="1">
      <alignment vertical="center"/>
    </xf>
    <xf numFmtId="0" fontId="33" fillId="2" borderId="0" xfId="0" applyFont="1" applyFill="1" applyAlignment="1">
      <alignment vertical="center"/>
    </xf>
    <xf numFmtId="0" fontId="65" fillId="2" borderId="0" xfId="0" applyFont="1" applyFill="1" applyBorder="1" applyAlignment="1">
      <alignment vertical="center"/>
    </xf>
    <xf numFmtId="0" fontId="38" fillId="2" borderId="0" xfId="0" applyFont="1" applyFill="1" applyAlignment="1">
      <alignment vertical="center"/>
    </xf>
    <xf numFmtId="0" fontId="38" fillId="2" borderId="0" xfId="0" applyFont="1" applyFill="1" applyAlignment="1">
      <alignment horizontal="right" vertical="center"/>
    </xf>
    <xf numFmtId="0" fontId="34" fillId="2" borderId="0" xfId="0" applyFont="1" applyFill="1" applyAlignment="1">
      <alignment horizontal="center" vertical="center"/>
    </xf>
    <xf numFmtId="0" fontId="38" fillId="2" borderId="0" xfId="0" applyFont="1" applyFill="1" applyAlignment="1">
      <alignment horizontal="center" vertical="center"/>
    </xf>
    <xf numFmtId="183" fontId="37" fillId="3" borderId="106" xfId="0" applyNumberFormat="1" applyFont="1" applyFill="1" applyBorder="1" applyAlignment="1">
      <alignment horizontal="center" vertical="center"/>
    </xf>
    <xf numFmtId="183" fontId="37" fillId="3" borderId="107" xfId="0" applyNumberFormat="1" applyFont="1" applyFill="1" applyBorder="1" applyAlignment="1">
      <alignment horizontal="center" vertical="center"/>
    </xf>
    <xf numFmtId="183" fontId="37" fillId="3" borderId="108" xfId="0" applyNumberFormat="1" applyFont="1" applyFill="1" applyBorder="1" applyAlignment="1">
      <alignment horizontal="center" vertical="center"/>
    </xf>
    <xf numFmtId="183" fontId="37" fillId="2" borderId="0" xfId="0" applyNumberFormat="1" applyFont="1" applyFill="1" applyAlignment="1">
      <alignment horizontal="center" vertical="center"/>
    </xf>
    <xf numFmtId="0" fontId="37" fillId="3" borderId="109" xfId="0" applyFont="1" applyFill="1" applyBorder="1" applyAlignment="1">
      <alignment horizontal="center" vertical="center"/>
    </xf>
    <xf numFmtId="0" fontId="33" fillId="3" borderId="110" xfId="0" applyFont="1" applyFill="1" applyBorder="1" applyAlignment="1">
      <alignment vertical="center"/>
    </xf>
    <xf numFmtId="0" fontId="33" fillId="3" borderId="111" xfId="0" applyFont="1" applyFill="1" applyBorder="1" applyAlignment="1">
      <alignment vertical="center"/>
    </xf>
    <xf numFmtId="0" fontId="33" fillId="2" borderId="112" xfId="0" applyFont="1" applyFill="1" applyBorder="1" applyAlignment="1">
      <alignment vertical="center"/>
    </xf>
    <xf numFmtId="3" fontId="33" fillId="2" borderId="112" xfId="0" applyNumberFormat="1" applyFont="1" applyFill="1" applyBorder="1" applyAlignment="1">
      <alignment vertical="center"/>
    </xf>
    <xf numFmtId="0" fontId="38" fillId="3" borderId="111" xfId="0" applyFont="1" applyFill="1" applyBorder="1" applyAlignment="1">
      <alignment vertical="center"/>
    </xf>
    <xf numFmtId="3" fontId="38" fillId="2" borderId="112" xfId="0" applyNumberFormat="1" applyFont="1" applyFill="1" applyBorder="1" applyAlignment="1">
      <alignment vertical="center"/>
    </xf>
    <xf numFmtId="0" fontId="37" fillId="3" borderId="111" xfId="0" applyFont="1" applyFill="1" applyBorder="1" applyAlignment="1">
      <alignment vertical="center"/>
    </xf>
    <xf numFmtId="3" fontId="37" fillId="2" borderId="112" xfId="0" applyNumberFormat="1" applyFont="1" applyFill="1" applyBorder="1" applyAlignment="1">
      <alignment vertical="center"/>
    </xf>
    <xf numFmtId="0" fontId="37" fillId="2" borderId="0" xfId="0" applyFont="1" applyFill="1" applyAlignment="1">
      <alignment vertical="center"/>
    </xf>
    <xf numFmtId="3" fontId="33" fillId="2" borderId="110" xfId="0" applyNumberFormat="1" applyFont="1" applyFill="1" applyBorder="1" applyAlignment="1">
      <alignment vertical="center"/>
    </xf>
    <xf numFmtId="0" fontId="33" fillId="3" borderId="113" xfId="0" applyFont="1" applyFill="1" applyBorder="1" applyAlignment="1">
      <alignment vertical="center"/>
    </xf>
    <xf numFmtId="0" fontId="33" fillId="2" borderId="114" xfId="0" applyFont="1" applyFill="1" applyBorder="1" applyAlignment="1">
      <alignment vertical="center"/>
    </xf>
    <xf numFmtId="0" fontId="25" fillId="2" borderId="0" xfId="0" applyFont="1" applyFill="1" applyAlignment="1">
      <alignment vertical="center"/>
    </xf>
    <xf numFmtId="3" fontId="33" fillId="2" borderId="0" xfId="0" applyNumberFormat="1" applyFont="1" applyFill="1" applyAlignment="1">
      <alignment vertical="center"/>
    </xf>
    <xf numFmtId="0" fontId="57" fillId="2" borderId="0" xfId="0" applyFont="1" applyFill="1" applyBorder="1"/>
    <xf numFmtId="183" fontId="37" fillId="3" borderId="115" xfId="0" applyNumberFormat="1" applyFont="1" applyFill="1" applyBorder="1" applyAlignment="1">
      <alignment horizontal="center" vertical="center"/>
    </xf>
    <xf numFmtId="183" fontId="37" fillId="3" borderId="116" xfId="0" applyNumberFormat="1" applyFont="1" applyFill="1" applyBorder="1" applyAlignment="1">
      <alignment horizontal="center" vertical="center"/>
    </xf>
    <xf numFmtId="0" fontId="33" fillId="2" borderId="117" xfId="0" applyFont="1" applyFill="1" applyBorder="1" applyAlignment="1">
      <alignment vertical="center"/>
    </xf>
    <xf numFmtId="3" fontId="33" fillId="2" borderId="118" xfId="0" applyNumberFormat="1" applyFont="1" applyFill="1" applyBorder="1" applyAlignment="1">
      <alignment vertical="center"/>
    </xf>
    <xf numFmtId="170" fontId="33" fillId="2" borderId="0" xfId="0" applyNumberFormat="1" applyFont="1" applyFill="1" applyAlignment="1">
      <alignment vertical="center"/>
    </xf>
    <xf numFmtId="3" fontId="33" fillId="2" borderId="112" xfId="0" applyNumberFormat="1" applyFont="1" applyFill="1" applyBorder="1" applyAlignment="1">
      <alignment horizontal="right" vertical="center"/>
    </xf>
    <xf numFmtId="0" fontId="69" fillId="3" borderId="111" xfId="0" applyFont="1" applyFill="1" applyBorder="1" applyAlignment="1">
      <alignment vertical="center"/>
    </xf>
    <xf numFmtId="3" fontId="69" fillId="2" borderId="112" xfId="0" applyNumberFormat="1" applyFont="1" applyFill="1" applyBorder="1" applyAlignment="1">
      <alignment vertical="center"/>
    </xf>
    <xf numFmtId="0" fontId="69" fillId="2" borderId="0" xfId="0" applyFont="1" applyFill="1" applyAlignment="1">
      <alignment vertical="center"/>
    </xf>
    <xf numFmtId="0" fontId="33" fillId="2" borderId="119" xfId="0" applyFont="1" applyFill="1" applyBorder="1" applyAlignment="1">
      <alignment vertical="center"/>
    </xf>
    <xf numFmtId="0" fontId="25" fillId="2" borderId="0" xfId="0" applyFont="1" applyFill="1" applyBorder="1" applyAlignment="1">
      <alignment vertical="center"/>
    </xf>
    <xf numFmtId="0" fontId="56" fillId="2" borderId="0" xfId="0" applyFont="1" applyFill="1" applyBorder="1"/>
  </cellXfs>
  <cellStyles count="52">
    <cellStyle name="Comma" xfId="1" builtinId="3"/>
    <cellStyle name="Comma 13 2" xfId="24"/>
    <cellStyle name="Comma 17" xfId="25"/>
    <cellStyle name="Comma 2" xfId="9"/>
    <cellStyle name="Comma 2 2" xfId="48"/>
    <cellStyle name="Comma 3" xfId="7"/>
    <cellStyle name="Comma 4" xfId="15"/>
    <cellStyle name="Comma 5" xfId="17"/>
    <cellStyle name="Comma 6" xfId="36"/>
    <cellStyle name="Comma 7" xfId="37"/>
    <cellStyle name="Comma 9" xfId="26"/>
    <cellStyle name="Comma_RIOIQVRD010930" xfId="43"/>
    <cellStyle name="Comma_Table 1 2" xfId="4"/>
    <cellStyle name="Comma_Table 20-21" xfId="39"/>
    <cellStyle name="Comma_Table 41a-41b" xfId="50"/>
    <cellStyle name="Currency 2" xfId="27"/>
    <cellStyle name="Currency 3" xfId="35"/>
    <cellStyle name="data_entry" xfId="18"/>
    <cellStyle name="Hyperlink 2" xfId="10"/>
    <cellStyle name="Normal" xfId="0" builtinId="0"/>
    <cellStyle name="Normal 11" xfId="28"/>
    <cellStyle name="Normal 13" xfId="29"/>
    <cellStyle name="Normal 16" xfId="30"/>
    <cellStyle name="Normal 2" xfId="6"/>
    <cellStyle name="Normal 2 2" xfId="11"/>
    <cellStyle name="Normal 2 3" xfId="8"/>
    <cellStyle name="Normal 3" xfId="3"/>
    <cellStyle name="Normal 3 2" xfId="12"/>
    <cellStyle name="Normal 4" xfId="14"/>
    <cellStyle name="Normal 5" xfId="16"/>
    <cellStyle name="Normal 6" xfId="13"/>
    <cellStyle name="Normal 7" xfId="31"/>
    <cellStyle name="Normal 8" xfId="44"/>
    <cellStyle name="Normal 9" xfId="32"/>
    <cellStyle name="Normal_1 (2)" xfId="5"/>
    <cellStyle name="Normal_ODCS" xfId="21"/>
    <cellStyle name="Normal_OWN-LOAN" xfId="42"/>
    <cellStyle name="Normal_Quarterly BOP 2001" xfId="51"/>
    <cellStyle name="Normal_RHABMCPC010731" xfId="19"/>
    <cellStyle name="Normal_Sheet1" xfId="45"/>
    <cellStyle name="Normal_Sheet1 2" xfId="47"/>
    <cellStyle name="Normal_TAB2.11" xfId="40"/>
    <cellStyle name="Normal_Tab2.3" xfId="34"/>
    <cellStyle name="Normal_Table 1" xfId="49"/>
    <cellStyle name="Normal_Table 1 2" xfId="2"/>
    <cellStyle name="Normal_Table 20-21" xfId="38"/>
    <cellStyle name="Normal_Table 25f" xfId="20"/>
    <cellStyle name="Normal_Table 25f 2" xfId="23"/>
    <cellStyle name="Normal_Table 30" xfId="41"/>
    <cellStyle name="Percent 2" xfId="22"/>
    <cellStyle name="Percent 3" xfId="33"/>
    <cellStyle name="Percent 4"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5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3.xml"/><Relationship Id="rId84" Type="http://schemas.openxmlformats.org/officeDocument/2006/relationships/externalLink" Target="externalLinks/externalLink24.xml"/><Relationship Id="rId138" Type="http://schemas.openxmlformats.org/officeDocument/2006/relationships/externalLink" Target="externalLinks/externalLink78.xml"/><Relationship Id="rId159" Type="http://schemas.openxmlformats.org/officeDocument/2006/relationships/externalLink" Target="externalLinks/externalLink99.xml"/><Relationship Id="rId170" Type="http://schemas.openxmlformats.org/officeDocument/2006/relationships/externalLink" Target="externalLinks/externalLink110.xml"/><Relationship Id="rId191" Type="http://schemas.openxmlformats.org/officeDocument/2006/relationships/externalLink" Target="externalLinks/externalLink131.xml"/><Relationship Id="rId205" Type="http://schemas.openxmlformats.org/officeDocument/2006/relationships/externalLink" Target="externalLinks/externalLink145.xml"/><Relationship Id="rId226" Type="http://schemas.openxmlformats.org/officeDocument/2006/relationships/externalLink" Target="externalLinks/externalLink166.xml"/><Relationship Id="rId247" Type="http://schemas.openxmlformats.org/officeDocument/2006/relationships/externalLink" Target="externalLinks/externalLink187.xml"/><Relationship Id="rId107" Type="http://schemas.openxmlformats.org/officeDocument/2006/relationships/externalLink" Target="externalLinks/externalLink47.xml"/><Relationship Id="rId268"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4.xml"/><Relationship Id="rId128" Type="http://schemas.openxmlformats.org/officeDocument/2006/relationships/externalLink" Target="externalLinks/externalLink68.xml"/><Relationship Id="rId149" Type="http://schemas.openxmlformats.org/officeDocument/2006/relationships/externalLink" Target="externalLinks/externalLink89.xml"/><Relationship Id="rId5" Type="http://schemas.openxmlformats.org/officeDocument/2006/relationships/worksheet" Target="worksheets/sheet5.xml"/><Relationship Id="rId95" Type="http://schemas.openxmlformats.org/officeDocument/2006/relationships/externalLink" Target="externalLinks/externalLink35.xml"/><Relationship Id="rId160" Type="http://schemas.openxmlformats.org/officeDocument/2006/relationships/externalLink" Target="externalLinks/externalLink100.xml"/><Relationship Id="rId181" Type="http://schemas.openxmlformats.org/officeDocument/2006/relationships/externalLink" Target="externalLinks/externalLink121.xml"/><Relationship Id="rId216" Type="http://schemas.openxmlformats.org/officeDocument/2006/relationships/externalLink" Target="externalLinks/externalLink156.xml"/><Relationship Id="rId237" Type="http://schemas.openxmlformats.org/officeDocument/2006/relationships/externalLink" Target="externalLinks/externalLink177.xml"/><Relationship Id="rId258" Type="http://schemas.openxmlformats.org/officeDocument/2006/relationships/externalLink" Target="externalLinks/externalLink19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4.xml"/><Relationship Id="rId118" Type="http://schemas.openxmlformats.org/officeDocument/2006/relationships/externalLink" Target="externalLinks/externalLink58.xml"/><Relationship Id="rId139" Type="http://schemas.openxmlformats.org/officeDocument/2006/relationships/externalLink" Target="externalLinks/externalLink79.xml"/><Relationship Id="rId85" Type="http://schemas.openxmlformats.org/officeDocument/2006/relationships/externalLink" Target="externalLinks/externalLink25.xml"/><Relationship Id="rId150" Type="http://schemas.openxmlformats.org/officeDocument/2006/relationships/externalLink" Target="externalLinks/externalLink90.xml"/><Relationship Id="rId171" Type="http://schemas.openxmlformats.org/officeDocument/2006/relationships/externalLink" Target="externalLinks/externalLink111.xml"/><Relationship Id="rId192" Type="http://schemas.openxmlformats.org/officeDocument/2006/relationships/externalLink" Target="externalLinks/externalLink132.xml"/><Relationship Id="rId206" Type="http://schemas.openxmlformats.org/officeDocument/2006/relationships/externalLink" Target="externalLinks/externalLink146.xml"/><Relationship Id="rId227" Type="http://schemas.openxmlformats.org/officeDocument/2006/relationships/externalLink" Target="externalLinks/externalLink167.xml"/><Relationship Id="rId248" Type="http://schemas.openxmlformats.org/officeDocument/2006/relationships/externalLink" Target="externalLinks/externalLink188.xml"/><Relationship Id="rId269" Type="http://schemas.openxmlformats.org/officeDocument/2006/relationships/sharedStrings" Target="sharedString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48.xml"/><Relationship Id="rId129" Type="http://schemas.openxmlformats.org/officeDocument/2006/relationships/externalLink" Target="externalLinks/externalLink69.xml"/><Relationship Id="rId54" Type="http://schemas.openxmlformats.org/officeDocument/2006/relationships/worksheet" Target="worksheets/sheet54.xml"/><Relationship Id="rId75" Type="http://schemas.openxmlformats.org/officeDocument/2006/relationships/externalLink" Target="externalLinks/externalLink15.xml"/><Relationship Id="rId96" Type="http://schemas.openxmlformats.org/officeDocument/2006/relationships/externalLink" Target="externalLinks/externalLink36.xml"/><Relationship Id="rId140" Type="http://schemas.openxmlformats.org/officeDocument/2006/relationships/externalLink" Target="externalLinks/externalLink80.xml"/><Relationship Id="rId161" Type="http://schemas.openxmlformats.org/officeDocument/2006/relationships/externalLink" Target="externalLinks/externalLink101.xml"/><Relationship Id="rId182" Type="http://schemas.openxmlformats.org/officeDocument/2006/relationships/externalLink" Target="externalLinks/externalLink122.xml"/><Relationship Id="rId217" Type="http://schemas.openxmlformats.org/officeDocument/2006/relationships/externalLink" Target="externalLinks/externalLink157.xml"/><Relationship Id="rId6" Type="http://schemas.openxmlformats.org/officeDocument/2006/relationships/worksheet" Target="worksheets/sheet6.xml"/><Relationship Id="rId238" Type="http://schemas.openxmlformats.org/officeDocument/2006/relationships/externalLink" Target="externalLinks/externalLink178.xml"/><Relationship Id="rId259" Type="http://schemas.openxmlformats.org/officeDocument/2006/relationships/externalLink" Target="externalLinks/externalLink199.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4.xml"/><Relationship Id="rId119" Type="http://schemas.openxmlformats.org/officeDocument/2006/relationships/externalLink" Target="externalLinks/externalLink59.xml"/><Relationship Id="rId270"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externalLink" Target="externalLinks/externalLink5.xml"/><Relationship Id="rId81" Type="http://schemas.openxmlformats.org/officeDocument/2006/relationships/externalLink" Target="externalLinks/externalLink21.xml"/><Relationship Id="rId86" Type="http://schemas.openxmlformats.org/officeDocument/2006/relationships/externalLink" Target="externalLinks/externalLink26.xml"/><Relationship Id="rId130" Type="http://schemas.openxmlformats.org/officeDocument/2006/relationships/externalLink" Target="externalLinks/externalLink70.xml"/><Relationship Id="rId135" Type="http://schemas.openxmlformats.org/officeDocument/2006/relationships/externalLink" Target="externalLinks/externalLink75.xml"/><Relationship Id="rId151" Type="http://schemas.openxmlformats.org/officeDocument/2006/relationships/externalLink" Target="externalLinks/externalLink91.xml"/><Relationship Id="rId156" Type="http://schemas.openxmlformats.org/officeDocument/2006/relationships/externalLink" Target="externalLinks/externalLink96.xml"/><Relationship Id="rId177" Type="http://schemas.openxmlformats.org/officeDocument/2006/relationships/externalLink" Target="externalLinks/externalLink117.xml"/><Relationship Id="rId198" Type="http://schemas.openxmlformats.org/officeDocument/2006/relationships/externalLink" Target="externalLinks/externalLink138.xml"/><Relationship Id="rId172" Type="http://schemas.openxmlformats.org/officeDocument/2006/relationships/externalLink" Target="externalLinks/externalLink112.xml"/><Relationship Id="rId193" Type="http://schemas.openxmlformats.org/officeDocument/2006/relationships/externalLink" Target="externalLinks/externalLink133.xml"/><Relationship Id="rId202" Type="http://schemas.openxmlformats.org/officeDocument/2006/relationships/externalLink" Target="externalLinks/externalLink142.xml"/><Relationship Id="rId207" Type="http://schemas.openxmlformats.org/officeDocument/2006/relationships/externalLink" Target="externalLinks/externalLink147.xml"/><Relationship Id="rId223" Type="http://schemas.openxmlformats.org/officeDocument/2006/relationships/externalLink" Target="externalLinks/externalLink163.xml"/><Relationship Id="rId228" Type="http://schemas.openxmlformats.org/officeDocument/2006/relationships/externalLink" Target="externalLinks/externalLink168.xml"/><Relationship Id="rId244" Type="http://schemas.openxmlformats.org/officeDocument/2006/relationships/externalLink" Target="externalLinks/externalLink184.xml"/><Relationship Id="rId249" Type="http://schemas.openxmlformats.org/officeDocument/2006/relationships/externalLink" Target="externalLinks/externalLink18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9.xml"/><Relationship Id="rId260" Type="http://schemas.openxmlformats.org/officeDocument/2006/relationships/externalLink" Target="externalLinks/externalLink200.xml"/><Relationship Id="rId265" Type="http://schemas.openxmlformats.org/officeDocument/2006/relationships/externalLink" Target="externalLinks/externalLink20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6.xml"/><Relationship Id="rId97" Type="http://schemas.openxmlformats.org/officeDocument/2006/relationships/externalLink" Target="externalLinks/externalLink37.xml"/><Relationship Id="rId104" Type="http://schemas.openxmlformats.org/officeDocument/2006/relationships/externalLink" Target="externalLinks/externalLink44.xml"/><Relationship Id="rId120" Type="http://schemas.openxmlformats.org/officeDocument/2006/relationships/externalLink" Target="externalLinks/externalLink60.xml"/><Relationship Id="rId125" Type="http://schemas.openxmlformats.org/officeDocument/2006/relationships/externalLink" Target="externalLinks/externalLink65.xml"/><Relationship Id="rId141" Type="http://schemas.openxmlformats.org/officeDocument/2006/relationships/externalLink" Target="externalLinks/externalLink81.xml"/><Relationship Id="rId146" Type="http://schemas.openxmlformats.org/officeDocument/2006/relationships/externalLink" Target="externalLinks/externalLink86.xml"/><Relationship Id="rId167" Type="http://schemas.openxmlformats.org/officeDocument/2006/relationships/externalLink" Target="externalLinks/externalLink107.xml"/><Relationship Id="rId188" Type="http://schemas.openxmlformats.org/officeDocument/2006/relationships/externalLink" Target="externalLinks/externalLink128.xml"/><Relationship Id="rId7" Type="http://schemas.openxmlformats.org/officeDocument/2006/relationships/worksheet" Target="worksheets/sheet7.xml"/><Relationship Id="rId71" Type="http://schemas.openxmlformats.org/officeDocument/2006/relationships/externalLink" Target="externalLinks/externalLink11.xml"/><Relationship Id="rId92" Type="http://schemas.openxmlformats.org/officeDocument/2006/relationships/externalLink" Target="externalLinks/externalLink32.xml"/><Relationship Id="rId162" Type="http://schemas.openxmlformats.org/officeDocument/2006/relationships/externalLink" Target="externalLinks/externalLink102.xml"/><Relationship Id="rId183" Type="http://schemas.openxmlformats.org/officeDocument/2006/relationships/externalLink" Target="externalLinks/externalLink123.xml"/><Relationship Id="rId213" Type="http://schemas.openxmlformats.org/officeDocument/2006/relationships/externalLink" Target="externalLinks/externalLink153.xml"/><Relationship Id="rId218" Type="http://schemas.openxmlformats.org/officeDocument/2006/relationships/externalLink" Target="externalLinks/externalLink158.xml"/><Relationship Id="rId234" Type="http://schemas.openxmlformats.org/officeDocument/2006/relationships/externalLink" Target="externalLinks/externalLink174.xml"/><Relationship Id="rId239" Type="http://schemas.openxmlformats.org/officeDocument/2006/relationships/externalLink" Target="externalLinks/externalLink17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90.xml"/><Relationship Id="rId255" Type="http://schemas.openxmlformats.org/officeDocument/2006/relationships/externalLink" Target="externalLinks/externalLink195.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6.xml"/><Relationship Id="rId87" Type="http://schemas.openxmlformats.org/officeDocument/2006/relationships/externalLink" Target="externalLinks/externalLink27.xml"/><Relationship Id="rId110" Type="http://schemas.openxmlformats.org/officeDocument/2006/relationships/externalLink" Target="externalLinks/externalLink50.xml"/><Relationship Id="rId115" Type="http://schemas.openxmlformats.org/officeDocument/2006/relationships/externalLink" Target="externalLinks/externalLink55.xml"/><Relationship Id="rId131" Type="http://schemas.openxmlformats.org/officeDocument/2006/relationships/externalLink" Target="externalLinks/externalLink71.xml"/><Relationship Id="rId136" Type="http://schemas.openxmlformats.org/officeDocument/2006/relationships/externalLink" Target="externalLinks/externalLink76.xml"/><Relationship Id="rId157" Type="http://schemas.openxmlformats.org/officeDocument/2006/relationships/externalLink" Target="externalLinks/externalLink97.xml"/><Relationship Id="rId178" Type="http://schemas.openxmlformats.org/officeDocument/2006/relationships/externalLink" Target="externalLinks/externalLink118.xml"/><Relationship Id="rId61" Type="http://schemas.openxmlformats.org/officeDocument/2006/relationships/externalLink" Target="externalLinks/externalLink1.xml"/><Relationship Id="rId82" Type="http://schemas.openxmlformats.org/officeDocument/2006/relationships/externalLink" Target="externalLinks/externalLink22.xml"/><Relationship Id="rId152" Type="http://schemas.openxmlformats.org/officeDocument/2006/relationships/externalLink" Target="externalLinks/externalLink92.xml"/><Relationship Id="rId173" Type="http://schemas.openxmlformats.org/officeDocument/2006/relationships/externalLink" Target="externalLinks/externalLink113.xml"/><Relationship Id="rId194" Type="http://schemas.openxmlformats.org/officeDocument/2006/relationships/externalLink" Target="externalLinks/externalLink134.xml"/><Relationship Id="rId199" Type="http://schemas.openxmlformats.org/officeDocument/2006/relationships/externalLink" Target="externalLinks/externalLink139.xml"/><Relationship Id="rId203" Type="http://schemas.openxmlformats.org/officeDocument/2006/relationships/externalLink" Target="externalLinks/externalLink143.xml"/><Relationship Id="rId208" Type="http://schemas.openxmlformats.org/officeDocument/2006/relationships/externalLink" Target="externalLinks/externalLink148.xml"/><Relationship Id="rId229" Type="http://schemas.openxmlformats.org/officeDocument/2006/relationships/externalLink" Target="externalLinks/externalLink169.xml"/><Relationship Id="rId19" Type="http://schemas.openxmlformats.org/officeDocument/2006/relationships/worksheet" Target="worksheets/sheet19.xml"/><Relationship Id="rId224" Type="http://schemas.openxmlformats.org/officeDocument/2006/relationships/externalLink" Target="externalLinks/externalLink164.xml"/><Relationship Id="rId240" Type="http://schemas.openxmlformats.org/officeDocument/2006/relationships/externalLink" Target="externalLinks/externalLink180.xml"/><Relationship Id="rId245" Type="http://schemas.openxmlformats.org/officeDocument/2006/relationships/externalLink" Target="externalLinks/externalLink185.xml"/><Relationship Id="rId261" Type="http://schemas.openxmlformats.org/officeDocument/2006/relationships/externalLink" Target="externalLinks/externalLink201.xml"/><Relationship Id="rId266" Type="http://schemas.openxmlformats.org/officeDocument/2006/relationships/externalLink" Target="externalLinks/externalLink206.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7.xml"/><Relationship Id="rId100" Type="http://schemas.openxmlformats.org/officeDocument/2006/relationships/externalLink" Target="externalLinks/externalLink40.xml"/><Relationship Id="rId105" Type="http://schemas.openxmlformats.org/officeDocument/2006/relationships/externalLink" Target="externalLinks/externalLink45.xml"/><Relationship Id="rId126" Type="http://schemas.openxmlformats.org/officeDocument/2006/relationships/externalLink" Target="externalLinks/externalLink66.xml"/><Relationship Id="rId147" Type="http://schemas.openxmlformats.org/officeDocument/2006/relationships/externalLink" Target="externalLinks/externalLink87.xml"/><Relationship Id="rId168" Type="http://schemas.openxmlformats.org/officeDocument/2006/relationships/externalLink" Target="externalLinks/externalLink10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93" Type="http://schemas.openxmlformats.org/officeDocument/2006/relationships/externalLink" Target="externalLinks/externalLink33.xml"/><Relationship Id="rId98" Type="http://schemas.openxmlformats.org/officeDocument/2006/relationships/externalLink" Target="externalLinks/externalLink38.xml"/><Relationship Id="rId121" Type="http://schemas.openxmlformats.org/officeDocument/2006/relationships/externalLink" Target="externalLinks/externalLink61.xml"/><Relationship Id="rId142" Type="http://schemas.openxmlformats.org/officeDocument/2006/relationships/externalLink" Target="externalLinks/externalLink82.xml"/><Relationship Id="rId163" Type="http://schemas.openxmlformats.org/officeDocument/2006/relationships/externalLink" Target="externalLinks/externalLink103.xml"/><Relationship Id="rId184" Type="http://schemas.openxmlformats.org/officeDocument/2006/relationships/externalLink" Target="externalLinks/externalLink124.xml"/><Relationship Id="rId189" Type="http://schemas.openxmlformats.org/officeDocument/2006/relationships/externalLink" Target="externalLinks/externalLink129.xml"/><Relationship Id="rId219" Type="http://schemas.openxmlformats.org/officeDocument/2006/relationships/externalLink" Target="externalLinks/externalLink159.xml"/><Relationship Id="rId3" Type="http://schemas.openxmlformats.org/officeDocument/2006/relationships/worksheet" Target="worksheets/sheet3.xml"/><Relationship Id="rId214" Type="http://schemas.openxmlformats.org/officeDocument/2006/relationships/externalLink" Target="externalLinks/externalLink154.xml"/><Relationship Id="rId230" Type="http://schemas.openxmlformats.org/officeDocument/2006/relationships/externalLink" Target="externalLinks/externalLink170.xml"/><Relationship Id="rId235" Type="http://schemas.openxmlformats.org/officeDocument/2006/relationships/externalLink" Target="externalLinks/externalLink175.xml"/><Relationship Id="rId251" Type="http://schemas.openxmlformats.org/officeDocument/2006/relationships/externalLink" Target="externalLinks/externalLink191.xml"/><Relationship Id="rId256" Type="http://schemas.openxmlformats.org/officeDocument/2006/relationships/externalLink" Target="externalLinks/externalLink196.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7.xml"/><Relationship Id="rId116" Type="http://schemas.openxmlformats.org/officeDocument/2006/relationships/externalLink" Target="externalLinks/externalLink56.xml"/><Relationship Id="rId137" Type="http://schemas.openxmlformats.org/officeDocument/2006/relationships/externalLink" Target="externalLinks/externalLink77.xml"/><Relationship Id="rId158" Type="http://schemas.openxmlformats.org/officeDocument/2006/relationships/externalLink" Target="externalLinks/externalLink9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2.xml"/><Relationship Id="rId83" Type="http://schemas.openxmlformats.org/officeDocument/2006/relationships/externalLink" Target="externalLinks/externalLink23.xml"/><Relationship Id="rId88" Type="http://schemas.openxmlformats.org/officeDocument/2006/relationships/externalLink" Target="externalLinks/externalLink28.xml"/><Relationship Id="rId111" Type="http://schemas.openxmlformats.org/officeDocument/2006/relationships/externalLink" Target="externalLinks/externalLink51.xml"/><Relationship Id="rId132" Type="http://schemas.openxmlformats.org/officeDocument/2006/relationships/externalLink" Target="externalLinks/externalLink72.xml"/><Relationship Id="rId153" Type="http://schemas.openxmlformats.org/officeDocument/2006/relationships/externalLink" Target="externalLinks/externalLink93.xml"/><Relationship Id="rId174" Type="http://schemas.openxmlformats.org/officeDocument/2006/relationships/externalLink" Target="externalLinks/externalLink114.xml"/><Relationship Id="rId179" Type="http://schemas.openxmlformats.org/officeDocument/2006/relationships/externalLink" Target="externalLinks/externalLink119.xml"/><Relationship Id="rId195" Type="http://schemas.openxmlformats.org/officeDocument/2006/relationships/externalLink" Target="externalLinks/externalLink135.xml"/><Relationship Id="rId209" Type="http://schemas.openxmlformats.org/officeDocument/2006/relationships/externalLink" Target="externalLinks/externalLink149.xml"/><Relationship Id="rId190" Type="http://schemas.openxmlformats.org/officeDocument/2006/relationships/externalLink" Target="externalLinks/externalLink130.xml"/><Relationship Id="rId204" Type="http://schemas.openxmlformats.org/officeDocument/2006/relationships/externalLink" Target="externalLinks/externalLink144.xml"/><Relationship Id="rId220" Type="http://schemas.openxmlformats.org/officeDocument/2006/relationships/externalLink" Target="externalLinks/externalLink160.xml"/><Relationship Id="rId225" Type="http://schemas.openxmlformats.org/officeDocument/2006/relationships/externalLink" Target="externalLinks/externalLink165.xml"/><Relationship Id="rId241" Type="http://schemas.openxmlformats.org/officeDocument/2006/relationships/externalLink" Target="externalLinks/externalLink181.xml"/><Relationship Id="rId246" Type="http://schemas.openxmlformats.org/officeDocument/2006/relationships/externalLink" Target="externalLinks/externalLink186.xml"/><Relationship Id="rId267"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6.xml"/><Relationship Id="rId127" Type="http://schemas.openxmlformats.org/officeDocument/2006/relationships/externalLink" Target="externalLinks/externalLink67.xml"/><Relationship Id="rId262" Type="http://schemas.openxmlformats.org/officeDocument/2006/relationships/externalLink" Target="externalLinks/externalLink20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3.xml"/><Relationship Id="rId78" Type="http://schemas.openxmlformats.org/officeDocument/2006/relationships/externalLink" Target="externalLinks/externalLink18.xml"/><Relationship Id="rId94" Type="http://schemas.openxmlformats.org/officeDocument/2006/relationships/externalLink" Target="externalLinks/externalLink34.xml"/><Relationship Id="rId99" Type="http://schemas.openxmlformats.org/officeDocument/2006/relationships/externalLink" Target="externalLinks/externalLink39.xml"/><Relationship Id="rId101" Type="http://schemas.openxmlformats.org/officeDocument/2006/relationships/externalLink" Target="externalLinks/externalLink41.xml"/><Relationship Id="rId122" Type="http://schemas.openxmlformats.org/officeDocument/2006/relationships/externalLink" Target="externalLinks/externalLink62.xml"/><Relationship Id="rId143" Type="http://schemas.openxmlformats.org/officeDocument/2006/relationships/externalLink" Target="externalLinks/externalLink83.xml"/><Relationship Id="rId148" Type="http://schemas.openxmlformats.org/officeDocument/2006/relationships/externalLink" Target="externalLinks/externalLink88.xml"/><Relationship Id="rId164" Type="http://schemas.openxmlformats.org/officeDocument/2006/relationships/externalLink" Target="externalLinks/externalLink104.xml"/><Relationship Id="rId169" Type="http://schemas.openxmlformats.org/officeDocument/2006/relationships/externalLink" Target="externalLinks/externalLink109.xml"/><Relationship Id="rId185" Type="http://schemas.openxmlformats.org/officeDocument/2006/relationships/externalLink" Target="externalLinks/externalLink12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0.xml"/><Relationship Id="rId210" Type="http://schemas.openxmlformats.org/officeDocument/2006/relationships/externalLink" Target="externalLinks/externalLink150.xml"/><Relationship Id="rId215" Type="http://schemas.openxmlformats.org/officeDocument/2006/relationships/externalLink" Target="externalLinks/externalLink155.xml"/><Relationship Id="rId236" Type="http://schemas.openxmlformats.org/officeDocument/2006/relationships/externalLink" Target="externalLinks/externalLink176.xml"/><Relationship Id="rId257" Type="http://schemas.openxmlformats.org/officeDocument/2006/relationships/externalLink" Target="externalLinks/externalLink197.xml"/><Relationship Id="rId26" Type="http://schemas.openxmlformats.org/officeDocument/2006/relationships/worksheet" Target="worksheets/sheet26.xml"/><Relationship Id="rId231" Type="http://schemas.openxmlformats.org/officeDocument/2006/relationships/externalLink" Target="externalLinks/externalLink171.xml"/><Relationship Id="rId252" Type="http://schemas.openxmlformats.org/officeDocument/2006/relationships/externalLink" Target="externalLinks/externalLink192.xml"/><Relationship Id="rId47" Type="http://schemas.openxmlformats.org/officeDocument/2006/relationships/worksheet" Target="worksheets/sheet47.xml"/><Relationship Id="rId68" Type="http://schemas.openxmlformats.org/officeDocument/2006/relationships/externalLink" Target="externalLinks/externalLink8.xml"/><Relationship Id="rId89" Type="http://schemas.openxmlformats.org/officeDocument/2006/relationships/externalLink" Target="externalLinks/externalLink29.xml"/><Relationship Id="rId112" Type="http://schemas.openxmlformats.org/officeDocument/2006/relationships/externalLink" Target="externalLinks/externalLink52.xml"/><Relationship Id="rId133" Type="http://schemas.openxmlformats.org/officeDocument/2006/relationships/externalLink" Target="externalLinks/externalLink73.xml"/><Relationship Id="rId154" Type="http://schemas.openxmlformats.org/officeDocument/2006/relationships/externalLink" Target="externalLinks/externalLink94.xml"/><Relationship Id="rId175" Type="http://schemas.openxmlformats.org/officeDocument/2006/relationships/externalLink" Target="externalLinks/externalLink115.xml"/><Relationship Id="rId196" Type="http://schemas.openxmlformats.org/officeDocument/2006/relationships/externalLink" Target="externalLinks/externalLink136.xml"/><Relationship Id="rId200" Type="http://schemas.openxmlformats.org/officeDocument/2006/relationships/externalLink" Target="externalLinks/externalLink140.xml"/><Relationship Id="rId16" Type="http://schemas.openxmlformats.org/officeDocument/2006/relationships/worksheet" Target="worksheets/sheet16.xml"/><Relationship Id="rId221" Type="http://schemas.openxmlformats.org/officeDocument/2006/relationships/externalLink" Target="externalLinks/externalLink161.xml"/><Relationship Id="rId242" Type="http://schemas.openxmlformats.org/officeDocument/2006/relationships/externalLink" Target="externalLinks/externalLink182.xml"/><Relationship Id="rId263" Type="http://schemas.openxmlformats.org/officeDocument/2006/relationships/externalLink" Target="externalLinks/externalLink20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19.xml"/><Relationship Id="rId102" Type="http://schemas.openxmlformats.org/officeDocument/2006/relationships/externalLink" Target="externalLinks/externalLink42.xml"/><Relationship Id="rId123" Type="http://schemas.openxmlformats.org/officeDocument/2006/relationships/externalLink" Target="externalLinks/externalLink63.xml"/><Relationship Id="rId144" Type="http://schemas.openxmlformats.org/officeDocument/2006/relationships/externalLink" Target="externalLinks/externalLink84.xml"/><Relationship Id="rId90" Type="http://schemas.openxmlformats.org/officeDocument/2006/relationships/externalLink" Target="externalLinks/externalLink30.xml"/><Relationship Id="rId165" Type="http://schemas.openxmlformats.org/officeDocument/2006/relationships/externalLink" Target="externalLinks/externalLink105.xml"/><Relationship Id="rId186" Type="http://schemas.openxmlformats.org/officeDocument/2006/relationships/externalLink" Target="externalLinks/externalLink126.xml"/><Relationship Id="rId211" Type="http://schemas.openxmlformats.org/officeDocument/2006/relationships/externalLink" Target="externalLinks/externalLink151.xml"/><Relationship Id="rId232" Type="http://schemas.openxmlformats.org/officeDocument/2006/relationships/externalLink" Target="externalLinks/externalLink172.xml"/><Relationship Id="rId253" Type="http://schemas.openxmlformats.org/officeDocument/2006/relationships/externalLink" Target="externalLinks/externalLink19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9.xml"/><Relationship Id="rId113" Type="http://schemas.openxmlformats.org/officeDocument/2006/relationships/externalLink" Target="externalLinks/externalLink53.xml"/><Relationship Id="rId134" Type="http://schemas.openxmlformats.org/officeDocument/2006/relationships/externalLink" Target="externalLinks/externalLink74.xml"/><Relationship Id="rId80" Type="http://schemas.openxmlformats.org/officeDocument/2006/relationships/externalLink" Target="externalLinks/externalLink20.xml"/><Relationship Id="rId155" Type="http://schemas.openxmlformats.org/officeDocument/2006/relationships/externalLink" Target="externalLinks/externalLink95.xml"/><Relationship Id="rId176" Type="http://schemas.openxmlformats.org/officeDocument/2006/relationships/externalLink" Target="externalLinks/externalLink116.xml"/><Relationship Id="rId197" Type="http://schemas.openxmlformats.org/officeDocument/2006/relationships/externalLink" Target="externalLinks/externalLink137.xml"/><Relationship Id="rId201" Type="http://schemas.openxmlformats.org/officeDocument/2006/relationships/externalLink" Target="externalLinks/externalLink141.xml"/><Relationship Id="rId222" Type="http://schemas.openxmlformats.org/officeDocument/2006/relationships/externalLink" Target="externalLinks/externalLink162.xml"/><Relationship Id="rId243" Type="http://schemas.openxmlformats.org/officeDocument/2006/relationships/externalLink" Target="externalLinks/externalLink183.xml"/><Relationship Id="rId264" Type="http://schemas.openxmlformats.org/officeDocument/2006/relationships/externalLink" Target="externalLinks/externalLink20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3.xml"/><Relationship Id="rId124" Type="http://schemas.openxmlformats.org/officeDocument/2006/relationships/externalLink" Target="externalLinks/externalLink64.xml"/><Relationship Id="rId70" Type="http://schemas.openxmlformats.org/officeDocument/2006/relationships/externalLink" Target="externalLinks/externalLink10.xml"/><Relationship Id="rId91" Type="http://schemas.openxmlformats.org/officeDocument/2006/relationships/externalLink" Target="externalLinks/externalLink31.xml"/><Relationship Id="rId145" Type="http://schemas.openxmlformats.org/officeDocument/2006/relationships/externalLink" Target="externalLinks/externalLink85.xml"/><Relationship Id="rId166" Type="http://schemas.openxmlformats.org/officeDocument/2006/relationships/externalLink" Target="externalLinks/externalLink106.xml"/><Relationship Id="rId187" Type="http://schemas.openxmlformats.org/officeDocument/2006/relationships/externalLink" Target="externalLinks/externalLink127.xml"/><Relationship Id="rId1" Type="http://schemas.openxmlformats.org/officeDocument/2006/relationships/worksheet" Target="worksheets/sheet1.xml"/><Relationship Id="rId212" Type="http://schemas.openxmlformats.org/officeDocument/2006/relationships/externalLink" Target="externalLinks/externalLink152.xml"/><Relationship Id="rId233" Type="http://schemas.openxmlformats.org/officeDocument/2006/relationships/externalLink" Target="externalLinks/externalLink173.xml"/><Relationship Id="rId254" Type="http://schemas.openxmlformats.org/officeDocument/2006/relationships/externalLink" Target="externalLinks/externalLink19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ODC/BNK_sbs_jl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ODC/BNK_sbs_ag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ODC/BNK_sbs_sp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ODC/BNK_sbs_oc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ODC/BNK_sbs_nv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ODC/BNK_sbs_dc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ODC/BNK_sbs_jn1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tatistics/MFS/DepoCorp%20Survey/Cons/ODC_SBS_jl1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tatistics/MFS/DepoCorp%20Survey/Cons/ODC_SBS_ag1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tatistics/MFS/DepoCorp%20Survey/Cons/ODC_SBS_sp1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tatistics/MFS/DepoCorp%20Survey/Cons/ODC_SBS_oc1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tatistics/MFS/DepoCorp%20Survey/Cons/ODC_SBS_nv1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Statistics/MFS/DepoCorp%20Survey/Cons/ODC_SBS_dc12.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Statistics/MFS/DepoCorp%20Survey/Cons/ODC_SBS_jn13.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3325038555.1201115</v>
          </cell>
        </row>
        <row r="13">
          <cell r="C13">
            <v>141205430918.02069</v>
          </cell>
        </row>
        <row r="30">
          <cell r="C30">
            <v>551037798.1500001</v>
          </cell>
        </row>
        <row r="47">
          <cell r="C47">
            <v>81735695422.85434</v>
          </cell>
        </row>
        <row r="65">
          <cell r="C65">
            <v>137015582471.71863</v>
          </cell>
        </row>
        <row r="84">
          <cell r="C84">
            <v>513303514046.87305</v>
          </cell>
        </row>
        <row r="98">
          <cell r="C98">
            <v>13880737775.192188</v>
          </cell>
        </row>
        <row r="110">
          <cell r="C110">
            <v>0</v>
          </cell>
        </row>
        <row r="115">
          <cell r="C115">
            <v>356196034704.18811</v>
          </cell>
        </row>
        <row r="129">
          <cell r="C129">
            <v>22427249946.578445</v>
          </cell>
        </row>
        <row r="150">
          <cell r="C150">
            <v>19193325564.116066</v>
          </cell>
        </row>
        <row r="159">
          <cell r="C159">
            <v>0</v>
          </cell>
        </row>
        <row r="162">
          <cell r="C162">
            <v>229789481338.57648</v>
          </cell>
        </row>
        <row r="179">
          <cell r="C179">
            <v>117726374659.66129</v>
          </cell>
        </row>
        <row r="196">
          <cell r="C196">
            <v>205156843584.34601</v>
          </cell>
        </row>
        <row r="215">
          <cell r="C215">
            <v>32771984399.307404</v>
          </cell>
        </row>
        <row r="244">
          <cell r="C244">
            <v>10828158954.843758</v>
          </cell>
        </row>
        <row r="273">
          <cell r="C273">
            <v>70126570908.080002</v>
          </cell>
        </row>
        <row r="303">
          <cell r="C303">
            <v>0</v>
          </cell>
        </row>
        <row r="319">
          <cell r="C319">
            <v>7865478943.3237114</v>
          </cell>
        </row>
        <row r="347">
          <cell r="C347">
            <v>125589616813.30106</v>
          </cell>
        </row>
        <row r="362">
          <cell r="C362">
            <v>0</v>
          </cell>
        </row>
        <row r="381">
          <cell r="C381">
            <v>355620704495.00385</v>
          </cell>
        </row>
        <row r="395">
          <cell r="C395">
            <v>38381407417.29425</v>
          </cell>
        </row>
        <row r="414">
          <cell r="C414">
            <v>94977025688.010971</v>
          </cell>
        </row>
      </sheetData>
      <sheetData sheetId="1" refreshError="1">
        <row r="5">
          <cell r="C5">
            <v>0</v>
          </cell>
        </row>
        <row r="10">
          <cell r="C10">
            <v>678232.04</v>
          </cell>
        </row>
        <row r="13">
          <cell r="C13">
            <v>778437489.57099998</v>
          </cell>
        </row>
        <row r="30">
          <cell r="C30">
            <v>342444332.03000003</v>
          </cell>
        </row>
        <row r="47">
          <cell r="C47">
            <v>6372273010.3334246</v>
          </cell>
        </row>
        <row r="65">
          <cell r="C65">
            <v>577030893.47747254</v>
          </cell>
        </row>
        <row r="84">
          <cell r="C84">
            <v>36665628977.974503</v>
          </cell>
        </row>
        <row r="98">
          <cell r="C98">
            <v>29306001</v>
          </cell>
        </row>
        <row r="110">
          <cell r="C110">
            <v>0</v>
          </cell>
        </row>
        <row r="115">
          <cell r="C115">
            <v>0</v>
          </cell>
        </row>
        <row r="129">
          <cell r="C129">
            <v>1103725926.5200002</v>
          </cell>
        </row>
        <row r="150">
          <cell r="C150">
            <v>2005667992.0654645</v>
          </cell>
        </row>
        <row r="159">
          <cell r="C159">
            <v>0</v>
          </cell>
        </row>
        <row r="162">
          <cell r="C162">
            <v>0</v>
          </cell>
        </row>
        <row r="179">
          <cell r="C179">
            <v>1444812663</v>
          </cell>
        </row>
        <row r="196">
          <cell r="C196">
            <v>29722155228.049751</v>
          </cell>
        </row>
        <row r="215">
          <cell r="C215">
            <v>0</v>
          </cell>
        </row>
        <row r="244">
          <cell r="C244">
            <v>0</v>
          </cell>
        </row>
        <row r="273">
          <cell r="C273">
            <v>1423186916.6581421</v>
          </cell>
        </row>
        <row r="303">
          <cell r="C303">
            <v>1056936965.27</v>
          </cell>
        </row>
        <row r="319">
          <cell r="C319">
            <v>0</v>
          </cell>
        </row>
        <row r="347">
          <cell r="C347">
            <v>3400509442.9699998</v>
          </cell>
        </row>
        <row r="362">
          <cell r="C362">
            <v>0</v>
          </cell>
        </row>
        <row r="381">
          <cell r="C381">
            <v>0</v>
          </cell>
        </row>
        <row r="395">
          <cell r="C395">
            <v>2817883483.439362</v>
          </cell>
        </row>
        <row r="414">
          <cell r="C414">
            <v>8009708153.3126593</v>
          </cell>
        </row>
      </sheetData>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3591250180.0222964</v>
          </cell>
        </row>
        <row r="13">
          <cell r="C13">
            <v>100357134028.77849</v>
          </cell>
        </row>
        <row r="30">
          <cell r="C30">
            <v>522498624.5899992</v>
          </cell>
        </row>
        <row r="47">
          <cell r="C47">
            <v>91743457359.064499</v>
          </cell>
        </row>
        <row r="65">
          <cell r="C65">
            <v>142202884582.65381</v>
          </cell>
        </row>
        <row r="84">
          <cell r="C84">
            <v>505733670938.1167</v>
          </cell>
        </row>
        <row r="98">
          <cell r="C98">
            <v>14211997956.327354</v>
          </cell>
        </row>
        <row r="110">
          <cell r="C110">
            <v>0</v>
          </cell>
        </row>
        <row r="115">
          <cell r="C115">
            <v>345138775616.6319</v>
          </cell>
        </row>
        <row r="129">
          <cell r="C129">
            <v>21077458555.829788</v>
          </cell>
        </row>
        <row r="150">
          <cell r="C150">
            <v>18991125073.870579</v>
          </cell>
        </row>
        <row r="159">
          <cell r="C159">
            <v>0</v>
          </cell>
        </row>
        <row r="162">
          <cell r="C162">
            <v>191664328395.31543</v>
          </cell>
        </row>
        <row r="179">
          <cell r="C179">
            <v>117107001320.37386</v>
          </cell>
        </row>
        <row r="196">
          <cell r="C196">
            <v>204250406625.39203</v>
          </cell>
        </row>
        <row r="215">
          <cell r="C215">
            <v>36520885242.84301</v>
          </cell>
        </row>
        <row r="244">
          <cell r="C244">
            <v>10776328819.657454</v>
          </cell>
        </row>
        <row r="273">
          <cell r="C273">
            <v>76174545763.540558</v>
          </cell>
        </row>
        <row r="303">
          <cell r="C303">
            <v>0</v>
          </cell>
        </row>
        <row r="319">
          <cell r="C319">
            <v>7890003732.2446175</v>
          </cell>
        </row>
        <row r="347">
          <cell r="C347">
            <v>120505417468.63989</v>
          </cell>
        </row>
        <row r="362">
          <cell r="C362">
            <v>0</v>
          </cell>
        </row>
        <row r="381">
          <cell r="C381">
            <v>344224644680.9328</v>
          </cell>
        </row>
        <row r="395">
          <cell r="C395">
            <v>38719490625.863411</v>
          </cell>
        </row>
        <row r="414">
          <cell r="C414">
            <v>95737200241.493713</v>
          </cell>
        </row>
      </sheetData>
      <sheetData sheetId="1">
        <row r="5">
          <cell r="C5">
            <v>0</v>
          </cell>
        </row>
        <row r="10">
          <cell r="C10">
            <v>784550.44</v>
          </cell>
        </row>
        <row r="13">
          <cell r="C13">
            <v>737056265.28100598</v>
          </cell>
        </row>
        <row r="30">
          <cell r="C30">
            <v>407733559.39000005</v>
          </cell>
        </row>
        <row r="47">
          <cell r="C47">
            <v>6571356922.2300005</v>
          </cell>
        </row>
        <row r="65">
          <cell r="C65">
            <v>576938829.55076921</v>
          </cell>
        </row>
        <row r="84">
          <cell r="C84">
            <v>36902350835.028687</v>
          </cell>
        </row>
        <row r="98">
          <cell r="C98">
            <v>29147028</v>
          </cell>
        </row>
        <row r="110">
          <cell r="C110">
            <v>0</v>
          </cell>
        </row>
        <row r="115">
          <cell r="C115">
            <v>0</v>
          </cell>
        </row>
        <row r="129">
          <cell r="C129">
            <v>1164516182.6099999</v>
          </cell>
        </row>
        <row r="150">
          <cell r="C150">
            <v>1998775372.3499997</v>
          </cell>
        </row>
        <row r="159">
          <cell r="C159">
            <v>0</v>
          </cell>
        </row>
        <row r="162">
          <cell r="C162">
            <v>0</v>
          </cell>
        </row>
        <row r="179">
          <cell r="C179">
            <v>1447927446</v>
          </cell>
        </row>
        <row r="196">
          <cell r="C196">
            <v>30251212696.656494</v>
          </cell>
        </row>
        <row r="215">
          <cell r="C215">
            <v>0</v>
          </cell>
        </row>
        <row r="244">
          <cell r="C244">
            <v>0</v>
          </cell>
        </row>
        <row r="273">
          <cell r="C273">
            <v>1431837613.6449285</v>
          </cell>
        </row>
        <row r="303">
          <cell r="C303">
            <v>1068104883.11</v>
          </cell>
        </row>
        <row r="319">
          <cell r="C319">
            <v>0</v>
          </cell>
        </row>
        <row r="347">
          <cell r="C347">
            <v>3229116053.0599999</v>
          </cell>
        </row>
        <row r="362">
          <cell r="C362">
            <v>0</v>
          </cell>
        </row>
        <row r="381">
          <cell r="C381">
            <v>0</v>
          </cell>
        </row>
        <row r="395">
          <cell r="C395">
            <v>2824479097.844542</v>
          </cell>
        </row>
        <row r="414">
          <cell r="C414">
            <v>8135981752.7655087</v>
          </cell>
        </row>
      </sheetData>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3575271032.3313904</v>
          </cell>
        </row>
        <row r="13">
          <cell r="C13">
            <v>113904004727.439</v>
          </cell>
        </row>
        <row r="30">
          <cell r="C30">
            <v>550270200.68999958</v>
          </cell>
        </row>
        <row r="47">
          <cell r="C47">
            <v>87936487565.601212</v>
          </cell>
        </row>
        <row r="65">
          <cell r="C65">
            <v>144769327892.35352</v>
          </cell>
        </row>
        <row r="84">
          <cell r="C84">
            <v>510038058785.88562</v>
          </cell>
        </row>
        <row r="98">
          <cell r="C98">
            <v>13462792695.712837</v>
          </cell>
        </row>
        <row r="110">
          <cell r="C110">
            <v>0</v>
          </cell>
        </row>
        <row r="115">
          <cell r="C115">
            <v>352278965276.60431</v>
          </cell>
        </row>
        <row r="129">
          <cell r="C129">
            <v>20634046926.593754</v>
          </cell>
        </row>
        <row r="150">
          <cell r="C150">
            <v>19013707845.548542</v>
          </cell>
        </row>
        <row r="159">
          <cell r="C159">
            <v>0</v>
          </cell>
        </row>
        <row r="162">
          <cell r="C162">
            <v>195659656666.32874</v>
          </cell>
        </row>
        <row r="179">
          <cell r="C179">
            <v>119779965877.61395</v>
          </cell>
        </row>
        <row r="196">
          <cell r="C196">
            <v>221336815326.25177</v>
          </cell>
        </row>
        <row r="215">
          <cell r="C215">
            <v>39405925889.257965</v>
          </cell>
        </row>
        <row r="244">
          <cell r="C244">
            <v>10680105423.668449</v>
          </cell>
        </row>
        <row r="273">
          <cell r="C273">
            <v>61889027050.773445</v>
          </cell>
        </row>
        <row r="303">
          <cell r="C303">
            <v>0</v>
          </cell>
        </row>
        <row r="319">
          <cell r="C319">
            <v>8008346712.1284704</v>
          </cell>
        </row>
        <row r="347">
          <cell r="C347">
            <v>124545013129.96068</v>
          </cell>
        </row>
        <row r="362">
          <cell r="C362">
            <v>0</v>
          </cell>
        </row>
        <row r="381">
          <cell r="C381">
            <v>351250845612.3847</v>
          </cell>
        </row>
        <row r="395">
          <cell r="C395">
            <v>37651542986.789261</v>
          </cell>
        </row>
        <row r="414">
          <cell r="C414">
            <v>95955688272.962982</v>
          </cell>
        </row>
      </sheetData>
      <sheetData sheetId="1">
        <row r="5">
          <cell r="C5">
            <v>0</v>
          </cell>
        </row>
        <row r="10">
          <cell r="C10">
            <v>749125.19</v>
          </cell>
        </row>
        <row r="13">
          <cell r="C13">
            <v>883492837.4010061</v>
          </cell>
        </row>
        <row r="30">
          <cell r="C30">
            <v>410493092.82000005</v>
          </cell>
        </row>
        <row r="47">
          <cell r="C47">
            <v>6679179189.0441313</v>
          </cell>
        </row>
        <row r="65">
          <cell r="C65">
            <v>544396972.62483513</v>
          </cell>
        </row>
        <row r="84">
          <cell r="C84">
            <v>37232396207.974495</v>
          </cell>
        </row>
        <row r="98">
          <cell r="C98">
            <v>29707805</v>
          </cell>
        </row>
        <row r="110">
          <cell r="C110">
            <v>0</v>
          </cell>
        </row>
        <row r="115">
          <cell r="C115">
            <v>0</v>
          </cell>
        </row>
        <row r="129">
          <cell r="C129">
            <v>1205998035.5699999</v>
          </cell>
        </row>
        <row r="150">
          <cell r="C150">
            <v>1985301336.6900001</v>
          </cell>
        </row>
        <row r="159">
          <cell r="C159">
            <v>0</v>
          </cell>
        </row>
        <row r="162">
          <cell r="C162">
            <v>0</v>
          </cell>
        </row>
        <row r="179">
          <cell r="C179">
            <v>1423708643</v>
          </cell>
        </row>
        <row r="196">
          <cell r="C196">
            <v>30665211660.265594</v>
          </cell>
        </row>
        <row r="215">
          <cell r="C215">
            <v>0</v>
          </cell>
        </row>
        <row r="244">
          <cell r="C244">
            <v>0</v>
          </cell>
        </row>
        <row r="273">
          <cell r="C273">
            <v>1432270490.3741174</v>
          </cell>
        </row>
        <row r="303">
          <cell r="C303">
            <v>1086244727.1100001</v>
          </cell>
        </row>
        <row r="319">
          <cell r="C319">
            <v>0</v>
          </cell>
        </row>
        <row r="347">
          <cell r="C347">
            <v>3372184668.6099997</v>
          </cell>
        </row>
        <row r="362">
          <cell r="C362">
            <v>0</v>
          </cell>
        </row>
        <row r="381">
          <cell r="C381">
            <v>0</v>
          </cell>
        </row>
        <row r="395">
          <cell r="C395">
            <v>2832386517.914381</v>
          </cell>
        </row>
        <row r="414">
          <cell r="C414">
            <v>8159707893.9419746</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4228154448.9717846</v>
          </cell>
        </row>
        <row r="13">
          <cell r="C13">
            <v>122004629383.06242</v>
          </cell>
        </row>
        <row r="30">
          <cell r="C30">
            <v>521579938.80000019</v>
          </cell>
        </row>
        <row r="47">
          <cell r="C47">
            <v>87436682621.910538</v>
          </cell>
        </row>
        <row r="65">
          <cell r="C65">
            <v>146232461124.48505</v>
          </cell>
        </row>
        <row r="84">
          <cell r="C84">
            <v>525115379693.41614</v>
          </cell>
        </row>
        <row r="98">
          <cell r="C98">
            <v>13994288435.268953</v>
          </cell>
        </row>
        <row r="110">
          <cell r="C110">
            <v>0</v>
          </cell>
        </row>
        <row r="115">
          <cell r="C115">
            <v>331072126141.23517</v>
          </cell>
        </row>
        <row r="129">
          <cell r="C129">
            <v>19142322849.267593</v>
          </cell>
        </row>
        <row r="150">
          <cell r="C150">
            <v>19070792677.045647</v>
          </cell>
        </row>
        <row r="159">
          <cell r="C159">
            <v>0</v>
          </cell>
        </row>
        <row r="162">
          <cell r="C162">
            <v>206437664522.16064</v>
          </cell>
        </row>
        <row r="179">
          <cell r="C179">
            <v>118344607960.49522</v>
          </cell>
        </row>
        <row r="196">
          <cell r="C196">
            <v>232891427125.46179</v>
          </cell>
        </row>
        <row r="215">
          <cell r="C215">
            <v>42509915601.848709</v>
          </cell>
        </row>
        <row r="244">
          <cell r="C244">
            <v>11095252952.426592</v>
          </cell>
        </row>
        <row r="273">
          <cell r="C273">
            <v>63378595623.971191</v>
          </cell>
        </row>
        <row r="303">
          <cell r="C303">
            <v>0</v>
          </cell>
        </row>
        <row r="319">
          <cell r="C319">
            <v>8646329693.4415913</v>
          </cell>
        </row>
        <row r="347">
          <cell r="C347">
            <v>121155522961.69617</v>
          </cell>
        </row>
        <row r="362">
          <cell r="C362">
            <v>0</v>
          </cell>
        </row>
        <row r="381">
          <cell r="C381">
            <v>330178311088.43982</v>
          </cell>
        </row>
        <row r="395">
          <cell r="C395">
            <v>37293391317.548042</v>
          </cell>
        </row>
        <row r="414">
          <cell r="C414">
            <v>96887398464.631744</v>
          </cell>
        </row>
      </sheetData>
      <sheetData sheetId="1">
        <row r="5">
          <cell r="C5">
            <v>0</v>
          </cell>
        </row>
        <row r="10">
          <cell r="C10">
            <v>752822.27</v>
          </cell>
        </row>
        <row r="13">
          <cell r="C13">
            <v>991457858.96100605</v>
          </cell>
        </row>
        <row r="30">
          <cell r="C30">
            <v>477168419.71000004</v>
          </cell>
        </row>
        <row r="47">
          <cell r="C47">
            <v>6901047641.6000013</v>
          </cell>
        </row>
        <row r="65">
          <cell r="C65">
            <v>320386114.89813185</v>
          </cell>
        </row>
        <row r="84">
          <cell r="C84">
            <v>37573278528.558365</v>
          </cell>
        </row>
        <row r="98">
          <cell r="C98">
            <v>30178382</v>
          </cell>
        </row>
        <row r="110">
          <cell r="C110">
            <v>0</v>
          </cell>
        </row>
        <row r="115">
          <cell r="C115">
            <v>0</v>
          </cell>
        </row>
        <row r="129">
          <cell r="C129">
            <v>1189180021.6900001</v>
          </cell>
        </row>
        <row r="150">
          <cell r="C150">
            <v>2003747408.6399999</v>
          </cell>
        </row>
        <row r="159">
          <cell r="C159">
            <v>0</v>
          </cell>
        </row>
        <row r="162">
          <cell r="C162">
            <v>0</v>
          </cell>
        </row>
        <row r="179">
          <cell r="C179">
            <v>1441364472</v>
          </cell>
        </row>
        <row r="196">
          <cell r="C196">
            <v>31004141133.816628</v>
          </cell>
        </row>
        <row r="215">
          <cell r="C215">
            <v>0</v>
          </cell>
        </row>
        <row r="244">
          <cell r="C244">
            <v>0</v>
          </cell>
        </row>
        <row r="273">
          <cell r="C273">
            <v>1524088442.361897</v>
          </cell>
        </row>
        <row r="303">
          <cell r="C303">
            <v>1094895810.3199999</v>
          </cell>
        </row>
        <row r="319">
          <cell r="C319">
            <v>0</v>
          </cell>
        </row>
        <row r="347">
          <cell r="C347">
            <v>3162951719.29</v>
          </cell>
        </row>
        <row r="362">
          <cell r="C362">
            <v>0</v>
          </cell>
        </row>
        <row r="381">
          <cell r="C381">
            <v>0</v>
          </cell>
        </row>
        <row r="395">
          <cell r="C395">
            <v>2923778152.6369119</v>
          </cell>
        </row>
        <row r="414">
          <cell r="C414">
            <v>8335977466.541194</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3979800494.3419375</v>
          </cell>
        </row>
        <row r="13">
          <cell r="C13">
            <v>123236027907.71764</v>
          </cell>
        </row>
        <row r="30">
          <cell r="C30">
            <v>503315520.29000187</v>
          </cell>
        </row>
        <row r="47">
          <cell r="C47">
            <v>87031670774.821411</v>
          </cell>
        </row>
        <row r="65">
          <cell r="C65">
            <v>153178673986.63202</v>
          </cell>
        </row>
        <row r="84">
          <cell r="C84">
            <v>535255156470.95709</v>
          </cell>
        </row>
        <row r="98">
          <cell r="C98">
            <v>13732079233.812962</v>
          </cell>
        </row>
        <row r="110">
          <cell r="C110">
            <v>0</v>
          </cell>
        </row>
        <row r="115">
          <cell r="C115">
            <v>288516446187.39795</v>
          </cell>
        </row>
        <row r="129">
          <cell r="C129">
            <v>17976597196.121159</v>
          </cell>
        </row>
        <row r="150">
          <cell r="C150">
            <v>19076525389.458012</v>
          </cell>
        </row>
        <row r="159">
          <cell r="C159">
            <v>0</v>
          </cell>
        </row>
        <row r="162">
          <cell r="C162">
            <v>226858780856.71515</v>
          </cell>
        </row>
        <row r="179">
          <cell r="C179">
            <v>120014269867.00304</v>
          </cell>
        </row>
        <row r="196">
          <cell r="C196">
            <v>213770776118.47903</v>
          </cell>
        </row>
        <row r="215">
          <cell r="C215">
            <v>46812632762.614082</v>
          </cell>
        </row>
        <row r="244">
          <cell r="C244">
            <v>11140947177.616611</v>
          </cell>
        </row>
        <row r="273">
          <cell r="C273">
            <v>66107372579.60759</v>
          </cell>
        </row>
        <row r="303">
          <cell r="C303">
            <v>0</v>
          </cell>
        </row>
        <row r="319">
          <cell r="C319">
            <v>7840014679.8454647</v>
          </cell>
        </row>
        <row r="347">
          <cell r="C347">
            <v>126459065891.2825</v>
          </cell>
        </row>
        <row r="362">
          <cell r="C362">
            <v>0</v>
          </cell>
        </row>
        <row r="381">
          <cell r="C381">
            <v>287721324928.61017</v>
          </cell>
        </row>
        <row r="395">
          <cell r="C395">
            <v>38053030994.902946</v>
          </cell>
        </row>
        <row r="414">
          <cell r="C414">
            <v>97708077303.871765</v>
          </cell>
        </row>
      </sheetData>
      <sheetData sheetId="1">
        <row r="5">
          <cell r="C5">
            <v>0</v>
          </cell>
        </row>
        <row r="10">
          <cell r="C10">
            <v>816643.69</v>
          </cell>
        </row>
        <row r="13">
          <cell r="C13">
            <v>1029787382.989454</v>
          </cell>
        </row>
        <row r="30">
          <cell r="C30">
            <v>384152607.3815521</v>
          </cell>
        </row>
        <row r="47">
          <cell r="C47">
            <v>6805842857.9500008</v>
          </cell>
        </row>
        <row r="65">
          <cell r="C65">
            <v>322690406.1864835</v>
          </cell>
        </row>
        <row r="84">
          <cell r="C84">
            <v>37873332235.133774</v>
          </cell>
        </row>
        <row r="98">
          <cell r="C98">
            <v>30147749</v>
          </cell>
        </row>
        <row r="110">
          <cell r="C110">
            <v>0</v>
          </cell>
        </row>
        <row r="115">
          <cell r="C115">
            <v>0</v>
          </cell>
        </row>
        <row r="129">
          <cell r="C129">
            <v>1304253520.0900002</v>
          </cell>
        </row>
        <row r="150">
          <cell r="C150">
            <v>2032042895.9299998</v>
          </cell>
        </row>
        <row r="159">
          <cell r="C159">
            <v>0</v>
          </cell>
        </row>
        <row r="162">
          <cell r="C162">
            <v>0</v>
          </cell>
        </row>
        <row r="179">
          <cell r="C179">
            <v>1445651545.0899999</v>
          </cell>
        </row>
        <row r="196">
          <cell r="C196">
            <v>30930293075.350227</v>
          </cell>
        </row>
        <row r="215">
          <cell r="C215">
            <v>0</v>
          </cell>
        </row>
        <row r="244">
          <cell r="C244">
            <v>0</v>
          </cell>
        </row>
        <row r="273">
          <cell r="C273">
            <v>1532893852.1289852</v>
          </cell>
        </row>
        <row r="303">
          <cell r="C303">
            <v>1103707711.9000001</v>
          </cell>
        </row>
        <row r="319">
          <cell r="C319">
            <v>0</v>
          </cell>
        </row>
        <row r="347">
          <cell r="C347">
            <v>3207892636.8099999</v>
          </cell>
        </row>
        <row r="362">
          <cell r="C362">
            <v>0</v>
          </cell>
        </row>
        <row r="381">
          <cell r="C381">
            <v>0</v>
          </cell>
        </row>
        <row r="395">
          <cell r="C395">
            <v>3087412712.2676115</v>
          </cell>
        </row>
        <row r="414">
          <cell r="C414">
            <v>8475214764.0731401</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5631204643.0665817</v>
          </cell>
        </row>
        <row r="13">
          <cell r="C13">
            <v>142045807938.96988</v>
          </cell>
        </row>
        <row r="30">
          <cell r="C30">
            <v>474168942.63000011</v>
          </cell>
        </row>
        <row r="47">
          <cell r="C47">
            <v>90068072194.647415</v>
          </cell>
        </row>
        <row r="65">
          <cell r="C65">
            <v>133503221525.63324</v>
          </cell>
        </row>
        <row r="84">
          <cell r="C84">
            <v>534442850949.56653</v>
          </cell>
        </row>
        <row r="98">
          <cell r="C98">
            <v>14474851702.859766</v>
          </cell>
        </row>
        <row r="110">
          <cell r="C110">
            <v>0</v>
          </cell>
        </row>
        <row r="115">
          <cell r="C115">
            <v>281109403859.80505</v>
          </cell>
        </row>
        <row r="129">
          <cell r="C129">
            <v>26161113849.849503</v>
          </cell>
        </row>
        <row r="150">
          <cell r="C150">
            <v>19357708645.800293</v>
          </cell>
        </row>
        <row r="159">
          <cell r="C159">
            <v>0</v>
          </cell>
        </row>
        <row r="162">
          <cell r="C162">
            <v>232397777441.78091</v>
          </cell>
        </row>
        <row r="179">
          <cell r="C179">
            <v>123816062121.91449</v>
          </cell>
        </row>
        <row r="196">
          <cell r="C196">
            <v>213473532393.26468</v>
          </cell>
        </row>
        <row r="215">
          <cell r="C215">
            <v>60404274066.625961</v>
          </cell>
        </row>
        <row r="244">
          <cell r="C244">
            <v>11379951547.673977</v>
          </cell>
        </row>
        <row r="273">
          <cell r="C273">
            <v>66500253420.387131</v>
          </cell>
        </row>
        <row r="303">
          <cell r="C303">
            <v>0</v>
          </cell>
        </row>
        <row r="319">
          <cell r="C319">
            <v>7766969782.8987694</v>
          </cell>
        </row>
        <row r="347">
          <cell r="C347">
            <v>107001177206.12646</v>
          </cell>
        </row>
        <row r="362">
          <cell r="C362">
            <v>0</v>
          </cell>
        </row>
        <row r="381">
          <cell r="C381">
            <v>279939082509.33319</v>
          </cell>
        </row>
        <row r="395">
          <cell r="C395">
            <v>43996639292.102493</v>
          </cell>
        </row>
        <row r="414">
          <cell r="C414">
            <v>100592684470.32166</v>
          </cell>
        </row>
      </sheetData>
      <sheetData sheetId="1">
        <row r="5">
          <cell r="C5">
            <v>0</v>
          </cell>
        </row>
        <row r="10">
          <cell r="C10">
            <v>912529.22</v>
          </cell>
        </row>
        <row r="13">
          <cell r="C13">
            <v>1285309585.2010062</v>
          </cell>
        </row>
        <row r="30">
          <cell r="C30">
            <v>417183282.44000006</v>
          </cell>
        </row>
        <row r="47">
          <cell r="C47">
            <v>6900668342.1824656</v>
          </cell>
        </row>
        <row r="65">
          <cell r="C65">
            <v>270525317.07999998</v>
          </cell>
        </row>
        <row r="84">
          <cell r="C84">
            <v>38393795160.858269</v>
          </cell>
        </row>
        <row r="98">
          <cell r="C98">
            <v>31180562</v>
          </cell>
        </row>
        <row r="110">
          <cell r="C110">
            <v>0</v>
          </cell>
        </row>
        <row r="115">
          <cell r="C115">
            <v>0</v>
          </cell>
        </row>
        <row r="129">
          <cell r="C129">
            <v>1443580600.9375341</v>
          </cell>
        </row>
        <row r="150">
          <cell r="C150">
            <v>2109213167</v>
          </cell>
        </row>
        <row r="159">
          <cell r="C159">
            <v>0</v>
          </cell>
        </row>
        <row r="162">
          <cell r="C162">
            <v>0</v>
          </cell>
        </row>
        <row r="179">
          <cell r="C179">
            <v>1432048232</v>
          </cell>
        </row>
        <row r="196">
          <cell r="C196">
            <v>31402117803.920803</v>
          </cell>
        </row>
        <row r="215">
          <cell r="C215">
            <v>0</v>
          </cell>
        </row>
        <row r="244">
          <cell r="C244">
            <v>0</v>
          </cell>
        </row>
        <row r="273">
          <cell r="C273">
            <v>1532957773.5925491</v>
          </cell>
        </row>
        <row r="303">
          <cell r="C303">
            <v>1114003938.04</v>
          </cell>
        </row>
        <row r="319">
          <cell r="C319">
            <v>0</v>
          </cell>
        </row>
        <row r="347">
          <cell r="C347">
            <v>3357053654.1700001</v>
          </cell>
        </row>
        <row r="362">
          <cell r="C362">
            <v>0</v>
          </cell>
        </row>
        <row r="381">
          <cell r="C381">
            <v>0</v>
          </cell>
        </row>
        <row r="395">
          <cell r="C395">
            <v>3449561908.2307663</v>
          </cell>
        </row>
        <row r="414">
          <cell r="C414">
            <v>8564625236.0980415</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4740541337.9273357</v>
          </cell>
        </row>
        <row r="13">
          <cell r="C13">
            <v>150699328821.33597</v>
          </cell>
        </row>
        <row r="30">
          <cell r="C30">
            <v>444254304.63000011</v>
          </cell>
        </row>
        <row r="47">
          <cell r="C47">
            <v>96852947942.049988</v>
          </cell>
        </row>
        <row r="65">
          <cell r="C65">
            <v>138177673270.67017</v>
          </cell>
        </row>
        <row r="84">
          <cell r="C84">
            <v>528829434262.12189</v>
          </cell>
        </row>
        <row r="98">
          <cell r="C98">
            <v>13976891304.58061</v>
          </cell>
        </row>
        <row r="110">
          <cell r="C110">
            <v>0</v>
          </cell>
        </row>
        <row r="115">
          <cell r="C115">
            <v>298079431397.51868</v>
          </cell>
        </row>
        <row r="129">
          <cell r="C129">
            <v>25694244247.169739</v>
          </cell>
        </row>
        <row r="150">
          <cell r="C150">
            <v>19415312732.245834</v>
          </cell>
        </row>
        <row r="159">
          <cell r="C159">
            <v>0</v>
          </cell>
        </row>
        <row r="162">
          <cell r="C162">
            <v>253266410930.40814</v>
          </cell>
        </row>
        <row r="179">
          <cell r="C179">
            <v>126635252333.25536</v>
          </cell>
        </row>
        <row r="196">
          <cell r="C196">
            <v>208102628979.83093</v>
          </cell>
        </row>
        <row r="215">
          <cell r="C215">
            <v>64176642027.490967</v>
          </cell>
        </row>
        <row r="244">
          <cell r="C244">
            <v>11595072669.347647</v>
          </cell>
        </row>
        <row r="273">
          <cell r="C273">
            <v>65032192594.844284</v>
          </cell>
        </row>
        <row r="303">
          <cell r="C303">
            <v>0</v>
          </cell>
        </row>
        <row r="319">
          <cell r="C319">
            <v>8058718243.0322771</v>
          </cell>
        </row>
        <row r="347">
          <cell r="C347">
            <v>97603806936.848633</v>
          </cell>
        </row>
        <row r="362">
          <cell r="C362">
            <v>0</v>
          </cell>
        </row>
        <row r="381">
          <cell r="C381">
            <v>296836989132.96411</v>
          </cell>
        </row>
        <row r="395">
          <cell r="C395">
            <v>44179369376.595627</v>
          </cell>
        </row>
        <row r="414">
          <cell r="C414">
            <v>101422976396.5329</v>
          </cell>
        </row>
      </sheetData>
      <sheetData sheetId="1" refreshError="1">
        <row r="5">
          <cell r="C5">
            <v>0</v>
          </cell>
        </row>
        <row r="10">
          <cell r="C10">
            <v>859353.82</v>
          </cell>
        </row>
        <row r="13">
          <cell r="C13">
            <v>1513514156.2410059</v>
          </cell>
        </row>
        <row r="30">
          <cell r="C30">
            <v>298009610.64000005</v>
          </cell>
        </row>
        <row r="47">
          <cell r="C47">
            <v>7290862826.4034252</v>
          </cell>
        </row>
        <row r="65">
          <cell r="C65">
            <v>346893281.77999997</v>
          </cell>
        </row>
        <row r="84">
          <cell r="C84">
            <v>38456460590.93763</v>
          </cell>
        </row>
        <row r="98">
          <cell r="C98">
            <v>31965938</v>
          </cell>
        </row>
        <row r="110">
          <cell r="C110">
            <v>0</v>
          </cell>
        </row>
        <row r="115">
          <cell r="C115">
            <v>0</v>
          </cell>
        </row>
        <row r="129">
          <cell r="C129">
            <v>1241028641.7765753</v>
          </cell>
        </row>
        <row r="150">
          <cell r="C150">
            <v>2255084299.4899998</v>
          </cell>
        </row>
        <row r="159">
          <cell r="C159">
            <v>0</v>
          </cell>
        </row>
        <row r="162">
          <cell r="C162">
            <v>0</v>
          </cell>
        </row>
        <row r="179">
          <cell r="C179">
            <v>1441570206</v>
          </cell>
        </row>
        <row r="196">
          <cell r="C196">
            <v>32234008806.320644</v>
          </cell>
        </row>
        <row r="215">
          <cell r="C215">
            <v>0</v>
          </cell>
        </row>
        <row r="244">
          <cell r="C244">
            <v>0</v>
          </cell>
        </row>
        <row r="273">
          <cell r="C273">
            <v>1715827919.3742509</v>
          </cell>
        </row>
        <row r="303">
          <cell r="C303">
            <v>1126417256.3299999</v>
          </cell>
        </row>
        <row r="319">
          <cell r="C319">
            <v>0</v>
          </cell>
        </row>
        <row r="347">
          <cell r="C347">
            <v>3424107589.8799996</v>
          </cell>
        </row>
        <row r="362">
          <cell r="C362">
            <v>0</v>
          </cell>
        </row>
        <row r="381">
          <cell r="C381">
            <v>0</v>
          </cell>
        </row>
        <row r="395">
          <cell r="C395">
            <v>2782201988.0259013</v>
          </cell>
        </row>
        <row r="414">
          <cell r="C414">
            <v>8710544932.2980804</v>
          </cell>
        </row>
      </sheetData>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3325716787.1601114</v>
          </cell>
        </row>
        <row r="13">
          <cell r="C13">
            <v>141983868407.59171</v>
          </cell>
        </row>
        <row r="30">
          <cell r="C30">
            <v>893482130.18000007</v>
          </cell>
        </row>
        <row r="47">
          <cell r="C47">
            <v>88107968433.187759</v>
          </cell>
        </row>
        <row r="65">
          <cell r="C65">
            <v>137592613365.19611</v>
          </cell>
        </row>
        <row r="84">
          <cell r="C84">
            <v>549969143024.84753</v>
          </cell>
        </row>
        <row r="98">
          <cell r="C98">
            <v>13910043776.192188</v>
          </cell>
        </row>
        <row r="110">
          <cell r="C110">
            <v>0</v>
          </cell>
        </row>
        <row r="115">
          <cell r="C115">
            <v>356196034704.18811</v>
          </cell>
        </row>
        <row r="129">
          <cell r="C129">
            <v>23530975873.098446</v>
          </cell>
        </row>
        <row r="150">
          <cell r="C150">
            <v>21198993556.18153</v>
          </cell>
        </row>
        <row r="160">
          <cell r="C160">
            <v>0</v>
          </cell>
        </row>
        <row r="163">
          <cell r="C163">
            <v>229789481338.57648</v>
          </cell>
        </row>
        <row r="180">
          <cell r="C180">
            <v>119171187322.66129</v>
          </cell>
        </row>
        <row r="197">
          <cell r="C197">
            <v>234878998812.39575</v>
          </cell>
        </row>
        <row r="216">
          <cell r="C216">
            <v>32771984399.307404</v>
          </cell>
        </row>
        <row r="245">
          <cell r="C245">
            <v>10828158954.843758</v>
          </cell>
        </row>
        <row r="274">
          <cell r="C274">
            <v>71549757824.738144</v>
          </cell>
        </row>
        <row r="304">
          <cell r="C304">
            <v>1056936965.27</v>
          </cell>
        </row>
        <row r="320">
          <cell r="C320">
            <v>7865478943.3237114</v>
          </cell>
        </row>
        <row r="348">
          <cell r="C348">
            <v>128990126256.27106</v>
          </cell>
        </row>
        <row r="363">
          <cell r="C363">
            <v>0</v>
          </cell>
        </row>
        <row r="382">
          <cell r="C382">
            <v>355620704495.00385</v>
          </cell>
        </row>
        <row r="396">
          <cell r="C396">
            <v>41199290900.733612</v>
          </cell>
        </row>
        <row r="415">
          <cell r="C415">
            <v>102986733841.32362</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3592034730.4622965</v>
          </cell>
        </row>
        <row r="13">
          <cell r="C13">
            <v>101094190294.05949</v>
          </cell>
        </row>
        <row r="30">
          <cell r="C30">
            <v>930232183.9799993</v>
          </cell>
        </row>
        <row r="47">
          <cell r="C47">
            <v>98314814281.294495</v>
          </cell>
        </row>
        <row r="65">
          <cell r="C65">
            <v>142779823412.20459</v>
          </cell>
        </row>
        <row r="84">
          <cell r="C84">
            <v>542636021773.14539</v>
          </cell>
        </row>
        <row r="98">
          <cell r="C98">
            <v>14241144984.327354</v>
          </cell>
        </row>
        <row r="110">
          <cell r="C110">
            <v>0</v>
          </cell>
        </row>
        <row r="115">
          <cell r="C115">
            <v>345138775616.6319</v>
          </cell>
        </row>
        <row r="129">
          <cell r="C129">
            <v>22241974738.439789</v>
          </cell>
        </row>
        <row r="150">
          <cell r="C150">
            <v>20989900446.220577</v>
          </cell>
        </row>
        <row r="160">
          <cell r="C160">
            <v>0</v>
          </cell>
        </row>
        <row r="163">
          <cell r="C163">
            <v>191664328395.31543</v>
          </cell>
        </row>
        <row r="180">
          <cell r="C180">
            <v>118554928766.37386</v>
          </cell>
        </row>
        <row r="197">
          <cell r="C197">
            <v>234501619322.04852</v>
          </cell>
        </row>
        <row r="216">
          <cell r="C216">
            <v>36520885242.84301</v>
          </cell>
        </row>
        <row r="245">
          <cell r="C245">
            <v>10776328819.657454</v>
          </cell>
        </row>
        <row r="274">
          <cell r="C274">
            <v>77606383377.185486</v>
          </cell>
        </row>
        <row r="304">
          <cell r="C304">
            <v>1068104883.11</v>
          </cell>
        </row>
        <row r="320">
          <cell r="C320">
            <v>7890003732.2446175</v>
          </cell>
        </row>
        <row r="348">
          <cell r="C348">
            <v>123734533521.69989</v>
          </cell>
        </row>
        <row r="363">
          <cell r="C363">
            <v>0</v>
          </cell>
        </row>
        <row r="382">
          <cell r="C382">
            <v>344224644680.9328</v>
          </cell>
        </row>
        <row r="396">
          <cell r="C396">
            <v>41543969723.707954</v>
          </cell>
        </row>
        <row r="415">
          <cell r="C415">
            <v>103873181994.25922</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3576020157.5213904</v>
          </cell>
        </row>
        <row r="13">
          <cell r="C13">
            <v>114787497564.84</v>
          </cell>
        </row>
        <row r="30">
          <cell r="C30">
            <v>960763293.50999963</v>
          </cell>
        </row>
        <row r="47">
          <cell r="C47">
            <v>94615666754.64534</v>
          </cell>
        </row>
        <row r="65">
          <cell r="C65">
            <v>145313724864.97836</v>
          </cell>
        </row>
        <row r="84">
          <cell r="C84">
            <v>547270454993.86011</v>
          </cell>
        </row>
        <row r="98">
          <cell r="C98">
            <v>13492500500.712837</v>
          </cell>
        </row>
        <row r="110">
          <cell r="C110">
            <v>0</v>
          </cell>
        </row>
        <row r="115">
          <cell r="C115">
            <v>352278965276.60431</v>
          </cell>
        </row>
        <row r="129">
          <cell r="C129">
            <v>21840044962.163754</v>
          </cell>
        </row>
        <row r="150">
          <cell r="C150">
            <v>20999009182.238541</v>
          </cell>
        </row>
        <row r="160">
          <cell r="C160">
            <v>0</v>
          </cell>
        </row>
        <row r="163">
          <cell r="C163">
            <v>195659656666.32874</v>
          </cell>
        </row>
        <row r="180">
          <cell r="C180">
            <v>121203674520.61395</v>
          </cell>
        </row>
        <row r="197">
          <cell r="C197">
            <v>252002026986.51736</v>
          </cell>
        </row>
        <row r="216">
          <cell r="C216">
            <v>39405925889.257965</v>
          </cell>
        </row>
        <row r="245">
          <cell r="C245">
            <v>10680105423.668449</v>
          </cell>
        </row>
        <row r="274">
          <cell r="C274">
            <v>63321297541.14756</v>
          </cell>
        </row>
        <row r="304">
          <cell r="C304">
            <v>1086244727.1100001</v>
          </cell>
        </row>
        <row r="320">
          <cell r="C320">
            <v>8008346712.1284704</v>
          </cell>
        </row>
        <row r="348">
          <cell r="C348">
            <v>127917197798.57068</v>
          </cell>
        </row>
        <row r="363">
          <cell r="C363">
            <v>0</v>
          </cell>
        </row>
        <row r="382">
          <cell r="C382">
            <v>351250845612.3847</v>
          </cell>
        </row>
        <row r="396">
          <cell r="C396">
            <v>40483929504.703644</v>
          </cell>
        </row>
        <row r="415">
          <cell r="C415">
            <v>104115396166.90495</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4228907271.2417846</v>
          </cell>
        </row>
        <row r="13">
          <cell r="C13">
            <v>122996087242.02342</v>
          </cell>
        </row>
        <row r="30">
          <cell r="C30">
            <v>998748358.51000023</v>
          </cell>
        </row>
        <row r="47">
          <cell r="C47">
            <v>94337730263.510544</v>
          </cell>
        </row>
        <row r="65">
          <cell r="C65">
            <v>146552847239.38318</v>
          </cell>
        </row>
        <row r="84">
          <cell r="C84">
            <v>562688658221.97449</v>
          </cell>
        </row>
        <row r="98">
          <cell r="C98">
            <v>14024466817.268953</v>
          </cell>
        </row>
        <row r="110">
          <cell r="C110">
            <v>0</v>
          </cell>
        </row>
        <row r="115">
          <cell r="C115">
            <v>331072126141.23517</v>
          </cell>
        </row>
        <row r="129">
          <cell r="C129">
            <v>20331502870.957592</v>
          </cell>
        </row>
        <row r="150">
          <cell r="C150">
            <v>21074540085.685646</v>
          </cell>
        </row>
        <row r="160">
          <cell r="C160">
            <v>0</v>
          </cell>
        </row>
        <row r="163">
          <cell r="C163">
            <v>206437664522.16064</v>
          </cell>
        </row>
        <row r="180">
          <cell r="C180">
            <v>119785972432.49522</v>
          </cell>
        </row>
        <row r="197">
          <cell r="C197">
            <v>263895568259.27841</v>
          </cell>
        </row>
        <row r="216">
          <cell r="C216">
            <v>42509915601.848709</v>
          </cell>
        </row>
        <row r="245">
          <cell r="C245">
            <v>11095252952.426592</v>
          </cell>
        </row>
        <row r="274">
          <cell r="C274">
            <v>64902684066.333092</v>
          </cell>
        </row>
        <row r="304">
          <cell r="C304">
            <v>1094895810.3199999</v>
          </cell>
        </row>
        <row r="320">
          <cell r="C320">
            <v>8646329693.4415913</v>
          </cell>
        </row>
        <row r="348">
          <cell r="C348">
            <v>124318474680.98616</v>
          </cell>
        </row>
        <row r="363">
          <cell r="C363">
            <v>0</v>
          </cell>
        </row>
        <row r="382">
          <cell r="C382">
            <v>330178311088.43982</v>
          </cell>
        </row>
        <row r="396">
          <cell r="C396">
            <v>40217169470.184952</v>
          </cell>
        </row>
        <row r="415">
          <cell r="C415">
            <v>105223375931.17294</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3980617138.0319376</v>
          </cell>
        </row>
        <row r="13">
          <cell r="C13">
            <v>124265815290.70709</v>
          </cell>
        </row>
        <row r="30">
          <cell r="C30">
            <v>887468127.67155397</v>
          </cell>
        </row>
        <row r="47">
          <cell r="C47">
            <v>93837513632.771408</v>
          </cell>
        </row>
        <row r="65">
          <cell r="C65">
            <v>153501364392.81851</v>
          </cell>
        </row>
        <row r="84">
          <cell r="C84">
            <v>573128488706.09082</v>
          </cell>
        </row>
        <row r="98">
          <cell r="C98">
            <v>13762226982.812962</v>
          </cell>
        </row>
        <row r="110">
          <cell r="C110">
            <v>0</v>
          </cell>
        </row>
        <row r="115">
          <cell r="C115">
            <v>288516446187.39795</v>
          </cell>
        </row>
        <row r="129">
          <cell r="C129">
            <v>19280850716.211159</v>
          </cell>
        </row>
        <row r="150">
          <cell r="C150">
            <v>21108568285.388012</v>
          </cell>
        </row>
        <row r="160">
          <cell r="C160">
            <v>0</v>
          </cell>
        </row>
        <row r="163">
          <cell r="C163">
            <v>226858780856.71515</v>
          </cell>
        </row>
        <row r="180">
          <cell r="C180">
            <v>121459921412.09303</v>
          </cell>
        </row>
        <row r="197">
          <cell r="C197">
            <v>244701069193.82925</v>
          </cell>
        </row>
        <row r="216">
          <cell r="C216">
            <v>46812632762.614082</v>
          </cell>
        </row>
        <row r="245">
          <cell r="C245">
            <v>11140947177.616611</v>
          </cell>
        </row>
        <row r="274">
          <cell r="C274">
            <v>67640266431.736572</v>
          </cell>
        </row>
        <row r="304">
          <cell r="C304">
            <v>1103707711.9000001</v>
          </cell>
        </row>
        <row r="320">
          <cell r="C320">
            <v>7840014679.8454647</v>
          </cell>
        </row>
        <row r="348">
          <cell r="C348">
            <v>129666958528.0925</v>
          </cell>
        </row>
        <row r="363">
          <cell r="C363">
            <v>0</v>
          </cell>
        </row>
        <row r="382">
          <cell r="C382">
            <v>287721324928.61017</v>
          </cell>
        </row>
        <row r="396">
          <cell r="C396">
            <v>41140443707.170555</v>
          </cell>
        </row>
        <row r="415">
          <cell r="C415">
            <v>106183292067.9449</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5632117172.286582</v>
          </cell>
        </row>
        <row r="13">
          <cell r="C13">
            <v>143331117524.1709</v>
          </cell>
        </row>
        <row r="30">
          <cell r="C30">
            <v>891352225.07000017</v>
          </cell>
        </row>
        <row r="47">
          <cell r="C47">
            <v>96968740536.82988</v>
          </cell>
        </row>
        <row r="65">
          <cell r="C65">
            <v>133773746842.71324</v>
          </cell>
        </row>
        <row r="84">
          <cell r="C84">
            <v>572836646110.4248</v>
          </cell>
        </row>
        <row r="98">
          <cell r="C98">
            <v>14506032264.859766</v>
          </cell>
        </row>
        <row r="110">
          <cell r="C110">
            <v>0</v>
          </cell>
        </row>
        <row r="115">
          <cell r="C115">
            <v>281109403859.80505</v>
          </cell>
        </row>
        <row r="129">
          <cell r="C129">
            <v>27604694450.787037</v>
          </cell>
        </row>
        <row r="150">
          <cell r="C150">
            <v>21466921812.800293</v>
          </cell>
        </row>
        <row r="160">
          <cell r="C160">
            <v>0</v>
          </cell>
        </row>
        <row r="163">
          <cell r="C163">
            <v>232397777441.78091</v>
          </cell>
        </row>
        <row r="180">
          <cell r="C180">
            <v>125248110353.91449</v>
          </cell>
        </row>
        <row r="197">
          <cell r="C197">
            <v>244875650197.18549</v>
          </cell>
        </row>
        <row r="216">
          <cell r="C216">
            <v>60404274066.625961</v>
          </cell>
        </row>
        <row r="245">
          <cell r="C245">
            <v>11379951547.673977</v>
          </cell>
        </row>
        <row r="274">
          <cell r="C274">
            <v>68033211193.979683</v>
          </cell>
        </row>
        <row r="304">
          <cell r="C304">
            <v>1114003938.04</v>
          </cell>
        </row>
        <row r="320">
          <cell r="C320">
            <v>7766969782.8987694</v>
          </cell>
        </row>
        <row r="348">
          <cell r="C348">
            <v>110358230860.29646</v>
          </cell>
        </row>
        <row r="363">
          <cell r="C363">
            <v>0</v>
          </cell>
        </row>
        <row r="382">
          <cell r="C382">
            <v>279939082509.33319</v>
          </cell>
        </row>
        <row r="396">
          <cell r="C396">
            <v>47446201200.33326</v>
          </cell>
        </row>
        <row r="415">
          <cell r="C415">
            <v>109157309706.41969</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4741400691.7473354</v>
          </cell>
        </row>
        <row r="13">
          <cell r="C13">
            <v>152212842977.57697</v>
          </cell>
        </row>
        <row r="30">
          <cell r="C30">
            <v>742263915.27000022</v>
          </cell>
        </row>
        <row r="47">
          <cell r="C47">
            <v>104143810768.45341</v>
          </cell>
        </row>
        <row r="65">
          <cell r="C65">
            <v>138524566552.45016</v>
          </cell>
        </row>
        <row r="84">
          <cell r="C84">
            <v>567285894853.05957</v>
          </cell>
        </row>
        <row r="98">
          <cell r="C98">
            <v>14008857242.58061</v>
          </cell>
        </row>
        <row r="110">
          <cell r="C110">
            <v>0</v>
          </cell>
        </row>
        <row r="115">
          <cell r="C115">
            <v>298079431397.51868</v>
          </cell>
        </row>
        <row r="129">
          <cell r="C129">
            <v>26935272888.946316</v>
          </cell>
        </row>
        <row r="150">
          <cell r="C150">
            <v>21670397031.735832</v>
          </cell>
        </row>
        <row r="160">
          <cell r="C160">
            <v>0</v>
          </cell>
        </row>
        <row r="163">
          <cell r="C163">
            <v>253266410930.40814</v>
          </cell>
        </row>
        <row r="180">
          <cell r="C180">
            <v>128076822539.25536</v>
          </cell>
        </row>
        <row r="197">
          <cell r="C197">
            <v>240336637786.15158</v>
          </cell>
        </row>
        <row r="216">
          <cell r="C216">
            <v>64176642027.490967</v>
          </cell>
        </row>
        <row r="245">
          <cell r="C245">
            <v>11595072669.347647</v>
          </cell>
        </row>
        <row r="274">
          <cell r="C274">
            <v>66748020514.218536</v>
          </cell>
        </row>
        <row r="304">
          <cell r="C304">
            <v>1126417256.3299999</v>
          </cell>
        </row>
        <row r="320">
          <cell r="C320">
            <v>8058718243.0322771</v>
          </cell>
        </row>
        <row r="348">
          <cell r="C348">
            <v>101027914526.72864</v>
          </cell>
        </row>
        <row r="363">
          <cell r="C363">
            <v>0</v>
          </cell>
        </row>
        <row r="382">
          <cell r="C382">
            <v>296836989132.96411</v>
          </cell>
        </row>
        <row r="396">
          <cell r="C396">
            <v>46961571364.621529</v>
          </cell>
        </row>
        <row r="415">
          <cell r="C415">
            <v>110133521328.83098</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1"/>
  <sheetViews>
    <sheetView tabSelected="1" zoomScale="90" zoomScaleNormal="90" workbookViewId="0">
      <pane xSplit="2" topLeftCell="C1" activePane="topRight" state="frozen"/>
      <selection pane="topRight"/>
    </sheetView>
  </sheetViews>
  <sheetFormatPr defaultRowHeight="12.75"/>
  <cols>
    <col min="1" max="1" width="72.7109375" style="3" customWidth="1"/>
    <col min="2" max="2" width="19.7109375" style="3" customWidth="1"/>
    <col min="3" max="3" width="10.42578125" style="3" customWidth="1"/>
    <col min="4" max="4" width="8.5703125" style="3" hidden="1" customWidth="1"/>
    <col min="5" max="5" width="9.28515625" style="3" hidden="1" customWidth="1"/>
    <col min="6" max="6" width="0.140625" style="3" customWidth="1"/>
    <col min="7" max="7" width="8.85546875" style="3" hidden="1" customWidth="1"/>
    <col min="8" max="9" width="8.85546875" style="3" customWidth="1"/>
    <col min="10" max="11" width="8.85546875" style="2" customWidth="1"/>
    <col min="12" max="12" width="11" style="2" bestFit="1" customWidth="1"/>
    <col min="13" max="13" width="10" style="2" bestFit="1" customWidth="1"/>
    <col min="14" max="15" width="12.42578125" style="2" customWidth="1"/>
    <col min="16" max="16" width="9.7109375" style="2" customWidth="1"/>
    <col min="17" max="20" width="11.28515625" style="2" customWidth="1"/>
    <col min="21" max="21" width="10.140625" style="2" bestFit="1" customWidth="1"/>
    <col min="22" max="61" width="9.140625" style="2"/>
    <col min="62" max="16384" width="9.140625" style="3"/>
  </cols>
  <sheetData>
    <row r="1" spans="1:61" ht="18" customHeight="1">
      <c r="A1" s="3158" t="s">
        <v>0</v>
      </c>
      <c r="B1" s="3159"/>
      <c r="C1" s="3159"/>
      <c r="D1" s="3159"/>
      <c r="E1" s="3159"/>
      <c r="F1" s="3159"/>
      <c r="G1" s="3159"/>
      <c r="H1" s="3159"/>
      <c r="I1" s="3159"/>
      <c r="J1" s="3160"/>
      <c r="K1" s="3160"/>
      <c r="L1" s="3160"/>
      <c r="M1" s="3160"/>
      <c r="N1" s="3160"/>
      <c r="O1" s="3160"/>
      <c r="P1" s="3160"/>
      <c r="Q1" s="3157"/>
      <c r="R1" s="3157"/>
      <c r="S1" s="3157"/>
      <c r="T1" s="3155"/>
      <c r="U1" s="3155"/>
      <c r="V1" s="3155"/>
      <c r="W1" s="3155"/>
      <c r="X1" s="3155"/>
      <c r="Y1" s="3155"/>
      <c r="Z1" s="3155"/>
      <c r="AA1" s="3155"/>
      <c r="AB1" s="3155"/>
      <c r="AC1" s="3155"/>
      <c r="AD1" s="3155"/>
      <c r="AE1" s="3155"/>
      <c r="AF1" s="3155"/>
      <c r="AG1" s="3155"/>
      <c r="AH1" s="3155"/>
      <c r="AI1" s="3155"/>
      <c r="AJ1" s="3155"/>
      <c r="AK1" s="3155"/>
      <c r="AL1" s="3155"/>
      <c r="AM1" s="3155"/>
      <c r="AN1" s="3155"/>
      <c r="AO1" s="3155"/>
      <c r="AP1" s="3155"/>
      <c r="AQ1" s="3155"/>
      <c r="AR1" s="3155"/>
      <c r="AS1" s="3155"/>
      <c r="AT1" s="3155"/>
      <c r="AU1" s="3155"/>
      <c r="AV1" s="3155"/>
      <c r="AW1" s="3155"/>
      <c r="AX1" s="3155"/>
      <c r="AY1" s="3155"/>
      <c r="AZ1" s="3155"/>
      <c r="BA1" s="3155"/>
      <c r="BB1" s="3155"/>
      <c r="BC1" s="3155"/>
      <c r="BD1" s="3155"/>
      <c r="BE1" s="3155"/>
      <c r="BF1" s="3155"/>
      <c r="BG1" s="3155"/>
      <c r="BH1" s="3155"/>
      <c r="BI1" s="3155"/>
    </row>
    <row r="2" spans="1:61" ht="13.5" customHeight="1" thickBot="1">
      <c r="A2" s="3159"/>
      <c r="B2" s="3159"/>
      <c r="C2" s="3159"/>
      <c r="D2" s="3159"/>
      <c r="E2" s="3159"/>
      <c r="F2" s="3159"/>
      <c r="G2" s="3159"/>
      <c r="H2" s="3159"/>
      <c r="I2" s="3159"/>
      <c r="J2" s="3160"/>
      <c r="K2" s="3160"/>
      <c r="L2" s="3160"/>
      <c r="M2" s="3160"/>
      <c r="N2" s="3160"/>
      <c r="O2" s="3160"/>
      <c r="P2" s="3160"/>
      <c r="Q2" s="3157"/>
      <c r="R2" s="3157"/>
      <c r="S2" s="3157"/>
      <c r="T2" s="3155"/>
      <c r="U2" s="3155"/>
      <c r="V2" s="3155"/>
      <c r="W2" s="3155"/>
      <c r="X2" s="3155"/>
      <c r="Y2" s="3155"/>
      <c r="Z2" s="3155"/>
      <c r="AA2" s="3155"/>
      <c r="AB2" s="3155"/>
      <c r="AC2" s="3155"/>
      <c r="AD2" s="3155"/>
      <c r="AE2" s="3155"/>
      <c r="AF2" s="3155"/>
      <c r="AG2" s="3155"/>
      <c r="AH2" s="3155"/>
      <c r="AI2" s="3155"/>
      <c r="AJ2" s="3155"/>
      <c r="AK2" s="3155"/>
      <c r="AL2" s="3155"/>
      <c r="AM2" s="3155"/>
      <c r="AN2" s="3155"/>
      <c r="AO2" s="3155"/>
      <c r="AP2" s="3155"/>
      <c r="AQ2" s="3155"/>
      <c r="AR2" s="3155"/>
      <c r="AS2" s="3155"/>
      <c r="AT2" s="3155"/>
      <c r="AU2" s="3155"/>
      <c r="AV2" s="3155"/>
      <c r="AW2" s="3155"/>
      <c r="AX2" s="3155"/>
      <c r="AY2" s="3155"/>
      <c r="AZ2" s="3155"/>
      <c r="BA2" s="3155"/>
      <c r="BB2" s="3155"/>
      <c r="BC2" s="3155"/>
      <c r="BD2" s="3155"/>
      <c r="BE2" s="3155"/>
      <c r="BF2" s="3155"/>
      <c r="BG2" s="3155"/>
      <c r="BH2" s="3155"/>
      <c r="BI2" s="3155"/>
    </row>
    <row r="3" spans="1:61" ht="21" customHeight="1" thickBot="1">
      <c r="A3" s="3162"/>
      <c r="B3" s="3163" t="s">
        <v>1</v>
      </c>
      <c r="C3" s="3164" t="s">
        <v>2</v>
      </c>
      <c r="D3" s="3164">
        <v>1999</v>
      </c>
      <c r="E3" s="3163">
        <v>2000</v>
      </c>
      <c r="F3" s="3164">
        <v>2001</v>
      </c>
      <c r="G3" s="3163">
        <v>2002</v>
      </c>
      <c r="H3" s="3164">
        <v>2003</v>
      </c>
      <c r="I3" s="3164">
        <v>2004</v>
      </c>
      <c r="J3" s="3164">
        <v>2005</v>
      </c>
      <c r="K3" s="3163">
        <v>2006</v>
      </c>
      <c r="L3" s="3164">
        <v>2007</v>
      </c>
      <c r="M3" s="3164">
        <v>2008</v>
      </c>
      <c r="N3" s="3164">
        <v>2009</v>
      </c>
      <c r="O3" s="3163">
        <v>2010</v>
      </c>
      <c r="P3" s="3165">
        <v>2011</v>
      </c>
      <c r="Q3" s="3165">
        <v>2012</v>
      </c>
      <c r="R3" s="3157"/>
      <c r="S3" s="3157"/>
      <c r="T3" s="3155"/>
      <c r="U3" s="3155"/>
      <c r="V3" s="3155"/>
      <c r="W3" s="3155"/>
      <c r="X3" s="3155"/>
      <c r="Y3" s="3155"/>
      <c r="Z3" s="3155"/>
      <c r="AA3" s="3155"/>
      <c r="AB3" s="3155"/>
      <c r="AC3" s="3155"/>
      <c r="AD3" s="3155"/>
      <c r="AE3" s="3155"/>
      <c r="AF3" s="3155"/>
      <c r="AG3" s="3155"/>
      <c r="AH3" s="3155"/>
      <c r="AI3" s="3155"/>
      <c r="AJ3" s="3155"/>
      <c r="AK3" s="3155"/>
      <c r="AL3" s="3155"/>
      <c r="AM3" s="3155"/>
      <c r="AN3" s="3155"/>
      <c r="AO3" s="3155"/>
      <c r="AP3" s="3155"/>
      <c r="AQ3" s="3155"/>
      <c r="AR3" s="3155"/>
      <c r="AS3" s="3155"/>
      <c r="AT3" s="3155"/>
      <c r="AU3" s="3155"/>
      <c r="AV3" s="3155"/>
      <c r="AW3" s="3155"/>
      <c r="AX3" s="3155"/>
      <c r="AY3" s="3155"/>
      <c r="AZ3" s="3155"/>
      <c r="BA3" s="3155"/>
      <c r="BB3" s="3155"/>
      <c r="BC3" s="3155"/>
      <c r="BD3" s="3155"/>
      <c r="BE3" s="3155"/>
      <c r="BF3" s="3155"/>
      <c r="BG3" s="3155"/>
      <c r="BH3" s="3155"/>
      <c r="BI3" s="3155"/>
    </row>
    <row r="4" spans="1:61" ht="17.649999999999999" customHeight="1">
      <c r="A4" s="3166" t="s">
        <v>3</v>
      </c>
      <c r="B4" s="3167" t="s">
        <v>4</v>
      </c>
      <c r="C4" s="3168"/>
      <c r="D4" s="3169">
        <v>1175267</v>
      </c>
      <c r="E4" s="3170">
        <v>1186873</v>
      </c>
      <c r="F4" s="3170">
        <v>1199881</v>
      </c>
      <c r="G4" s="3171">
        <v>1210196</v>
      </c>
      <c r="H4" s="3172">
        <v>1222811</v>
      </c>
      <c r="I4" s="3172">
        <v>1233386</v>
      </c>
      <c r="J4" s="3170">
        <v>1243253</v>
      </c>
      <c r="K4" s="3173">
        <v>1252698</v>
      </c>
      <c r="L4" s="3174">
        <v>1260403</v>
      </c>
      <c r="M4" s="3174">
        <v>1268565</v>
      </c>
      <c r="N4" s="3175">
        <v>1275032</v>
      </c>
      <c r="O4" s="3175">
        <v>1280924</v>
      </c>
      <c r="P4" s="3176" t="s">
        <v>5</v>
      </c>
      <c r="Q4" s="3176" t="s">
        <v>6</v>
      </c>
      <c r="R4" s="3177"/>
      <c r="S4" s="3157"/>
      <c r="T4" s="3155"/>
      <c r="U4" s="3155"/>
      <c r="V4" s="3155"/>
      <c r="W4" s="3155"/>
      <c r="X4" s="3155"/>
      <c r="Y4" s="3155"/>
      <c r="Z4" s="3155"/>
      <c r="AA4" s="3155"/>
      <c r="AB4" s="3155"/>
      <c r="AC4" s="3155"/>
      <c r="AD4" s="3155"/>
      <c r="AE4" s="3155"/>
      <c r="AF4" s="3155"/>
      <c r="AG4" s="3155"/>
      <c r="AH4" s="3155"/>
      <c r="AI4" s="3155"/>
      <c r="AJ4" s="3155"/>
      <c r="AK4" s="3155"/>
      <c r="AL4" s="3155"/>
      <c r="AM4" s="3155"/>
      <c r="AN4" s="3155"/>
      <c r="AO4" s="3155"/>
      <c r="AP4" s="3155"/>
      <c r="AQ4" s="3155"/>
      <c r="AR4" s="3155"/>
      <c r="AS4" s="3155"/>
      <c r="AT4" s="3155"/>
      <c r="AU4" s="3155"/>
      <c r="AV4" s="3155"/>
      <c r="AW4" s="3155"/>
      <c r="AX4" s="3155"/>
      <c r="AY4" s="3155"/>
      <c r="AZ4" s="3155"/>
      <c r="BA4" s="3155"/>
      <c r="BB4" s="3155"/>
      <c r="BC4" s="3155"/>
      <c r="BD4" s="3155"/>
      <c r="BE4" s="3155"/>
      <c r="BF4" s="3155"/>
      <c r="BG4" s="3155"/>
      <c r="BH4" s="3155"/>
      <c r="BI4" s="3155"/>
    </row>
    <row r="5" spans="1:61" ht="17.649999999999999" customHeight="1">
      <c r="A5" s="3166" t="s">
        <v>7</v>
      </c>
      <c r="B5" s="3178" t="s">
        <v>8</v>
      </c>
      <c r="C5" s="3179"/>
      <c r="D5" s="3180"/>
      <c r="E5" s="3181">
        <v>620030</v>
      </c>
      <c r="F5" s="3182">
        <v>660318</v>
      </c>
      <c r="G5" s="3174">
        <v>681648</v>
      </c>
      <c r="H5" s="3172">
        <v>702018</v>
      </c>
      <c r="I5" s="3174">
        <v>718861</v>
      </c>
      <c r="J5" s="3174">
        <v>761063</v>
      </c>
      <c r="K5" s="3169">
        <v>788276</v>
      </c>
      <c r="L5" s="3174">
        <v>906971</v>
      </c>
      <c r="M5" s="3174">
        <v>930456</v>
      </c>
      <c r="N5" s="3183">
        <v>871356</v>
      </c>
      <c r="O5" s="3183">
        <v>934827</v>
      </c>
      <c r="P5" s="3184" t="s">
        <v>9</v>
      </c>
      <c r="Q5" s="3184" t="s">
        <v>10</v>
      </c>
      <c r="R5" s="3157"/>
      <c r="S5" s="3157"/>
      <c r="T5" s="3155"/>
      <c r="U5" s="3155"/>
      <c r="V5" s="3155"/>
      <c r="W5" s="3155"/>
      <c r="X5" s="3155"/>
      <c r="Y5" s="3155"/>
      <c r="Z5" s="3155"/>
      <c r="AA5" s="3155"/>
      <c r="AB5" s="3155"/>
      <c r="AC5" s="3155"/>
      <c r="AD5" s="3155"/>
      <c r="AE5" s="3155"/>
      <c r="AF5" s="3155"/>
      <c r="AG5" s="3155"/>
      <c r="AH5" s="3155"/>
      <c r="AI5" s="3155"/>
      <c r="AJ5" s="3155"/>
      <c r="AK5" s="3155"/>
      <c r="AL5" s="3155"/>
      <c r="AM5" s="3155"/>
      <c r="AN5" s="3155"/>
      <c r="AO5" s="3155"/>
      <c r="AP5" s="3155"/>
      <c r="AQ5" s="3155"/>
      <c r="AR5" s="3155"/>
      <c r="AS5" s="3155"/>
      <c r="AT5" s="3155"/>
      <c r="AU5" s="3155"/>
      <c r="AV5" s="3155"/>
      <c r="AW5" s="3155"/>
      <c r="AX5" s="3155"/>
      <c r="AY5" s="3155"/>
      <c r="AZ5" s="3155"/>
      <c r="BA5" s="3155"/>
      <c r="BB5" s="3155"/>
      <c r="BC5" s="3155"/>
      <c r="BD5" s="3155"/>
      <c r="BE5" s="3155"/>
      <c r="BF5" s="3155"/>
      <c r="BG5" s="3155"/>
      <c r="BH5" s="3155"/>
      <c r="BI5" s="3155"/>
    </row>
    <row r="6" spans="1:61" ht="17.649999999999999" customHeight="1">
      <c r="A6" s="3166" t="s">
        <v>11</v>
      </c>
      <c r="B6" s="3178" t="s">
        <v>8</v>
      </c>
      <c r="C6" s="3179" t="s">
        <v>12</v>
      </c>
      <c r="D6" s="3180"/>
      <c r="E6" s="3180">
        <v>14344</v>
      </c>
      <c r="F6" s="3182">
        <v>18166</v>
      </c>
      <c r="G6" s="3174">
        <v>18328</v>
      </c>
      <c r="H6" s="3169">
        <v>19415</v>
      </c>
      <c r="I6" s="3174">
        <v>23448</v>
      </c>
      <c r="J6" s="3174">
        <v>25704</v>
      </c>
      <c r="K6" s="3169">
        <v>31942</v>
      </c>
      <c r="L6" s="3174">
        <v>40687</v>
      </c>
      <c r="M6" s="3174">
        <v>41213</v>
      </c>
      <c r="N6" s="3174">
        <v>35693</v>
      </c>
      <c r="O6" s="3174">
        <v>39457</v>
      </c>
      <c r="P6" s="3185" t="s">
        <v>13</v>
      </c>
      <c r="Q6" s="3185" t="s">
        <v>14</v>
      </c>
      <c r="R6" s="3157"/>
      <c r="S6" s="3157"/>
      <c r="T6" s="3155"/>
      <c r="U6" s="3155"/>
      <c r="V6" s="3155"/>
      <c r="W6" s="3155"/>
      <c r="X6" s="3155"/>
      <c r="Y6" s="3155"/>
      <c r="Z6" s="3155"/>
      <c r="AA6" s="3155"/>
      <c r="AB6" s="3155"/>
      <c r="AC6" s="3155"/>
      <c r="AD6" s="3155"/>
      <c r="AE6" s="3155"/>
      <c r="AF6" s="3155"/>
      <c r="AG6" s="3155"/>
      <c r="AH6" s="3155"/>
      <c r="AI6" s="3155"/>
      <c r="AJ6" s="3155"/>
      <c r="AK6" s="3155"/>
      <c r="AL6" s="3155"/>
      <c r="AM6" s="3155"/>
      <c r="AN6" s="3155"/>
      <c r="AO6" s="3155"/>
      <c r="AP6" s="3155"/>
      <c r="AQ6" s="3155"/>
      <c r="AR6" s="3155"/>
      <c r="AS6" s="3155"/>
      <c r="AT6" s="3155"/>
      <c r="AU6" s="3155"/>
      <c r="AV6" s="3155"/>
      <c r="AW6" s="3155"/>
      <c r="AX6" s="3155"/>
      <c r="AY6" s="3155"/>
      <c r="AZ6" s="3155"/>
      <c r="BA6" s="3155"/>
      <c r="BB6" s="3155"/>
      <c r="BC6" s="3155"/>
      <c r="BD6" s="3155"/>
      <c r="BE6" s="3155"/>
      <c r="BF6" s="3155"/>
      <c r="BG6" s="3155"/>
      <c r="BH6" s="3155"/>
      <c r="BI6" s="3155"/>
    </row>
    <row r="7" spans="1:61" ht="17.649999999999999" customHeight="1">
      <c r="A7" s="3166" t="s">
        <v>15</v>
      </c>
      <c r="B7" s="3178" t="s">
        <v>8</v>
      </c>
      <c r="C7" s="3179" t="s">
        <v>16</v>
      </c>
      <c r="D7" s="3186">
        <v>2.1</v>
      </c>
      <c r="E7" s="3186">
        <v>10.199999999999999</v>
      </c>
      <c r="F7" s="3187">
        <v>4.5999999999999996</v>
      </c>
      <c r="G7" s="3188">
        <v>1.6</v>
      </c>
      <c r="H7" s="3188">
        <v>6.3</v>
      </c>
      <c r="I7" s="3187">
        <v>4.3</v>
      </c>
      <c r="J7" s="3187">
        <v>2.7</v>
      </c>
      <c r="K7" s="3189">
        <v>5.6</v>
      </c>
      <c r="L7" s="3187">
        <v>5.7</v>
      </c>
      <c r="M7" s="3187">
        <v>5.5</v>
      </c>
      <c r="N7" s="3187">
        <v>3.1</v>
      </c>
      <c r="O7" s="3187">
        <v>4.2</v>
      </c>
      <c r="P7" s="3187">
        <v>3.5</v>
      </c>
      <c r="Q7" s="3187" t="s">
        <v>17</v>
      </c>
      <c r="R7" s="3190"/>
      <c r="S7" s="3190"/>
      <c r="T7" s="3155"/>
      <c r="U7" s="3155"/>
      <c r="V7" s="3155"/>
      <c r="W7" s="3155"/>
      <c r="X7" s="3155"/>
      <c r="Y7" s="3155"/>
      <c r="Z7" s="3155"/>
      <c r="AA7" s="3155"/>
      <c r="AB7" s="3155"/>
      <c r="AC7" s="3155"/>
      <c r="AD7" s="3155"/>
      <c r="AE7" s="3155"/>
      <c r="AF7" s="3155"/>
      <c r="AG7" s="3155"/>
      <c r="AH7" s="3155"/>
      <c r="AI7" s="3155"/>
      <c r="AJ7" s="3155"/>
      <c r="AK7" s="3155"/>
      <c r="AL7" s="3155"/>
      <c r="AM7" s="3155"/>
      <c r="AN7" s="3155"/>
      <c r="AO7" s="3155"/>
      <c r="AP7" s="3155"/>
      <c r="AQ7" s="3155"/>
      <c r="AR7" s="3155"/>
      <c r="AS7" s="3155"/>
      <c r="AT7" s="3155"/>
      <c r="AU7" s="3155"/>
      <c r="AV7" s="3155"/>
      <c r="AW7" s="3155"/>
      <c r="AX7" s="3155"/>
      <c r="AY7" s="3155"/>
      <c r="AZ7" s="3155"/>
      <c r="BA7" s="3155"/>
      <c r="BB7" s="3155"/>
      <c r="BC7" s="3155"/>
      <c r="BD7" s="3155"/>
      <c r="BE7" s="3155"/>
      <c r="BF7" s="3155"/>
      <c r="BG7" s="3155"/>
      <c r="BH7" s="3155"/>
      <c r="BI7" s="3155"/>
    </row>
    <row r="8" spans="1:61" ht="17.649999999999999" customHeight="1">
      <c r="A8" s="3166" t="s">
        <v>18</v>
      </c>
      <c r="B8" s="3178" t="s">
        <v>8</v>
      </c>
      <c r="C8" s="3179" t="s">
        <v>12</v>
      </c>
      <c r="D8" s="3174">
        <v>108075</v>
      </c>
      <c r="E8" s="3174">
        <v>122410</v>
      </c>
      <c r="F8" s="3174">
        <v>134392</v>
      </c>
      <c r="G8" s="3172">
        <v>145055</v>
      </c>
      <c r="H8" s="3172">
        <v>162291</v>
      </c>
      <c r="I8" s="3174">
        <v>180908</v>
      </c>
      <c r="J8" s="3174">
        <v>191393</v>
      </c>
      <c r="K8" s="3169">
        <v>213444</v>
      </c>
      <c r="L8" s="3174">
        <v>243998</v>
      </c>
      <c r="M8" s="3174">
        <v>274316</v>
      </c>
      <c r="N8" s="3174">
        <v>282354</v>
      </c>
      <c r="O8" s="3174">
        <v>298784</v>
      </c>
      <c r="P8" s="3174" t="s">
        <v>19</v>
      </c>
      <c r="Q8" s="3174" t="s">
        <v>20</v>
      </c>
      <c r="R8" s="3191"/>
      <c r="S8" s="3191"/>
      <c r="T8" s="3155"/>
      <c r="U8" s="3155"/>
      <c r="V8" s="3155"/>
      <c r="W8" s="3155"/>
      <c r="X8" s="3155"/>
      <c r="Y8" s="3155"/>
      <c r="Z8" s="3155"/>
      <c r="AA8" s="3155"/>
      <c r="AB8" s="3155"/>
      <c r="AC8" s="3155"/>
      <c r="AD8" s="3155"/>
      <c r="AE8" s="3155"/>
      <c r="AF8" s="3155"/>
      <c r="AG8" s="3155"/>
      <c r="AH8" s="3155"/>
      <c r="AI8" s="3155"/>
      <c r="AJ8" s="3155"/>
      <c r="AK8" s="3155"/>
      <c r="AL8" s="3155"/>
      <c r="AM8" s="3155"/>
      <c r="AN8" s="3155"/>
      <c r="AO8" s="3155"/>
      <c r="AP8" s="3155"/>
      <c r="AQ8" s="3155"/>
      <c r="AR8" s="3155"/>
      <c r="AS8" s="3155"/>
      <c r="AT8" s="3155"/>
      <c r="AU8" s="3155"/>
      <c r="AV8" s="3155"/>
      <c r="AW8" s="3155"/>
      <c r="AX8" s="3155"/>
      <c r="AY8" s="3155"/>
      <c r="AZ8" s="3155"/>
      <c r="BA8" s="3155"/>
      <c r="BB8" s="3155"/>
      <c r="BC8" s="3155"/>
      <c r="BD8" s="3155"/>
      <c r="BE8" s="3155"/>
      <c r="BF8" s="3155"/>
      <c r="BG8" s="3155"/>
      <c r="BH8" s="3155"/>
      <c r="BI8" s="3155"/>
    </row>
    <row r="9" spans="1:61" ht="17.649999999999999" customHeight="1">
      <c r="A9" s="3166" t="s">
        <v>21</v>
      </c>
      <c r="B9" s="3178" t="s">
        <v>8</v>
      </c>
      <c r="C9" s="3179" t="s">
        <v>12</v>
      </c>
      <c r="D9" s="3174">
        <v>107482</v>
      </c>
      <c r="E9" s="3174">
        <v>121890</v>
      </c>
      <c r="F9" s="3180">
        <v>133893</v>
      </c>
      <c r="G9" s="3172">
        <v>144468</v>
      </c>
      <c r="H9" s="3172">
        <v>160451</v>
      </c>
      <c r="I9" s="3174">
        <v>180041</v>
      </c>
      <c r="J9" s="3174">
        <v>190214</v>
      </c>
      <c r="K9" s="3169">
        <v>212583</v>
      </c>
      <c r="L9" s="3174">
        <v>249577</v>
      </c>
      <c r="M9" s="3174">
        <v>276389</v>
      </c>
      <c r="N9" s="3174">
        <v>281021</v>
      </c>
      <c r="O9" s="3174">
        <v>302440</v>
      </c>
      <c r="P9" s="3174" t="s">
        <v>22</v>
      </c>
      <c r="Q9" s="3174" t="s">
        <v>23</v>
      </c>
      <c r="R9" s="3191"/>
      <c r="S9" s="3191"/>
      <c r="T9" s="3155"/>
      <c r="U9" s="3155"/>
      <c r="V9" s="3155"/>
      <c r="W9" s="3155"/>
      <c r="X9" s="3155"/>
      <c r="Y9" s="3155"/>
      <c r="Z9" s="3155"/>
      <c r="AA9" s="3155"/>
      <c r="AB9" s="3155"/>
      <c r="AC9" s="3155"/>
      <c r="AD9" s="3155"/>
      <c r="AE9" s="3155"/>
      <c r="AF9" s="3155"/>
      <c r="AG9" s="3155"/>
      <c r="AH9" s="3155"/>
      <c r="AI9" s="3155"/>
      <c r="AJ9" s="3155"/>
      <c r="AK9" s="3155"/>
      <c r="AL9" s="3155"/>
      <c r="AM9" s="3155"/>
      <c r="AN9" s="3155"/>
      <c r="AO9" s="3155"/>
      <c r="AP9" s="3155"/>
      <c r="AQ9" s="3155"/>
      <c r="AR9" s="3155"/>
      <c r="AS9" s="3155"/>
      <c r="AT9" s="3155"/>
      <c r="AU9" s="3155"/>
      <c r="AV9" s="3155"/>
      <c r="AW9" s="3155"/>
      <c r="AX9" s="3155"/>
      <c r="AY9" s="3155"/>
      <c r="AZ9" s="3155"/>
      <c r="BA9" s="3155"/>
      <c r="BB9" s="3155"/>
      <c r="BC9" s="3155"/>
      <c r="BD9" s="3155"/>
      <c r="BE9" s="3155"/>
      <c r="BF9" s="3155"/>
      <c r="BG9" s="3155"/>
      <c r="BH9" s="3155"/>
      <c r="BI9" s="3155"/>
    </row>
    <row r="10" spans="1:61" ht="17.649999999999999" customHeight="1">
      <c r="A10" s="3192" t="s">
        <v>24</v>
      </c>
      <c r="B10" s="3178" t="s">
        <v>25</v>
      </c>
      <c r="C10" s="3179" t="s">
        <v>26</v>
      </c>
      <c r="D10" s="3174">
        <v>91440</v>
      </c>
      <c r="E10" s="3174">
        <v>102673</v>
      </c>
      <c r="F10" s="3180">
        <v>111561</v>
      </c>
      <c r="G10" s="3172">
        <v>119348</v>
      </c>
      <c r="H10" s="3172">
        <v>131183</v>
      </c>
      <c r="I10" s="3174">
        <v>145938</v>
      </c>
      <c r="J10" s="3174">
        <v>152961</v>
      </c>
      <c r="K10" s="3169">
        <v>169661</v>
      </c>
      <c r="L10" s="3174">
        <v>197967</v>
      </c>
      <c r="M10" s="3174">
        <v>217826</v>
      </c>
      <c r="N10" s="3174">
        <v>220354</v>
      </c>
      <c r="O10" s="3174">
        <v>236057</v>
      </c>
      <c r="P10" s="3174" t="s">
        <v>27</v>
      </c>
      <c r="Q10" s="3174" t="s">
        <v>28</v>
      </c>
      <c r="R10" s="3191"/>
      <c r="S10" s="3191"/>
      <c r="T10" s="3155"/>
      <c r="U10" s="3155"/>
      <c r="V10" s="3155"/>
      <c r="W10" s="3155"/>
      <c r="X10" s="3155"/>
      <c r="Y10" s="3155"/>
      <c r="Z10" s="3155"/>
      <c r="AA10" s="3155"/>
      <c r="AB10" s="3155"/>
      <c r="AC10" s="3155"/>
      <c r="AD10" s="3155"/>
      <c r="AE10" s="3155"/>
      <c r="AF10" s="3155"/>
      <c r="AG10" s="3155"/>
      <c r="AH10" s="3155"/>
      <c r="AI10" s="3155"/>
      <c r="AJ10" s="3155"/>
      <c r="AK10" s="3155"/>
      <c r="AL10" s="3155"/>
      <c r="AM10" s="3155"/>
      <c r="AN10" s="3155"/>
      <c r="AO10" s="3155"/>
      <c r="AP10" s="3155"/>
      <c r="AQ10" s="3155"/>
      <c r="AR10" s="3155"/>
      <c r="AS10" s="3155"/>
      <c r="AT10" s="3155"/>
      <c r="AU10" s="3155"/>
      <c r="AV10" s="3155"/>
      <c r="AW10" s="3155"/>
      <c r="AX10" s="3155"/>
      <c r="AY10" s="3155"/>
      <c r="AZ10" s="3155"/>
      <c r="BA10" s="3155"/>
      <c r="BB10" s="3155"/>
      <c r="BC10" s="3155"/>
      <c r="BD10" s="3155"/>
      <c r="BE10" s="3155"/>
      <c r="BF10" s="3155"/>
      <c r="BG10" s="3155"/>
      <c r="BH10" s="3155"/>
      <c r="BI10" s="3155"/>
    </row>
    <row r="11" spans="1:61" ht="17.649999999999999" customHeight="1">
      <c r="A11" s="3166" t="s">
        <v>29</v>
      </c>
      <c r="B11" s="3178" t="s">
        <v>30</v>
      </c>
      <c r="C11" s="3179" t="s">
        <v>16</v>
      </c>
      <c r="D11" s="3193">
        <v>7.9</v>
      </c>
      <c r="E11" s="3194">
        <v>5.3</v>
      </c>
      <c r="F11" s="3195">
        <v>4.4000000000000004</v>
      </c>
      <c r="G11" s="3193">
        <v>6.3</v>
      </c>
      <c r="H11" s="3196">
        <v>5.0999999999999996</v>
      </c>
      <c r="I11" s="3196">
        <v>3.9</v>
      </c>
      <c r="J11" s="3194">
        <v>5.6</v>
      </c>
      <c r="K11" s="3193">
        <v>5.0999999999999996</v>
      </c>
      <c r="L11" s="3187">
        <v>10.7</v>
      </c>
      <c r="M11" s="3187">
        <v>8.8000000000000007</v>
      </c>
      <c r="N11" s="3187">
        <v>6.9</v>
      </c>
      <c r="O11" s="3187">
        <v>1.7</v>
      </c>
      <c r="P11" s="3187">
        <v>5.0999999999999996</v>
      </c>
      <c r="Q11" s="3187">
        <v>5.0999999999999996</v>
      </c>
      <c r="R11" s="3197"/>
      <c r="S11" s="3197"/>
      <c r="T11" s="3155"/>
      <c r="U11" s="3155"/>
      <c r="V11" s="3155"/>
      <c r="W11" s="3155"/>
      <c r="X11" s="3155"/>
      <c r="Y11" s="3155"/>
      <c r="Z11" s="3155"/>
      <c r="AA11" s="3155"/>
      <c r="AB11" s="3155"/>
      <c r="AC11" s="3155"/>
      <c r="AD11" s="3155"/>
      <c r="AE11" s="3155"/>
      <c r="AF11" s="3155"/>
      <c r="AG11" s="3155"/>
      <c r="AH11" s="3155"/>
      <c r="AI11" s="3155"/>
      <c r="AJ11" s="3155"/>
      <c r="AK11" s="3155"/>
      <c r="AL11" s="3155"/>
      <c r="AM11" s="3155"/>
      <c r="AN11" s="3155"/>
      <c r="AO11" s="3155"/>
      <c r="AP11" s="3155"/>
      <c r="AQ11" s="3155"/>
      <c r="AR11" s="3155"/>
      <c r="AS11" s="3155"/>
      <c r="AT11" s="3155"/>
      <c r="AU11" s="3155"/>
      <c r="AV11" s="3155"/>
      <c r="AW11" s="3155"/>
      <c r="AX11" s="3155"/>
      <c r="AY11" s="3155"/>
      <c r="AZ11" s="3155"/>
      <c r="BA11" s="3155"/>
      <c r="BB11" s="3155"/>
      <c r="BC11" s="3155"/>
      <c r="BD11" s="3155"/>
      <c r="BE11" s="3155"/>
      <c r="BF11" s="3155"/>
      <c r="BG11" s="3155"/>
      <c r="BH11" s="3155"/>
      <c r="BI11" s="3155"/>
    </row>
    <row r="12" spans="1:61" ht="17.649999999999999" customHeight="1">
      <c r="A12" s="3166" t="s">
        <v>31</v>
      </c>
      <c r="B12" s="3178" t="s">
        <v>25</v>
      </c>
      <c r="C12" s="3179" t="s">
        <v>16</v>
      </c>
      <c r="D12" s="3194">
        <v>6.9</v>
      </c>
      <c r="E12" s="3194">
        <v>4.2</v>
      </c>
      <c r="F12" s="3194">
        <v>5.4</v>
      </c>
      <c r="G12" s="3194">
        <v>6.4</v>
      </c>
      <c r="H12" s="3198">
        <v>3.9</v>
      </c>
      <c r="I12" s="3198">
        <v>4.7</v>
      </c>
      <c r="J12" s="3194">
        <v>4.9000000000000004</v>
      </c>
      <c r="K12" s="3188">
        <v>8.9</v>
      </c>
      <c r="L12" s="3187">
        <v>8.8000000000000007</v>
      </c>
      <c r="M12" s="3187">
        <v>9.6999999999999993</v>
      </c>
      <c r="N12" s="3187">
        <v>2.5</v>
      </c>
      <c r="O12" s="3187">
        <v>2.9</v>
      </c>
      <c r="P12" s="3187">
        <v>6.5</v>
      </c>
      <c r="Q12" s="3187">
        <v>3.9</v>
      </c>
      <c r="R12" s="3197"/>
      <c r="S12" s="3197"/>
      <c r="T12" s="3155"/>
      <c r="U12" s="3155"/>
      <c r="V12" s="3155"/>
      <c r="W12" s="3155"/>
      <c r="X12" s="3155"/>
      <c r="Y12" s="3155"/>
      <c r="Z12" s="3155"/>
      <c r="AA12" s="3155"/>
      <c r="AB12" s="3155"/>
      <c r="AC12" s="3155"/>
      <c r="AD12" s="3155"/>
      <c r="AE12" s="3155"/>
      <c r="AF12" s="3155"/>
      <c r="AG12" s="3155"/>
      <c r="AH12" s="3155"/>
      <c r="AI12" s="3155"/>
      <c r="AJ12" s="3155"/>
      <c r="AK12" s="3155"/>
      <c r="AL12" s="3155"/>
      <c r="AM12" s="3155"/>
      <c r="AN12" s="3155"/>
      <c r="AO12" s="3155"/>
      <c r="AP12" s="3155"/>
      <c r="AQ12" s="3155"/>
      <c r="AR12" s="3155"/>
      <c r="AS12" s="3155"/>
      <c r="AT12" s="3155"/>
      <c r="AU12" s="3155"/>
      <c r="AV12" s="3155"/>
      <c r="AW12" s="3155"/>
      <c r="AX12" s="3155"/>
      <c r="AY12" s="3155"/>
      <c r="AZ12" s="3155"/>
      <c r="BA12" s="3155"/>
      <c r="BB12" s="3155"/>
      <c r="BC12" s="3155"/>
      <c r="BD12" s="3155"/>
      <c r="BE12" s="3155"/>
      <c r="BF12" s="3155"/>
      <c r="BG12" s="3155"/>
      <c r="BH12" s="3155"/>
      <c r="BI12" s="3155"/>
    </row>
    <row r="13" spans="1:61" ht="17.649999999999999" customHeight="1">
      <c r="A13" s="3166" t="s">
        <v>32</v>
      </c>
      <c r="B13" s="3178" t="s">
        <v>25</v>
      </c>
      <c r="C13" s="3179" t="s">
        <v>16</v>
      </c>
      <c r="D13" s="3193">
        <v>7.7</v>
      </c>
      <c r="E13" s="3187">
        <v>6.5</v>
      </c>
      <c r="F13" s="3195">
        <v>6.8</v>
      </c>
      <c r="G13" s="3194">
        <v>7.2</v>
      </c>
      <c r="H13" s="3193">
        <v>7.7</v>
      </c>
      <c r="I13" s="3187">
        <v>8.4</v>
      </c>
      <c r="J13" s="3187">
        <v>9.6</v>
      </c>
      <c r="K13" s="3189">
        <v>9.1</v>
      </c>
      <c r="L13" s="3187">
        <v>8.5</v>
      </c>
      <c r="M13" s="3187">
        <v>7.2</v>
      </c>
      <c r="N13" s="3187">
        <v>7.3</v>
      </c>
      <c r="O13" s="3187">
        <v>7.8</v>
      </c>
      <c r="P13" s="3187" t="s">
        <v>33</v>
      </c>
      <c r="Q13" s="3187" t="s">
        <v>34</v>
      </c>
      <c r="R13" s="3197"/>
      <c r="S13" s="3197"/>
      <c r="T13" s="3155"/>
      <c r="U13" s="3155"/>
      <c r="V13" s="3155"/>
      <c r="W13" s="3155"/>
      <c r="X13" s="3155"/>
      <c r="Y13" s="3155"/>
      <c r="Z13" s="3155"/>
      <c r="AA13" s="3155"/>
      <c r="AB13" s="3155"/>
      <c r="AC13" s="3155"/>
      <c r="AD13" s="3155"/>
      <c r="AE13" s="3155"/>
      <c r="AF13" s="3155"/>
      <c r="AG13" s="3155"/>
      <c r="AH13" s="3155"/>
      <c r="AI13" s="3155"/>
      <c r="AJ13" s="3155"/>
      <c r="AK13" s="3155"/>
      <c r="AL13" s="3155"/>
      <c r="AM13" s="3155"/>
      <c r="AN13" s="3155"/>
      <c r="AO13" s="3155"/>
      <c r="AP13" s="3155"/>
      <c r="AQ13" s="3155"/>
      <c r="AR13" s="3155"/>
      <c r="AS13" s="3155"/>
      <c r="AT13" s="3155"/>
      <c r="AU13" s="3155"/>
      <c r="AV13" s="3155"/>
      <c r="AW13" s="3155"/>
      <c r="AX13" s="3155"/>
      <c r="AY13" s="3155"/>
      <c r="AZ13" s="3155"/>
      <c r="BA13" s="3155"/>
      <c r="BB13" s="3155"/>
      <c r="BC13" s="3155"/>
      <c r="BD13" s="3155"/>
      <c r="BE13" s="3155"/>
      <c r="BF13" s="3155"/>
      <c r="BG13" s="3155"/>
      <c r="BH13" s="3155"/>
      <c r="BI13" s="3155"/>
    </row>
    <row r="14" spans="1:61" ht="17.649999999999999" customHeight="1">
      <c r="A14" s="3166" t="s">
        <v>35</v>
      </c>
      <c r="B14" s="3178" t="s">
        <v>30</v>
      </c>
      <c r="C14" s="3179" t="s">
        <v>12</v>
      </c>
      <c r="D14" s="3199">
        <v>-1622</v>
      </c>
      <c r="E14" s="3181">
        <v>-1451</v>
      </c>
      <c r="F14" s="3200">
        <v>4255</v>
      </c>
      <c r="G14" s="3201" t="s">
        <v>36</v>
      </c>
      <c r="H14" s="3201" t="s">
        <v>37</v>
      </c>
      <c r="I14" s="3201" t="s">
        <v>38</v>
      </c>
      <c r="J14" s="3202" t="s">
        <v>39</v>
      </c>
      <c r="K14" s="3203" t="s">
        <v>40</v>
      </c>
      <c r="L14" s="3202" t="s">
        <v>41</v>
      </c>
      <c r="M14" s="3202" t="s">
        <v>42</v>
      </c>
      <c r="N14" s="3202" t="s">
        <v>43</v>
      </c>
      <c r="O14" s="3202" t="s">
        <v>44</v>
      </c>
      <c r="P14" s="3202" t="s">
        <v>45</v>
      </c>
      <c r="Q14" s="3202" t="s">
        <v>46</v>
      </c>
      <c r="R14" s="3197"/>
      <c r="S14" s="3197"/>
      <c r="T14" s="3155"/>
      <c r="U14" s="3155"/>
      <c r="V14" s="3155"/>
      <c r="W14" s="3155"/>
      <c r="X14" s="3155"/>
      <c r="Y14" s="3155"/>
      <c r="Z14" s="3155"/>
      <c r="AA14" s="3155"/>
      <c r="AB14" s="3155"/>
      <c r="AC14" s="3155"/>
      <c r="AD14" s="3155"/>
      <c r="AE14" s="3155"/>
      <c r="AF14" s="3155"/>
      <c r="AG14" s="3155"/>
      <c r="AH14" s="3155"/>
      <c r="AI14" s="3155"/>
      <c r="AJ14" s="3155"/>
      <c r="AK14" s="3155"/>
      <c r="AL14" s="3155"/>
      <c r="AM14" s="3155"/>
      <c r="AN14" s="3155"/>
      <c r="AO14" s="3155"/>
      <c r="AP14" s="3155"/>
      <c r="AQ14" s="3155"/>
      <c r="AR14" s="3155"/>
      <c r="AS14" s="3155"/>
      <c r="AT14" s="3155"/>
      <c r="AU14" s="3155"/>
      <c r="AV14" s="3155"/>
      <c r="AW14" s="3155"/>
      <c r="AX14" s="3155"/>
      <c r="AY14" s="3155"/>
      <c r="AZ14" s="3155"/>
      <c r="BA14" s="3155"/>
      <c r="BB14" s="3155"/>
      <c r="BC14" s="3155"/>
      <c r="BD14" s="3155"/>
      <c r="BE14" s="3155"/>
      <c r="BF14" s="3155"/>
      <c r="BG14" s="3155"/>
      <c r="BH14" s="3155"/>
      <c r="BI14" s="3155"/>
    </row>
    <row r="15" spans="1:61" ht="17.649999999999999" customHeight="1">
      <c r="A15" s="3166" t="s">
        <v>47</v>
      </c>
      <c r="B15" s="3178" t="s">
        <v>25</v>
      </c>
      <c r="C15" s="3179" t="s">
        <v>12</v>
      </c>
      <c r="D15" s="3199">
        <v>-3128</v>
      </c>
      <c r="E15" s="3181">
        <v>-899</v>
      </c>
      <c r="F15" s="3200">
        <v>8038</v>
      </c>
      <c r="G15" s="3201" t="s">
        <v>48</v>
      </c>
      <c r="H15" s="3201" t="s">
        <v>49</v>
      </c>
      <c r="I15" s="3201" t="s">
        <v>50</v>
      </c>
      <c r="J15" s="3202" t="s">
        <v>51</v>
      </c>
      <c r="K15" s="3203" t="s">
        <v>52</v>
      </c>
      <c r="L15" s="3185" t="s">
        <v>53</v>
      </c>
      <c r="M15" s="3204">
        <v>-27633</v>
      </c>
      <c r="N15" s="3185">
        <v>-20836</v>
      </c>
      <c r="O15" s="3185" t="s">
        <v>54</v>
      </c>
      <c r="P15" s="3202" t="s">
        <v>55</v>
      </c>
      <c r="Q15" s="3202" t="s">
        <v>56</v>
      </c>
      <c r="R15" s="3197"/>
      <c r="S15" s="3197"/>
      <c r="T15" s="3155"/>
      <c r="U15" s="3155"/>
      <c r="V15" s="3155"/>
      <c r="W15" s="3155"/>
      <c r="X15" s="3155"/>
      <c r="Y15" s="3155"/>
      <c r="Z15" s="3155"/>
      <c r="AA15" s="3155"/>
      <c r="AB15" s="3155"/>
      <c r="AC15" s="3155"/>
      <c r="AD15" s="3155"/>
      <c r="AE15" s="3155"/>
      <c r="AF15" s="3155"/>
      <c r="AG15" s="3155"/>
      <c r="AH15" s="3155"/>
      <c r="AI15" s="3155"/>
      <c r="AJ15" s="3155"/>
      <c r="AK15" s="3155"/>
      <c r="AL15" s="3155"/>
      <c r="AM15" s="3155"/>
      <c r="AN15" s="3155"/>
      <c r="AO15" s="3155"/>
      <c r="AP15" s="3155"/>
      <c r="AQ15" s="3155"/>
      <c r="AR15" s="3155"/>
      <c r="AS15" s="3155"/>
      <c r="AT15" s="3155"/>
      <c r="AU15" s="3155"/>
      <c r="AV15" s="3155"/>
      <c r="AW15" s="3155"/>
      <c r="AX15" s="3155"/>
      <c r="AY15" s="3155"/>
      <c r="AZ15" s="3155"/>
      <c r="BA15" s="3155"/>
      <c r="BB15" s="3155"/>
      <c r="BC15" s="3155"/>
      <c r="BD15" s="3155"/>
      <c r="BE15" s="3155"/>
      <c r="BF15" s="3155"/>
      <c r="BG15" s="3155"/>
      <c r="BH15" s="3155"/>
      <c r="BI15" s="3155"/>
    </row>
    <row r="16" spans="1:61" ht="17.649999999999999" customHeight="1">
      <c r="A16" s="3166" t="s">
        <v>57</v>
      </c>
      <c r="B16" s="3178" t="s">
        <v>58</v>
      </c>
      <c r="C16" s="3179" t="s">
        <v>12</v>
      </c>
      <c r="D16" s="3205">
        <v>690</v>
      </c>
      <c r="E16" s="3206">
        <v>2141</v>
      </c>
      <c r="F16" s="3200">
        <v>4482</v>
      </c>
      <c r="G16" s="3206">
        <v>5908</v>
      </c>
      <c r="H16" s="3206">
        <v>9099</v>
      </c>
      <c r="I16" s="3206">
        <v>3225</v>
      </c>
      <c r="J16" s="3202" t="s">
        <v>59</v>
      </c>
      <c r="K16" s="3203" t="s">
        <v>60</v>
      </c>
      <c r="L16" s="3206">
        <v>6603</v>
      </c>
      <c r="M16" s="3206">
        <v>9110</v>
      </c>
      <c r="N16" s="3206">
        <v>2484</v>
      </c>
      <c r="O16" s="3201" t="s">
        <v>61</v>
      </c>
      <c r="P16" s="3201" t="s">
        <v>62</v>
      </c>
      <c r="Q16" s="3201" t="s">
        <v>63</v>
      </c>
      <c r="R16" s="3157"/>
      <c r="S16" s="3157"/>
      <c r="T16" s="3155"/>
      <c r="U16" s="3155"/>
      <c r="V16" s="3155"/>
      <c r="W16" s="3155"/>
      <c r="X16" s="3155"/>
      <c r="Y16" s="3155"/>
      <c r="Z16" s="3155"/>
      <c r="AA16" s="3155"/>
      <c r="AB16" s="3155"/>
      <c r="AC16" s="3155"/>
      <c r="AD16" s="3155"/>
      <c r="AE16" s="3155"/>
      <c r="AF16" s="3155"/>
      <c r="AG16" s="3155"/>
      <c r="AH16" s="3155"/>
      <c r="AI16" s="3155"/>
      <c r="AJ16" s="3155"/>
      <c r="AK16" s="3155"/>
      <c r="AL16" s="3155"/>
      <c r="AM16" s="3155"/>
      <c r="AN16" s="3155"/>
      <c r="AO16" s="3155"/>
      <c r="AP16" s="3155"/>
      <c r="AQ16" s="3155"/>
      <c r="AR16" s="3155"/>
      <c r="AS16" s="3155"/>
      <c r="AT16" s="3155"/>
      <c r="AU16" s="3155"/>
      <c r="AV16" s="3155"/>
      <c r="AW16" s="3155"/>
      <c r="AX16" s="3155"/>
      <c r="AY16" s="3155"/>
      <c r="AZ16" s="3155"/>
      <c r="BA16" s="3155"/>
      <c r="BB16" s="3155"/>
      <c r="BC16" s="3155"/>
      <c r="BD16" s="3155"/>
      <c r="BE16" s="3155"/>
      <c r="BF16" s="3155"/>
      <c r="BG16" s="3155"/>
      <c r="BH16" s="3155"/>
      <c r="BI16" s="3155"/>
    </row>
    <row r="17" spans="1:61" ht="17.649999999999999" customHeight="1">
      <c r="A17" s="3166" t="s">
        <v>64</v>
      </c>
      <c r="B17" s="3178" t="s">
        <v>25</v>
      </c>
      <c r="C17" s="3179" t="s">
        <v>12</v>
      </c>
      <c r="D17" s="3205">
        <v>4803</v>
      </c>
      <c r="E17" s="3206">
        <v>6415</v>
      </c>
      <c r="F17" s="3199">
        <v>-1314</v>
      </c>
      <c r="G17" s="3206">
        <v>10198</v>
      </c>
      <c r="H17" s="3206">
        <v>6205</v>
      </c>
      <c r="I17" s="3206" t="s">
        <v>65</v>
      </c>
      <c r="J17" s="3202" t="s">
        <v>66</v>
      </c>
      <c r="K17" s="3172">
        <v>-4573</v>
      </c>
      <c r="L17" s="3206">
        <v>13880</v>
      </c>
      <c r="M17" s="3206">
        <v>4624</v>
      </c>
      <c r="N17" s="3206">
        <v>12103</v>
      </c>
      <c r="O17" s="3201" t="s">
        <v>67</v>
      </c>
      <c r="P17" s="3201" t="s">
        <v>68</v>
      </c>
      <c r="Q17" s="3201" t="s">
        <v>69</v>
      </c>
      <c r="R17" s="3157"/>
      <c r="S17" s="3157"/>
      <c r="T17" s="3157"/>
      <c r="U17" s="3157"/>
      <c r="V17" s="3157"/>
      <c r="W17" s="3157"/>
      <c r="X17" s="3157"/>
      <c r="Y17" s="3157"/>
      <c r="Z17" s="3157"/>
      <c r="AA17" s="3157"/>
      <c r="AB17" s="3157"/>
      <c r="AC17" s="3157"/>
      <c r="AD17" s="3157"/>
      <c r="AE17" s="3157"/>
      <c r="AF17" s="3157"/>
      <c r="AG17" s="3157"/>
      <c r="AH17" s="3157"/>
      <c r="AI17" s="3157"/>
      <c r="AJ17" s="3157"/>
      <c r="AK17" s="3157"/>
      <c r="AL17" s="3157"/>
      <c r="AM17" s="3157"/>
      <c r="AN17" s="3157"/>
      <c r="AO17" s="3157"/>
      <c r="AP17" s="3157"/>
      <c r="AQ17" s="3157"/>
      <c r="AR17" s="3157"/>
      <c r="AS17" s="3157"/>
      <c r="AT17" s="3157"/>
      <c r="AU17" s="3157"/>
      <c r="AV17" s="3157"/>
      <c r="AW17" s="3157"/>
      <c r="AX17" s="3157"/>
      <c r="AY17" s="3157"/>
      <c r="AZ17" s="3157"/>
      <c r="BA17" s="3157"/>
      <c r="BB17" s="3157"/>
      <c r="BC17" s="3157"/>
      <c r="BD17" s="3157"/>
      <c r="BE17" s="3157"/>
      <c r="BF17" s="3157"/>
      <c r="BG17" s="3157"/>
      <c r="BH17" s="3157"/>
      <c r="BI17" s="3157"/>
    </row>
    <row r="18" spans="1:61" ht="17.649999999999999" customHeight="1">
      <c r="A18" s="3166" t="s">
        <v>70</v>
      </c>
      <c r="B18" s="3178" t="s">
        <v>71</v>
      </c>
      <c r="C18" s="3179" t="s">
        <v>12</v>
      </c>
      <c r="D18" s="3207">
        <v>26051</v>
      </c>
      <c r="E18" s="3208">
        <v>25214</v>
      </c>
      <c r="F18" s="3209">
        <v>31760</v>
      </c>
      <c r="G18" s="3174"/>
      <c r="H18" s="3174">
        <v>40430</v>
      </c>
      <c r="I18" s="3174">
        <v>44243</v>
      </c>
      <c r="J18" s="3172">
        <v>43715</v>
      </c>
      <c r="K18" s="3172">
        <v>42997</v>
      </c>
      <c r="L18" s="3172">
        <v>53091</v>
      </c>
      <c r="M18" s="3172">
        <v>57360</v>
      </c>
      <c r="N18" s="3210">
        <v>63937</v>
      </c>
      <c r="O18" s="3183">
        <v>70084</v>
      </c>
      <c r="P18" s="3183">
        <v>81507</v>
      </c>
      <c r="Q18" s="3183">
        <v>86671</v>
      </c>
      <c r="R18" s="3157"/>
      <c r="S18" s="3157"/>
      <c r="T18" s="3157"/>
      <c r="U18" s="3157"/>
      <c r="V18" s="3157"/>
      <c r="W18" s="3157"/>
      <c r="X18" s="3157"/>
      <c r="Y18" s="3157"/>
      <c r="Z18" s="3157"/>
      <c r="AA18" s="3157"/>
      <c r="AB18" s="3157"/>
      <c r="AC18" s="3157"/>
      <c r="AD18" s="3157"/>
      <c r="AE18" s="3157"/>
      <c r="AF18" s="3157"/>
      <c r="AG18" s="3157"/>
      <c r="AH18" s="3157"/>
      <c r="AI18" s="3157"/>
      <c r="AJ18" s="3157"/>
      <c r="AK18" s="3157"/>
      <c r="AL18" s="3157"/>
      <c r="AM18" s="3157"/>
      <c r="AN18" s="3157"/>
      <c r="AO18" s="3157"/>
      <c r="AP18" s="3157"/>
      <c r="AQ18" s="3157"/>
      <c r="AR18" s="3157"/>
      <c r="AS18" s="3157"/>
      <c r="AT18" s="3157"/>
      <c r="AU18" s="3157"/>
      <c r="AV18" s="3157"/>
      <c r="AW18" s="3157"/>
      <c r="AX18" s="3157"/>
      <c r="AY18" s="3157"/>
      <c r="AZ18" s="3157"/>
      <c r="BA18" s="3157"/>
      <c r="BB18" s="3157"/>
      <c r="BC18" s="3157"/>
      <c r="BD18" s="3157"/>
      <c r="BE18" s="3157"/>
      <c r="BF18" s="3157"/>
      <c r="BG18" s="3157"/>
      <c r="BH18" s="3157"/>
      <c r="BI18" s="3157"/>
    </row>
    <row r="19" spans="1:61" ht="17.649999999999999" customHeight="1">
      <c r="A19" s="3166" t="s">
        <v>72</v>
      </c>
      <c r="B19" s="3178" t="s">
        <v>8</v>
      </c>
      <c r="C19" s="3179" t="s">
        <v>12</v>
      </c>
      <c r="D19" s="3174">
        <v>56629</v>
      </c>
      <c r="E19" s="3182">
        <v>55048</v>
      </c>
      <c r="F19" s="3174">
        <v>57940</v>
      </c>
      <c r="G19" s="3174">
        <v>64608</v>
      </c>
      <c r="H19" s="3174">
        <v>65942</v>
      </c>
      <c r="I19" s="3172">
        <v>76387</v>
      </c>
      <c r="J19" s="3172">
        <v>93282</v>
      </c>
      <c r="K19" s="3172">
        <v>115502</v>
      </c>
      <c r="L19" s="3174">
        <v>121037</v>
      </c>
      <c r="M19" s="3174">
        <v>132165</v>
      </c>
      <c r="N19" s="3183">
        <v>118444</v>
      </c>
      <c r="O19" s="3184" t="s">
        <v>73</v>
      </c>
      <c r="P19" s="3184" t="s">
        <v>74</v>
      </c>
      <c r="Q19" s="3184" t="s">
        <v>75</v>
      </c>
      <c r="R19" s="3157"/>
      <c r="S19" s="3157"/>
      <c r="T19" s="3157"/>
      <c r="U19" s="3157"/>
      <c r="V19" s="3157"/>
      <c r="W19" s="3157"/>
      <c r="X19" s="3157"/>
      <c r="Y19" s="3157"/>
      <c r="Z19" s="3157"/>
      <c r="AA19" s="3157"/>
      <c r="AB19" s="3157"/>
      <c r="AC19" s="3157"/>
      <c r="AD19" s="3157"/>
      <c r="AE19" s="3157"/>
      <c r="AF19" s="3157"/>
      <c r="AG19" s="3157"/>
      <c r="AH19" s="3157"/>
      <c r="AI19" s="3157"/>
      <c r="AJ19" s="3157"/>
      <c r="AK19" s="3157"/>
      <c r="AL19" s="3157"/>
      <c r="AM19" s="3157"/>
      <c r="AN19" s="3157"/>
      <c r="AO19" s="3157"/>
      <c r="AP19" s="3157"/>
      <c r="AQ19" s="3157"/>
      <c r="AR19" s="3157"/>
      <c r="AS19" s="3157"/>
      <c r="AT19" s="3157"/>
      <c r="AU19" s="3157"/>
      <c r="AV19" s="3157"/>
      <c r="AW19" s="3157"/>
      <c r="AX19" s="3157"/>
      <c r="AY19" s="3157"/>
      <c r="AZ19" s="3157"/>
      <c r="BA19" s="3157"/>
      <c r="BB19" s="3157"/>
      <c r="BC19" s="3157"/>
      <c r="BD19" s="3157"/>
      <c r="BE19" s="3157"/>
      <c r="BF19" s="3157"/>
      <c r="BG19" s="3157"/>
      <c r="BH19" s="3157"/>
      <c r="BI19" s="3157"/>
    </row>
    <row r="20" spans="1:61" ht="17.649999999999999" customHeight="1">
      <c r="A20" s="3166" t="s">
        <v>76</v>
      </c>
      <c r="B20" s="3178" t="s">
        <v>8</v>
      </c>
      <c r="C20" s="3179" t="s">
        <v>12</v>
      </c>
      <c r="D20" s="3174">
        <v>40025</v>
      </c>
      <c r="E20" s="3182">
        <v>38845</v>
      </c>
      <c r="F20" s="3174">
        <v>47511</v>
      </c>
      <c r="G20" s="3174">
        <v>53893</v>
      </c>
      <c r="H20" s="3174">
        <v>53022</v>
      </c>
      <c r="I20" s="3172">
        <v>54905</v>
      </c>
      <c r="J20" s="3172">
        <v>63219</v>
      </c>
      <c r="K20" s="3172">
        <v>74037</v>
      </c>
      <c r="L20" s="3174">
        <v>69708</v>
      </c>
      <c r="M20" s="3174">
        <v>67970</v>
      </c>
      <c r="N20" s="3183">
        <v>61681</v>
      </c>
      <c r="O20" s="3184" t="s">
        <v>77</v>
      </c>
      <c r="P20" s="3184" t="s">
        <v>78</v>
      </c>
      <c r="Q20" s="3184" t="s">
        <v>79</v>
      </c>
      <c r="R20" s="3157"/>
      <c r="S20" s="3157"/>
      <c r="T20" s="3157"/>
      <c r="U20" s="3157"/>
      <c r="V20" s="3157"/>
      <c r="W20" s="3157"/>
      <c r="X20" s="3157"/>
      <c r="Y20" s="3157"/>
      <c r="Z20" s="3157"/>
      <c r="AA20" s="3157"/>
      <c r="AB20" s="3157"/>
      <c r="AC20" s="3157"/>
      <c r="AD20" s="3157"/>
      <c r="AE20" s="3157"/>
      <c r="AF20" s="3157"/>
      <c r="AG20" s="3157"/>
      <c r="AH20" s="3157"/>
      <c r="AI20" s="3157"/>
      <c r="AJ20" s="3157"/>
      <c r="AK20" s="3157"/>
      <c r="AL20" s="3157"/>
      <c r="AM20" s="3157"/>
      <c r="AN20" s="3157"/>
      <c r="AO20" s="3157"/>
      <c r="AP20" s="3157"/>
      <c r="AQ20" s="3157"/>
      <c r="AR20" s="3157"/>
      <c r="AS20" s="3157"/>
      <c r="AT20" s="3157"/>
      <c r="AU20" s="3157"/>
      <c r="AV20" s="3157"/>
      <c r="AW20" s="3157"/>
      <c r="AX20" s="3157"/>
      <c r="AY20" s="3157"/>
      <c r="AZ20" s="3157"/>
      <c r="BA20" s="3157"/>
      <c r="BB20" s="3157"/>
      <c r="BC20" s="3157"/>
      <c r="BD20" s="3157"/>
      <c r="BE20" s="3157"/>
      <c r="BF20" s="3157"/>
      <c r="BG20" s="3157"/>
      <c r="BH20" s="3157"/>
      <c r="BI20" s="3157"/>
    </row>
    <row r="21" spans="1:61" s="1" customFormat="1" ht="17.649999999999999" customHeight="1">
      <c r="A21" s="3166" t="s">
        <v>80</v>
      </c>
      <c r="B21" s="3178" t="s">
        <v>81</v>
      </c>
      <c r="C21" s="3179" t="s">
        <v>16</v>
      </c>
      <c r="D21" s="3211">
        <v>-3.6</v>
      </c>
      <c r="E21" s="3211">
        <v>-3.8</v>
      </c>
      <c r="F21" s="3211">
        <v>-6.7</v>
      </c>
      <c r="G21" s="3211">
        <v>-6.1</v>
      </c>
      <c r="H21" s="3212">
        <v>-6.2</v>
      </c>
      <c r="I21" s="3187">
        <v>-5.4</v>
      </c>
      <c r="J21" s="3187">
        <v>-5</v>
      </c>
      <c r="K21" s="3213" t="s">
        <v>82</v>
      </c>
      <c r="L21" s="3214" t="s">
        <v>83</v>
      </c>
      <c r="M21" s="3214" t="s">
        <v>84</v>
      </c>
      <c r="N21" s="3214" t="s">
        <v>85</v>
      </c>
      <c r="O21" s="3215" t="s">
        <v>86</v>
      </c>
      <c r="P21" s="3215" t="s">
        <v>87</v>
      </c>
      <c r="Q21" s="3215" t="s">
        <v>88</v>
      </c>
      <c r="R21" s="3161"/>
      <c r="S21" s="3161"/>
      <c r="T21" s="3161"/>
      <c r="U21" s="3161"/>
      <c r="V21" s="3160"/>
      <c r="W21" s="3160"/>
      <c r="X21" s="3160"/>
      <c r="Y21" s="3160"/>
      <c r="Z21" s="3160"/>
      <c r="AA21" s="3160"/>
      <c r="AB21" s="3160"/>
      <c r="AC21" s="3160"/>
      <c r="AD21" s="3160"/>
      <c r="AE21" s="3160"/>
      <c r="AF21" s="3160"/>
      <c r="AG21" s="3160"/>
      <c r="AH21" s="3160"/>
      <c r="AI21" s="3160"/>
      <c r="AJ21" s="3160"/>
      <c r="AK21" s="3160"/>
      <c r="AL21" s="3160"/>
      <c r="AM21" s="3160"/>
      <c r="AN21" s="3160"/>
      <c r="AO21" s="3160"/>
      <c r="AP21" s="3160"/>
      <c r="AQ21" s="3160"/>
      <c r="AR21" s="3160"/>
      <c r="AS21" s="3160"/>
      <c r="AT21" s="3160"/>
      <c r="AU21" s="3160"/>
      <c r="AV21" s="3160"/>
      <c r="AW21" s="3160"/>
      <c r="AX21" s="3160"/>
      <c r="AY21" s="3160"/>
      <c r="AZ21" s="3160"/>
      <c r="BA21" s="3160"/>
      <c r="BB21" s="3160"/>
      <c r="BC21" s="3160"/>
      <c r="BD21" s="3160"/>
      <c r="BE21" s="3160"/>
      <c r="BF21" s="3160"/>
      <c r="BG21" s="3160"/>
      <c r="BH21" s="3160"/>
      <c r="BI21" s="3160"/>
    </row>
    <row r="22" spans="1:61" ht="17.649999999999999" customHeight="1">
      <c r="A22" s="3166" t="s">
        <v>89</v>
      </c>
      <c r="B22" s="3178" t="s">
        <v>90</v>
      </c>
      <c r="C22" s="3179" t="s">
        <v>12</v>
      </c>
      <c r="D22" s="3207">
        <v>10193</v>
      </c>
      <c r="E22" s="3181">
        <v>10190</v>
      </c>
      <c r="F22" s="3180">
        <v>7168</v>
      </c>
      <c r="G22" s="3180">
        <v>8785</v>
      </c>
      <c r="H22" s="3199">
        <v>9074</v>
      </c>
      <c r="I22" s="3174">
        <v>8445</v>
      </c>
      <c r="J22" s="3174">
        <v>9232</v>
      </c>
      <c r="K22" s="3172">
        <v>8535</v>
      </c>
      <c r="L22" s="3174">
        <v>13452</v>
      </c>
      <c r="M22" s="3185" t="s">
        <v>91</v>
      </c>
      <c r="N22" s="3174">
        <v>16990</v>
      </c>
      <c r="O22" s="3174">
        <v>22287</v>
      </c>
      <c r="P22" s="3174">
        <v>26992</v>
      </c>
      <c r="Q22" s="3174" t="s">
        <v>92</v>
      </c>
      <c r="R22" s="3157"/>
      <c r="S22" s="3157"/>
      <c r="T22" s="3157"/>
      <c r="U22" s="3157"/>
      <c r="V22" s="3157"/>
      <c r="W22" s="3157"/>
      <c r="X22" s="3157"/>
      <c r="Y22" s="3157"/>
      <c r="Z22" s="3157"/>
      <c r="AA22" s="3157"/>
      <c r="AB22" s="3157"/>
      <c r="AC22" s="3157"/>
      <c r="AD22" s="3157"/>
      <c r="AE22" s="3157"/>
      <c r="AF22" s="3157"/>
      <c r="AG22" s="3157"/>
      <c r="AH22" s="3157"/>
      <c r="AI22" s="3157"/>
      <c r="AJ22" s="3157"/>
      <c r="AK22" s="3157"/>
      <c r="AL22" s="3157"/>
      <c r="AM22" s="3157"/>
      <c r="AN22" s="3157"/>
      <c r="AO22" s="3157"/>
      <c r="AP22" s="3157"/>
      <c r="AQ22" s="3157"/>
      <c r="AR22" s="3157"/>
      <c r="AS22" s="3157"/>
      <c r="AT22" s="3157"/>
      <c r="AU22" s="3157"/>
      <c r="AV22" s="3157"/>
      <c r="AW22" s="3157"/>
      <c r="AX22" s="3157"/>
      <c r="AY22" s="3157"/>
      <c r="AZ22" s="3157"/>
      <c r="BA22" s="3157"/>
      <c r="BB22" s="3157"/>
      <c r="BC22" s="3157"/>
      <c r="BD22" s="3157"/>
      <c r="BE22" s="3157"/>
      <c r="BF22" s="3157"/>
      <c r="BG22" s="3157"/>
      <c r="BH22" s="3157"/>
      <c r="BI22" s="3157"/>
    </row>
    <row r="23" spans="1:61" ht="17.649999999999999" customHeight="1">
      <c r="A23" s="3166" t="s">
        <v>93</v>
      </c>
      <c r="B23" s="3178" t="s">
        <v>90</v>
      </c>
      <c r="C23" s="3179" t="s">
        <v>12</v>
      </c>
      <c r="D23" s="3208">
        <v>40819</v>
      </c>
      <c r="E23" s="3181">
        <v>46641</v>
      </c>
      <c r="F23" s="3181">
        <v>53394</v>
      </c>
      <c r="G23" s="3181">
        <v>67095</v>
      </c>
      <c r="H23" s="3181">
        <v>86413</v>
      </c>
      <c r="I23" s="3181">
        <v>85002</v>
      </c>
      <c r="J23" s="3174">
        <v>96584</v>
      </c>
      <c r="K23" s="3174">
        <v>104829</v>
      </c>
      <c r="L23" s="3174">
        <v>108668</v>
      </c>
      <c r="M23" s="3174">
        <v>109836</v>
      </c>
      <c r="N23" s="3174">
        <v>125644</v>
      </c>
      <c r="O23" s="3174">
        <v>128557</v>
      </c>
      <c r="P23" s="3174">
        <v>137219</v>
      </c>
      <c r="Q23" s="3216" t="s">
        <v>94</v>
      </c>
      <c r="R23" s="3157"/>
      <c r="S23" s="3157"/>
      <c r="T23" s="3157"/>
      <c r="U23" s="3157"/>
      <c r="V23" s="3157"/>
      <c r="W23" s="3157"/>
      <c r="X23" s="3157"/>
      <c r="Y23" s="3157"/>
      <c r="Z23" s="3157"/>
      <c r="AA23" s="3157"/>
      <c r="AB23" s="3157"/>
      <c r="AC23" s="3157"/>
      <c r="AD23" s="3157"/>
      <c r="AE23" s="3157"/>
      <c r="AF23" s="3157"/>
      <c r="AG23" s="3157"/>
      <c r="AH23" s="3157"/>
      <c r="AI23" s="3157"/>
      <c r="AJ23" s="3157"/>
      <c r="AK23" s="3157"/>
      <c r="AL23" s="3157"/>
      <c r="AM23" s="3157"/>
      <c r="AN23" s="3157"/>
      <c r="AO23" s="3157"/>
      <c r="AP23" s="3157"/>
      <c r="AQ23" s="3157"/>
      <c r="AR23" s="3157"/>
      <c r="AS23" s="3157"/>
      <c r="AT23" s="3157"/>
      <c r="AU23" s="3157"/>
      <c r="AV23" s="3157"/>
      <c r="AW23" s="3157"/>
      <c r="AX23" s="3157"/>
      <c r="AY23" s="3157"/>
      <c r="AZ23" s="3157"/>
      <c r="BA23" s="3157"/>
      <c r="BB23" s="3157"/>
      <c r="BC23" s="3157"/>
      <c r="BD23" s="3157"/>
      <c r="BE23" s="3157"/>
      <c r="BF23" s="3157"/>
      <c r="BG23" s="3157"/>
      <c r="BH23" s="3157"/>
      <c r="BI23" s="3157"/>
    </row>
    <row r="24" spans="1:61" ht="17.649999999999999" customHeight="1">
      <c r="A24" s="3217" t="s">
        <v>95</v>
      </c>
      <c r="B24" s="3218" t="s">
        <v>96</v>
      </c>
      <c r="C24" s="3219" t="s">
        <v>12</v>
      </c>
      <c r="D24" s="3220">
        <v>60106</v>
      </c>
      <c r="E24" s="3221">
        <v>67271</v>
      </c>
      <c r="F24" s="3222">
        <v>74016</v>
      </c>
      <c r="G24" s="3221">
        <v>79976</v>
      </c>
      <c r="H24" s="3220">
        <v>88424</v>
      </c>
      <c r="I24" s="3223">
        <v>98358</v>
      </c>
      <c r="J24" s="3224">
        <v>116014.277660686</v>
      </c>
      <c r="K24" s="3225">
        <v>131332.53047524224</v>
      </c>
      <c r="L24" s="3223">
        <v>145312.16251779645</v>
      </c>
      <c r="M24" s="3224">
        <v>178924.55683905896</v>
      </c>
      <c r="N24" s="3226">
        <v>184650</v>
      </c>
      <c r="O24" s="3226">
        <v>209570</v>
      </c>
      <c r="P24" s="3226">
        <v>227044</v>
      </c>
      <c r="Q24" s="3227">
        <v>256025</v>
      </c>
      <c r="R24" s="3157"/>
      <c r="S24" s="3157"/>
      <c r="T24" s="3157"/>
      <c r="U24" s="3157"/>
      <c r="V24" s="3157"/>
      <c r="W24" s="3157"/>
      <c r="X24" s="3157"/>
      <c r="Y24" s="3157"/>
      <c r="Z24" s="3157"/>
      <c r="AA24" s="3157"/>
      <c r="AB24" s="3157"/>
      <c r="AC24" s="3157"/>
      <c r="AD24" s="3157"/>
      <c r="AE24" s="3157"/>
      <c r="AF24" s="3157"/>
      <c r="AG24" s="3157"/>
      <c r="AH24" s="3157"/>
      <c r="AI24" s="3157"/>
      <c r="AJ24" s="3157"/>
      <c r="AK24" s="3157"/>
      <c r="AL24" s="3157"/>
      <c r="AM24" s="3157"/>
      <c r="AN24" s="3157"/>
      <c r="AO24" s="3157"/>
      <c r="AP24" s="3157"/>
      <c r="AQ24" s="3157"/>
      <c r="AR24" s="3157"/>
      <c r="AS24" s="3157"/>
      <c r="AT24" s="3157"/>
      <c r="AU24" s="3157"/>
      <c r="AV24" s="3157"/>
      <c r="AW24" s="3157"/>
      <c r="AX24" s="3157"/>
      <c r="AY24" s="3157"/>
      <c r="AZ24" s="3157"/>
      <c r="BA24" s="3157"/>
      <c r="BB24" s="3157"/>
      <c r="BC24" s="3157"/>
      <c r="BD24" s="3157"/>
      <c r="BE24" s="3157"/>
      <c r="BF24" s="3157"/>
      <c r="BG24" s="3157"/>
      <c r="BH24" s="3157"/>
      <c r="BI24" s="3157"/>
    </row>
    <row r="25" spans="1:61" ht="17.649999999999999" customHeight="1">
      <c r="A25" s="3217" t="s">
        <v>97</v>
      </c>
      <c r="B25" s="3218" t="s">
        <v>25</v>
      </c>
      <c r="C25" s="3219" t="s">
        <v>16</v>
      </c>
      <c r="D25" s="3228">
        <v>20.399999999999999</v>
      </c>
      <c r="E25" s="3229">
        <v>11.9</v>
      </c>
      <c r="F25" s="3230">
        <v>10</v>
      </c>
      <c r="G25" s="3229">
        <v>8.1</v>
      </c>
      <c r="H25" s="3228">
        <v>5.3</v>
      </c>
      <c r="I25" s="3231">
        <v>11.2</v>
      </c>
      <c r="J25" s="3232">
        <v>18</v>
      </c>
      <c r="K25" s="3233">
        <v>13.2</v>
      </c>
      <c r="L25" s="3233">
        <v>10.643935644506712</v>
      </c>
      <c r="M25" s="3233">
        <v>23.131606474344856</v>
      </c>
      <c r="N25" s="3234">
        <v>3.2</v>
      </c>
      <c r="O25" s="3234">
        <v>13.5</v>
      </c>
      <c r="P25" s="3234">
        <v>8.3000000000000007</v>
      </c>
      <c r="Q25" s="3234">
        <v>12.8</v>
      </c>
      <c r="R25" s="3157"/>
      <c r="S25" s="3235"/>
      <c r="T25" s="3235"/>
      <c r="U25" s="3235"/>
      <c r="V25" s="3157"/>
      <c r="W25" s="3157"/>
      <c r="X25" s="3157"/>
      <c r="Y25" s="3157"/>
      <c r="Z25" s="3157"/>
      <c r="AA25" s="3157"/>
      <c r="AB25" s="3157"/>
      <c r="AC25" s="3157"/>
      <c r="AD25" s="3157"/>
      <c r="AE25" s="3157"/>
      <c r="AF25" s="3157"/>
      <c r="AG25" s="3157"/>
      <c r="AH25" s="3157"/>
      <c r="AI25" s="3157"/>
      <c r="AJ25" s="3157"/>
      <c r="AK25" s="3157"/>
      <c r="AL25" s="3157"/>
      <c r="AM25" s="3157"/>
      <c r="AN25" s="3157"/>
      <c r="AO25" s="3157"/>
      <c r="AP25" s="3157"/>
      <c r="AQ25" s="3157"/>
      <c r="AR25" s="3157"/>
      <c r="AS25" s="3157"/>
      <c r="AT25" s="3157"/>
      <c r="AU25" s="3157"/>
      <c r="AV25" s="3157"/>
      <c r="AW25" s="3157"/>
      <c r="AX25" s="3157"/>
      <c r="AY25" s="3157"/>
      <c r="AZ25" s="3157"/>
      <c r="BA25" s="3157"/>
      <c r="BB25" s="3157"/>
      <c r="BC25" s="3157"/>
      <c r="BD25" s="3157"/>
      <c r="BE25" s="3157"/>
      <c r="BF25" s="3157"/>
      <c r="BG25" s="3157"/>
      <c r="BH25" s="3157"/>
      <c r="BI25" s="3157"/>
    </row>
    <row r="26" spans="1:61" ht="17.649999999999999" customHeight="1">
      <c r="A26" s="3217" t="s">
        <v>98</v>
      </c>
      <c r="B26" s="3218" t="s">
        <v>96</v>
      </c>
      <c r="C26" s="3219" t="s">
        <v>12</v>
      </c>
      <c r="D26" s="3220"/>
      <c r="E26" s="3221"/>
      <c r="F26" s="3222"/>
      <c r="G26" s="3221"/>
      <c r="H26" s="3220">
        <v>9267</v>
      </c>
      <c r="I26" s="3223">
        <v>10652</v>
      </c>
      <c r="J26" s="3225">
        <v>11664</v>
      </c>
      <c r="K26" s="3225">
        <v>13028</v>
      </c>
      <c r="L26" s="3223">
        <v>14260</v>
      </c>
      <c r="M26" s="3224">
        <v>16156</v>
      </c>
      <c r="N26" s="3226">
        <v>17153</v>
      </c>
      <c r="O26" s="3226">
        <v>18975</v>
      </c>
      <c r="P26" s="3226">
        <v>20308</v>
      </c>
      <c r="Q26" s="3226">
        <v>22170</v>
      </c>
      <c r="R26" s="3157"/>
      <c r="S26" s="3157"/>
      <c r="T26" s="3157"/>
      <c r="U26" s="3157"/>
      <c r="V26" s="3157"/>
      <c r="W26" s="3157"/>
      <c r="X26" s="3157"/>
      <c r="Y26" s="3157"/>
      <c r="Z26" s="3157"/>
      <c r="AA26" s="3157"/>
      <c r="AB26" s="3157"/>
      <c r="AC26" s="3157"/>
      <c r="AD26" s="3157"/>
      <c r="AE26" s="3157"/>
      <c r="AF26" s="3157"/>
      <c r="AG26" s="3157"/>
      <c r="AH26" s="3157"/>
      <c r="AI26" s="3157"/>
      <c r="AJ26" s="3157"/>
      <c r="AK26" s="3157"/>
      <c r="AL26" s="3157"/>
      <c r="AM26" s="3157"/>
      <c r="AN26" s="3157"/>
      <c r="AO26" s="3157"/>
      <c r="AP26" s="3157"/>
      <c r="AQ26" s="3157"/>
      <c r="AR26" s="3157"/>
      <c r="AS26" s="3157"/>
      <c r="AT26" s="3157"/>
      <c r="AU26" s="3157"/>
      <c r="AV26" s="3157"/>
      <c r="AW26" s="3157"/>
      <c r="AX26" s="3157"/>
      <c r="AY26" s="3157"/>
      <c r="AZ26" s="3157"/>
      <c r="BA26" s="3157"/>
      <c r="BB26" s="3157"/>
      <c r="BC26" s="3157"/>
      <c r="BD26" s="3157"/>
      <c r="BE26" s="3157"/>
      <c r="BF26" s="3157"/>
      <c r="BG26" s="3157"/>
      <c r="BH26" s="3157"/>
      <c r="BI26" s="3157"/>
    </row>
    <row r="27" spans="1:61" ht="17.649999999999999" customHeight="1">
      <c r="A27" s="3217" t="s">
        <v>99</v>
      </c>
      <c r="B27" s="3218" t="s">
        <v>96</v>
      </c>
      <c r="C27" s="3219" t="s">
        <v>12</v>
      </c>
      <c r="D27" s="3221">
        <v>67323</v>
      </c>
      <c r="E27" s="3221">
        <v>75522</v>
      </c>
      <c r="F27" s="3221">
        <v>79869</v>
      </c>
      <c r="G27" s="3236">
        <v>90439</v>
      </c>
      <c r="H27" s="3236">
        <v>108206</v>
      </c>
      <c r="I27" s="3223">
        <v>118109</v>
      </c>
      <c r="J27" s="3223">
        <v>128856</v>
      </c>
      <c r="K27" s="3223">
        <v>139733</v>
      </c>
      <c r="L27" s="3223">
        <v>162026</v>
      </c>
      <c r="M27" s="3223">
        <v>185322</v>
      </c>
      <c r="N27" s="3226">
        <v>206889.68900000001</v>
      </c>
      <c r="O27" s="3226">
        <v>227415</v>
      </c>
      <c r="P27" s="3226">
        <v>240640</v>
      </c>
      <c r="Q27" s="3226">
        <v>266199</v>
      </c>
      <c r="R27" s="3157"/>
      <c r="S27" s="3157"/>
      <c r="T27" s="3157"/>
      <c r="U27" s="3157"/>
      <c r="V27" s="3157"/>
      <c r="W27" s="3157"/>
      <c r="X27" s="3157"/>
      <c r="Y27" s="3157"/>
      <c r="Z27" s="3157"/>
      <c r="AA27" s="3157"/>
      <c r="AB27" s="3157"/>
      <c r="AC27" s="3157"/>
      <c r="AD27" s="3157"/>
      <c r="AE27" s="3157"/>
      <c r="AF27" s="3157"/>
      <c r="AG27" s="3157"/>
      <c r="AH27" s="3157"/>
      <c r="AI27" s="3157"/>
      <c r="AJ27" s="3157"/>
      <c r="AK27" s="3157"/>
      <c r="AL27" s="3157"/>
      <c r="AM27" s="3157"/>
      <c r="AN27" s="3157"/>
      <c r="AO27" s="3157"/>
      <c r="AP27" s="3157"/>
      <c r="AQ27" s="3157"/>
      <c r="AR27" s="3157"/>
      <c r="AS27" s="3157"/>
      <c r="AT27" s="3157"/>
      <c r="AU27" s="3157"/>
      <c r="AV27" s="3157"/>
      <c r="AW27" s="3157"/>
      <c r="AX27" s="3157"/>
      <c r="AY27" s="3157"/>
      <c r="AZ27" s="3157"/>
      <c r="BA27" s="3157"/>
      <c r="BB27" s="3157"/>
      <c r="BC27" s="3157"/>
      <c r="BD27" s="3157"/>
      <c r="BE27" s="3157"/>
      <c r="BF27" s="3157"/>
      <c r="BG27" s="3157"/>
      <c r="BH27" s="3157"/>
      <c r="BI27" s="3157"/>
    </row>
    <row r="28" spans="1:61" ht="17.649999999999999" customHeight="1">
      <c r="A28" s="3217" t="s">
        <v>100</v>
      </c>
      <c r="B28" s="3218" t="s">
        <v>96</v>
      </c>
      <c r="C28" s="3219" t="s">
        <v>12</v>
      </c>
      <c r="D28" s="3220"/>
      <c r="E28" s="3221"/>
      <c r="F28" s="3221"/>
      <c r="G28" s="3221"/>
      <c r="H28" s="3237">
        <v>149565</v>
      </c>
      <c r="I28" s="3225">
        <v>177761</v>
      </c>
      <c r="J28" s="3223">
        <v>189440</v>
      </c>
      <c r="K28" s="3224">
        <v>207523</v>
      </c>
      <c r="L28" s="3223">
        <v>239318</v>
      </c>
      <c r="M28" s="3224">
        <v>274314</v>
      </c>
      <c r="N28" s="3226">
        <v>296480</v>
      </c>
      <c r="O28" s="3226">
        <v>301731</v>
      </c>
      <c r="P28" s="3226">
        <v>321619</v>
      </c>
      <c r="Q28" s="3226">
        <v>347363</v>
      </c>
      <c r="R28" s="3157"/>
      <c r="S28" s="3157"/>
      <c r="T28" s="3157"/>
      <c r="U28" s="3157"/>
      <c r="V28" s="3157"/>
      <c r="W28" s="3157"/>
      <c r="X28" s="3157"/>
      <c r="Y28" s="3157"/>
      <c r="Z28" s="3157"/>
      <c r="AA28" s="3157"/>
      <c r="AB28" s="3157"/>
      <c r="AC28" s="3157"/>
      <c r="AD28" s="3157"/>
      <c r="AE28" s="3157"/>
      <c r="AF28" s="3157"/>
      <c r="AG28" s="3157"/>
      <c r="AH28" s="3157"/>
      <c r="AI28" s="3157"/>
      <c r="AJ28" s="3157"/>
      <c r="AK28" s="3157"/>
      <c r="AL28" s="3157"/>
      <c r="AM28" s="3157"/>
      <c r="AN28" s="3157"/>
      <c r="AO28" s="3157"/>
      <c r="AP28" s="3157"/>
      <c r="AQ28" s="3157"/>
      <c r="AR28" s="3157"/>
      <c r="AS28" s="3157"/>
      <c r="AT28" s="3157"/>
      <c r="AU28" s="3157"/>
      <c r="AV28" s="3157"/>
      <c r="AW28" s="3157"/>
      <c r="AX28" s="3157"/>
      <c r="AY28" s="3157"/>
      <c r="AZ28" s="3157"/>
      <c r="BA28" s="3157"/>
      <c r="BB28" s="3157"/>
      <c r="BC28" s="3157"/>
      <c r="BD28" s="3157"/>
      <c r="BE28" s="3157"/>
      <c r="BF28" s="3157"/>
      <c r="BG28" s="3157"/>
      <c r="BH28" s="3157"/>
      <c r="BI28" s="3157"/>
    </row>
    <row r="29" spans="1:61" ht="17.649999999999999" customHeight="1">
      <c r="A29" s="3217" t="s">
        <v>101</v>
      </c>
      <c r="B29" s="3218" t="s">
        <v>25</v>
      </c>
      <c r="C29" s="3219" t="s">
        <v>16</v>
      </c>
      <c r="D29" s="3220"/>
      <c r="E29" s="3221"/>
      <c r="F29" s="3221"/>
      <c r="G29" s="3221"/>
      <c r="H29" s="3221"/>
      <c r="I29" s="3238">
        <v>18.899999999999999</v>
      </c>
      <c r="J29" s="3231">
        <v>6.6</v>
      </c>
      <c r="K29" s="3239">
        <v>9.5</v>
      </c>
      <c r="L29" s="3238">
        <v>15.3</v>
      </c>
      <c r="M29" s="3238">
        <v>14.6</v>
      </c>
      <c r="N29" s="3234">
        <v>8.1</v>
      </c>
      <c r="O29" s="3234">
        <v>1.8</v>
      </c>
      <c r="P29" s="3234">
        <v>6.6</v>
      </c>
      <c r="Q29" s="3258">
        <v>8</v>
      </c>
      <c r="R29" s="3235"/>
      <c r="S29" s="3235"/>
      <c r="T29" s="3235"/>
      <c r="U29" s="3235"/>
      <c r="V29" s="3157"/>
      <c r="W29" s="3157"/>
      <c r="X29" s="3157"/>
      <c r="Y29" s="3157"/>
      <c r="Z29" s="3157"/>
      <c r="AA29" s="3157"/>
      <c r="AB29" s="3157"/>
      <c r="AC29" s="3157"/>
      <c r="AD29" s="3157"/>
      <c r="AE29" s="3157"/>
      <c r="AF29" s="3157"/>
      <c r="AG29" s="3157"/>
      <c r="AH29" s="3157"/>
      <c r="AI29" s="3157"/>
      <c r="AJ29" s="3157"/>
      <c r="AK29" s="3157"/>
      <c r="AL29" s="3157"/>
      <c r="AM29" s="3157"/>
      <c r="AN29" s="3157"/>
      <c r="AO29" s="3157"/>
      <c r="AP29" s="3157"/>
      <c r="AQ29" s="3157"/>
      <c r="AR29" s="3157"/>
      <c r="AS29" s="3157"/>
      <c r="AT29" s="3157"/>
      <c r="AU29" s="3157"/>
      <c r="AV29" s="3157"/>
      <c r="AW29" s="3157"/>
      <c r="AX29" s="3157"/>
      <c r="AY29" s="3157"/>
      <c r="AZ29" s="3157"/>
      <c r="BA29" s="3157"/>
      <c r="BB29" s="3157"/>
      <c r="BC29" s="3157"/>
      <c r="BD29" s="3157"/>
      <c r="BE29" s="3157"/>
      <c r="BF29" s="3157"/>
      <c r="BG29" s="3157"/>
      <c r="BH29" s="3157"/>
      <c r="BI29" s="3157"/>
    </row>
    <row r="30" spans="1:61" ht="17.649999999999999" customHeight="1">
      <c r="A30" s="3217" t="s">
        <v>102</v>
      </c>
      <c r="B30" s="3218" t="s">
        <v>96</v>
      </c>
      <c r="C30" s="3219" t="s">
        <v>12</v>
      </c>
      <c r="D30" s="3220"/>
      <c r="E30" s="3221"/>
      <c r="F30" s="3221"/>
      <c r="G30" s="3221"/>
      <c r="H30" s="3237">
        <v>109933</v>
      </c>
      <c r="I30" s="3225">
        <v>122849</v>
      </c>
      <c r="J30" s="3223">
        <v>142228</v>
      </c>
      <c r="K30" s="3224">
        <v>160176</v>
      </c>
      <c r="L30" s="3223">
        <v>179168</v>
      </c>
      <c r="M30" s="3224">
        <v>225468</v>
      </c>
      <c r="N30" s="3226">
        <v>227569</v>
      </c>
      <c r="O30" s="3226">
        <v>279012</v>
      </c>
      <c r="P30" s="3226">
        <v>311129</v>
      </c>
      <c r="Q30" s="3226">
        <v>364274</v>
      </c>
      <c r="R30" s="3235"/>
      <c r="S30" s="3235"/>
      <c r="T30" s="3235"/>
      <c r="U30" s="3235"/>
      <c r="V30" s="3157"/>
      <c r="W30" s="3157"/>
      <c r="X30" s="3157"/>
      <c r="Y30" s="3157"/>
      <c r="Z30" s="3157"/>
      <c r="AA30" s="3157"/>
      <c r="AB30" s="3157"/>
      <c r="AC30" s="3157"/>
      <c r="AD30" s="3157"/>
      <c r="AE30" s="3157"/>
      <c r="AF30" s="3157"/>
      <c r="AG30" s="3157"/>
      <c r="AH30" s="3157"/>
      <c r="AI30" s="3157"/>
      <c r="AJ30" s="3157"/>
      <c r="AK30" s="3157"/>
      <c r="AL30" s="3157"/>
      <c r="AM30" s="3157"/>
      <c r="AN30" s="3157"/>
      <c r="AO30" s="3157"/>
      <c r="AP30" s="3157"/>
      <c r="AQ30" s="3157"/>
      <c r="AR30" s="3157"/>
      <c r="AS30" s="3157"/>
      <c r="AT30" s="3157"/>
      <c r="AU30" s="3157"/>
      <c r="AV30" s="3157"/>
      <c r="AW30" s="3157"/>
      <c r="AX30" s="3157"/>
      <c r="AY30" s="3157"/>
      <c r="AZ30" s="3157"/>
      <c r="BA30" s="3157"/>
      <c r="BB30" s="3157"/>
      <c r="BC30" s="3157"/>
      <c r="BD30" s="3157"/>
      <c r="BE30" s="3157"/>
      <c r="BF30" s="3157"/>
      <c r="BG30" s="3157"/>
      <c r="BH30" s="3157"/>
      <c r="BI30" s="3157"/>
    </row>
    <row r="31" spans="1:61" ht="17.649999999999999" customHeight="1">
      <c r="A31" s="3217" t="s">
        <v>103</v>
      </c>
      <c r="B31" s="3218" t="s">
        <v>25</v>
      </c>
      <c r="C31" s="3219" t="s">
        <v>16</v>
      </c>
      <c r="D31" s="3220"/>
      <c r="E31" s="3221"/>
      <c r="F31" s="3221"/>
      <c r="G31" s="3221"/>
      <c r="H31" s="3221"/>
      <c r="I31" s="3238">
        <v>11.7</v>
      </c>
      <c r="J31" s="3231">
        <v>15.8</v>
      </c>
      <c r="K31" s="3239">
        <v>12.6</v>
      </c>
      <c r="L31" s="3238">
        <v>11.9</v>
      </c>
      <c r="M31" s="3238">
        <v>25.8</v>
      </c>
      <c r="N31" s="3234">
        <v>0.9</v>
      </c>
      <c r="O31" s="3234">
        <v>22.6</v>
      </c>
      <c r="P31" s="3234">
        <v>11.5</v>
      </c>
      <c r="Q31" s="3240">
        <v>17.100000000000001</v>
      </c>
      <c r="R31" s="3235"/>
      <c r="S31" s="3235"/>
      <c r="T31" s="3235"/>
      <c r="U31" s="3235"/>
      <c r="V31" s="3157"/>
      <c r="W31" s="3157"/>
      <c r="X31" s="3157"/>
      <c r="Y31" s="3157"/>
      <c r="Z31" s="3157"/>
      <c r="AA31" s="3157"/>
      <c r="AB31" s="3157"/>
      <c r="AC31" s="3157"/>
      <c r="AD31" s="3157"/>
      <c r="AE31" s="3157"/>
      <c r="AF31" s="3157"/>
      <c r="AG31" s="3157"/>
      <c r="AH31" s="3157"/>
      <c r="AI31" s="3157"/>
      <c r="AJ31" s="3157"/>
      <c r="AK31" s="3157"/>
      <c r="AL31" s="3157"/>
      <c r="AM31" s="3157"/>
      <c r="AN31" s="3157"/>
      <c r="AO31" s="3157"/>
      <c r="AP31" s="3157"/>
      <c r="AQ31" s="3157"/>
      <c r="AR31" s="3157"/>
      <c r="AS31" s="3157"/>
      <c r="AT31" s="3157"/>
      <c r="AU31" s="3157"/>
      <c r="AV31" s="3157"/>
      <c r="AW31" s="3157"/>
      <c r="AX31" s="3157"/>
      <c r="AY31" s="3157"/>
      <c r="AZ31" s="3157"/>
      <c r="BA31" s="3157"/>
      <c r="BB31" s="3157"/>
      <c r="BC31" s="3157"/>
      <c r="BD31" s="3157"/>
      <c r="BE31" s="3157"/>
      <c r="BF31" s="3157"/>
      <c r="BG31" s="3157"/>
      <c r="BH31" s="3157"/>
      <c r="BI31" s="3157"/>
    </row>
    <row r="32" spans="1:61" ht="17.649999999999999" customHeight="1">
      <c r="A32" s="3217"/>
      <c r="B32" s="3218"/>
      <c r="C32" s="3219"/>
      <c r="D32" s="3220"/>
      <c r="E32" s="3221"/>
      <c r="F32" s="3221"/>
      <c r="G32" s="3221"/>
      <c r="H32" s="3221"/>
      <c r="I32" s="3238"/>
      <c r="J32" s="3231"/>
      <c r="K32" s="3239"/>
      <c r="L32" s="3238"/>
      <c r="M32" s="3238"/>
      <c r="N32" s="3234"/>
      <c r="O32" s="3234"/>
      <c r="P32" s="3234"/>
      <c r="Q32" s="3234"/>
      <c r="R32" s="3235"/>
      <c r="S32" s="3235"/>
      <c r="T32" s="3235"/>
      <c r="U32" s="3235"/>
      <c r="V32" s="3157"/>
      <c r="W32" s="3157"/>
      <c r="X32" s="3157"/>
      <c r="Y32" s="3157"/>
      <c r="Z32" s="3157"/>
      <c r="AA32" s="3157"/>
      <c r="AB32" s="3157"/>
      <c r="AC32" s="3157"/>
      <c r="AD32" s="3157"/>
      <c r="AE32" s="3157"/>
      <c r="AF32" s="3157"/>
      <c r="AG32" s="3157"/>
      <c r="AH32" s="3157"/>
      <c r="AI32" s="3157"/>
      <c r="AJ32" s="3157"/>
      <c r="AK32" s="3157"/>
      <c r="AL32" s="3157"/>
      <c r="AM32" s="3157"/>
      <c r="AN32" s="3157"/>
      <c r="AO32" s="3157"/>
      <c r="AP32" s="3157"/>
      <c r="AQ32" s="3157"/>
      <c r="AR32" s="3157"/>
      <c r="AS32" s="3157"/>
      <c r="AT32" s="3157"/>
      <c r="AU32" s="3157"/>
      <c r="AV32" s="3157"/>
      <c r="AW32" s="3157"/>
      <c r="AX32" s="3157"/>
      <c r="AY32" s="3157"/>
      <c r="AZ32" s="3157"/>
      <c r="BA32" s="3157"/>
      <c r="BB32" s="3157"/>
      <c r="BC32" s="3157"/>
      <c r="BD32" s="3157"/>
      <c r="BE32" s="3157"/>
      <c r="BF32" s="3157"/>
      <c r="BG32" s="3157"/>
      <c r="BH32" s="3157"/>
      <c r="BI32" s="3157"/>
    </row>
    <row r="33" spans="1:61" ht="6" customHeight="1" thickBot="1">
      <c r="A33" s="3241"/>
      <c r="B33" s="3242"/>
      <c r="C33" s="3243"/>
      <c r="D33" s="3244"/>
      <c r="E33" s="3244"/>
      <c r="F33" s="3244"/>
      <c r="G33" s="3244"/>
      <c r="H33" s="3244"/>
      <c r="I33" s="3244"/>
      <c r="J33" s="3245"/>
      <c r="K33" s="3245"/>
      <c r="L33" s="3245"/>
      <c r="M33" s="3245"/>
      <c r="N33" s="3246"/>
      <c r="O33" s="3246"/>
      <c r="P33" s="3246"/>
      <c r="Q33" s="3246"/>
      <c r="R33" s="3157"/>
      <c r="S33" s="3157"/>
      <c r="T33" s="3157"/>
      <c r="U33" s="3157"/>
      <c r="V33" s="3157"/>
      <c r="W33" s="3157"/>
      <c r="X33" s="3157"/>
      <c r="Y33" s="3157"/>
      <c r="Z33" s="3157"/>
      <c r="AA33" s="3157"/>
      <c r="AB33" s="3157"/>
      <c r="AC33" s="3157"/>
      <c r="AD33" s="3157"/>
      <c r="AE33" s="3157"/>
      <c r="AF33" s="3157"/>
      <c r="AG33" s="3157"/>
      <c r="AH33" s="3157"/>
      <c r="AI33" s="3157"/>
      <c r="AJ33" s="3157"/>
      <c r="AK33" s="3157"/>
      <c r="AL33" s="3157"/>
      <c r="AM33" s="3157"/>
      <c r="AN33" s="3157"/>
      <c r="AO33" s="3157"/>
      <c r="AP33" s="3157"/>
      <c r="AQ33" s="3157"/>
      <c r="AR33" s="3157"/>
      <c r="AS33" s="3157"/>
      <c r="AT33" s="3157"/>
      <c r="AU33" s="3157"/>
      <c r="AV33" s="3157"/>
      <c r="AW33" s="3157"/>
      <c r="AX33" s="3157"/>
      <c r="AY33" s="3157"/>
      <c r="AZ33" s="3157"/>
      <c r="BA33" s="3157"/>
      <c r="BB33" s="3157"/>
      <c r="BC33" s="3157"/>
      <c r="BD33" s="3157"/>
      <c r="BE33" s="3157"/>
      <c r="BF33" s="3157"/>
      <c r="BG33" s="3157"/>
      <c r="BH33" s="3157"/>
      <c r="BI33" s="3157"/>
    </row>
    <row r="34" spans="1:61" s="4" customFormat="1" ht="13.5">
      <c r="A34" s="3247" t="s">
        <v>104</v>
      </c>
      <c r="B34" s="3248" t="s">
        <v>105</v>
      </c>
      <c r="C34" s="3247"/>
      <c r="D34" s="3247"/>
      <c r="E34" s="3247"/>
      <c r="F34" s="3247"/>
      <c r="G34" s="3247"/>
      <c r="H34" s="3247"/>
      <c r="I34" s="3247"/>
      <c r="J34" s="3247"/>
      <c r="K34" s="3247"/>
      <c r="L34" s="3249"/>
      <c r="M34" s="3249"/>
      <c r="N34" s="3249"/>
      <c r="O34" s="3249"/>
      <c r="P34" s="3249"/>
      <c r="Q34" s="3249"/>
      <c r="R34" s="3250"/>
      <c r="S34" s="3250"/>
      <c r="T34" s="3250"/>
      <c r="U34" s="3250"/>
      <c r="V34" s="3250"/>
      <c r="W34" s="3250"/>
      <c r="X34" s="3250"/>
      <c r="Y34" s="3250"/>
      <c r="Z34" s="3250"/>
      <c r="AA34" s="3250"/>
      <c r="AB34" s="3250"/>
      <c r="AC34" s="3250"/>
      <c r="AD34" s="3250"/>
      <c r="AE34" s="3250"/>
      <c r="AF34" s="3250"/>
      <c r="AG34" s="3250"/>
      <c r="AH34" s="3250"/>
      <c r="AI34" s="3250"/>
      <c r="AJ34" s="3250"/>
      <c r="AK34" s="3250"/>
      <c r="AL34" s="3250"/>
      <c r="AM34" s="3250"/>
      <c r="AN34" s="3250"/>
      <c r="AO34" s="3250"/>
      <c r="AP34" s="3250"/>
      <c r="AQ34" s="3250"/>
      <c r="AR34" s="3250"/>
      <c r="AS34" s="3250"/>
      <c r="AT34" s="3250"/>
      <c r="AU34" s="3250"/>
      <c r="AV34" s="3250"/>
      <c r="AW34" s="3250"/>
      <c r="AX34" s="3250"/>
      <c r="AY34" s="3250"/>
      <c r="AZ34" s="3250"/>
      <c r="BA34" s="3250"/>
      <c r="BB34" s="3250"/>
      <c r="BC34" s="3250"/>
      <c r="BD34" s="3250"/>
      <c r="BE34" s="3250"/>
      <c r="BF34" s="3250"/>
      <c r="BG34" s="3250"/>
      <c r="BH34" s="3250"/>
      <c r="BI34" s="3250"/>
    </row>
    <row r="35" spans="1:61" s="4" customFormat="1" ht="13.5">
      <c r="A35" s="3247" t="s">
        <v>106</v>
      </c>
      <c r="B35" s="3251"/>
      <c r="C35" s="3252" t="s">
        <v>107</v>
      </c>
      <c r="D35" s="3251"/>
      <c r="E35" s="3247"/>
      <c r="F35" s="3251"/>
      <c r="G35" s="3251"/>
      <c r="H35" s="3251"/>
      <c r="I35" s="3251"/>
      <c r="J35" s="3251"/>
      <c r="K35" s="3249"/>
      <c r="L35" s="3249"/>
      <c r="M35" s="3249"/>
      <c r="N35" s="3249"/>
      <c r="O35" s="3249"/>
      <c r="P35" s="3249"/>
      <c r="Q35" s="3253"/>
      <c r="R35" s="3250"/>
      <c r="S35" s="3250"/>
      <c r="T35" s="3250"/>
      <c r="U35" s="3250"/>
      <c r="V35" s="3250"/>
      <c r="W35" s="3250"/>
      <c r="X35" s="3250"/>
      <c r="Y35" s="3250"/>
      <c r="Z35" s="3250"/>
      <c r="AA35" s="3250"/>
      <c r="AB35" s="3250"/>
      <c r="AC35" s="3250"/>
      <c r="AD35" s="3250"/>
      <c r="AE35" s="3250"/>
      <c r="AF35" s="3250"/>
      <c r="AG35" s="3250"/>
      <c r="AH35" s="3250"/>
      <c r="AI35" s="3250"/>
      <c r="AJ35" s="3250"/>
      <c r="AK35" s="3250"/>
      <c r="AL35" s="3250"/>
      <c r="AM35" s="3250"/>
      <c r="AN35" s="3250"/>
      <c r="AO35" s="3250"/>
      <c r="AP35" s="3250"/>
      <c r="AQ35" s="3250"/>
      <c r="AR35" s="3250"/>
      <c r="AS35" s="3250"/>
      <c r="AT35" s="3250"/>
      <c r="AU35" s="3250"/>
      <c r="AV35" s="3250"/>
      <c r="AW35" s="3250"/>
      <c r="AX35" s="3250"/>
      <c r="AY35" s="3250"/>
      <c r="AZ35" s="3250"/>
      <c r="BA35" s="3250"/>
      <c r="BB35" s="3250"/>
      <c r="BC35" s="3250"/>
      <c r="BD35" s="3250"/>
      <c r="BE35" s="3250"/>
      <c r="BF35" s="3250"/>
      <c r="BG35" s="3250"/>
      <c r="BH35" s="3250"/>
      <c r="BI35" s="3250"/>
    </row>
    <row r="36" spans="1:61" s="4" customFormat="1" ht="13.5">
      <c r="A36" s="3254" t="s">
        <v>108</v>
      </c>
      <c r="B36" s="3251"/>
      <c r="C36" s="3251"/>
      <c r="D36" s="3251"/>
      <c r="E36" s="3252"/>
      <c r="F36" s="3251"/>
      <c r="G36" s="3251"/>
      <c r="H36" s="3251"/>
      <c r="I36" s="3251"/>
      <c r="J36" s="3251"/>
      <c r="K36" s="3249"/>
      <c r="L36" s="3249"/>
      <c r="M36" s="3249"/>
      <c r="N36" s="3249"/>
      <c r="O36" s="3249"/>
      <c r="P36" s="3249"/>
      <c r="Q36" s="3249"/>
      <c r="R36" s="3250"/>
      <c r="S36" s="3250"/>
      <c r="T36" s="3250"/>
      <c r="U36" s="3250"/>
      <c r="V36" s="3250"/>
      <c r="W36" s="3250"/>
      <c r="X36" s="3250"/>
      <c r="Y36" s="3250"/>
      <c r="Z36" s="3250"/>
      <c r="AA36" s="3250"/>
      <c r="AB36" s="3250"/>
      <c r="AC36" s="3250"/>
      <c r="AD36" s="3250"/>
      <c r="AE36" s="3250"/>
      <c r="AF36" s="3250"/>
      <c r="AG36" s="3250"/>
      <c r="AH36" s="3250"/>
      <c r="AI36" s="3250"/>
      <c r="AJ36" s="3250"/>
      <c r="AK36" s="3250"/>
      <c r="AL36" s="3250"/>
      <c r="AM36" s="3250"/>
      <c r="AN36" s="3250"/>
      <c r="AO36" s="3250"/>
      <c r="AP36" s="3250"/>
      <c r="AQ36" s="3250"/>
      <c r="AR36" s="3250"/>
      <c r="AS36" s="3250"/>
      <c r="AT36" s="3250"/>
      <c r="AU36" s="3250"/>
      <c r="AV36" s="3250"/>
      <c r="AW36" s="3250"/>
      <c r="AX36" s="3250"/>
      <c r="AY36" s="3250"/>
      <c r="AZ36" s="3250"/>
      <c r="BA36" s="3250"/>
      <c r="BB36" s="3250"/>
      <c r="BC36" s="3250"/>
      <c r="BD36" s="3250"/>
      <c r="BE36" s="3250"/>
      <c r="BF36" s="3250"/>
      <c r="BG36" s="3250"/>
      <c r="BH36" s="3250"/>
      <c r="BI36" s="3250"/>
    </row>
    <row r="37" spans="1:61" s="4" customFormat="1" ht="13.5">
      <c r="A37" s="3252" t="s">
        <v>109</v>
      </c>
      <c r="B37" s="3251"/>
      <c r="C37" s="3251"/>
      <c r="D37" s="3251"/>
      <c r="E37" s="3247"/>
      <c r="F37" s="3251"/>
      <c r="G37" s="3251"/>
      <c r="H37" s="3251"/>
      <c r="I37" s="3251"/>
      <c r="J37" s="3251"/>
      <c r="K37" s="3249"/>
      <c r="L37" s="3249"/>
      <c r="M37" s="3249"/>
      <c r="N37" s="3249"/>
      <c r="O37" s="3249"/>
      <c r="P37" s="3249"/>
      <c r="Q37" s="3249"/>
      <c r="R37" s="3250"/>
      <c r="S37" s="3250"/>
      <c r="T37" s="3250"/>
      <c r="U37" s="3250"/>
      <c r="V37" s="3250"/>
      <c r="W37" s="3250"/>
      <c r="X37" s="3250"/>
      <c r="Y37" s="3250"/>
      <c r="Z37" s="3250"/>
      <c r="AA37" s="3250"/>
      <c r="AB37" s="3250"/>
      <c r="AC37" s="3250"/>
      <c r="AD37" s="3250"/>
      <c r="AE37" s="3250"/>
      <c r="AF37" s="3250"/>
      <c r="AG37" s="3250"/>
      <c r="AH37" s="3250"/>
      <c r="AI37" s="3250"/>
      <c r="AJ37" s="3250"/>
      <c r="AK37" s="3250"/>
      <c r="AL37" s="3250"/>
      <c r="AM37" s="3250"/>
      <c r="AN37" s="3250"/>
      <c r="AO37" s="3250"/>
      <c r="AP37" s="3250"/>
      <c r="AQ37" s="3250"/>
      <c r="AR37" s="3250"/>
      <c r="AS37" s="3250"/>
      <c r="AT37" s="3250"/>
      <c r="AU37" s="3250"/>
      <c r="AV37" s="3250"/>
      <c r="AW37" s="3250"/>
      <c r="AX37" s="3250"/>
      <c r="AY37" s="3250"/>
      <c r="AZ37" s="3250"/>
      <c r="BA37" s="3250"/>
      <c r="BB37" s="3250"/>
      <c r="BC37" s="3250"/>
      <c r="BD37" s="3250"/>
      <c r="BE37" s="3250"/>
      <c r="BF37" s="3250"/>
      <c r="BG37" s="3250"/>
      <c r="BH37" s="3250"/>
      <c r="BI37" s="3250"/>
    </row>
    <row r="38" spans="1:61" ht="15">
      <c r="A38" s="3255" t="s">
        <v>110</v>
      </c>
      <c r="B38" s="3159"/>
      <c r="C38" s="3247"/>
      <c r="D38" s="3159"/>
      <c r="E38" s="3159"/>
      <c r="F38" s="3159"/>
      <c r="G38" s="3159"/>
      <c r="H38" s="3159"/>
      <c r="I38" s="3159"/>
      <c r="J38" s="3159"/>
      <c r="K38" s="3160"/>
      <c r="L38" s="3160"/>
      <c r="M38" s="3160"/>
      <c r="N38" s="3160"/>
      <c r="O38" s="3160"/>
      <c r="P38" s="3160"/>
      <c r="Q38" s="3160"/>
      <c r="R38" s="3157"/>
      <c r="S38" s="3157"/>
      <c r="T38" s="3157"/>
      <c r="U38" s="3157"/>
      <c r="V38" s="3157"/>
      <c r="W38" s="3157"/>
      <c r="X38" s="3157"/>
      <c r="Y38" s="3157"/>
      <c r="Z38" s="3157"/>
      <c r="AA38" s="3157"/>
      <c r="AB38" s="3157"/>
      <c r="AC38" s="3157"/>
      <c r="AD38" s="3157"/>
      <c r="AE38" s="3157"/>
      <c r="AF38" s="3157"/>
      <c r="AG38" s="3157"/>
      <c r="AH38" s="3157"/>
      <c r="AI38" s="3157"/>
      <c r="AJ38" s="3157"/>
      <c r="AK38" s="3157"/>
      <c r="AL38" s="3157"/>
      <c r="AM38" s="3157"/>
      <c r="AN38" s="3157"/>
      <c r="AO38" s="3157"/>
      <c r="AP38" s="3157"/>
      <c r="AQ38" s="3157"/>
      <c r="AR38" s="3157"/>
      <c r="AS38" s="3157"/>
      <c r="AT38" s="3157"/>
      <c r="AU38" s="3157"/>
      <c r="AV38" s="3157"/>
      <c r="AW38" s="3157"/>
      <c r="AX38" s="3157"/>
      <c r="AY38" s="3157"/>
      <c r="AZ38" s="3157"/>
      <c r="BA38" s="3157"/>
      <c r="BB38" s="3157"/>
      <c r="BC38" s="3157"/>
      <c r="BD38" s="3157"/>
      <c r="BE38" s="3157"/>
      <c r="BF38" s="3157"/>
      <c r="BG38" s="3157"/>
      <c r="BH38" s="3157"/>
      <c r="BI38" s="3157"/>
    </row>
    <row r="39" spans="1:61" ht="15">
      <c r="A39" s="3255" t="s">
        <v>111</v>
      </c>
      <c r="B39" s="3159"/>
      <c r="C39" s="3247"/>
      <c r="D39" s="3159"/>
      <c r="E39" s="3159"/>
      <c r="F39" s="3159"/>
      <c r="G39" s="3159"/>
      <c r="H39" s="3159"/>
      <c r="I39" s="3159"/>
      <c r="J39" s="3159"/>
      <c r="K39" s="3160"/>
      <c r="L39" s="3160"/>
      <c r="M39" s="3160"/>
      <c r="N39" s="3160"/>
      <c r="O39" s="3160"/>
      <c r="P39" s="3160"/>
      <c r="Q39" s="3160"/>
      <c r="R39" s="3157"/>
      <c r="S39" s="3157"/>
      <c r="T39" s="3157"/>
      <c r="U39" s="3157"/>
      <c r="V39" s="3157"/>
      <c r="W39" s="3157"/>
      <c r="X39" s="3157"/>
      <c r="Y39" s="3157"/>
      <c r="Z39" s="3157"/>
      <c r="AA39" s="3157"/>
      <c r="AB39" s="3157"/>
      <c r="AC39" s="3157"/>
      <c r="AD39" s="3157"/>
      <c r="AE39" s="3157"/>
      <c r="AF39" s="3157"/>
      <c r="AG39" s="3157"/>
      <c r="AH39" s="3157"/>
      <c r="AI39" s="3157"/>
      <c r="AJ39" s="3157"/>
      <c r="AK39" s="3157"/>
      <c r="AL39" s="3157"/>
      <c r="AM39" s="3157"/>
      <c r="AN39" s="3157"/>
      <c r="AO39" s="3157"/>
      <c r="AP39" s="3157"/>
      <c r="AQ39" s="3157"/>
      <c r="AR39" s="3157"/>
      <c r="AS39" s="3157"/>
      <c r="AT39" s="3157"/>
      <c r="AU39" s="3157"/>
      <c r="AV39" s="3157"/>
      <c r="AW39" s="3157"/>
      <c r="AX39" s="3157"/>
      <c r="AY39" s="3157"/>
      <c r="AZ39" s="3157"/>
      <c r="BA39" s="3157"/>
      <c r="BB39" s="3157"/>
      <c r="BC39" s="3157"/>
      <c r="BD39" s="3157"/>
      <c r="BE39" s="3157"/>
      <c r="BF39" s="3157"/>
      <c r="BG39" s="3157"/>
      <c r="BH39" s="3157"/>
      <c r="BI39" s="3157"/>
    </row>
    <row r="40" spans="1:61" ht="16.5" customHeight="1">
      <c r="A40" s="3255" t="s">
        <v>112</v>
      </c>
      <c r="B40" s="3159"/>
      <c r="C40" s="3247"/>
      <c r="D40" s="3159"/>
      <c r="E40" s="3159"/>
      <c r="F40" s="3159"/>
      <c r="G40" s="3159"/>
      <c r="H40" s="3159"/>
      <c r="I40" s="3159"/>
      <c r="J40" s="3159"/>
      <c r="K40" s="3160"/>
      <c r="L40" s="3160"/>
      <c r="M40" s="3160"/>
      <c r="N40" s="3160"/>
      <c r="O40" s="3160"/>
      <c r="P40" s="3160"/>
      <c r="Q40" s="3160"/>
      <c r="R40" s="3157"/>
      <c r="S40" s="3157"/>
      <c r="T40" s="3157"/>
      <c r="U40" s="3157"/>
      <c r="V40" s="3157"/>
      <c r="W40" s="3157"/>
      <c r="X40" s="3157"/>
      <c r="Y40" s="3157"/>
      <c r="Z40" s="3157"/>
      <c r="AA40" s="3157"/>
      <c r="AB40" s="3157"/>
      <c r="AC40" s="3157"/>
      <c r="AD40" s="3157"/>
      <c r="AE40" s="3157"/>
      <c r="AF40" s="3157"/>
      <c r="AG40" s="3157"/>
      <c r="AH40" s="3157"/>
      <c r="AI40" s="3157"/>
      <c r="AJ40" s="3157"/>
      <c r="AK40" s="3157"/>
      <c r="AL40" s="3157"/>
      <c r="AM40" s="3157"/>
      <c r="AN40" s="3157"/>
      <c r="AO40" s="3157"/>
      <c r="AP40" s="3157"/>
      <c r="AQ40" s="3157"/>
      <c r="AR40" s="3157"/>
      <c r="AS40" s="3157"/>
      <c r="AT40" s="3157"/>
      <c r="AU40" s="3157"/>
      <c r="AV40" s="3157"/>
      <c r="AW40" s="3157"/>
      <c r="AX40" s="3157"/>
      <c r="AY40" s="3157"/>
      <c r="AZ40" s="3157"/>
      <c r="BA40" s="3157"/>
      <c r="BB40" s="3157"/>
      <c r="BC40" s="3157"/>
      <c r="BD40" s="3157"/>
      <c r="BE40" s="3157"/>
      <c r="BF40" s="3157"/>
      <c r="BG40" s="3157"/>
      <c r="BH40" s="3157"/>
      <c r="BI40" s="3157"/>
    </row>
    <row r="41" spans="1:61" ht="15">
      <c r="A41" s="3255" t="s">
        <v>113</v>
      </c>
      <c r="B41" s="3159"/>
      <c r="C41" s="3247"/>
      <c r="D41" s="3159"/>
      <c r="E41" s="3159"/>
      <c r="F41" s="3159"/>
      <c r="G41" s="3159"/>
      <c r="H41" s="3159"/>
      <c r="I41" s="3159"/>
      <c r="J41" s="3159"/>
      <c r="K41" s="3160"/>
      <c r="L41" s="3160"/>
      <c r="M41" s="3160"/>
      <c r="N41" s="3160"/>
      <c r="O41" s="3160"/>
      <c r="P41" s="3160"/>
      <c r="Q41" s="3160"/>
      <c r="R41" s="3157"/>
      <c r="S41" s="3157"/>
      <c r="T41" s="3157"/>
      <c r="U41" s="3157"/>
      <c r="V41" s="3157"/>
      <c r="W41" s="3157"/>
      <c r="X41" s="3157"/>
      <c r="Y41" s="3157"/>
      <c r="Z41" s="3157"/>
      <c r="AA41" s="3157"/>
      <c r="AB41" s="3157"/>
      <c r="AC41" s="3157"/>
      <c r="AD41" s="3157"/>
      <c r="AE41" s="3157"/>
      <c r="AF41" s="3157"/>
      <c r="AG41" s="3157"/>
      <c r="AH41" s="3157"/>
      <c r="AI41" s="3157"/>
      <c r="AJ41" s="3157"/>
      <c r="AK41" s="3157"/>
      <c r="AL41" s="3157"/>
      <c r="AM41" s="3157"/>
      <c r="AN41" s="3157"/>
      <c r="AO41" s="3157"/>
      <c r="AP41" s="3157"/>
      <c r="AQ41" s="3157"/>
      <c r="AR41" s="3157"/>
      <c r="AS41" s="3157"/>
      <c r="AT41" s="3157"/>
      <c r="AU41" s="3157"/>
      <c r="AV41" s="3157"/>
      <c r="AW41" s="3157"/>
      <c r="AX41" s="3157"/>
      <c r="AY41" s="3157"/>
      <c r="AZ41" s="3157"/>
      <c r="BA41" s="3157"/>
      <c r="BB41" s="3157"/>
      <c r="BC41" s="3157"/>
      <c r="BD41" s="3157"/>
      <c r="BE41" s="3157"/>
      <c r="BF41" s="3157"/>
      <c r="BG41" s="3157"/>
      <c r="BH41" s="3157"/>
      <c r="BI41" s="3157"/>
    </row>
    <row r="42" spans="1:61" ht="12.75" customHeight="1">
      <c r="A42" s="3259" t="s">
        <v>114</v>
      </c>
      <c r="B42" s="3259"/>
      <c r="C42" s="3259"/>
      <c r="D42" s="3259"/>
      <c r="E42" s="3259"/>
      <c r="F42" s="3259"/>
      <c r="G42" s="3259"/>
      <c r="H42" s="3259"/>
      <c r="I42" s="3259"/>
      <c r="J42" s="3259"/>
      <c r="K42" s="3259"/>
      <c r="L42" s="3259"/>
      <c r="M42" s="3259"/>
      <c r="N42" s="3259"/>
      <c r="O42" s="3259"/>
      <c r="P42" s="3259"/>
      <c r="Q42" s="3259"/>
      <c r="R42" s="3157"/>
      <c r="S42" s="3157"/>
      <c r="T42" s="3157"/>
      <c r="U42" s="3157"/>
      <c r="V42" s="3157"/>
      <c r="W42" s="3157"/>
      <c r="X42" s="3157"/>
      <c r="Y42" s="3157"/>
      <c r="Z42" s="3157"/>
      <c r="AA42" s="3157"/>
      <c r="AB42" s="3157"/>
      <c r="AC42" s="3157"/>
      <c r="AD42" s="3157"/>
      <c r="AE42" s="3157"/>
      <c r="AF42" s="3157"/>
      <c r="AG42" s="3157"/>
      <c r="AH42" s="3157"/>
      <c r="AI42" s="3157"/>
      <c r="AJ42" s="3157"/>
      <c r="AK42" s="3157"/>
      <c r="AL42" s="3157"/>
      <c r="AM42" s="3157"/>
      <c r="AN42" s="3157"/>
      <c r="AO42" s="3157"/>
      <c r="AP42" s="3157"/>
      <c r="AQ42" s="3157"/>
      <c r="AR42" s="3157"/>
      <c r="AS42" s="3157"/>
      <c r="AT42" s="3157"/>
      <c r="AU42" s="3157"/>
      <c r="AV42" s="3157"/>
      <c r="AW42" s="3157"/>
      <c r="AX42" s="3157"/>
      <c r="AY42" s="3157"/>
      <c r="AZ42" s="3157"/>
      <c r="BA42" s="3157"/>
      <c r="BB42" s="3157"/>
      <c r="BC42" s="3157"/>
      <c r="BD42" s="3157"/>
      <c r="BE42" s="3157"/>
      <c r="BF42" s="3157"/>
      <c r="BG42" s="3157"/>
      <c r="BH42" s="3157"/>
      <c r="BI42" s="3157"/>
    </row>
    <row r="43" spans="1:61" ht="15">
      <c r="A43" s="3256" t="s">
        <v>115</v>
      </c>
      <c r="B43" s="3256"/>
      <c r="C43" s="3256"/>
      <c r="D43" s="3256"/>
      <c r="E43" s="3256"/>
      <c r="F43" s="3256"/>
      <c r="G43" s="3256"/>
      <c r="H43" s="3256"/>
      <c r="I43" s="3256"/>
      <c r="J43" s="3256"/>
      <c r="K43" s="3256"/>
      <c r="L43" s="3256"/>
      <c r="M43" s="3256"/>
      <c r="N43" s="3256"/>
      <c r="O43" s="3256"/>
      <c r="P43" s="3256"/>
      <c r="Q43" s="3256"/>
      <c r="R43" s="3157"/>
      <c r="S43" s="3157"/>
      <c r="T43" s="3157"/>
      <c r="U43" s="3157"/>
      <c r="V43" s="3157"/>
      <c r="W43" s="3157"/>
      <c r="X43" s="3157"/>
      <c r="Y43" s="3157"/>
      <c r="Z43" s="3157"/>
      <c r="AA43" s="3157"/>
      <c r="AB43" s="3157"/>
      <c r="AC43" s="3157"/>
      <c r="AD43" s="3157"/>
      <c r="AE43" s="3157"/>
      <c r="AF43" s="3157"/>
      <c r="AG43" s="3157"/>
      <c r="AH43" s="3157"/>
      <c r="AI43" s="3157"/>
      <c r="AJ43" s="3157"/>
      <c r="AK43" s="3157"/>
      <c r="AL43" s="3157"/>
      <c r="AM43" s="3157"/>
      <c r="AN43" s="3157"/>
      <c r="AO43" s="3157"/>
      <c r="AP43" s="3157"/>
      <c r="AQ43" s="3157"/>
      <c r="AR43" s="3157"/>
      <c r="AS43" s="3157"/>
      <c r="AT43" s="3157"/>
      <c r="AU43" s="3157"/>
      <c r="AV43" s="3157"/>
      <c r="AW43" s="3157"/>
      <c r="AX43" s="3157"/>
      <c r="AY43" s="3157"/>
      <c r="AZ43" s="3157"/>
      <c r="BA43" s="3157"/>
      <c r="BB43" s="3157"/>
      <c r="BC43" s="3157"/>
      <c r="BD43" s="3157"/>
      <c r="BE43" s="3157"/>
      <c r="BF43" s="3157"/>
      <c r="BG43" s="3157"/>
      <c r="BH43" s="3157"/>
      <c r="BI43" s="3157"/>
    </row>
    <row r="44" spans="1:61" ht="15">
      <c r="A44" s="3248" t="s">
        <v>116</v>
      </c>
      <c r="B44" s="3247"/>
      <c r="C44" s="3159"/>
      <c r="D44" s="3159"/>
      <c r="E44" s="3159"/>
      <c r="F44" s="3248"/>
      <c r="G44" s="3248"/>
      <c r="H44" s="3159"/>
      <c r="I44" s="3248"/>
      <c r="J44" s="3159"/>
      <c r="K44" s="3160"/>
      <c r="L44" s="3160"/>
      <c r="M44" s="3160"/>
      <c r="N44" s="3160"/>
      <c r="O44" s="3160"/>
      <c r="P44" s="3160"/>
      <c r="Q44" s="3160"/>
      <c r="R44" s="3157"/>
      <c r="S44" s="3157"/>
      <c r="T44" s="3157"/>
      <c r="U44" s="3157"/>
      <c r="V44" s="3157"/>
      <c r="W44" s="3157"/>
      <c r="X44" s="3157"/>
      <c r="Y44" s="3157"/>
      <c r="Z44" s="3157"/>
      <c r="AA44" s="3157"/>
      <c r="AB44" s="3157"/>
      <c r="AC44" s="3157"/>
      <c r="AD44" s="3157"/>
      <c r="AE44" s="3157"/>
      <c r="AF44" s="3157"/>
      <c r="AG44" s="3157"/>
      <c r="AH44" s="3157"/>
      <c r="AI44" s="3157"/>
      <c r="AJ44" s="3157"/>
      <c r="AK44" s="3157"/>
      <c r="AL44" s="3157"/>
      <c r="AM44" s="3157"/>
      <c r="AN44" s="3157"/>
      <c r="AO44" s="3157"/>
      <c r="AP44" s="3157"/>
      <c r="AQ44" s="3157"/>
      <c r="AR44" s="3157"/>
      <c r="AS44" s="3157"/>
      <c r="AT44" s="3157"/>
      <c r="AU44" s="3157"/>
      <c r="AV44" s="3157"/>
      <c r="AW44" s="3157"/>
      <c r="AX44" s="3157"/>
      <c r="AY44" s="3157"/>
      <c r="AZ44" s="3157"/>
      <c r="BA44" s="3157"/>
      <c r="BB44" s="3157"/>
      <c r="BC44" s="3157"/>
      <c r="BD44" s="3157"/>
      <c r="BE44" s="3157"/>
      <c r="BF44" s="3157"/>
      <c r="BG44" s="3157"/>
      <c r="BH44" s="3157"/>
      <c r="BI44" s="3157"/>
    </row>
    <row r="45" spans="1:61" ht="15">
      <c r="A45" s="3248" t="s">
        <v>117</v>
      </c>
      <c r="B45" s="3248"/>
      <c r="C45" s="3159"/>
      <c r="D45" s="3159"/>
      <c r="E45" s="3159"/>
      <c r="F45" s="3248"/>
      <c r="G45" s="3248"/>
      <c r="H45" s="3159"/>
      <c r="I45" s="3248"/>
      <c r="J45" s="3159"/>
      <c r="K45" s="3160"/>
      <c r="L45" s="3160"/>
      <c r="M45" s="3160"/>
      <c r="N45" s="3160"/>
      <c r="O45" s="3160"/>
      <c r="P45" s="3160"/>
      <c r="Q45" s="3160"/>
      <c r="R45" s="3157"/>
      <c r="S45" s="3157"/>
      <c r="T45" s="3157"/>
      <c r="U45" s="3157"/>
      <c r="V45" s="3157"/>
      <c r="W45" s="3157"/>
      <c r="X45" s="3157"/>
      <c r="Y45" s="3157"/>
      <c r="Z45" s="3157"/>
      <c r="AA45" s="3157"/>
      <c r="AB45" s="3157"/>
      <c r="AC45" s="3157"/>
      <c r="AD45" s="3157"/>
      <c r="AE45" s="3157"/>
      <c r="AF45" s="3157"/>
      <c r="AG45" s="3157"/>
      <c r="AH45" s="3157"/>
      <c r="AI45" s="3157"/>
      <c r="AJ45" s="3157"/>
      <c r="AK45" s="3157"/>
      <c r="AL45" s="3157"/>
      <c r="AM45" s="3157"/>
      <c r="AN45" s="3157"/>
      <c r="AO45" s="3157"/>
      <c r="AP45" s="3157"/>
      <c r="AQ45" s="3157"/>
      <c r="AR45" s="3157"/>
      <c r="AS45" s="3157"/>
      <c r="AT45" s="3157"/>
      <c r="AU45" s="3157"/>
      <c r="AV45" s="3157"/>
      <c r="AW45" s="3157"/>
      <c r="AX45" s="3157"/>
      <c r="AY45" s="3157"/>
      <c r="AZ45" s="3157"/>
      <c r="BA45" s="3157"/>
      <c r="BB45" s="3157"/>
      <c r="BC45" s="3157"/>
      <c r="BD45" s="3157"/>
      <c r="BE45" s="3157"/>
      <c r="BF45" s="3157"/>
      <c r="BG45" s="3157"/>
      <c r="BH45" s="3157"/>
      <c r="BI45" s="3157"/>
    </row>
    <row r="46" spans="1:61" ht="15">
      <c r="A46" s="3248" t="s">
        <v>118</v>
      </c>
      <c r="B46" s="3247"/>
      <c r="C46" s="3159"/>
      <c r="D46" s="3159"/>
      <c r="E46" s="3159"/>
      <c r="F46" s="3248"/>
      <c r="G46" s="3248"/>
      <c r="H46" s="3159"/>
      <c r="I46" s="3248"/>
      <c r="J46" s="3159"/>
      <c r="K46" s="3160"/>
      <c r="L46" s="3160"/>
      <c r="M46" s="3160"/>
      <c r="N46" s="3160"/>
      <c r="O46" s="3160"/>
      <c r="P46" s="3160"/>
      <c r="Q46" s="3160"/>
      <c r="R46" s="3157"/>
      <c r="S46" s="3157"/>
      <c r="T46" s="3157"/>
      <c r="U46" s="3157"/>
      <c r="V46" s="3157"/>
      <c r="W46" s="3157"/>
      <c r="X46" s="3157"/>
      <c r="Y46" s="3157"/>
      <c r="Z46" s="3157"/>
      <c r="AA46" s="3157"/>
      <c r="AB46" s="3157"/>
      <c r="AC46" s="3157"/>
      <c r="AD46" s="3157"/>
      <c r="AE46" s="3157"/>
      <c r="AF46" s="3157"/>
      <c r="AG46" s="3157"/>
      <c r="AH46" s="3157"/>
      <c r="AI46" s="3157"/>
      <c r="AJ46" s="3157"/>
      <c r="AK46" s="3157"/>
      <c r="AL46" s="3157"/>
      <c r="AM46" s="3157"/>
      <c r="AN46" s="3157"/>
      <c r="AO46" s="3157"/>
      <c r="AP46" s="3157"/>
      <c r="AQ46" s="3157"/>
      <c r="AR46" s="3157"/>
      <c r="AS46" s="3157"/>
      <c r="AT46" s="3157"/>
      <c r="AU46" s="3157"/>
      <c r="AV46" s="3157"/>
      <c r="AW46" s="3157"/>
      <c r="AX46" s="3157"/>
      <c r="AY46" s="3157"/>
      <c r="AZ46" s="3157"/>
      <c r="BA46" s="3157"/>
      <c r="BB46" s="3157"/>
      <c r="BC46" s="3157"/>
      <c r="BD46" s="3157"/>
      <c r="BE46" s="3157"/>
      <c r="BF46" s="3157"/>
      <c r="BG46" s="3157"/>
      <c r="BH46" s="3157"/>
      <c r="BI46" s="3157"/>
    </row>
    <row r="47" spans="1:61" ht="15">
      <c r="A47" s="3257"/>
      <c r="B47" s="3157"/>
      <c r="C47" s="3157"/>
      <c r="D47" s="3157"/>
      <c r="E47" s="3157"/>
      <c r="F47" s="3157"/>
      <c r="G47" s="3157"/>
      <c r="H47" s="3157"/>
      <c r="I47" s="3157"/>
      <c r="J47" s="3157"/>
      <c r="K47" s="3157"/>
      <c r="L47" s="3157"/>
      <c r="M47" s="3157"/>
      <c r="N47" s="3157"/>
      <c r="O47" s="3157"/>
      <c r="P47" s="3157"/>
      <c r="Q47" s="3157"/>
      <c r="R47" s="3157"/>
      <c r="S47" s="3157"/>
      <c r="T47" s="3157"/>
      <c r="U47" s="3157"/>
      <c r="V47" s="3157"/>
      <c r="W47" s="3157"/>
      <c r="X47" s="3157"/>
      <c r="Y47" s="3157"/>
      <c r="Z47" s="3157"/>
      <c r="AA47" s="3157"/>
      <c r="AB47" s="3157"/>
      <c r="AC47" s="3157"/>
      <c r="AD47" s="3157"/>
      <c r="AE47" s="3157"/>
      <c r="AF47" s="3157"/>
      <c r="AG47" s="3157"/>
      <c r="AH47" s="3157"/>
      <c r="AI47" s="3157"/>
      <c r="AJ47" s="3157"/>
      <c r="AK47" s="3157"/>
      <c r="AL47" s="3157"/>
      <c r="AM47" s="3157"/>
      <c r="AN47" s="3157"/>
      <c r="AO47" s="3157"/>
      <c r="AP47" s="3157"/>
      <c r="AQ47" s="3157"/>
      <c r="AR47" s="3157"/>
      <c r="AS47" s="3157"/>
      <c r="AT47" s="3157"/>
      <c r="AU47" s="3157"/>
      <c r="AV47" s="3157"/>
      <c r="AW47" s="3157"/>
      <c r="AX47" s="3157"/>
      <c r="AY47" s="3157"/>
      <c r="AZ47" s="3157"/>
      <c r="BA47" s="3157"/>
      <c r="BB47" s="3157"/>
      <c r="BC47" s="3157"/>
      <c r="BD47" s="3157"/>
      <c r="BE47" s="3157"/>
      <c r="BF47" s="3157"/>
      <c r="BG47" s="3157"/>
      <c r="BH47" s="3157"/>
      <c r="BI47" s="3157"/>
    </row>
    <row r="48" spans="1:61" ht="15">
      <c r="A48" s="3257"/>
      <c r="B48" s="3157"/>
      <c r="C48" s="3157"/>
      <c r="D48" s="3157"/>
      <c r="E48" s="3157"/>
      <c r="F48" s="3157"/>
      <c r="G48" s="3157"/>
      <c r="H48" s="3157"/>
      <c r="I48" s="3157"/>
      <c r="J48" s="3157"/>
      <c r="K48" s="3157"/>
      <c r="L48" s="3157"/>
      <c r="M48" s="3157"/>
      <c r="N48" s="3157"/>
      <c r="O48" s="3157"/>
      <c r="P48" s="3157"/>
      <c r="Q48" s="3157"/>
      <c r="R48" s="3157"/>
      <c r="S48" s="3157"/>
      <c r="T48" s="3157"/>
      <c r="U48" s="3157"/>
      <c r="V48" s="3157"/>
      <c r="W48" s="3157"/>
      <c r="X48" s="3157"/>
      <c r="Y48" s="3157"/>
      <c r="Z48" s="3157"/>
      <c r="AA48" s="3157"/>
      <c r="AB48" s="3157"/>
      <c r="AC48" s="3157"/>
      <c r="AD48" s="3157"/>
      <c r="AE48" s="3157"/>
      <c r="AF48" s="3157"/>
      <c r="AG48" s="3157"/>
      <c r="AH48" s="3157"/>
      <c r="AI48" s="3157"/>
      <c r="AJ48" s="3157"/>
      <c r="AK48" s="3157"/>
      <c r="AL48" s="3157"/>
      <c r="AM48" s="3157"/>
      <c r="AN48" s="3157"/>
      <c r="AO48" s="3157"/>
      <c r="AP48" s="3157"/>
      <c r="AQ48" s="3157"/>
      <c r="AR48" s="3157"/>
      <c r="AS48" s="3157"/>
      <c r="AT48" s="3157"/>
      <c r="AU48" s="3157"/>
      <c r="AV48" s="3157"/>
      <c r="AW48" s="3157"/>
      <c r="AX48" s="3157"/>
      <c r="AY48" s="3157"/>
      <c r="AZ48" s="3157"/>
      <c r="BA48" s="3157"/>
      <c r="BB48" s="3157"/>
      <c r="BC48" s="3157"/>
      <c r="BD48" s="3157"/>
      <c r="BE48" s="3157"/>
      <c r="BF48" s="3157"/>
      <c r="BG48" s="3157"/>
      <c r="BH48" s="3157"/>
      <c r="BI48" s="3157"/>
    </row>
    <row r="49" spans="1:61">
      <c r="A49" s="3257"/>
      <c r="B49" s="3156"/>
      <c r="C49" s="3156"/>
      <c r="D49" s="3156"/>
      <c r="E49" s="3156"/>
      <c r="F49" s="3156"/>
      <c r="G49" s="3156"/>
      <c r="H49" s="3156"/>
      <c r="I49" s="3156"/>
      <c r="J49" s="3155"/>
      <c r="K49" s="3155"/>
      <c r="L49" s="3155"/>
      <c r="M49" s="3155"/>
      <c r="N49" s="3155"/>
      <c r="O49" s="3155"/>
      <c r="P49" s="3155"/>
      <c r="Q49" s="3155"/>
      <c r="R49" s="3155"/>
      <c r="S49" s="3155"/>
      <c r="T49" s="3155"/>
      <c r="U49" s="3155"/>
      <c r="V49" s="3155"/>
      <c r="W49" s="3155"/>
      <c r="X49" s="3155"/>
      <c r="Y49" s="3155"/>
      <c r="Z49" s="3155"/>
      <c r="AA49" s="3155"/>
      <c r="AB49" s="3155"/>
      <c r="AC49" s="3155"/>
      <c r="AD49" s="3155"/>
      <c r="AE49" s="3155"/>
      <c r="AF49" s="3155"/>
      <c r="AG49" s="3155"/>
      <c r="AH49" s="3155"/>
      <c r="AI49" s="3155"/>
      <c r="AJ49" s="3155"/>
      <c r="AK49" s="3155"/>
      <c r="AL49" s="3155"/>
      <c r="AM49" s="3155"/>
      <c r="AN49" s="3155"/>
      <c r="AO49" s="3155"/>
      <c r="AP49" s="3155"/>
      <c r="AQ49" s="3155"/>
      <c r="AR49" s="3155"/>
      <c r="AS49" s="3155"/>
      <c r="AT49" s="3155"/>
      <c r="AU49" s="3155"/>
      <c r="AV49" s="3155"/>
      <c r="AW49" s="3155"/>
      <c r="AX49" s="3155"/>
      <c r="AY49" s="3155"/>
      <c r="AZ49" s="3155"/>
      <c r="BA49" s="3155"/>
      <c r="BB49" s="3155"/>
      <c r="BC49" s="3155"/>
      <c r="BD49" s="3155"/>
      <c r="BE49" s="3155"/>
      <c r="BF49" s="3155"/>
      <c r="BG49" s="3155"/>
      <c r="BH49" s="3155"/>
      <c r="BI49" s="3155"/>
    </row>
    <row r="50" spans="1:61">
      <c r="A50" s="3257"/>
      <c r="B50" s="3156"/>
      <c r="C50" s="3156"/>
      <c r="D50" s="3156"/>
      <c r="E50" s="3156"/>
      <c r="F50" s="3156"/>
      <c r="G50" s="3156"/>
      <c r="H50" s="3156"/>
      <c r="I50" s="3156"/>
      <c r="J50" s="3155"/>
      <c r="K50" s="3155"/>
      <c r="L50" s="3155"/>
      <c r="M50" s="3155"/>
      <c r="N50" s="3155"/>
      <c r="O50" s="3155"/>
      <c r="P50" s="3155"/>
      <c r="Q50" s="3155"/>
      <c r="R50" s="3155"/>
      <c r="S50" s="3155"/>
      <c r="T50" s="3155"/>
      <c r="U50" s="3155"/>
      <c r="V50" s="3155"/>
      <c r="W50" s="3155"/>
      <c r="X50" s="3155"/>
      <c r="Y50" s="3155"/>
      <c r="Z50" s="3155"/>
      <c r="AA50" s="3155"/>
      <c r="AB50" s="3155"/>
      <c r="AC50" s="3155"/>
      <c r="AD50" s="3155"/>
      <c r="AE50" s="3155"/>
      <c r="AF50" s="3155"/>
      <c r="AG50" s="3155"/>
      <c r="AH50" s="3155"/>
      <c r="AI50" s="3155"/>
      <c r="AJ50" s="3155"/>
      <c r="AK50" s="3155"/>
      <c r="AL50" s="3155"/>
      <c r="AM50" s="3155"/>
      <c r="AN50" s="3155"/>
      <c r="AO50" s="3155"/>
      <c r="AP50" s="3155"/>
      <c r="AQ50" s="3155"/>
      <c r="AR50" s="3155"/>
      <c r="AS50" s="3155"/>
      <c r="AT50" s="3155"/>
      <c r="AU50" s="3155"/>
      <c r="AV50" s="3155"/>
      <c r="AW50" s="3155"/>
      <c r="AX50" s="3155"/>
      <c r="AY50" s="3155"/>
      <c r="AZ50" s="3155"/>
      <c r="BA50" s="3155"/>
      <c r="BB50" s="3155"/>
      <c r="BC50" s="3155"/>
      <c r="BD50" s="3155"/>
      <c r="BE50" s="3155"/>
      <c r="BF50" s="3155"/>
      <c r="BG50" s="3155"/>
      <c r="BH50" s="3155"/>
      <c r="BI50" s="3155"/>
    </row>
    <row r="51" spans="1:61">
      <c r="A51" s="3257"/>
      <c r="B51" s="3156"/>
      <c r="C51" s="3156"/>
      <c r="D51" s="3156"/>
      <c r="E51" s="3156"/>
      <c r="F51" s="3156"/>
      <c r="G51" s="3156"/>
      <c r="H51" s="3156"/>
      <c r="I51" s="3156"/>
      <c r="J51" s="3155"/>
      <c r="K51" s="3155"/>
      <c r="L51" s="3155"/>
      <c r="M51" s="3155"/>
      <c r="N51" s="3155"/>
      <c r="O51" s="3155"/>
      <c r="P51" s="3155"/>
      <c r="Q51" s="3155"/>
      <c r="R51" s="3155"/>
      <c r="S51" s="3155"/>
      <c r="T51" s="3155"/>
      <c r="U51" s="3155"/>
      <c r="V51" s="3155"/>
      <c r="W51" s="3155"/>
      <c r="X51" s="3155"/>
      <c r="Y51" s="3155"/>
      <c r="Z51" s="3155"/>
      <c r="AA51" s="3155"/>
      <c r="AB51" s="3155"/>
      <c r="AC51" s="3155"/>
      <c r="AD51" s="3155"/>
      <c r="AE51" s="3155"/>
      <c r="AF51" s="3155"/>
      <c r="AG51" s="3155"/>
      <c r="AH51" s="3155"/>
      <c r="AI51" s="3155"/>
      <c r="AJ51" s="3155"/>
      <c r="AK51" s="3155"/>
      <c r="AL51" s="3155"/>
      <c r="AM51" s="3155"/>
      <c r="AN51" s="3155"/>
      <c r="AO51" s="3155"/>
      <c r="AP51" s="3155"/>
      <c r="AQ51" s="3155"/>
      <c r="AR51" s="3155"/>
      <c r="AS51" s="3155"/>
      <c r="AT51" s="3155"/>
      <c r="AU51" s="3155"/>
      <c r="AV51" s="3155"/>
      <c r="AW51" s="3155"/>
      <c r="AX51" s="3155"/>
      <c r="AY51" s="3155"/>
      <c r="AZ51" s="3155"/>
      <c r="BA51" s="3155"/>
      <c r="BB51" s="3155"/>
      <c r="BC51" s="3155"/>
      <c r="BD51" s="3155"/>
      <c r="BE51" s="3155"/>
      <c r="BF51" s="3155"/>
      <c r="BG51" s="3155"/>
      <c r="BH51" s="3155"/>
      <c r="BI51" s="3155"/>
    </row>
    <row r="52" spans="1:61">
      <c r="A52" s="3257"/>
      <c r="B52" s="3156"/>
      <c r="C52" s="3156"/>
      <c r="D52" s="3156"/>
      <c r="E52" s="3156"/>
      <c r="F52" s="3156"/>
      <c r="G52" s="3156"/>
      <c r="H52" s="3156"/>
      <c r="I52" s="3156"/>
      <c r="J52" s="3155"/>
      <c r="K52" s="3155"/>
      <c r="L52" s="3155"/>
      <c r="M52" s="3155"/>
      <c r="N52" s="3155"/>
      <c r="O52" s="3155"/>
      <c r="P52" s="3155"/>
      <c r="Q52" s="3155"/>
      <c r="R52" s="3155"/>
      <c r="S52" s="3155"/>
      <c r="T52" s="3155"/>
      <c r="U52" s="3155"/>
      <c r="V52" s="3155"/>
      <c r="W52" s="3155"/>
      <c r="X52" s="3155"/>
      <c r="Y52" s="3155"/>
      <c r="Z52" s="3155"/>
      <c r="AA52" s="3155"/>
      <c r="AB52" s="3155"/>
      <c r="AC52" s="3155"/>
      <c r="AD52" s="3155"/>
      <c r="AE52" s="3155"/>
      <c r="AF52" s="3155"/>
      <c r="AG52" s="3155"/>
      <c r="AH52" s="3155"/>
      <c r="AI52" s="3155"/>
      <c r="AJ52" s="3155"/>
      <c r="AK52" s="3155"/>
      <c r="AL52" s="3155"/>
      <c r="AM52" s="3155"/>
      <c r="AN52" s="3155"/>
      <c r="AO52" s="3155"/>
      <c r="AP52" s="3155"/>
      <c r="AQ52" s="3155"/>
      <c r="AR52" s="3155"/>
      <c r="AS52" s="3155"/>
      <c r="AT52" s="3155"/>
      <c r="AU52" s="3155"/>
      <c r="AV52" s="3155"/>
      <c r="AW52" s="3155"/>
      <c r="AX52" s="3155"/>
      <c r="AY52" s="3155"/>
      <c r="AZ52" s="3155"/>
      <c r="BA52" s="3155"/>
      <c r="BB52" s="3155"/>
      <c r="BC52" s="3155"/>
      <c r="BD52" s="3155"/>
      <c r="BE52" s="3155"/>
      <c r="BF52" s="3155"/>
      <c r="BG52" s="3155"/>
      <c r="BH52" s="3155"/>
      <c r="BI52" s="3155"/>
    </row>
    <row r="53" spans="1:61">
      <c r="A53" s="3257"/>
      <c r="B53" s="3156"/>
      <c r="C53" s="3156"/>
      <c r="D53" s="3156"/>
      <c r="E53" s="3156"/>
      <c r="F53" s="3156"/>
      <c r="G53" s="3156"/>
      <c r="H53" s="3156"/>
      <c r="I53" s="3156"/>
      <c r="J53" s="3155"/>
      <c r="K53" s="3155"/>
      <c r="L53" s="3155"/>
      <c r="M53" s="3155"/>
      <c r="N53" s="3155"/>
      <c r="O53" s="3155"/>
      <c r="P53" s="3155"/>
      <c r="Q53" s="3155"/>
      <c r="R53" s="3155"/>
      <c r="S53" s="3155"/>
      <c r="T53" s="3155"/>
      <c r="U53" s="3155"/>
      <c r="V53" s="3155"/>
      <c r="W53" s="3155"/>
      <c r="X53" s="3155"/>
      <c r="Y53" s="3155"/>
      <c r="Z53" s="3155"/>
      <c r="AA53" s="3155"/>
      <c r="AB53" s="3155"/>
      <c r="AC53" s="3155"/>
      <c r="AD53" s="3155"/>
      <c r="AE53" s="3155"/>
      <c r="AF53" s="3155"/>
      <c r="AG53" s="3155"/>
      <c r="AH53" s="3155"/>
      <c r="AI53" s="3155"/>
      <c r="AJ53" s="3155"/>
      <c r="AK53" s="3155"/>
      <c r="AL53" s="3155"/>
      <c r="AM53" s="3155"/>
      <c r="AN53" s="3155"/>
      <c r="AO53" s="3155"/>
      <c r="AP53" s="3155"/>
      <c r="AQ53" s="3155"/>
      <c r="AR53" s="3155"/>
      <c r="AS53" s="3155"/>
      <c r="AT53" s="3155"/>
      <c r="AU53" s="3155"/>
      <c r="AV53" s="3155"/>
      <c r="AW53" s="3155"/>
      <c r="AX53" s="3155"/>
      <c r="AY53" s="3155"/>
      <c r="AZ53" s="3155"/>
      <c r="BA53" s="3155"/>
      <c r="BB53" s="3155"/>
      <c r="BC53" s="3155"/>
      <c r="BD53" s="3155"/>
      <c r="BE53" s="3155"/>
      <c r="BF53" s="3155"/>
      <c r="BG53" s="3155"/>
      <c r="BH53" s="3155"/>
      <c r="BI53" s="3155"/>
    </row>
    <row r="54" spans="1:61">
      <c r="A54" s="3257"/>
      <c r="B54" s="3156"/>
      <c r="C54" s="3156"/>
      <c r="D54" s="3156"/>
      <c r="E54" s="3156"/>
      <c r="F54" s="3156"/>
      <c r="G54" s="3156"/>
      <c r="H54" s="3156"/>
      <c r="I54" s="3156"/>
      <c r="J54" s="3155"/>
      <c r="K54" s="3155"/>
      <c r="L54" s="3155"/>
      <c r="M54" s="3155"/>
      <c r="N54" s="3155"/>
      <c r="O54" s="3155"/>
      <c r="P54" s="3155"/>
      <c r="Q54" s="3155"/>
      <c r="R54" s="3155"/>
      <c r="S54" s="3155"/>
      <c r="T54" s="3155"/>
      <c r="U54" s="3155"/>
      <c r="V54" s="3155"/>
      <c r="W54" s="3155"/>
      <c r="X54" s="3155"/>
      <c r="Y54" s="3155"/>
      <c r="Z54" s="3155"/>
      <c r="AA54" s="3155"/>
      <c r="AB54" s="3155"/>
      <c r="AC54" s="3155"/>
      <c r="AD54" s="3155"/>
      <c r="AE54" s="3155"/>
      <c r="AF54" s="3155"/>
      <c r="AG54" s="3155"/>
      <c r="AH54" s="3155"/>
      <c r="AI54" s="3155"/>
      <c r="AJ54" s="3155"/>
      <c r="AK54" s="3155"/>
      <c r="AL54" s="3155"/>
      <c r="AM54" s="3155"/>
      <c r="AN54" s="3155"/>
      <c r="AO54" s="3155"/>
      <c r="AP54" s="3155"/>
      <c r="AQ54" s="3155"/>
      <c r="AR54" s="3155"/>
      <c r="AS54" s="3155"/>
      <c r="AT54" s="3155"/>
      <c r="AU54" s="3155"/>
      <c r="AV54" s="3155"/>
      <c r="AW54" s="3155"/>
      <c r="AX54" s="3155"/>
      <c r="AY54" s="3155"/>
      <c r="AZ54" s="3155"/>
      <c r="BA54" s="3155"/>
      <c r="BB54" s="3155"/>
      <c r="BC54" s="3155"/>
      <c r="BD54" s="3155"/>
      <c r="BE54" s="3155"/>
      <c r="BF54" s="3155"/>
      <c r="BG54" s="3155"/>
      <c r="BH54" s="3155"/>
      <c r="BI54" s="3155"/>
    </row>
    <row r="55" spans="1:61">
      <c r="A55" s="3257"/>
      <c r="B55" s="3156"/>
      <c r="C55" s="3156"/>
      <c r="D55" s="3156"/>
      <c r="E55" s="3156"/>
      <c r="F55" s="3156"/>
      <c r="G55" s="3156"/>
      <c r="H55" s="3156"/>
      <c r="I55" s="3156"/>
      <c r="J55" s="3155"/>
      <c r="K55" s="3155"/>
      <c r="L55" s="3155"/>
      <c r="M55" s="3155"/>
      <c r="N55" s="3155"/>
      <c r="O55" s="3155"/>
      <c r="P55" s="3155"/>
      <c r="Q55" s="3155"/>
      <c r="R55" s="3155"/>
      <c r="S55" s="3155"/>
      <c r="T55" s="3155"/>
      <c r="U55" s="3155"/>
      <c r="V55" s="3155"/>
      <c r="W55" s="3155"/>
      <c r="X55" s="3155"/>
      <c r="Y55" s="3155"/>
      <c r="Z55" s="3155"/>
      <c r="AA55" s="3155"/>
      <c r="AB55" s="3155"/>
      <c r="AC55" s="3155"/>
      <c r="AD55" s="3155"/>
      <c r="AE55" s="3155"/>
      <c r="AF55" s="3155"/>
      <c r="AG55" s="3155"/>
      <c r="AH55" s="3155"/>
      <c r="AI55" s="3155"/>
      <c r="AJ55" s="3155"/>
      <c r="AK55" s="3155"/>
      <c r="AL55" s="3155"/>
      <c r="AM55" s="3155"/>
      <c r="AN55" s="3155"/>
      <c r="AO55" s="3155"/>
      <c r="AP55" s="3155"/>
      <c r="AQ55" s="3155"/>
      <c r="AR55" s="3155"/>
      <c r="AS55" s="3155"/>
      <c r="AT55" s="3155"/>
      <c r="AU55" s="3155"/>
      <c r="AV55" s="3155"/>
      <c r="AW55" s="3155"/>
      <c r="AX55" s="3155"/>
      <c r="AY55" s="3155"/>
      <c r="AZ55" s="3155"/>
      <c r="BA55" s="3155"/>
      <c r="BB55" s="3155"/>
      <c r="BC55" s="3155"/>
      <c r="BD55" s="3155"/>
      <c r="BE55" s="3155"/>
      <c r="BF55" s="3155"/>
      <c r="BG55" s="3155"/>
      <c r="BH55" s="3155"/>
      <c r="BI55" s="3155"/>
    </row>
    <row r="56" spans="1:61">
      <c r="A56" s="3257"/>
      <c r="B56" s="3156"/>
      <c r="C56" s="3156"/>
      <c r="D56" s="3156"/>
      <c r="E56" s="3156"/>
      <c r="F56" s="3156"/>
      <c r="G56" s="3156"/>
      <c r="H56" s="3156"/>
      <c r="I56" s="3156"/>
      <c r="J56" s="3155"/>
      <c r="K56" s="3155"/>
      <c r="L56" s="3155"/>
      <c r="M56" s="3155"/>
      <c r="N56" s="3155"/>
      <c r="O56" s="3155"/>
      <c r="P56" s="3155"/>
      <c r="Q56" s="3155"/>
      <c r="R56" s="3155"/>
      <c r="S56" s="3155"/>
      <c r="T56" s="3155"/>
      <c r="U56" s="3155"/>
      <c r="V56" s="3155"/>
      <c r="W56" s="3155"/>
      <c r="X56" s="3155"/>
      <c r="Y56" s="3155"/>
      <c r="Z56" s="3155"/>
      <c r="AA56" s="3155"/>
      <c r="AB56" s="3155"/>
      <c r="AC56" s="3155"/>
      <c r="AD56" s="3155"/>
      <c r="AE56" s="3155"/>
      <c r="AF56" s="3155"/>
      <c r="AG56" s="3155"/>
      <c r="AH56" s="3155"/>
      <c r="AI56" s="3155"/>
      <c r="AJ56" s="3155"/>
      <c r="AK56" s="3155"/>
      <c r="AL56" s="3155"/>
      <c r="AM56" s="3155"/>
      <c r="AN56" s="3155"/>
      <c r="AO56" s="3155"/>
      <c r="AP56" s="3155"/>
      <c r="AQ56" s="3155"/>
      <c r="AR56" s="3155"/>
      <c r="AS56" s="3155"/>
      <c r="AT56" s="3155"/>
      <c r="AU56" s="3155"/>
      <c r="AV56" s="3155"/>
      <c r="AW56" s="3155"/>
      <c r="AX56" s="3155"/>
      <c r="AY56" s="3155"/>
      <c r="AZ56" s="3155"/>
      <c r="BA56" s="3155"/>
      <c r="BB56" s="3155"/>
      <c r="BC56" s="3155"/>
      <c r="BD56" s="3155"/>
      <c r="BE56" s="3155"/>
      <c r="BF56" s="3155"/>
      <c r="BG56" s="3155"/>
      <c r="BH56" s="3155"/>
      <c r="BI56" s="3155"/>
    </row>
    <row r="57" spans="1:61">
      <c r="A57" s="3257"/>
      <c r="B57" s="3156"/>
      <c r="C57" s="3156"/>
      <c r="D57" s="3156"/>
      <c r="E57" s="3156"/>
      <c r="F57" s="3156"/>
      <c r="G57" s="3156"/>
      <c r="H57" s="3156"/>
      <c r="I57" s="3156"/>
      <c r="J57" s="3155"/>
      <c r="K57" s="3155"/>
      <c r="L57" s="3155"/>
      <c r="M57" s="3155"/>
      <c r="N57" s="3155"/>
      <c r="O57" s="3155"/>
      <c r="P57" s="3155"/>
      <c r="Q57" s="3155"/>
      <c r="R57" s="3155"/>
      <c r="S57" s="3155"/>
      <c r="T57" s="3155"/>
      <c r="U57" s="3155"/>
      <c r="V57" s="3155"/>
      <c r="W57" s="3155"/>
      <c r="X57" s="3155"/>
      <c r="Y57" s="3155"/>
      <c r="Z57" s="3155"/>
      <c r="AA57" s="3155"/>
      <c r="AB57" s="3155"/>
      <c r="AC57" s="3155"/>
      <c r="AD57" s="3155"/>
      <c r="AE57" s="3155"/>
      <c r="AF57" s="3155"/>
      <c r="AG57" s="3155"/>
      <c r="AH57" s="3155"/>
      <c r="AI57" s="3155"/>
      <c r="AJ57" s="3155"/>
      <c r="AK57" s="3155"/>
      <c r="AL57" s="3155"/>
      <c r="AM57" s="3155"/>
      <c r="AN57" s="3155"/>
      <c r="AO57" s="3155"/>
      <c r="AP57" s="3155"/>
      <c r="AQ57" s="3155"/>
      <c r="AR57" s="3155"/>
      <c r="AS57" s="3155"/>
      <c r="AT57" s="3155"/>
      <c r="AU57" s="3155"/>
      <c r="AV57" s="3155"/>
      <c r="AW57" s="3155"/>
      <c r="AX57" s="3155"/>
      <c r="AY57" s="3155"/>
      <c r="AZ57" s="3155"/>
      <c r="BA57" s="3155"/>
      <c r="BB57" s="3155"/>
      <c r="BC57" s="3155"/>
      <c r="BD57" s="3155"/>
      <c r="BE57" s="3155"/>
      <c r="BF57" s="3155"/>
      <c r="BG57" s="3155"/>
      <c r="BH57" s="3155"/>
      <c r="BI57" s="3155"/>
    </row>
    <row r="58" spans="1:61">
      <c r="A58" s="3257" t="s">
        <v>119</v>
      </c>
      <c r="B58" s="3156"/>
      <c r="C58" s="3156"/>
      <c r="D58" s="3156"/>
      <c r="E58" s="3156"/>
      <c r="F58" s="3156"/>
      <c r="G58" s="3156"/>
      <c r="H58" s="3156"/>
      <c r="I58" s="3156"/>
      <c r="J58" s="3155"/>
      <c r="K58" s="3155"/>
      <c r="L58" s="3155"/>
      <c r="M58" s="3155"/>
      <c r="N58" s="3155"/>
      <c r="O58" s="3155"/>
      <c r="P58" s="3155"/>
      <c r="Q58" s="3155"/>
      <c r="R58" s="3155"/>
      <c r="S58" s="3155"/>
      <c r="T58" s="3155"/>
      <c r="U58" s="3155"/>
      <c r="V58" s="3155"/>
      <c r="W58" s="3155"/>
      <c r="X58" s="3155"/>
      <c r="Y58" s="3155"/>
      <c r="Z58" s="3155"/>
      <c r="AA58" s="3155"/>
      <c r="AB58" s="3155"/>
      <c r="AC58" s="3155"/>
      <c r="AD58" s="3155"/>
      <c r="AE58" s="3155"/>
      <c r="AF58" s="3155"/>
      <c r="AG58" s="3155"/>
      <c r="AH58" s="3155"/>
      <c r="AI58" s="3155"/>
      <c r="AJ58" s="3155"/>
      <c r="AK58" s="3155"/>
      <c r="AL58" s="3155"/>
      <c r="AM58" s="3155"/>
      <c r="AN58" s="3155"/>
      <c r="AO58" s="3155"/>
      <c r="AP58" s="3155"/>
      <c r="AQ58" s="3155"/>
      <c r="AR58" s="3155"/>
      <c r="AS58" s="3155"/>
      <c r="AT58" s="3155"/>
      <c r="AU58" s="3155"/>
      <c r="AV58" s="3155"/>
      <c r="AW58" s="3155"/>
      <c r="AX58" s="3155"/>
      <c r="AY58" s="3155"/>
      <c r="AZ58" s="3155"/>
      <c r="BA58" s="3155"/>
      <c r="BB58" s="3155"/>
      <c r="BC58" s="3155"/>
      <c r="BD58" s="3155"/>
      <c r="BE58" s="3155"/>
      <c r="BF58" s="3155"/>
      <c r="BG58" s="3155"/>
      <c r="BH58" s="3155"/>
      <c r="BI58" s="3155"/>
    </row>
    <row r="59" spans="1:61">
      <c r="A59" s="3257" t="s">
        <v>120</v>
      </c>
      <c r="B59" s="3156"/>
      <c r="C59" s="3156"/>
      <c r="D59" s="3156"/>
      <c r="E59" s="3156"/>
      <c r="F59" s="3156"/>
      <c r="G59" s="3156"/>
      <c r="H59" s="3156"/>
      <c r="I59" s="3156"/>
      <c r="J59" s="3155"/>
      <c r="K59" s="3155"/>
      <c r="L59" s="3155"/>
      <c r="M59" s="3155"/>
      <c r="N59" s="3155"/>
      <c r="O59" s="3155"/>
      <c r="P59" s="3155"/>
      <c r="Q59" s="3155"/>
      <c r="R59" s="3155"/>
      <c r="S59" s="3155"/>
      <c r="T59" s="3155"/>
      <c r="U59" s="3155"/>
      <c r="V59" s="3155"/>
      <c r="W59" s="3155"/>
      <c r="X59" s="3155"/>
      <c r="Y59" s="3155"/>
      <c r="Z59" s="3155"/>
      <c r="AA59" s="3155"/>
      <c r="AB59" s="3155"/>
      <c r="AC59" s="3155"/>
      <c r="AD59" s="3155"/>
      <c r="AE59" s="3155"/>
      <c r="AF59" s="3155"/>
      <c r="AG59" s="3155"/>
      <c r="AH59" s="3155"/>
      <c r="AI59" s="3155"/>
      <c r="AJ59" s="3155"/>
      <c r="AK59" s="3155"/>
      <c r="AL59" s="3155"/>
      <c r="AM59" s="3155"/>
      <c r="AN59" s="3155"/>
      <c r="AO59" s="3155"/>
      <c r="AP59" s="3155"/>
      <c r="AQ59" s="3155"/>
      <c r="AR59" s="3155"/>
      <c r="AS59" s="3155"/>
      <c r="AT59" s="3155"/>
      <c r="AU59" s="3155"/>
      <c r="AV59" s="3155"/>
      <c r="AW59" s="3155"/>
      <c r="AX59" s="3155"/>
      <c r="AY59" s="3155"/>
      <c r="AZ59" s="3155"/>
      <c r="BA59" s="3155"/>
      <c r="BB59" s="3155"/>
      <c r="BC59" s="3155"/>
      <c r="BD59" s="3155"/>
      <c r="BE59" s="3155"/>
      <c r="BF59" s="3155"/>
      <c r="BG59" s="3155"/>
      <c r="BH59" s="3155"/>
      <c r="BI59" s="3155"/>
    </row>
    <row r="60" spans="1:61">
      <c r="A60" s="3257"/>
      <c r="B60" s="3156"/>
      <c r="C60" s="3156"/>
      <c r="D60" s="3156"/>
      <c r="E60" s="3156"/>
      <c r="F60" s="3156"/>
      <c r="G60" s="3156"/>
      <c r="H60" s="3156"/>
      <c r="I60" s="3156"/>
      <c r="J60" s="3155"/>
      <c r="K60" s="3155"/>
      <c r="L60" s="3155"/>
      <c r="M60" s="3155"/>
      <c r="N60" s="3155"/>
      <c r="O60" s="3155"/>
      <c r="P60" s="3155"/>
      <c r="Q60" s="3155"/>
      <c r="R60" s="3155"/>
      <c r="S60" s="3155"/>
      <c r="T60" s="3155"/>
      <c r="U60" s="3155"/>
      <c r="V60" s="3155"/>
      <c r="W60" s="3155"/>
      <c r="X60" s="3155"/>
      <c r="Y60" s="3155"/>
      <c r="Z60" s="3155"/>
      <c r="AA60" s="3155"/>
      <c r="AB60" s="3155"/>
      <c r="AC60" s="3155"/>
      <c r="AD60" s="3155"/>
      <c r="AE60" s="3155"/>
      <c r="AF60" s="3155"/>
      <c r="AG60" s="3155"/>
      <c r="AH60" s="3155"/>
      <c r="AI60" s="3155"/>
      <c r="AJ60" s="3155"/>
      <c r="AK60" s="3155"/>
      <c r="AL60" s="3155"/>
      <c r="AM60" s="3155"/>
      <c r="AN60" s="3155"/>
      <c r="AO60" s="3155"/>
      <c r="AP60" s="3155"/>
      <c r="AQ60" s="3155"/>
      <c r="AR60" s="3155"/>
      <c r="AS60" s="3155"/>
      <c r="AT60" s="3155"/>
      <c r="AU60" s="3155"/>
      <c r="AV60" s="3155"/>
      <c r="AW60" s="3155"/>
      <c r="AX60" s="3155"/>
      <c r="AY60" s="3155"/>
      <c r="AZ60" s="3155"/>
      <c r="BA60" s="3155"/>
      <c r="BB60" s="3155"/>
      <c r="BC60" s="3155"/>
      <c r="BD60" s="3155"/>
      <c r="BE60" s="3155"/>
      <c r="BF60" s="3155"/>
      <c r="BG60" s="3155"/>
      <c r="BH60" s="3155"/>
      <c r="BI60" s="3155"/>
    </row>
    <row r="61" spans="1:61">
      <c r="A61" s="3257"/>
      <c r="B61" s="3156"/>
      <c r="C61" s="3156"/>
      <c r="D61" s="3156"/>
      <c r="E61" s="3156"/>
      <c r="F61" s="3156"/>
      <c r="G61" s="3156"/>
      <c r="H61" s="3156"/>
      <c r="I61" s="3156"/>
      <c r="J61" s="3155"/>
      <c r="K61" s="3155"/>
      <c r="L61" s="3155"/>
      <c r="M61" s="3155"/>
      <c r="N61" s="3155"/>
      <c r="O61" s="3155"/>
      <c r="P61" s="3155"/>
      <c r="Q61" s="3155"/>
      <c r="R61" s="3155"/>
      <c r="S61" s="3155"/>
      <c r="T61" s="3155"/>
      <c r="U61" s="3155"/>
      <c r="V61" s="3155"/>
      <c r="W61" s="3155"/>
      <c r="X61" s="3155"/>
      <c r="Y61" s="3155"/>
      <c r="Z61" s="3155"/>
      <c r="AA61" s="3155"/>
      <c r="AB61" s="3155"/>
      <c r="AC61" s="3155"/>
      <c r="AD61" s="3155"/>
      <c r="AE61" s="3155"/>
      <c r="AF61" s="3155"/>
      <c r="AG61" s="3155"/>
      <c r="AH61" s="3155"/>
      <c r="AI61" s="3155"/>
      <c r="AJ61" s="3155"/>
      <c r="AK61" s="3155"/>
      <c r="AL61" s="3155"/>
      <c r="AM61" s="3155"/>
      <c r="AN61" s="3155"/>
      <c r="AO61" s="3155"/>
      <c r="AP61" s="3155"/>
      <c r="AQ61" s="3155"/>
      <c r="AR61" s="3155"/>
      <c r="AS61" s="3155"/>
      <c r="AT61" s="3155"/>
      <c r="AU61" s="3155"/>
      <c r="AV61" s="3155"/>
      <c r="AW61" s="3155"/>
      <c r="AX61" s="3155"/>
      <c r="AY61" s="3155"/>
      <c r="AZ61" s="3155"/>
      <c r="BA61" s="3155"/>
      <c r="BB61" s="3155"/>
      <c r="BC61" s="3155"/>
      <c r="BD61" s="3155"/>
      <c r="BE61" s="3155"/>
      <c r="BF61" s="3155"/>
      <c r="BG61" s="3155"/>
      <c r="BH61" s="3155"/>
      <c r="BI61" s="3155"/>
    </row>
  </sheetData>
  <mergeCells count="1">
    <mergeCell ref="A42:Q42"/>
  </mergeCells>
  <printOptions horizontalCentered="1" verticalCentered="1"/>
  <pageMargins left="0" right="0" top="0.5" bottom="0" header="0" footer="0"/>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workbookViewId="0">
      <pane xSplit="1" ySplit="6" topLeftCell="B34" activePane="bottomRight" state="frozen"/>
      <selection pane="topRight" activeCell="B1" sqref="B1"/>
      <selection pane="bottomLeft" activeCell="A6" sqref="A6"/>
      <selection pane="bottomRight" activeCell="D51" sqref="D51"/>
    </sheetView>
  </sheetViews>
  <sheetFormatPr defaultRowHeight="12.75"/>
  <cols>
    <col min="1" max="1" width="34.42578125" style="11" customWidth="1"/>
    <col min="2" max="2" width="4.7109375" style="11" customWidth="1"/>
    <col min="3" max="3" width="15.28515625" style="11" customWidth="1"/>
    <col min="4" max="4" width="6.140625" style="11" customWidth="1"/>
    <col min="5" max="5" width="15.42578125" style="11" customWidth="1"/>
    <col min="6" max="6" width="7" style="11" customWidth="1"/>
    <col min="7" max="7" width="4.42578125" style="11" customWidth="1"/>
    <col min="8" max="16384" width="9.140625" style="11"/>
  </cols>
  <sheetData>
    <row r="1" spans="1:7" ht="15">
      <c r="A1" s="5" t="s">
        <v>121</v>
      </c>
      <c r="B1" s="6"/>
      <c r="C1" s="7"/>
      <c r="D1" s="8"/>
      <c r="E1" s="7"/>
      <c r="F1" s="9"/>
      <c r="G1" s="10"/>
    </row>
    <row r="2" spans="1:7" ht="15">
      <c r="B2" s="7"/>
      <c r="C2" s="7"/>
      <c r="D2" s="7"/>
      <c r="E2" s="7"/>
      <c r="F2" s="12"/>
      <c r="G2" s="10"/>
    </row>
    <row r="3" spans="1:7" ht="15.75" thickBot="1">
      <c r="A3" s="13"/>
      <c r="B3" s="7"/>
      <c r="C3" s="7"/>
      <c r="D3" s="7"/>
      <c r="E3" s="7"/>
      <c r="F3" s="12"/>
      <c r="G3" s="10"/>
    </row>
    <row r="4" spans="1:7" ht="15">
      <c r="A4" s="14"/>
      <c r="B4" s="15"/>
      <c r="C4" s="16">
        <v>41306</v>
      </c>
      <c r="D4" s="17"/>
      <c r="E4" s="16">
        <v>41275</v>
      </c>
      <c r="F4" s="18"/>
      <c r="G4" s="19"/>
    </row>
    <row r="5" spans="1:7" ht="15">
      <c r="A5" s="20"/>
      <c r="B5" s="21"/>
      <c r="C5" s="22"/>
      <c r="D5" s="23"/>
      <c r="E5" s="24"/>
      <c r="F5" s="25"/>
      <c r="G5" s="19"/>
    </row>
    <row r="6" spans="1:7" ht="15">
      <c r="A6" s="20"/>
      <c r="B6" s="26"/>
      <c r="C6" s="27" t="s">
        <v>122</v>
      </c>
      <c r="D6" s="26"/>
      <c r="E6" s="27" t="s">
        <v>122</v>
      </c>
      <c r="F6" s="25"/>
      <c r="G6" s="19"/>
    </row>
    <row r="7" spans="1:7" ht="15">
      <c r="A7" s="20" t="s">
        <v>123</v>
      </c>
      <c r="B7" s="8"/>
      <c r="C7" s="28"/>
      <c r="D7" s="8"/>
      <c r="E7" s="28"/>
      <c r="F7" s="29"/>
      <c r="G7" s="19"/>
    </row>
    <row r="8" spans="1:7" ht="9" customHeight="1">
      <c r="A8" s="20"/>
      <c r="B8" s="8"/>
      <c r="C8" s="28"/>
      <c r="D8" s="8"/>
      <c r="E8" s="28"/>
      <c r="F8" s="29"/>
      <c r="G8" s="30"/>
    </row>
    <row r="9" spans="1:7" ht="15">
      <c r="A9" s="31" t="s">
        <v>124</v>
      </c>
      <c r="B9" s="8"/>
      <c r="C9" s="32">
        <v>2000000000</v>
      </c>
      <c r="D9" s="8"/>
      <c r="E9" s="32">
        <v>2000000000</v>
      </c>
      <c r="F9" s="29"/>
      <c r="G9" s="19"/>
    </row>
    <row r="10" spans="1:7" ht="15">
      <c r="A10" s="31" t="s">
        <v>125</v>
      </c>
      <c r="B10" s="33"/>
      <c r="C10" s="34">
        <v>21305146081.380001</v>
      </c>
      <c r="D10" s="8"/>
      <c r="E10" s="34">
        <v>21305146081.380001</v>
      </c>
      <c r="F10" s="29"/>
      <c r="G10" s="19"/>
    </row>
    <row r="11" spans="1:7" ht="14.25">
      <c r="A11" s="31"/>
      <c r="B11" s="8"/>
      <c r="C11" s="32">
        <v>23305146081.380001</v>
      </c>
      <c r="D11" s="8"/>
      <c r="E11" s="32">
        <v>23305146081.380001</v>
      </c>
      <c r="F11" s="29"/>
      <c r="G11" s="30"/>
    </row>
    <row r="12" spans="1:7" ht="14.25" customHeight="1">
      <c r="A12" s="31" t="s">
        <v>126</v>
      </c>
      <c r="B12" s="35"/>
      <c r="C12" s="36">
        <v>1815866136</v>
      </c>
      <c r="D12" s="8"/>
      <c r="E12" s="36">
        <v>2366736841</v>
      </c>
      <c r="F12" s="29"/>
      <c r="G12" s="19"/>
    </row>
    <row r="13" spans="1:7" ht="14.25" customHeight="1" thickBot="1">
      <c r="A13" s="37"/>
      <c r="B13" s="35"/>
      <c r="C13" s="38">
        <v>25121012217.380001</v>
      </c>
      <c r="D13" s="8"/>
      <c r="E13" s="38">
        <v>25671882922.380001</v>
      </c>
      <c r="F13" s="29"/>
      <c r="G13" s="30"/>
    </row>
    <row r="14" spans="1:7" ht="15.75" thickTop="1">
      <c r="A14" s="39" t="s">
        <v>127</v>
      </c>
      <c r="B14" s="40"/>
      <c r="C14" s="41"/>
      <c r="D14" s="8"/>
      <c r="E14" s="41"/>
      <c r="F14" s="29"/>
      <c r="G14" s="19"/>
    </row>
    <row r="15" spans="1:7" ht="3.75" customHeight="1">
      <c r="A15" s="31"/>
      <c r="B15" s="40"/>
      <c r="C15" s="41"/>
      <c r="D15" s="8"/>
      <c r="E15" s="41"/>
      <c r="F15" s="29"/>
      <c r="G15" s="30"/>
    </row>
    <row r="16" spans="1:7" ht="14.25">
      <c r="A16" s="31" t="s">
        <v>128</v>
      </c>
      <c r="B16" s="40"/>
      <c r="C16" s="41"/>
      <c r="D16" s="42"/>
      <c r="E16" s="41"/>
      <c r="F16" s="29"/>
      <c r="G16" s="43"/>
    </row>
    <row r="17" spans="1:7" ht="14.25">
      <c r="A17" s="31" t="s">
        <v>129</v>
      </c>
      <c r="B17" s="40"/>
      <c r="C17" s="44">
        <v>60751719863</v>
      </c>
      <c r="D17" s="42"/>
      <c r="E17" s="44">
        <v>61013882344</v>
      </c>
      <c r="F17" s="29"/>
      <c r="G17" s="30"/>
    </row>
    <row r="18" spans="1:7" ht="14.25">
      <c r="A18" s="31" t="s">
        <v>130</v>
      </c>
      <c r="B18" s="40"/>
      <c r="C18" s="45">
        <v>4664085394</v>
      </c>
      <c r="D18" s="42"/>
      <c r="E18" s="45">
        <v>4681349180</v>
      </c>
      <c r="F18" s="29"/>
      <c r="G18" s="30"/>
    </row>
    <row r="19" spans="1:7" ht="14.25">
      <c r="A19" s="31" t="s">
        <v>131</v>
      </c>
      <c r="B19" s="40"/>
      <c r="C19" s="45">
        <v>27988564424</v>
      </c>
      <c r="D19" s="42"/>
      <c r="E19" s="45">
        <v>28242941852</v>
      </c>
      <c r="F19" s="29"/>
      <c r="G19" s="30"/>
    </row>
    <row r="20" spans="1:7" ht="14.25" customHeight="1">
      <c r="A20" s="31" t="s">
        <v>132</v>
      </c>
      <c r="B20" s="40"/>
      <c r="C20" s="46">
        <v>189011655</v>
      </c>
      <c r="D20" s="42"/>
      <c r="E20" s="46">
        <v>219960265</v>
      </c>
      <c r="F20" s="29"/>
      <c r="G20" s="30"/>
    </row>
    <row r="21" spans="1:7" ht="14.25">
      <c r="A21" s="31"/>
      <c r="B21" s="40"/>
      <c r="C21" s="47">
        <v>93593381336</v>
      </c>
      <c r="D21" s="42"/>
      <c r="E21" s="47">
        <v>94158133641</v>
      </c>
      <c r="F21" s="29"/>
      <c r="G21" s="30"/>
    </row>
    <row r="22" spans="1:7" ht="14.25">
      <c r="A22" s="31" t="s">
        <v>133</v>
      </c>
      <c r="B22" s="40"/>
      <c r="C22" s="48">
        <v>2113547993</v>
      </c>
      <c r="D22" s="42"/>
      <c r="E22" s="48">
        <v>2134539283</v>
      </c>
      <c r="F22" s="29"/>
      <c r="G22" s="30"/>
    </row>
    <row r="23" spans="1:7" ht="14.25">
      <c r="A23" s="31" t="s">
        <v>134</v>
      </c>
      <c r="B23" s="40"/>
      <c r="C23" s="48">
        <v>6429756504</v>
      </c>
      <c r="D23" s="42"/>
      <c r="E23" s="48">
        <v>6174339980</v>
      </c>
      <c r="F23" s="29"/>
      <c r="G23" s="30"/>
    </row>
    <row r="24" spans="1:7" ht="14.25">
      <c r="A24" s="31" t="s">
        <v>135</v>
      </c>
      <c r="B24" s="40"/>
      <c r="C24" s="48">
        <v>1852806172</v>
      </c>
      <c r="D24" s="42"/>
      <c r="E24" s="48">
        <v>1846615432</v>
      </c>
      <c r="F24" s="29"/>
      <c r="G24" s="30"/>
    </row>
    <row r="25" spans="1:7" ht="14.25">
      <c r="A25" s="31" t="s">
        <v>136</v>
      </c>
      <c r="B25" s="40"/>
      <c r="C25" s="49">
        <v>604303383</v>
      </c>
      <c r="D25" s="42"/>
      <c r="E25" s="49">
        <v>381505395</v>
      </c>
      <c r="F25" s="29"/>
      <c r="G25" s="30"/>
    </row>
    <row r="26" spans="1:7" ht="14.25">
      <c r="A26" s="31"/>
      <c r="B26" s="40"/>
      <c r="C26" s="48">
        <v>104593795388</v>
      </c>
      <c r="D26" s="42"/>
      <c r="E26" s="48">
        <v>104695133731</v>
      </c>
      <c r="F26" s="29"/>
      <c r="G26" s="30"/>
    </row>
    <row r="27" spans="1:7" ht="15" customHeight="1">
      <c r="A27" s="31" t="s">
        <v>137</v>
      </c>
      <c r="B27" s="40"/>
      <c r="C27" s="41"/>
      <c r="D27" s="42"/>
      <c r="E27" s="41"/>
      <c r="F27" s="29"/>
      <c r="G27" s="30"/>
    </row>
    <row r="28" spans="1:7" ht="12" customHeight="1">
      <c r="A28" s="31"/>
      <c r="B28" s="40"/>
      <c r="C28" s="41"/>
      <c r="D28" s="42"/>
      <c r="E28" s="41"/>
      <c r="F28" s="29"/>
      <c r="G28" s="30"/>
    </row>
    <row r="29" spans="1:7" ht="18" customHeight="1">
      <c r="A29" s="39" t="s">
        <v>138</v>
      </c>
      <c r="B29" s="40"/>
      <c r="C29" s="41"/>
      <c r="D29" s="42"/>
      <c r="E29" s="41"/>
      <c r="F29" s="29"/>
      <c r="G29" s="30"/>
    </row>
    <row r="30" spans="1:7" ht="6" customHeight="1">
      <c r="A30" s="50"/>
      <c r="B30" s="40"/>
      <c r="C30" s="41"/>
      <c r="D30" s="42"/>
      <c r="E30" s="41"/>
      <c r="F30" s="29"/>
      <c r="G30" s="30"/>
    </row>
    <row r="31" spans="1:7" ht="18" customHeight="1">
      <c r="A31" s="31" t="s">
        <v>139</v>
      </c>
      <c r="B31" s="40"/>
      <c r="C31" s="44">
        <v>23964458730</v>
      </c>
      <c r="D31" s="8"/>
      <c r="E31" s="44">
        <v>24632931995</v>
      </c>
      <c r="F31" s="29"/>
      <c r="G31" s="30"/>
    </row>
    <row r="32" spans="1:7" ht="15" customHeight="1">
      <c r="A32" s="31" t="s">
        <v>140</v>
      </c>
      <c r="B32" s="40"/>
      <c r="C32" s="46">
        <v>773703292</v>
      </c>
      <c r="D32" s="8"/>
      <c r="E32" s="46">
        <v>769714930</v>
      </c>
      <c r="F32" s="29"/>
      <c r="G32" s="30"/>
    </row>
    <row r="33" spans="1:7" ht="15" customHeight="1">
      <c r="A33" s="31"/>
      <c r="B33" s="40"/>
      <c r="C33" s="48">
        <v>24738162022</v>
      </c>
      <c r="D33" s="8"/>
      <c r="E33" s="48">
        <v>25402646925</v>
      </c>
      <c r="F33" s="29"/>
      <c r="G33" s="30"/>
    </row>
    <row r="34" spans="1:7" ht="15" customHeight="1">
      <c r="A34" s="31" t="s">
        <v>141</v>
      </c>
      <c r="B34" s="40"/>
      <c r="C34" s="41"/>
      <c r="D34" s="8"/>
      <c r="E34" s="41"/>
      <c r="F34" s="29"/>
      <c r="G34" s="30"/>
    </row>
    <row r="35" spans="1:7" ht="15" customHeight="1">
      <c r="A35" s="31" t="s">
        <v>142</v>
      </c>
      <c r="B35" s="40"/>
      <c r="C35" s="44">
        <v>12189186361</v>
      </c>
      <c r="D35" s="8"/>
      <c r="E35" s="44">
        <v>13961034843</v>
      </c>
      <c r="F35" s="29"/>
      <c r="G35" s="30"/>
    </row>
    <row r="36" spans="1:7" ht="15" customHeight="1">
      <c r="A36" s="31" t="s">
        <v>143</v>
      </c>
      <c r="B36" s="40"/>
      <c r="C36" s="45">
        <v>27797761467</v>
      </c>
      <c r="D36" s="8"/>
      <c r="E36" s="45">
        <v>24854226565</v>
      </c>
      <c r="F36" s="29"/>
      <c r="G36" s="30"/>
    </row>
    <row r="37" spans="1:7" ht="15" customHeight="1">
      <c r="A37" s="31" t="s">
        <v>144</v>
      </c>
      <c r="B37" s="40"/>
      <c r="C37" s="45">
        <v>108112675</v>
      </c>
      <c r="D37" s="8"/>
      <c r="E37" s="45">
        <v>118412715</v>
      </c>
      <c r="F37" s="29"/>
      <c r="G37" s="30"/>
    </row>
    <row r="38" spans="1:7" ht="15" customHeight="1">
      <c r="A38" s="31" t="s">
        <v>145</v>
      </c>
      <c r="B38" s="40"/>
      <c r="C38" s="46">
        <v>134208948</v>
      </c>
      <c r="D38" s="8"/>
      <c r="E38" s="46">
        <v>153428117</v>
      </c>
      <c r="F38" s="29"/>
      <c r="G38" s="30"/>
    </row>
    <row r="39" spans="1:7" ht="14.25">
      <c r="A39" s="31"/>
      <c r="B39" s="40"/>
      <c r="C39" s="48">
        <v>40229269451</v>
      </c>
      <c r="D39" s="8"/>
      <c r="E39" s="48">
        <v>39087102240</v>
      </c>
      <c r="F39" s="29"/>
      <c r="G39" s="30"/>
    </row>
    <row r="40" spans="1:7" ht="14.25">
      <c r="A40" s="31" t="s">
        <v>146</v>
      </c>
      <c r="B40" s="40"/>
      <c r="C40" s="48">
        <v>9444659885</v>
      </c>
      <c r="D40" s="8"/>
      <c r="E40" s="48">
        <v>9428317857</v>
      </c>
      <c r="F40" s="29"/>
      <c r="G40" s="30"/>
    </row>
    <row r="41" spans="1:7" ht="15">
      <c r="A41" s="31" t="s">
        <v>147</v>
      </c>
      <c r="B41" s="40"/>
      <c r="C41" s="49">
        <v>5060691813</v>
      </c>
      <c r="D41" s="8"/>
      <c r="E41" s="49">
        <v>5105183787</v>
      </c>
      <c r="F41" s="29"/>
      <c r="G41" s="19"/>
    </row>
    <row r="42" spans="1:7" ht="20.25" customHeight="1">
      <c r="A42" s="31"/>
      <c r="B42" s="8"/>
      <c r="C42" s="49">
        <v>79472783171</v>
      </c>
      <c r="D42" s="48"/>
      <c r="E42" s="49">
        <v>79023250809</v>
      </c>
      <c r="F42" s="29"/>
      <c r="G42" s="30"/>
    </row>
    <row r="43" spans="1:7" ht="25.5" customHeight="1" thickBot="1">
      <c r="A43" s="50"/>
      <c r="B43" s="8"/>
      <c r="C43" s="51">
        <v>25121012217</v>
      </c>
      <c r="D43" s="42"/>
      <c r="E43" s="51">
        <v>25671882922</v>
      </c>
      <c r="F43" s="29"/>
      <c r="G43" s="30"/>
    </row>
    <row r="44" spans="1:7" ht="9.75" customHeight="1" thickTop="1" thickBot="1">
      <c r="A44" s="52"/>
      <c r="B44" s="53"/>
      <c r="C44" s="53" t="s">
        <v>148</v>
      </c>
      <c r="D44" s="54"/>
      <c r="E44" s="53"/>
      <c r="F44" s="55"/>
      <c r="G44" s="30"/>
    </row>
    <row r="45" spans="1:7" ht="5.25" customHeight="1">
      <c r="A45" s="8"/>
      <c r="B45" s="8"/>
      <c r="C45" s="8"/>
      <c r="D45" s="42"/>
      <c r="E45" s="8"/>
      <c r="F45" s="56"/>
      <c r="G45" s="57"/>
    </row>
    <row r="46" spans="1:7" ht="9.75" customHeight="1">
      <c r="A46" s="8"/>
      <c r="B46" s="8"/>
      <c r="C46" s="48"/>
      <c r="D46" s="42"/>
      <c r="E46" s="8"/>
      <c r="F46" s="56"/>
      <c r="G46" s="57"/>
    </row>
    <row r="47" spans="1:7" ht="18.75" customHeight="1">
      <c r="B47" s="8"/>
      <c r="C47" s="48"/>
      <c r="D47" s="42"/>
      <c r="E47" s="8"/>
      <c r="F47" s="56"/>
      <c r="G47" s="57"/>
    </row>
    <row r="48" spans="1:7" s="62" customFormat="1">
      <c r="A48" s="58" t="s">
        <v>149</v>
      </c>
      <c r="B48" s="59"/>
      <c r="C48" s="60"/>
      <c r="D48" s="61"/>
      <c r="E48" s="60"/>
      <c r="F48" s="59"/>
      <c r="G48" s="57"/>
    </row>
    <row r="49" spans="1:7" s="62" customFormat="1">
      <c r="A49" s="59"/>
      <c r="B49" s="59"/>
      <c r="C49" s="60"/>
      <c r="D49" s="60"/>
      <c r="E49" s="60"/>
      <c r="F49" s="59"/>
      <c r="G49" s="57"/>
    </row>
    <row r="50" spans="1:7">
      <c r="A50" s="59"/>
      <c r="B50" s="59"/>
      <c r="C50" s="60"/>
      <c r="D50" s="60"/>
      <c r="E50" s="60"/>
      <c r="F50" s="59"/>
      <c r="G50" s="57"/>
    </row>
    <row r="51" spans="1:7">
      <c r="A51" s="59"/>
      <c r="B51" s="59"/>
      <c r="C51" s="60"/>
      <c r="D51" s="60"/>
      <c r="E51" s="60"/>
      <c r="F51" s="59"/>
    </row>
    <row r="53" spans="1:7" ht="20.25" customHeight="1">
      <c r="C53" s="10"/>
      <c r="E53" s="10"/>
    </row>
    <row r="54" spans="1:7" ht="15">
      <c r="C54" s="10"/>
      <c r="E54" s="10"/>
    </row>
    <row r="55" spans="1:7" ht="15">
      <c r="C55" s="10"/>
      <c r="E55" s="10"/>
    </row>
    <row r="56" spans="1:7" ht="15">
      <c r="C56" s="10"/>
      <c r="E56" s="10"/>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K5" sqref="K5"/>
    </sheetView>
  </sheetViews>
  <sheetFormatPr defaultRowHeight="15.75"/>
  <cols>
    <col min="1" max="1" width="44.28515625" style="66" customWidth="1"/>
    <col min="2" max="2" width="20.7109375" style="95" customWidth="1"/>
    <col min="3" max="3" width="12.85546875" style="95" customWidth="1"/>
    <col min="4" max="4" width="20.7109375" style="66" customWidth="1"/>
    <col min="5" max="5" width="4" style="66" customWidth="1"/>
    <col min="6" max="6" width="10.42578125" style="66" customWidth="1"/>
    <col min="7" max="7" width="16.28515625" style="66" bestFit="1" customWidth="1"/>
    <col min="8" max="16384" width="9.140625" style="66"/>
  </cols>
  <sheetData>
    <row r="1" spans="1:7">
      <c r="A1" s="63" t="s">
        <v>150</v>
      </c>
      <c r="B1" s="64"/>
      <c r="C1" s="64"/>
      <c r="D1" s="63"/>
      <c r="E1" s="63"/>
      <c r="F1" s="65"/>
    </row>
    <row r="2" spans="1:7" ht="16.5" thickBot="1">
      <c r="A2" s="67"/>
      <c r="B2" s="68"/>
      <c r="C2" s="68"/>
      <c r="D2" s="67"/>
      <c r="E2" s="67"/>
    </row>
    <row r="3" spans="1:7" ht="16.5" thickTop="1">
      <c r="A3" s="69"/>
      <c r="B3" s="70">
        <v>41277</v>
      </c>
      <c r="C3" s="70"/>
      <c r="D3" s="70">
        <v>41246</v>
      </c>
      <c r="E3" s="71"/>
      <c r="F3" s="72"/>
    </row>
    <row r="4" spans="1:7">
      <c r="A4" s="73"/>
      <c r="B4" s="74" t="s">
        <v>151</v>
      </c>
      <c r="C4" s="74"/>
      <c r="D4" s="74" t="s">
        <v>151</v>
      </c>
      <c r="E4" s="75"/>
      <c r="F4" s="72"/>
    </row>
    <row r="5" spans="1:7">
      <c r="A5" s="76" t="s">
        <v>152</v>
      </c>
      <c r="B5" s="77"/>
      <c r="C5" s="77"/>
      <c r="D5" s="77"/>
      <c r="E5" s="78"/>
      <c r="F5" s="72"/>
    </row>
    <row r="6" spans="1:7">
      <c r="A6" s="79" t="s">
        <v>127</v>
      </c>
      <c r="B6" s="77"/>
      <c r="C6" s="77"/>
      <c r="D6" s="77"/>
      <c r="E6" s="78"/>
      <c r="F6" s="72"/>
    </row>
    <row r="7" spans="1:7">
      <c r="A7" s="73" t="s">
        <v>153</v>
      </c>
      <c r="B7" s="77">
        <v>29009436783.703388</v>
      </c>
      <c r="C7" s="77"/>
      <c r="D7" s="77">
        <v>30130464669.946297</v>
      </c>
      <c r="E7" s="80"/>
      <c r="F7" s="72"/>
      <c r="G7" s="81"/>
    </row>
    <row r="8" spans="1:7">
      <c r="A8" s="73" t="s">
        <v>154</v>
      </c>
      <c r="B8" s="77" t="s">
        <v>148</v>
      </c>
      <c r="C8" s="68"/>
      <c r="D8" s="77" t="s">
        <v>148</v>
      </c>
      <c r="E8" s="80"/>
      <c r="F8" s="72"/>
      <c r="G8" s="81"/>
    </row>
    <row r="9" spans="1:7">
      <c r="A9" s="73" t="s">
        <v>155</v>
      </c>
      <c r="B9" s="82">
        <v>214992233858.39554</v>
      </c>
      <c r="C9" s="83"/>
      <c r="D9" s="82">
        <v>199260733066.93549</v>
      </c>
      <c r="E9" s="80"/>
      <c r="F9" s="72"/>
      <c r="G9" s="81"/>
    </row>
    <row r="10" spans="1:7">
      <c r="A10" s="73" t="s">
        <v>156</v>
      </c>
      <c r="B10" s="83">
        <v>264252773796.5368</v>
      </c>
      <c r="C10" s="83"/>
      <c r="D10" s="83">
        <v>264818408422.33994</v>
      </c>
      <c r="E10" s="80"/>
      <c r="F10" s="72"/>
      <c r="G10" s="81"/>
    </row>
    <row r="11" spans="1:7">
      <c r="A11" s="73" t="s">
        <v>157</v>
      </c>
      <c r="B11" s="84">
        <v>70239295036.627838</v>
      </c>
      <c r="C11" s="83"/>
      <c r="D11" s="84">
        <v>71581205008.441315</v>
      </c>
      <c r="E11" s="80"/>
      <c r="F11" s="72"/>
      <c r="G11" s="81"/>
    </row>
    <row r="12" spans="1:7">
      <c r="A12" s="73"/>
      <c r="B12" s="77">
        <v>549484302691.56018</v>
      </c>
      <c r="C12" s="68"/>
      <c r="D12" s="77">
        <v>535660346497.71667</v>
      </c>
      <c r="E12" s="80"/>
      <c r="F12" s="72"/>
      <c r="G12" s="81"/>
    </row>
    <row r="13" spans="1:7">
      <c r="A13" s="73" t="s">
        <v>158</v>
      </c>
      <c r="B13" s="77">
        <v>60301700835.124283</v>
      </c>
      <c r="C13" s="68"/>
      <c r="D13" s="77">
        <v>59248183670.137009</v>
      </c>
      <c r="E13" s="80"/>
      <c r="F13" s="72"/>
      <c r="G13" s="81"/>
    </row>
    <row r="14" spans="1:7">
      <c r="A14" s="73" t="s">
        <v>159</v>
      </c>
      <c r="B14" s="77">
        <v>542600254.13275814</v>
      </c>
      <c r="C14" s="68"/>
      <c r="D14" s="77">
        <v>840520557.35902929</v>
      </c>
      <c r="E14" s="80"/>
      <c r="F14" s="72"/>
      <c r="G14" s="81"/>
    </row>
    <row r="15" spans="1:7">
      <c r="A15" s="73" t="s">
        <v>160</v>
      </c>
      <c r="B15" s="77"/>
      <c r="C15" s="68"/>
      <c r="D15" s="77"/>
      <c r="E15" s="80"/>
      <c r="F15" s="72"/>
      <c r="G15" s="81"/>
    </row>
    <row r="16" spans="1:7">
      <c r="A16" s="73" t="s">
        <v>161</v>
      </c>
      <c r="B16" s="82">
        <v>207179236377.23044</v>
      </c>
      <c r="C16" s="83"/>
      <c r="D16" s="82">
        <v>209167236362.58224</v>
      </c>
      <c r="E16" s="80"/>
      <c r="F16" s="72"/>
      <c r="G16" s="81"/>
    </row>
    <row r="17" spans="1:7">
      <c r="A17" s="73" t="s">
        <v>162</v>
      </c>
      <c r="B17" s="84">
        <v>0</v>
      </c>
      <c r="C17" s="83"/>
      <c r="D17" s="84">
        <v>0</v>
      </c>
      <c r="E17" s="80"/>
      <c r="F17" s="72"/>
      <c r="G17" s="81"/>
    </row>
    <row r="18" spans="1:7">
      <c r="A18" s="73"/>
      <c r="B18" s="77">
        <v>207179236377.23044</v>
      </c>
      <c r="C18" s="68"/>
      <c r="D18" s="77">
        <v>209167236362.58224</v>
      </c>
      <c r="E18" s="80"/>
      <c r="F18" s="72"/>
      <c r="G18" s="81"/>
    </row>
    <row r="19" spans="1:7">
      <c r="A19" s="73" t="s">
        <v>163</v>
      </c>
      <c r="B19" s="77"/>
      <c r="C19" s="68"/>
      <c r="D19" s="77"/>
      <c r="E19" s="80"/>
      <c r="F19" s="72"/>
      <c r="G19" s="81"/>
    </row>
    <row r="20" spans="1:7">
      <c r="A20" s="73" t="s">
        <v>164</v>
      </c>
      <c r="B20" s="82">
        <v>6135531810.7069397</v>
      </c>
      <c r="C20" s="83"/>
      <c r="D20" s="82">
        <v>6102972742.3000002</v>
      </c>
      <c r="E20" s="80"/>
      <c r="F20" s="72"/>
      <c r="G20" s="81"/>
    </row>
    <row r="21" spans="1:7">
      <c r="A21" s="73" t="s">
        <v>165</v>
      </c>
      <c r="B21" s="84">
        <v>59666507254.540352</v>
      </c>
      <c r="C21" s="83"/>
      <c r="D21" s="84">
        <v>58603787101.78315</v>
      </c>
      <c r="E21" s="80"/>
      <c r="F21" s="72"/>
      <c r="G21" s="81"/>
    </row>
    <row r="22" spans="1:7">
      <c r="A22" s="73"/>
      <c r="B22" s="77">
        <v>65802039065.247292</v>
      </c>
      <c r="C22" s="68"/>
      <c r="D22" s="77">
        <v>64706759844.083153</v>
      </c>
      <c r="E22" s="80"/>
      <c r="F22" s="72"/>
      <c r="G22" s="81"/>
    </row>
    <row r="23" spans="1:7">
      <c r="A23" s="73" t="s">
        <v>166</v>
      </c>
      <c r="B23" s="77">
        <v>9024345731.7378826</v>
      </c>
      <c r="C23" s="68"/>
      <c r="D23" s="77">
        <v>9010688984.5668621</v>
      </c>
      <c r="E23" s="80"/>
      <c r="F23" s="72"/>
      <c r="G23" s="81"/>
    </row>
    <row r="24" spans="1:7">
      <c r="A24" s="73" t="s">
        <v>167</v>
      </c>
      <c r="B24" s="77">
        <v>20008818037.999268</v>
      </c>
      <c r="C24" s="68"/>
      <c r="D24" s="77">
        <v>19944083797.667923</v>
      </c>
      <c r="E24" s="80"/>
      <c r="F24" s="72"/>
      <c r="G24" s="81"/>
    </row>
    <row r="25" spans="1:7">
      <c r="A25" s="73" t="s">
        <v>136</v>
      </c>
      <c r="B25" s="85">
        <v>33189625011.1339</v>
      </c>
      <c r="C25" s="68"/>
      <c r="D25" s="85">
        <v>33756555641.997803</v>
      </c>
      <c r="E25" s="80"/>
      <c r="F25" s="72"/>
      <c r="G25" s="81"/>
    </row>
    <row r="26" spans="1:7">
      <c r="A26" s="73"/>
      <c r="B26" s="77">
        <v>974542104787.86951</v>
      </c>
      <c r="C26" s="68"/>
      <c r="D26" s="77">
        <v>962464840026.05701</v>
      </c>
      <c r="E26" s="80"/>
      <c r="F26" s="72"/>
      <c r="G26" s="81"/>
    </row>
    <row r="27" spans="1:7">
      <c r="A27" s="86" t="s">
        <v>168</v>
      </c>
      <c r="B27" s="77"/>
      <c r="C27" s="68"/>
      <c r="D27" s="77"/>
      <c r="E27" s="80"/>
      <c r="F27" s="72"/>
      <c r="G27" s="81"/>
    </row>
    <row r="28" spans="1:7">
      <c r="A28" s="76" t="s">
        <v>138</v>
      </c>
      <c r="B28" s="77"/>
      <c r="C28" s="68"/>
      <c r="D28" s="77"/>
      <c r="E28" s="80"/>
      <c r="F28" s="72"/>
      <c r="G28" s="81"/>
    </row>
    <row r="29" spans="1:7">
      <c r="A29" s="73" t="s">
        <v>169</v>
      </c>
      <c r="B29" s="77"/>
      <c r="C29" s="68"/>
      <c r="D29" s="77"/>
      <c r="E29" s="80"/>
      <c r="F29" s="72"/>
      <c r="G29" s="81"/>
    </row>
    <row r="30" spans="1:7">
      <c r="A30" s="73" t="s">
        <v>170</v>
      </c>
      <c r="B30" s="82">
        <v>287501570275.43762</v>
      </c>
      <c r="C30" s="83"/>
      <c r="D30" s="82">
        <v>268986849496.78723</v>
      </c>
      <c r="E30" s="80"/>
      <c r="F30" s="72"/>
      <c r="G30" s="81"/>
    </row>
    <row r="31" spans="1:7">
      <c r="A31" s="73" t="s">
        <v>171</v>
      </c>
      <c r="B31" s="83">
        <v>151347050307.41235</v>
      </c>
      <c r="C31" s="83"/>
      <c r="D31" s="83">
        <v>148595154205.08441</v>
      </c>
      <c r="E31" s="80"/>
      <c r="F31" s="72"/>
      <c r="G31" s="81"/>
    </row>
    <row r="32" spans="1:7">
      <c r="A32" s="73" t="s">
        <v>172</v>
      </c>
      <c r="B32" s="83">
        <v>278638194711.01019</v>
      </c>
      <c r="C32" s="83"/>
      <c r="D32" s="83">
        <v>277081380781.64807</v>
      </c>
      <c r="E32" s="80"/>
      <c r="F32" s="72"/>
      <c r="G32" s="81"/>
    </row>
    <row r="33" spans="1:7">
      <c r="A33" s="73" t="s">
        <v>173</v>
      </c>
      <c r="B33" s="84">
        <v>36229667.413210005</v>
      </c>
      <c r="C33" s="83" t="s">
        <v>148</v>
      </c>
      <c r="D33" s="84">
        <v>38848852.613088004</v>
      </c>
      <c r="E33" s="80"/>
      <c r="F33" s="72"/>
      <c r="G33" s="81"/>
    </row>
    <row r="34" spans="1:7">
      <c r="A34" s="73"/>
      <c r="B34" s="77">
        <v>717523044961.27332</v>
      </c>
      <c r="C34" s="68"/>
      <c r="D34" s="77">
        <v>694702233336.13281</v>
      </c>
      <c r="E34" s="80"/>
      <c r="F34" s="72"/>
      <c r="G34" s="81"/>
    </row>
    <row r="35" spans="1:7">
      <c r="A35" s="73" t="s">
        <v>174</v>
      </c>
      <c r="B35" s="77"/>
      <c r="C35" s="68"/>
      <c r="D35" s="77"/>
      <c r="E35" s="80"/>
      <c r="F35" s="72"/>
      <c r="G35" s="81"/>
    </row>
    <row r="36" spans="1:7">
      <c r="A36" s="73" t="s">
        <v>175</v>
      </c>
      <c r="B36" s="82">
        <v>2005163344</v>
      </c>
      <c r="C36" s="83"/>
      <c r="D36" s="82">
        <v>1683540416.46</v>
      </c>
      <c r="E36" s="80"/>
      <c r="F36" s="72"/>
      <c r="G36" s="81"/>
    </row>
    <row r="37" spans="1:7">
      <c r="A37" s="73" t="s">
        <v>176</v>
      </c>
      <c r="B37" s="83">
        <v>3375563354.2003002</v>
      </c>
      <c r="C37" s="83"/>
      <c r="D37" s="83">
        <v>3240231030.0600004</v>
      </c>
      <c r="E37" s="80"/>
      <c r="F37" s="72"/>
      <c r="G37" s="81"/>
    </row>
    <row r="38" spans="1:7">
      <c r="A38" s="73" t="s">
        <v>177</v>
      </c>
      <c r="B38" s="83">
        <v>84045245613.034515</v>
      </c>
      <c r="C38" s="83"/>
      <c r="D38" s="83">
        <v>94514342478.617187</v>
      </c>
      <c r="E38" s="80"/>
      <c r="F38" s="72"/>
      <c r="G38" s="81"/>
    </row>
    <row r="39" spans="1:7">
      <c r="A39" s="73" t="s">
        <v>178</v>
      </c>
      <c r="B39" s="84">
        <v>6845463984.0976372</v>
      </c>
      <c r="C39" s="83"/>
      <c r="D39" s="84">
        <v>8652220964.0034218</v>
      </c>
      <c r="E39" s="80"/>
      <c r="F39" s="72"/>
      <c r="G39" s="81"/>
    </row>
    <row r="40" spans="1:7">
      <c r="A40" s="73"/>
      <c r="B40" s="77">
        <v>96271436295.332458</v>
      </c>
      <c r="C40" s="68"/>
      <c r="D40" s="77">
        <v>108090334889.14061</v>
      </c>
      <c r="E40" s="80"/>
      <c r="F40" s="72"/>
      <c r="G40" s="81"/>
    </row>
    <row r="41" spans="1:7">
      <c r="A41" s="73" t="s">
        <v>179</v>
      </c>
      <c r="B41" s="77">
        <v>57106198700.565002</v>
      </c>
      <c r="C41" s="68"/>
      <c r="D41" s="77">
        <v>58310685232.807396</v>
      </c>
      <c r="E41" s="80"/>
      <c r="F41" s="72"/>
      <c r="G41" s="81"/>
    </row>
    <row r="42" spans="1:7">
      <c r="A42" s="73"/>
      <c r="B42" s="87">
        <v>870900679957.17065</v>
      </c>
      <c r="C42" s="68"/>
      <c r="D42" s="87">
        <v>861103253458.08081</v>
      </c>
      <c r="E42" s="80"/>
      <c r="F42" s="72"/>
      <c r="G42" s="81"/>
    </row>
    <row r="43" spans="1:7" ht="16.5" thickBot="1">
      <c r="A43" s="73"/>
      <c r="B43" s="88">
        <v>103641424830.69885</v>
      </c>
      <c r="C43" s="89"/>
      <c r="D43" s="88">
        <v>101361586567.9762</v>
      </c>
      <c r="E43" s="90"/>
      <c r="F43" s="72"/>
      <c r="G43" s="81"/>
    </row>
    <row r="44" spans="1:7" ht="16.5" thickTop="1">
      <c r="A44" s="76" t="s">
        <v>180</v>
      </c>
      <c r="B44" s="77"/>
      <c r="C44" s="68"/>
      <c r="D44" s="77"/>
      <c r="E44" s="80"/>
      <c r="F44" s="72"/>
      <c r="G44" s="81"/>
    </row>
    <row r="45" spans="1:7">
      <c r="A45" s="76" t="s">
        <v>181</v>
      </c>
      <c r="B45" s="77"/>
      <c r="C45" s="68"/>
      <c r="D45" s="77"/>
      <c r="E45" s="80"/>
      <c r="F45" s="72"/>
      <c r="G45" s="81"/>
    </row>
    <row r="46" spans="1:7">
      <c r="A46" s="73" t="s">
        <v>182</v>
      </c>
      <c r="B46" s="82">
        <v>28725123580.8592</v>
      </c>
      <c r="C46" s="83"/>
      <c r="D46" s="82">
        <v>28881590429.132401</v>
      </c>
      <c r="E46" s="80"/>
      <c r="F46" s="72"/>
      <c r="G46" s="81"/>
    </row>
    <row r="47" spans="1:7">
      <c r="A47" s="73" t="s">
        <v>183</v>
      </c>
      <c r="B47" s="84">
        <v>61933645494.239212</v>
      </c>
      <c r="C47" s="83"/>
      <c r="D47" s="84">
        <v>59480874052.982124</v>
      </c>
      <c r="E47" s="80"/>
      <c r="F47" s="72"/>
      <c r="G47" s="81"/>
    </row>
    <row r="48" spans="1:7">
      <c r="A48" s="73"/>
      <c r="B48" s="77">
        <v>90658769075.098419</v>
      </c>
      <c r="C48" s="68"/>
      <c r="D48" s="77">
        <v>88362464482.114532</v>
      </c>
      <c r="E48" s="80"/>
      <c r="F48" s="72"/>
      <c r="G48" s="81"/>
    </row>
    <row r="49" spans="1:7">
      <c r="A49" s="76" t="s">
        <v>184</v>
      </c>
      <c r="B49" s="77">
        <v>12982655756.0177</v>
      </c>
      <c r="C49" s="68"/>
      <c r="D49" s="77">
        <v>12999122085.500933</v>
      </c>
      <c r="E49" s="80"/>
      <c r="F49" s="72"/>
      <c r="G49" s="81"/>
    </row>
    <row r="50" spans="1:7" ht="16.5" thickBot="1">
      <c r="A50" s="73"/>
      <c r="B50" s="88">
        <v>103641424831.11612</v>
      </c>
      <c r="C50" s="89"/>
      <c r="D50" s="88">
        <v>101361586567.61546</v>
      </c>
      <c r="E50" s="90"/>
      <c r="F50" s="72"/>
      <c r="G50" s="81"/>
    </row>
    <row r="51" spans="1:7" ht="16.5" thickTop="1">
      <c r="A51" s="76" t="s">
        <v>185</v>
      </c>
      <c r="B51" s="77"/>
      <c r="C51" s="68"/>
      <c r="D51" s="77"/>
      <c r="E51" s="80"/>
      <c r="F51" s="72"/>
      <c r="G51" s="81"/>
    </row>
    <row r="52" spans="1:7">
      <c r="A52" s="73" t="s">
        <v>186</v>
      </c>
      <c r="B52" s="77"/>
      <c r="C52" s="77"/>
      <c r="D52" s="77"/>
      <c r="E52" s="80"/>
      <c r="F52" s="72"/>
      <c r="G52" s="81"/>
    </row>
    <row r="53" spans="1:7">
      <c r="A53" s="73" t="s">
        <v>187</v>
      </c>
      <c r="B53" s="77"/>
      <c r="C53" s="77"/>
      <c r="D53" s="77"/>
      <c r="E53" s="80"/>
      <c r="F53" s="72"/>
      <c r="G53" s="81"/>
    </row>
    <row r="54" spans="1:7">
      <c r="A54" s="73" t="s">
        <v>188</v>
      </c>
      <c r="B54" s="77">
        <v>64930754908.843933</v>
      </c>
      <c r="C54" s="77"/>
      <c r="D54" s="77">
        <v>64923748210.942337</v>
      </c>
      <c r="E54" s="80"/>
      <c r="F54" s="72"/>
      <c r="G54" s="81"/>
    </row>
    <row r="55" spans="1:7">
      <c r="A55" s="73" t="s">
        <v>189</v>
      </c>
      <c r="B55" s="77">
        <v>4233615288.2208605</v>
      </c>
      <c r="C55" s="77"/>
      <c r="D55" s="77">
        <v>4754821990.8924894</v>
      </c>
      <c r="E55" s="80"/>
      <c r="F55" s="72"/>
      <c r="G55" s="81"/>
    </row>
    <row r="56" spans="1:7">
      <c r="A56" s="73" t="s">
        <v>190</v>
      </c>
      <c r="B56" s="77">
        <v>5601799784.7575741</v>
      </c>
      <c r="C56" s="77"/>
      <c r="D56" s="77">
        <v>5775278969.5807924</v>
      </c>
      <c r="E56" s="80"/>
      <c r="F56" s="72"/>
      <c r="G56" s="81"/>
    </row>
    <row r="57" spans="1:7">
      <c r="A57" s="91" t="s">
        <v>191</v>
      </c>
      <c r="B57" s="68">
        <v>5962174246.1632872</v>
      </c>
      <c r="C57" s="68"/>
      <c r="D57" s="68">
        <v>19410508596.508564</v>
      </c>
      <c r="E57" s="80"/>
      <c r="G57" s="81"/>
    </row>
    <row r="58" spans="1:7">
      <c r="A58" s="73" t="s">
        <v>192</v>
      </c>
      <c r="B58" s="68">
        <v>11867143671.659138</v>
      </c>
      <c r="C58" s="68"/>
      <c r="D58" s="68">
        <v>19447313478.430477</v>
      </c>
      <c r="E58" s="80"/>
      <c r="G58" s="81"/>
    </row>
    <row r="59" spans="1:7" ht="16.5" thickBot="1">
      <c r="A59" s="92"/>
      <c r="B59" s="93"/>
      <c r="C59" s="93"/>
      <c r="D59" s="93"/>
      <c r="E59" s="94"/>
      <c r="G59" s="81"/>
    </row>
    <row r="60" spans="1:7" ht="4.5" customHeight="1" thickTop="1"/>
    <row r="61" spans="1:7">
      <c r="A61" s="96"/>
    </row>
    <row r="62" spans="1:7" ht="12" customHeight="1">
      <c r="A62" s="96" t="s">
        <v>149</v>
      </c>
    </row>
    <row r="63" spans="1:7">
      <c r="B63" s="95" t="s">
        <v>148</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2.75"/>
  <cols>
    <col min="1" max="1" width="75.7109375" style="100" customWidth="1"/>
    <col min="2" max="3" width="9.7109375" style="100" customWidth="1"/>
    <col min="4" max="4" width="10.85546875" style="100" customWidth="1"/>
    <col min="5" max="5" width="14.28515625" style="100" bestFit="1" customWidth="1"/>
    <col min="6" max="6" width="10.28515625" style="100" bestFit="1" customWidth="1"/>
    <col min="7" max="7" width="9.7109375" style="100" bestFit="1" customWidth="1"/>
    <col min="8" max="256" width="9.140625" style="100"/>
    <col min="257" max="257" width="75.7109375" style="100" customWidth="1"/>
    <col min="258" max="259" width="9.7109375" style="100" customWidth="1"/>
    <col min="260" max="260" width="10.85546875" style="100" customWidth="1"/>
    <col min="261" max="261" width="14.28515625" style="100" bestFit="1" customWidth="1"/>
    <col min="262" max="262" width="10.28515625" style="100" bestFit="1" customWidth="1"/>
    <col min="263" max="263" width="9.7109375" style="100" bestFit="1" customWidth="1"/>
    <col min="264" max="512" width="9.140625" style="100"/>
    <col min="513" max="513" width="75.7109375" style="100" customWidth="1"/>
    <col min="514" max="515" width="9.7109375" style="100" customWidth="1"/>
    <col min="516" max="516" width="10.85546875" style="100" customWidth="1"/>
    <col min="517" max="517" width="14.28515625" style="100" bestFit="1" customWidth="1"/>
    <col min="518" max="518" width="10.28515625" style="100" bestFit="1" customWidth="1"/>
    <col min="519" max="519" width="9.7109375" style="100" bestFit="1" customWidth="1"/>
    <col min="520" max="768" width="9.140625" style="100"/>
    <col min="769" max="769" width="75.7109375" style="100" customWidth="1"/>
    <col min="770" max="771" width="9.7109375" style="100" customWidth="1"/>
    <col min="772" max="772" width="10.85546875" style="100" customWidth="1"/>
    <col min="773" max="773" width="14.28515625" style="100" bestFit="1" customWidth="1"/>
    <col min="774" max="774" width="10.28515625" style="100" bestFit="1" customWidth="1"/>
    <col min="775" max="775" width="9.7109375" style="100" bestFit="1" customWidth="1"/>
    <col min="776" max="1024" width="9.140625" style="100"/>
    <col min="1025" max="1025" width="75.7109375" style="100" customWidth="1"/>
    <col min="1026" max="1027" width="9.7109375" style="100" customWidth="1"/>
    <col min="1028" max="1028" width="10.85546875" style="100" customWidth="1"/>
    <col min="1029" max="1029" width="14.28515625" style="100" bestFit="1" customWidth="1"/>
    <col min="1030" max="1030" width="10.28515625" style="100" bestFit="1" customWidth="1"/>
    <col min="1031" max="1031" width="9.7109375" style="100" bestFit="1" customWidth="1"/>
    <col min="1032" max="1280" width="9.140625" style="100"/>
    <col min="1281" max="1281" width="75.7109375" style="100" customWidth="1"/>
    <col min="1282" max="1283" width="9.7109375" style="100" customWidth="1"/>
    <col min="1284" max="1284" width="10.85546875" style="100" customWidth="1"/>
    <col min="1285" max="1285" width="14.28515625" style="100" bestFit="1" customWidth="1"/>
    <col min="1286" max="1286" width="10.28515625" style="100" bestFit="1" customWidth="1"/>
    <col min="1287" max="1287" width="9.7109375" style="100" bestFit="1" customWidth="1"/>
    <col min="1288" max="1536" width="9.140625" style="100"/>
    <col min="1537" max="1537" width="75.7109375" style="100" customWidth="1"/>
    <col min="1538" max="1539" width="9.7109375" style="100" customWidth="1"/>
    <col min="1540" max="1540" width="10.85546875" style="100" customWidth="1"/>
    <col min="1541" max="1541" width="14.28515625" style="100" bestFit="1" customWidth="1"/>
    <col min="1542" max="1542" width="10.28515625" style="100" bestFit="1" customWidth="1"/>
    <col min="1543" max="1543" width="9.7109375" style="100" bestFit="1" customWidth="1"/>
    <col min="1544" max="1792" width="9.140625" style="100"/>
    <col min="1793" max="1793" width="75.7109375" style="100" customWidth="1"/>
    <col min="1794" max="1795" width="9.7109375" style="100" customWidth="1"/>
    <col min="1796" max="1796" width="10.85546875" style="100" customWidth="1"/>
    <col min="1797" max="1797" width="14.28515625" style="100" bestFit="1" customWidth="1"/>
    <col min="1798" max="1798" width="10.28515625" style="100" bestFit="1" customWidth="1"/>
    <col min="1799" max="1799" width="9.7109375" style="100" bestFit="1" customWidth="1"/>
    <col min="1800" max="2048" width="9.140625" style="100"/>
    <col min="2049" max="2049" width="75.7109375" style="100" customWidth="1"/>
    <col min="2050" max="2051" width="9.7109375" style="100" customWidth="1"/>
    <col min="2052" max="2052" width="10.85546875" style="100" customWidth="1"/>
    <col min="2053" max="2053" width="14.28515625" style="100" bestFit="1" customWidth="1"/>
    <col min="2054" max="2054" width="10.28515625" style="100" bestFit="1" customWidth="1"/>
    <col min="2055" max="2055" width="9.7109375" style="100" bestFit="1" customWidth="1"/>
    <col min="2056" max="2304" width="9.140625" style="100"/>
    <col min="2305" max="2305" width="75.7109375" style="100" customWidth="1"/>
    <col min="2306" max="2307" width="9.7109375" style="100" customWidth="1"/>
    <col min="2308" max="2308" width="10.85546875" style="100" customWidth="1"/>
    <col min="2309" max="2309" width="14.28515625" style="100" bestFit="1" customWidth="1"/>
    <col min="2310" max="2310" width="10.28515625" style="100" bestFit="1" customWidth="1"/>
    <col min="2311" max="2311" width="9.7109375" style="100" bestFit="1" customWidth="1"/>
    <col min="2312" max="2560" width="9.140625" style="100"/>
    <col min="2561" max="2561" width="75.7109375" style="100" customWidth="1"/>
    <col min="2562" max="2563" width="9.7109375" style="100" customWidth="1"/>
    <col min="2564" max="2564" width="10.85546875" style="100" customWidth="1"/>
    <col min="2565" max="2565" width="14.28515625" style="100" bestFit="1" customWidth="1"/>
    <col min="2566" max="2566" width="10.28515625" style="100" bestFit="1" customWidth="1"/>
    <col min="2567" max="2567" width="9.7109375" style="100" bestFit="1" customWidth="1"/>
    <col min="2568" max="2816" width="9.140625" style="100"/>
    <col min="2817" max="2817" width="75.7109375" style="100" customWidth="1"/>
    <col min="2818" max="2819" width="9.7109375" style="100" customWidth="1"/>
    <col min="2820" max="2820" width="10.85546875" style="100" customWidth="1"/>
    <col min="2821" max="2821" width="14.28515625" style="100" bestFit="1" customWidth="1"/>
    <col min="2822" max="2822" width="10.28515625" style="100" bestFit="1" customWidth="1"/>
    <col min="2823" max="2823" width="9.7109375" style="100" bestFit="1" customWidth="1"/>
    <col min="2824" max="3072" width="9.140625" style="100"/>
    <col min="3073" max="3073" width="75.7109375" style="100" customWidth="1"/>
    <col min="3074" max="3075" width="9.7109375" style="100" customWidth="1"/>
    <col min="3076" max="3076" width="10.85546875" style="100" customWidth="1"/>
    <col min="3077" max="3077" width="14.28515625" style="100" bestFit="1" customWidth="1"/>
    <col min="3078" max="3078" width="10.28515625" style="100" bestFit="1" customWidth="1"/>
    <col min="3079" max="3079" width="9.7109375" style="100" bestFit="1" customWidth="1"/>
    <col min="3080" max="3328" width="9.140625" style="100"/>
    <col min="3329" max="3329" width="75.7109375" style="100" customWidth="1"/>
    <col min="3330" max="3331" width="9.7109375" style="100" customWidth="1"/>
    <col min="3332" max="3332" width="10.85546875" style="100" customWidth="1"/>
    <col min="3333" max="3333" width="14.28515625" style="100" bestFit="1" customWidth="1"/>
    <col min="3334" max="3334" width="10.28515625" style="100" bestFit="1" customWidth="1"/>
    <col min="3335" max="3335" width="9.7109375" style="100" bestFit="1" customWidth="1"/>
    <col min="3336" max="3584" width="9.140625" style="100"/>
    <col min="3585" max="3585" width="75.7109375" style="100" customWidth="1"/>
    <col min="3586" max="3587" width="9.7109375" style="100" customWidth="1"/>
    <col min="3588" max="3588" width="10.85546875" style="100" customWidth="1"/>
    <col min="3589" max="3589" width="14.28515625" style="100" bestFit="1" customWidth="1"/>
    <col min="3590" max="3590" width="10.28515625" style="100" bestFit="1" customWidth="1"/>
    <col min="3591" max="3591" width="9.7109375" style="100" bestFit="1" customWidth="1"/>
    <col min="3592" max="3840" width="9.140625" style="100"/>
    <col min="3841" max="3841" width="75.7109375" style="100" customWidth="1"/>
    <col min="3842" max="3843" width="9.7109375" style="100" customWidth="1"/>
    <col min="3844" max="3844" width="10.85546875" style="100" customWidth="1"/>
    <col min="3845" max="3845" width="14.28515625" style="100" bestFit="1" customWidth="1"/>
    <col min="3846" max="3846" width="10.28515625" style="100" bestFit="1" customWidth="1"/>
    <col min="3847" max="3847" width="9.7109375" style="100" bestFit="1" customWidth="1"/>
    <col min="3848" max="4096" width="9.140625" style="100"/>
    <col min="4097" max="4097" width="75.7109375" style="100" customWidth="1"/>
    <col min="4098" max="4099" width="9.7109375" style="100" customWidth="1"/>
    <col min="4100" max="4100" width="10.85546875" style="100" customWidth="1"/>
    <col min="4101" max="4101" width="14.28515625" style="100" bestFit="1" customWidth="1"/>
    <col min="4102" max="4102" width="10.28515625" style="100" bestFit="1" customWidth="1"/>
    <col min="4103" max="4103" width="9.7109375" style="100" bestFit="1" customWidth="1"/>
    <col min="4104" max="4352" width="9.140625" style="100"/>
    <col min="4353" max="4353" width="75.7109375" style="100" customWidth="1"/>
    <col min="4354" max="4355" width="9.7109375" style="100" customWidth="1"/>
    <col min="4356" max="4356" width="10.85546875" style="100" customWidth="1"/>
    <col min="4357" max="4357" width="14.28515625" style="100" bestFit="1" customWidth="1"/>
    <col min="4358" max="4358" width="10.28515625" style="100" bestFit="1" customWidth="1"/>
    <col min="4359" max="4359" width="9.7109375" style="100" bestFit="1" customWidth="1"/>
    <col min="4360" max="4608" width="9.140625" style="100"/>
    <col min="4609" max="4609" width="75.7109375" style="100" customWidth="1"/>
    <col min="4610" max="4611" width="9.7109375" style="100" customWidth="1"/>
    <col min="4612" max="4612" width="10.85546875" style="100" customWidth="1"/>
    <col min="4613" max="4613" width="14.28515625" style="100" bestFit="1" customWidth="1"/>
    <col min="4614" max="4614" width="10.28515625" style="100" bestFit="1" customWidth="1"/>
    <col min="4615" max="4615" width="9.7109375" style="100" bestFit="1" customWidth="1"/>
    <col min="4616" max="4864" width="9.140625" style="100"/>
    <col min="4865" max="4865" width="75.7109375" style="100" customWidth="1"/>
    <col min="4866" max="4867" width="9.7109375" style="100" customWidth="1"/>
    <col min="4868" max="4868" width="10.85546875" style="100" customWidth="1"/>
    <col min="4869" max="4869" width="14.28515625" style="100" bestFit="1" customWidth="1"/>
    <col min="4870" max="4870" width="10.28515625" style="100" bestFit="1" customWidth="1"/>
    <col min="4871" max="4871" width="9.7109375" style="100" bestFit="1" customWidth="1"/>
    <col min="4872" max="5120" width="9.140625" style="100"/>
    <col min="5121" max="5121" width="75.7109375" style="100" customWidth="1"/>
    <col min="5122" max="5123" width="9.7109375" style="100" customWidth="1"/>
    <col min="5124" max="5124" width="10.85546875" style="100" customWidth="1"/>
    <col min="5125" max="5125" width="14.28515625" style="100" bestFit="1" customWidth="1"/>
    <col min="5126" max="5126" width="10.28515625" style="100" bestFit="1" customWidth="1"/>
    <col min="5127" max="5127" width="9.7109375" style="100" bestFit="1" customWidth="1"/>
    <col min="5128" max="5376" width="9.140625" style="100"/>
    <col min="5377" max="5377" width="75.7109375" style="100" customWidth="1"/>
    <col min="5378" max="5379" width="9.7109375" style="100" customWidth="1"/>
    <col min="5380" max="5380" width="10.85546875" style="100" customWidth="1"/>
    <col min="5381" max="5381" width="14.28515625" style="100" bestFit="1" customWidth="1"/>
    <col min="5382" max="5382" width="10.28515625" style="100" bestFit="1" customWidth="1"/>
    <col min="5383" max="5383" width="9.7109375" style="100" bestFit="1" customWidth="1"/>
    <col min="5384" max="5632" width="9.140625" style="100"/>
    <col min="5633" max="5633" width="75.7109375" style="100" customWidth="1"/>
    <col min="5634" max="5635" width="9.7109375" style="100" customWidth="1"/>
    <col min="5636" max="5636" width="10.85546875" style="100" customWidth="1"/>
    <col min="5637" max="5637" width="14.28515625" style="100" bestFit="1" customWidth="1"/>
    <col min="5638" max="5638" width="10.28515625" style="100" bestFit="1" customWidth="1"/>
    <col min="5639" max="5639" width="9.7109375" style="100" bestFit="1" customWidth="1"/>
    <col min="5640" max="5888" width="9.140625" style="100"/>
    <col min="5889" max="5889" width="75.7109375" style="100" customWidth="1"/>
    <col min="5890" max="5891" width="9.7109375" style="100" customWidth="1"/>
    <col min="5892" max="5892" width="10.85546875" style="100" customWidth="1"/>
    <col min="5893" max="5893" width="14.28515625" style="100" bestFit="1" customWidth="1"/>
    <col min="5894" max="5894" width="10.28515625" style="100" bestFit="1" customWidth="1"/>
    <col min="5895" max="5895" width="9.7109375" style="100" bestFit="1" customWidth="1"/>
    <col min="5896" max="6144" width="9.140625" style="100"/>
    <col min="6145" max="6145" width="75.7109375" style="100" customWidth="1"/>
    <col min="6146" max="6147" width="9.7109375" style="100" customWidth="1"/>
    <col min="6148" max="6148" width="10.85546875" style="100" customWidth="1"/>
    <col min="6149" max="6149" width="14.28515625" style="100" bestFit="1" customWidth="1"/>
    <col min="6150" max="6150" width="10.28515625" style="100" bestFit="1" customWidth="1"/>
    <col min="6151" max="6151" width="9.7109375" style="100" bestFit="1" customWidth="1"/>
    <col min="6152" max="6400" width="9.140625" style="100"/>
    <col min="6401" max="6401" width="75.7109375" style="100" customWidth="1"/>
    <col min="6402" max="6403" width="9.7109375" style="100" customWidth="1"/>
    <col min="6404" max="6404" width="10.85546875" style="100" customWidth="1"/>
    <col min="6405" max="6405" width="14.28515625" style="100" bestFit="1" customWidth="1"/>
    <col min="6406" max="6406" width="10.28515625" style="100" bestFit="1" customWidth="1"/>
    <col min="6407" max="6407" width="9.7109375" style="100" bestFit="1" customWidth="1"/>
    <col min="6408" max="6656" width="9.140625" style="100"/>
    <col min="6657" max="6657" width="75.7109375" style="100" customWidth="1"/>
    <col min="6658" max="6659" width="9.7109375" style="100" customWidth="1"/>
    <col min="6660" max="6660" width="10.85546875" style="100" customWidth="1"/>
    <col min="6661" max="6661" width="14.28515625" style="100" bestFit="1" customWidth="1"/>
    <col min="6662" max="6662" width="10.28515625" style="100" bestFit="1" customWidth="1"/>
    <col min="6663" max="6663" width="9.7109375" style="100" bestFit="1" customWidth="1"/>
    <col min="6664" max="6912" width="9.140625" style="100"/>
    <col min="6913" max="6913" width="75.7109375" style="100" customWidth="1"/>
    <col min="6914" max="6915" width="9.7109375" style="100" customWidth="1"/>
    <col min="6916" max="6916" width="10.85546875" style="100" customWidth="1"/>
    <col min="6917" max="6917" width="14.28515625" style="100" bestFit="1" customWidth="1"/>
    <col min="6918" max="6918" width="10.28515625" style="100" bestFit="1" customWidth="1"/>
    <col min="6919" max="6919" width="9.7109375" style="100" bestFit="1" customWidth="1"/>
    <col min="6920" max="7168" width="9.140625" style="100"/>
    <col min="7169" max="7169" width="75.7109375" style="100" customWidth="1"/>
    <col min="7170" max="7171" width="9.7109375" style="100" customWidth="1"/>
    <col min="7172" max="7172" width="10.85546875" style="100" customWidth="1"/>
    <col min="7173" max="7173" width="14.28515625" style="100" bestFit="1" customWidth="1"/>
    <col min="7174" max="7174" width="10.28515625" style="100" bestFit="1" customWidth="1"/>
    <col min="7175" max="7175" width="9.7109375" style="100" bestFit="1" customWidth="1"/>
    <col min="7176" max="7424" width="9.140625" style="100"/>
    <col min="7425" max="7425" width="75.7109375" style="100" customWidth="1"/>
    <col min="7426" max="7427" width="9.7109375" style="100" customWidth="1"/>
    <col min="7428" max="7428" width="10.85546875" style="100" customWidth="1"/>
    <col min="7429" max="7429" width="14.28515625" style="100" bestFit="1" customWidth="1"/>
    <col min="7430" max="7430" width="10.28515625" style="100" bestFit="1" customWidth="1"/>
    <col min="7431" max="7431" width="9.7109375" style="100" bestFit="1" customWidth="1"/>
    <col min="7432" max="7680" width="9.140625" style="100"/>
    <col min="7681" max="7681" width="75.7109375" style="100" customWidth="1"/>
    <col min="7682" max="7683" width="9.7109375" style="100" customWidth="1"/>
    <col min="7684" max="7684" width="10.85546875" style="100" customWidth="1"/>
    <col min="7685" max="7685" width="14.28515625" style="100" bestFit="1" customWidth="1"/>
    <col min="7686" max="7686" width="10.28515625" style="100" bestFit="1" customWidth="1"/>
    <col min="7687" max="7687" width="9.7109375" style="100" bestFit="1" customWidth="1"/>
    <col min="7688" max="7936" width="9.140625" style="100"/>
    <col min="7937" max="7937" width="75.7109375" style="100" customWidth="1"/>
    <col min="7938" max="7939" width="9.7109375" style="100" customWidth="1"/>
    <col min="7940" max="7940" width="10.85546875" style="100" customWidth="1"/>
    <col min="7941" max="7941" width="14.28515625" style="100" bestFit="1" customWidth="1"/>
    <col min="7942" max="7942" width="10.28515625" style="100" bestFit="1" customWidth="1"/>
    <col min="7943" max="7943" width="9.7109375" style="100" bestFit="1" customWidth="1"/>
    <col min="7944" max="8192" width="9.140625" style="100"/>
    <col min="8193" max="8193" width="75.7109375" style="100" customWidth="1"/>
    <col min="8194" max="8195" width="9.7109375" style="100" customWidth="1"/>
    <col min="8196" max="8196" width="10.85546875" style="100" customWidth="1"/>
    <col min="8197" max="8197" width="14.28515625" style="100" bestFit="1" customWidth="1"/>
    <col min="8198" max="8198" width="10.28515625" style="100" bestFit="1" customWidth="1"/>
    <col min="8199" max="8199" width="9.7109375" style="100" bestFit="1" customWidth="1"/>
    <col min="8200" max="8448" width="9.140625" style="100"/>
    <col min="8449" max="8449" width="75.7109375" style="100" customWidth="1"/>
    <col min="8450" max="8451" width="9.7109375" style="100" customWidth="1"/>
    <col min="8452" max="8452" width="10.85546875" style="100" customWidth="1"/>
    <col min="8453" max="8453" width="14.28515625" style="100" bestFit="1" customWidth="1"/>
    <col min="8454" max="8454" width="10.28515625" style="100" bestFit="1" customWidth="1"/>
    <col min="8455" max="8455" width="9.7109375" style="100" bestFit="1" customWidth="1"/>
    <col min="8456" max="8704" width="9.140625" style="100"/>
    <col min="8705" max="8705" width="75.7109375" style="100" customWidth="1"/>
    <col min="8706" max="8707" width="9.7109375" style="100" customWidth="1"/>
    <col min="8708" max="8708" width="10.85546875" style="100" customWidth="1"/>
    <col min="8709" max="8709" width="14.28515625" style="100" bestFit="1" customWidth="1"/>
    <col min="8710" max="8710" width="10.28515625" style="100" bestFit="1" customWidth="1"/>
    <col min="8711" max="8711" width="9.7109375" style="100" bestFit="1" customWidth="1"/>
    <col min="8712" max="8960" width="9.140625" style="100"/>
    <col min="8961" max="8961" width="75.7109375" style="100" customWidth="1"/>
    <col min="8962" max="8963" width="9.7109375" style="100" customWidth="1"/>
    <col min="8964" max="8964" width="10.85546875" style="100" customWidth="1"/>
    <col min="8965" max="8965" width="14.28515625" style="100" bestFit="1" customWidth="1"/>
    <col min="8966" max="8966" width="10.28515625" style="100" bestFit="1" customWidth="1"/>
    <col min="8967" max="8967" width="9.7109375" style="100" bestFit="1" customWidth="1"/>
    <col min="8968" max="9216" width="9.140625" style="100"/>
    <col min="9217" max="9217" width="75.7109375" style="100" customWidth="1"/>
    <col min="9218" max="9219" width="9.7109375" style="100" customWidth="1"/>
    <col min="9220" max="9220" width="10.85546875" style="100" customWidth="1"/>
    <col min="9221" max="9221" width="14.28515625" style="100" bestFit="1" customWidth="1"/>
    <col min="9222" max="9222" width="10.28515625" style="100" bestFit="1" customWidth="1"/>
    <col min="9223" max="9223" width="9.7109375" style="100" bestFit="1" customWidth="1"/>
    <col min="9224" max="9472" width="9.140625" style="100"/>
    <col min="9473" max="9473" width="75.7109375" style="100" customWidth="1"/>
    <col min="9474" max="9475" width="9.7109375" style="100" customWidth="1"/>
    <col min="9476" max="9476" width="10.85546875" style="100" customWidth="1"/>
    <col min="9477" max="9477" width="14.28515625" style="100" bestFit="1" customWidth="1"/>
    <col min="9478" max="9478" width="10.28515625" style="100" bestFit="1" customWidth="1"/>
    <col min="9479" max="9479" width="9.7109375" style="100" bestFit="1" customWidth="1"/>
    <col min="9480" max="9728" width="9.140625" style="100"/>
    <col min="9729" max="9729" width="75.7109375" style="100" customWidth="1"/>
    <col min="9730" max="9731" width="9.7109375" style="100" customWidth="1"/>
    <col min="9732" max="9732" width="10.85546875" style="100" customWidth="1"/>
    <col min="9733" max="9733" width="14.28515625" style="100" bestFit="1" customWidth="1"/>
    <col min="9734" max="9734" width="10.28515625" style="100" bestFit="1" customWidth="1"/>
    <col min="9735" max="9735" width="9.7109375" style="100" bestFit="1" customWidth="1"/>
    <col min="9736" max="9984" width="9.140625" style="100"/>
    <col min="9985" max="9985" width="75.7109375" style="100" customWidth="1"/>
    <col min="9986" max="9987" width="9.7109375" style="100" customWidth="1"/>
    <col min="9988" max="9988" width="10.85546875" style="100" customWidth="1"/>
    <col min="9989" max="9989" width="14.28515625" style="100" bestFit="1" customWidth="1"/>
    <col min="9990" max="9990" width="10.28515625" style="100" bestFit="1" customWidth="1"/>
    <col min="9991" max="9991" width="9.7109375" style="100" bestFit="1" customWidth="1"/>
    <col min="9992" max="10240" width="9.140625" style="100"/>
    <col min="10241" max="10241" width="75.7109375" style="100" customWidth="1"/>
    <col min="10242" max="10243" width="9.7109375" style="100" customWidth="1"/>
    <col min="10244" max="10244" width="10.85546875" style="100" customWidth="1"/>
    <col min="10245" max="10245" width="14.28515625" style="100" bestFit="1" customWidth="1"/>
    <col min="10246" max="10246" width="10.28515625" style="100" bestFit="1" customWidth="1"/>
    <col min="10247" max="10247" width="9.7109375" style="100" bestFit="1" customWidth="1"/>
    <col min="10248" max="10496" width="9.140625" style="100"/>
    <col min="10497" max="10497" width="75.7109375" style="100" customWidth="1"/>
    <col min="10498" max="10499" width="9.7109375" style="100" customWidth="1"/>
    <col min="10500" max="10500" width="10.85546875" style="100" customWidth="1"/>
    <col min="10501" max="10501" width="14.28515625" style="100" bestFit="1" customWidth="1"/>
    <col min="10502" max="10502" width="10.28515625" style="100" bestFit="1" customWidth="1"/>
    <col min="10503" max="10503" width="9.7109375" style="100" bestFit="1" customWidth="1"/>
    <col min="10504" max="10752" width="9.140625" style="100"/>
    <col min="10753" max="10753" width="75.7109375" style="100" customWidth="1"/>
    <col min="10754" max="10755" width="9.7109375" style="100" customWidth="1"/>
    <col min="10756" max="10756" width="10.85546875" style="100" customWidth="1"/>
    <col min="10757" max="10757" width="14.28515625" style="100" bestFit="1" customWidth="1"/>
    <col min="10758" max="10758" width="10.28515625" style="100" bestFit="1" customWidth="1"/>
    <col min="10759" max="10759" width="9.7109375" style="100" bestFit="1" customWidth="1"/>
    <col min="10760" max="11008" width="9.140625" style="100"/>
    <col min="11009" max="11009" width="75.7109375" style="100" customWidth="1"/>
    <col min="11010" max="11011" width="9.7109375" style="100" customWidth="1"/>
    <col min="11012" max="11012" width="10.85546875" style="100" customWidth="1"/>
    <col min="11013" max="11013" width="14.28515625" style="100" bestFit="1" customWidth="1"/>
    <col min="11014" max="11014" width="10.28515625" style="100" bestFit="1" customWidth="1"/>
    <col min="11015" max="11015" width="9.7109375" style="100" bestFit="1" customWidth="1"/>
    <col min="11016" max="11264" width="9.140625" style="100"/>
    <col min="11265" max="11265" width="75.7109375" style="100" customWidth="1"/>
    <col min="11266" max="11267" width="9.7109375" style="100" customWidth="1"/>
    <col min="11268" max="11268" width="10.85546875" style="100" customWidth="1"/>
    <col min="11269" max="11269" width="14.28515625" style="100" bestFit="1" customWidth="1"/>
    <col min="11270" max="11270" width="10.28515625" style="100" bestFit="1" customWidth="1"/>
    <col min="11271" max="11271" width="9.7109375" style="100" bestFit="1" customWidth="1"/>
    <col min="11272" max="11520" width="9.140625" style="100"/>
    <col min="11521" max="11521" width="75.7109375" style="100" customWidth="1"/>
    <col min="11522" max="11523" width="9.7109375" style="100" customWidth="1"/>
    <col min="11524" max="11524" width="10.85546875" style="100" customWidth="1"/>
    <col min="11525" max="11525" width="14.28515625" style="100" bestFit="1" customWidth="1"/>
    <col min="11526" max="11526" width="10.28515625" style="100" bestFit="1" customWidth="1"/>
    <col min="11527" max="11527" width="9.7109375" style="100" bestFit="1" customWidth="1"/>
    <col min="11528" max="11776" width="9.140625" style="100"/>
    <col min="11777" max="11777" width="75.7109375" style="100" customWidth="1"/>
    <col min="11778" max="11779" width="9.7109375" style="100" customWidth="1"/>
    <col min="11780" max="11780" width="10.85546875" style="100" customWidth="1"/>
    <col min="11781" max="11781" width="14.28515625" style="100" bestFit="1" customWidth="1"/>
    <col min="11782" max="11782" width="10.28515625" style="100" bestFit="1" customWidth="1"/>
    <col min="11783" max="11783" width="9.7109375" style="100" bestFit="1" customWidth="1"/>
    <col min="11784" max="12032" width="9.140625" style="100"/>
    <col min="12033" max="12033" width="75.7109375" style="100" customWidth="1"/>
    <col min="12034" max="12035" width="9.7109375" style="100" customWidth="1"/>
    <col min="12036" max="12036" width="10.85546875" style="100" customWidth="1"/>
    <col min="12037" max="12037" width="14.28515625" style="100" bestFit="1" customWidth="1"/>
    <col min="12038" max="12038" width="10.28515625" style="100" bestFit="1" customWidth="1"/>
    <col min="12039" max="12039" width="9.7109375" style="100" bestFit="1" customWidth="1"/>
    <col min="12040" max="12288" width="9.140625" style="100"/>
    <col min="12289" max="12289" width="75.7109375" style="100" customWidth="1"/>
    <col min="12290" max="12291" width="9.7109375" style="100" customWidth="1"/>
    <col min="12292" max="12292" width="10.85546875" style="100" customWidth="1"/>
    <col min="12293" max="12293" width="14.28515625" style="100" bestFit="1" customWidth="1"/>
    <col min="12294" max="12294" width="10.28515625" style="100" bestFit="1" customWidth="1"/>
    <col min="12295" max="12295" width="9.7109375" style="100" bestFit="1" customWidth="1"/>
    <col min="12296" max="12544" width="9.140625" style="100"/>
    <col min="12545" max="12545" width="75.7109375" style="100" customWidth="1"/>
    <col min="12546" max="12547" width="9.7109375" style="100" customWidth="1"/>
    <col min="12548" max="12548" width="10.85546875" style="100" customWidth="1"/>
    <col min="12549" max="12549" width="14.28515625" style="100" bestFit="1" customWidth="1"/>
    <col min="12550" max="12550" width="10.28515625" style="100" bestFit="1" customWidth="1"/>
    <col min="12551" max="12551" width="9.7109375" style="100" bestFit="1" customWidth="1"/>
    <col min="12552" max="12800" width="9.140625" style="100"/>
    <col min="12801" max="12801" width="75.7109375" style="100" customWidth="1"/>
    <col min="12802" max="12803" width="9.7109375" style="100" customWidth="1"/>
    <col min="12804" max="12804" width="10.85546875" style="100" customWidth="1"/>
    <col min="12805" max="12805" width="14.28515625" style="100" bestFit="1" customWidth="1"/>
    <col min="12806" max="12806" width="10.28515625" style="100" bestFit="1" customWidth="1"/>
    <col min="12807" max="12807" width="9.7109375" style="100" bestFit="1" customWidth="1"/>
    <col min="12808" max="13056" width="9.140625" style="100"/>
    <col min="13057" max="13057" width="75.7109375" style="100" customWidth="1"/>
    <col min="13058" max="13059" width="9.7109375" style="100" customWidth="1"/>
    <col min="13060" max="13060" width="10.85546875" style="100" customWidth="1"/>
    <col min="13061" max="13061" width="14.28515625" style="100" bestFit="1" customWidth="1"/>
    <col min="13062" max="13062" width="10.28515625" style="100" bestFit="1" customWidth="1"/>
    <col min="13063" max="13063" width="9.7109375" style="100" bestFit="1" customWidth="1"/>
    <col min="13064" max="13312" width="9.140625" style="100"/>
    <col min="13313" max="13313" width="75.7109375" style="100" customWidth="1"/>
    <col min="13314" max="13315" width="9.7109375" style="100" customWidth="1"/>
    <col min="13316" max="13316" width="10.85546875" style="100" customWidth="1"/>
    <col min="13317" max="13317" width="14.28515625" style="100" bestFit="1" customWidth="1"/>
    <col min="13318" max="13318" width="10.28515625" style="100" bestFit="1" customWidth="1"/>
    <col min="13319" max="13319" width="9.7109375" style="100" bestFit="1" customWidth="1"/>
    <col min="13320" max="13568" width="9.140625" style="100"/>
    <col min="13569" max="13569" width="75.7109375" style="100" customWidth="1"/>
    <col min="13570" max="13571" width="9.7109375" style="100" customWidth="1"/>
    <col min="13572" max="13572" width="10.85546875" style="100" customWidth="1"/>
    <col min="13573" max="13573" width="14.28515625" style="100" bestFit="1" customWidth="1"/>
    <col min="13574" max="13574" width="10.28515625" style="100" bestFit="1" customWidth="1"/>
    <col min="13575" max="13575" width="9.7109375" style="100" bestFit="1" customWidth="1"/>
    <col min="13576" max="13824" width="9.140625" style="100"/>
    <col min="13825" max="13825" width="75.7109375" style="100" customWidth="1"/>
    <col min="13826" max="13827" width="9.7109375" style="100" customWidth="1"/>
    <col min="13828" max="13828" width="10.85546875" style="100" customWidth="1"/>
    <col min="13829" max="13829" width="14.28515625" style="100" bestFit="1" customWidth="1"/>
    <col min="13830" max="13830" width="10.28515625" style="100" bestFit="1" customWidth="1"/>
    <col min="13831" max="13831" width="9.7109375" style="100" bestFit="1" customWidth="1"/>
    <col min="13832" max="14080" width="9.140625" style="100"/>
    <col min="14081" max="14081" width="75.7109375" style="100" customWidth="1"/>
    <col min="14082" max="14083" width="9.7109375" style="100" customWidth="1"/>
    <col min="14084" max="14084" width="10.85546875" style="100" customWidth="1"/>
    <col min="14085" max="14085" width="14.28515625" style="100" bestFit="1" customWidth="1"/>
    <col min="14086" max="14086" width="10.28515625" style="100" bestFit="1" customWidth="1"/>
    <col min="14087" max="14087" width="9.7109375" style="100" bestFit="1" customWidth="1"/>
    <col min="14088" max="14336" width="9.140625" style="100"/>
    <col min="14337" max="14337" width="75.7109375" style="100" customWidth="1"/>
    <col min="14338" max="14339" width="9.7109375" style="100" customWidth="1"/>
    <col min="14340" max="14340" width="10.85546875" style="100" customWidth="1"/>
    <col min="14341" max="14341" width="14.28515625" style="100" bestFit="1" customWidth="1"/>
    <col min="14342" max="14342" width="10.28515625" style="100" bestFit="1" customWidth="1"/>
    <col min="14343" max="14343" width="9.7109375" style="100" bestFit="1" customWidth="1"/>
    <col min="14344" max="14592" width="9.140625" style="100"/>
    <col min="14593" max="14593" width="75.7109375" style="100" customWidth="1"/>
    <col min="14594" max="14595" width="9.7109375" style="100" customWidth="1"/>
    <col min="14596" max="14596" width="10.85546875" style="100" customWidth="1"/>
    <col min="14597" max="14597" width="14.28515625" style="100" bestFit="1" customWidth="1"/>
    <col min="14598" max="14598" width="10.28515625" style="100" bestFit="1" customWidth="1"/>
    <col min="14599" max="14599" width="9.7109375" style="100" bestFit="1" customWidth="1"/>
    <col min="14600" max="14848" width="9.140625" style="100"/>
    <col min="14849" max="14849" width="75.7109375" style="100" customWidth="1"/>
    <col min="14850" max="14851" width="9.7109375" style="100" customWidth="1"/>
    <col min="14852" max="14852" width="10.85546875" style="100" customWidth="1"/>
    <col min="14853" max="14853" width="14.28515625" style="100" bestFit="1" customWidth="1"/>
    <col min="14854" max="14854" width="10.28515625" style="100" bestFit="1" customWidth="1"/>
    <col min="14855" max="14855" width="9.7109375" style="100" bestFit="1" customWidth="1"/>
    <col min="14856" max="15104" width="9.140625" style="100"/>
    <col min="15105" max="15105" width="75.7109375" style="100" customWidth="1"/>
    <col min="15106" max="15107" width="9.7109375" style="100" customWidth="1"/>
    <col min="15108" max="15108" width="10.85546875" style="100" customWidth="1"/>
    <col min="15109" max="15109" width="14.28515625" style="100" bestFit="1" customWidth="1"/>
    <col min="15110" max="15110" width="10.28515625" style="100" bestFit="1" customWidth="1"/>
    <col min="15111" max="15111" width="9.7109375" style="100" bestFit="1" customWidth="1"/>
    <col min="15112" max="15360" width="9.140625" style="100"/>
    <col min="15361" max="15361" width="75.7109375" style="100" customWidth="1"/>
    <col min="15362" max="15363" width="9.7109375" style="100" customWidth="1"/>
    <col min="15364" max="15364" width="10.85546875" style="100" customWidth="1"/>
    <col min="15365" max="15365" width="14.28515625" style="100" bestFit="1" customWidth="1"/>
    <col min="15366" max="15366" width="10.28515625" style="100" bestFit="1" customWidth="1"/>
    <col min="15367" max="15367" width="9.7109375" style="100" bestFit="1" customWidth="1"/>
    <col min="15368" max="15616" width="9.140625" style="100"/>
    <col min="15617" max="15617" width="75.7109375" style="100" customWidth="1"/>
    <col min="15618" max="15619" width="9.7109375" style="100" customWidth="1"/>
    <col min="15620" max="15620" width="10.85546875" style="100" customWidth="1"/>
    <col min="15621" max="15621" width="14.28515625" style="100" bestFit="1" customWidth="1"/>
    <col min="15622" max="15622" width="10.28515625" style="100" bestFit="1" customWidth="1"/>
    <col min="15623" max="15623" width="9.7109375" style="100" bestFit="1" customWidth="1"/>
    <col min="15624" max="15872" width="9.140625" style="100"/>
    <col min="15873" max="15873" width="75.7109375" style="100" customWidth="1"/>
    <col min="15874" max="15875" width="9.7109375" style="100" customWidth="1"/>
    <col min="15876" max="15876" width="10.85546875" style="100" customWidth="1"/>
    <col min="15877" max="15877" width="14.28515625" style="100" bestFit="1" customWidth="1"/>
    <col min="15878" max="15878" width="10.28515625" style="100" bestFit="1" customWidth="1"/>
    <col min="15879" max="15879" width="9.7109375" style="100" bestFit="1" customWidth="1"/>
    <col min="15880" max="16128" width="9.140625" style="100"/>
    <col min="16129" max="16129" width="75.7109375" style="100" customWidth="1"/>
    <col min="16130" max="16131" width="9.7109375" style="100" customWidth="1"/>
    <col min="16132" max="16132" width="10.85546875" style="100" customWidth="1"/>
    <col min="16133" max="16133" width="14.28515625" style="100" bestFit="1" customWidth="1"/>
    <col min="16134" max="16134" width="10.28515625" style="100" bestFit="1" customWidth="1"/>
    <col min="16135" max="16135" width="9.7109375" style="100" bestFit="1" customWidth="1"/>
    <col min="16136" max="16384" width="9.140625" style="100"/>
  </cols>
  <sheetData>
    <row r="1" spans="1:6" ht="16.5">
      <c r="A1" s="97" t="s">
        <v>193</v>
      </c>
      <c r="B1" s="98"/>
      <c r="C1" s="98"/>
      <c r="D1" s="99"/>
    </row>
    <row r="2" spans="1:6" ht="13.5" thickBot="1">
      <c r="A2" s="101"/>
      <c r="B2" s="102"/>
      <c r="C2" s="103"/>
      <c r="D2" s="104" t="s">
        <v>12</v>
      </c>
    </row>
    <row r="3" spans="1:6" ht="16.5" thickTop="1">
      <c r="A3" s="105" t="s">
        <v>138</v>
      </c>
      <c r="B3" s="106"/>
      <c r="C3" s="107"/>
      <c r="D3" s="108"/>
      <c r="E3" s="109"/>
      <c r="F3" s="109"/>
    </row>
    <row r="4" spans="1:6">
      <c r="A4" s="110"/>
      <c r="B4" s="111"/>
      <c r="C4" s="112"/>
      <c r="D4" s="113"/>
      <c r="E4" s="109"/>
      <c r="F4" s="109"/>
    </row>
    <row r="5" spans="1:6">
      <c r="A5" s="114" t="s">
        <v>194</v>
      </c>
      <c r="B5" s="115"/>
      <c r="C5" s="112"/>
      <c r="D5" s="116">
        <v>28725.123580859199</v>
      </c>
      <c r="E5" s="117"/>
      <c r="F5" s="109"/>
    </row>
    <row r="6" spans="1:6">
      <c r="A6" s="114" t="s">
        <v>195</v>
      </c>
      <c r="B6" s="115"/>
      <c r="C6" s="112"/>
      <c r="D6" s="116">
        <v>61933.645494239216</v>
      </c>
      <c r="E6" s="109"/>
      <c r="F6" s="118"/>
    </row>
    <row r="7" spans="1:6">
      <c r="A7" s="114" t="s">
        <v>196</v>
      </c>
      <c r="B7" s="115"/>
      <c r="C7" s="112"/>
      <c r="D7" s="116">
        <v>6299.1866697899986</v>
      </c>
      <c r="E7" s="109"/>
      <c r="F7" s="109"/>
    </row>
    <row r="8" spans="1:6">
      <c r="A8" s="114" t="s">
        <v>197</v>
      </c>
      <c r="B8" s="115"/>
      <c r="C8" s="112"/>
      <c r="D8" s="116">
        <v>0</v>
      </c>
      <c r="E8" s="117"/>
      <c r="F8" s="109"/>
    </row>
    <row r="9" spans="1:6">
      <c r="A9" s="114" t="s">
        <v>198</v>
      </c>
      <c r="B9" s="115"/>
      <c r="C9" s="112"/>
      <c r="D9" s="116">
        <v>6683.4690862277002</v>
      </c>
      <c r="E9" s="109"/>
      <c r="F9" s="109"/>
    </row>
    <row r="10" spans="1:6">
      <c r="A10" s="114" t="s">
        <v>199</v>
      </c>
      <c r="B10" s="115"/>
      <c r="C10" s="112"/>
      <c r="D10" s="116">
        <v>717523.04496127344</v>
      </c>
      <c r="E10" s="109"/>
      <c r="F10" s="109"/>
    </row>
    <row r="11" spans="1:6">
      <c r="A11" s="110" t="s">
        <v>200</v>
      </c>
      <c r="B11" s="119"/>
      <c r="C11" s="120">
        <v>265101.50618731842</v>
      </c>
      <c r="D11" s="121"/>
      <c r="E11" s="109"/>
      <c r="F11" s="109"/>
    </row>
    <row r="12" spans="1:6">
      <c r="A12" s="110" t="s">
        <v>201</v>
      </c>
      <c r="B12" s="122">
        <v>227851.85585957536</v>
      </c>
      <c r="C12" s="120"/>
      <c r="D12" s="121"/>
      <c r="E12" s="109"/>
      <c r="F12" s="109"/>
    </row>
    <row r="13" spans="1:6">
      <c r="A13" s="110" t="s">
        <v>202</v>
      </c>
      <c r="B13" s="122">
        <v>33808.83642744644</v>
      </c>
      <c r="C13" s="123"/>
      <c r="D13" s="121"/>
      <c r="E13" s="109"/>
      <c r="F13" s="109"/>
    </row>
    <row r="14" spans="1:6">
      <c r="A14" s="110" t="s">
        <v>203</v>
      </c>
      <c r="B14" s="122">
        <v>132941.3319737759</v>
      </c>
      <c r="C14" s="123"/>
      <c r="D14" s="121"/>
      <c r="E14" s="109"/>
      <c r="F14" s="109"/>
    </row>
    <row r="15" spans="1:6">
      <c r="A15" s="110" t="s">
        <v>204</v>
      </c>
      <c r="B15" s="122">
        <v>61066.08603256732</v>
      </c>
      <c r="C15" s="123"/>
      <c r="D15" s="121"/>
      <c r="E15" s="109"/>
      <c r="F15" s="109"/>
    </row>
    <row r="16" spans="1:6">
      <c r="A16" s="110" t="s">
        <v>205</v>
      </c>
      <c r="B16" s="122">
        <v>35.601425785710006</v>
      </c>
      <c r="C16" s="123"/>
      <c r="D16" s="121"/>
      <c r="E16" s="109"/>
      <c r="F16" s="109"/>
    </row>
    <row r="17" spans="1:6">
      <c r="A17" s="110" t="s">
        <v>206</v>
      </c>
      <c r="B17" s="122">
        <v>37249.650327743067</v>
      </c>
      <c r="C17" s="123"/>
      <c r="D17" s="121"/>
      <c r="E17" s="109"/>
      <c r="F17" s="109"/>
    </row>
    <row r="18" spans="1:6">
      <c r="A18" s="110" t="s">
        <v>202</v>
      </c>
      <c r="B18" s="122">
        <v>21075.294491699402</v>
      </c>
      <c r="C18" s="123"/>
      <c r="D18" s="121"/>
      <c r="E18" s="117"/>
      <c r="F18" s="109"/>
    </row>
    <row r="19" spans="1:6">
      <c r="A19" s="110" t="s">
        <v>203</v>
      </c>
      <c r="B19" s="122">
        <v>2253.4915806657082</v>
      </c>
      <c r="C19" s="123"/>
      <c r="D19" s="121"/>
      <c r="E19" s="117"/>
      <c r="F19" s="109"/>
    </row>
    <row r="20" spans="1:6">
      <c r="A20" s="110" t="s">
        <v>204</v>
      </c>
      <c r="B20" s="122">
        <v>13920.516013750452</v>
      </c>
      <c r="C20" s="123"/>
      <c r="D20" s="121"/>
      <c r="E20" s="117"/>
      <c r="F20" s="109"/>
    </row>
    <row r="21" spans="1:6">
      <c r="A21" s="110" t="s">
        <v>205</v>
      </c>
      <c r="B21" s="122">
        <v>0.34824162749999998</v>
      </c>
      <c r="C21" s="123"/>
      <c r="D21" s="121"/>
      <c r="E21" s="117"/>
      <c r="F21" s="109"/>
    </row>
    <row r="22" spans="1:6">
      <c r="A22" s="110" t="s">
        <v>207</v>
      </c>
      <c r="B22" s="122"/>
      <c r="C22" s="120">
        <v>32631.351849430412</v>
      </c>
      <c r="D22" s="121"/>
      <c r="E22" s="117"/>
      <c r="F22" s="109"/>
    </row>
    <row r="23" spans="1:6">
      <c r="A23" s="110" t="s">
        <v>208</v>
      </c>
      <c r="B23" s="122">
        <v>15754.086172488007</v>
      </c>
      <c r="C23" s="123"/>
      <c r="D23" s="121"/>
      <c r="E23" s="117"/>
      <c r="F23" s="109"/>
    </row>
    <row r="24" spans="1:6">
      <c r="A24" s="110" t="s">
        <v>209</v>
      </c>
      <c r="B24" s="122">
        <v>1887.1139111207858</v>
      </c>
      <c r="C24" s="123"/>
      <c r="D24" s="121"/>
      <c r="E24" s="117"/>
      <c r="F24" s="109"/>
    </row>
    <row r="25" spans="1:6">
      <c r="A25" s="110" t="s">
        <v>210</v>
      </c>
      <c r="B25" s="122">
        <v>2705.0791767358728</v>
      </c>
      <c r="C25" s="123"/>
      <c r="D25" s="121"/>
      <c r="E25" s="117"/>
      <c r="F25" s="109"/>
    </row>
    <row r="26" spans="1:6">
      <c r="A26" s="110" t="s">
        <v>211</v>
      </c>
      <c r="B26" s="122">
        <v>11161.893084631347</v>
      </c>
      <c r="C26" s="123"/>
      <c r="D26" s="121"/>
      <c r="E26" s="117"/>
      <c r="F26" s="109"/>
    </row>
    <row r="27" spans="1:6">
      <c r="A27" s="110" t="s">
        <v>212</v>
      </c>
      <c r="B27" s="122">
        <v>0</v>
      </c>
      <c r="C27" s="123"/>
      <c r="D27" s="121"/>
      <c r="E27" s="117"/>
      <c r="F27" s="109"/>
    </row>
    <row r="28" spans="1:6">
      <c r="A28" s="110" t="s">
        <v>213</v>
      </c>
      <c r="B28" s="122">
        <v>16877.265676942407</v>
      </c>
      <c r="C28" s="123"/>
      <c r="D28" s="121"/>
      <c r="E28" s="117"/>
      <c r="F28" s="109"/>
    </row>
    <row r="29" spans="1:6">
      <c r="A29" s="110" t="s">
        <v>209</v>
      </c>
      <c r="B29" s="122">
        <v>8214.4342054265271</v>
      </c>
      <c r="C29" s="123"/>
      <c r="D29" s="121"/>
      <c r="E29" s="117"/>
      <c r="F29" s="109"/>
    </row>
    <row r="30" spans="1:6">
      <c r="A30" s="110" t="s">
        <v>210</v>
      </c>
      <c r="B30" s="122">
        <v>138.68780589632905</v>
      </c>
      <c r="C30" s="123"/>
      <c r="D30" s="121"/>
      <c r="E30" s="117"/>
      <c r="F30" s="109"/>
    </row>
    <row r="31" spans="1:6">
      <c r="A31" s="110" t="s">
        <v>211</v>
      </c>
      <c r="B31" s="122">
        <v>8524.143665619551</v>
      </c>
      <c r="C31" s="123"/>
      <c r="D31" s="121"/>
      <c r="E31" s="117"/>
      <c r="F31" s="109"/>
    </row>
    <row r="32" spans="1:6">
      <c r="A32" s="110" t="s">
        <v>212</v>
      </c>
      <c r="B32" s="122">
        <v>0</v>
      </c>
      <c r="C32" s="120"/>
      <c r="D32" s="121"/>
      <c r="E32" s="117"/>
      <c r="F32" s="109"/>
    </row>
    <row r="33" spans="1:6">
      <c r="A33" s="110" t="s">
        <v>214</v>
      </c>
      <c r="B33" s="122"/>
      <c r="C33" s="120">
        <v>5754.0348127399238</v>
      </c>
      <c r="D33" s="121"/>
      <c r="E33" s="109"/>
      <c r="F33" s="109"/>
    </row>
    <row r="34" spans="1:6">
      <c r="A34" s="110" t="s">
        <v>215</v>
      </c>
      <c r="B34" s="122">
        <v>2606.7951933500003</v>
      </c>
      <c r="C34" s="123"/>
      <c r="D34" s="121"/>
      <c r="E34" s="109"/>
      <c r="F34" s="109"/>
    </row>
    <row r="35" spans="1:6">
      <c r="A35" s="110" t="s">
        <v>216</v>
      </c>
      <c r="B35" s="122">
        <v>2298.9565092853522</v>
      </c>
      <c r="C35" s="123"/>
      <c r="D35" s="121"/>
      <c r="E35" s="109"/>
      <c r="F35" s="109"/>
    </row>
    <row r="36" spans="1:6">
      <c r="A36" s="110" t="s">
        <v>217</v>
      </c>
      <c r="B36" s="122">
        <v>848.28311010456991</v>
      </c>
      <c r="C36" s="123"/>
      <c r="D36" s="121"/>
      <c r="E36" s="109"/>
      <c r="F36" s="109"/>
    </row>
    <row r="37" spans="1:6">
      <c r="A37" s="110" t="s">
        <v>218</v>
      </c>
      <c r="B37" s="122"/>
      <c r="C37" s="120">
        <v>388.37012696793045</v>
      </c>
      <c r="D37" s="121"/>
      <c r="E37" s="117"/>
      <c r="F37" s="109"/>
    </row>
    <row r="38" spans="1:6">
      <c r="A38" s="110" t="s">
        <v>201</v>
      </c>
      <c r="B38" s="122">
        <v>182.63492722000001</v>
      </c>
      <c r="C38" s="123"/>
      <c r="D38" s="121"/>
      <c r="E38" s="117"/>
      <c r="F38" s="109"/>
    </row>
    <row r="39" spans="1:6">
      <c r="A39" s="110" t="s">
        <v>202</v>
      </c>
      <c r="B39" s="122">
        <v>123.89333876000001</v>
      </c>
      <c r="C39" s="123"/>
      <c r="D39" s="121"/>
      <c r="E39" s="117"/>
      <c r="F39" s="109"/>
    </row>
    <row r="40" spans="1:6">
      <c r="A40" s="110" t="s">
        <v>203</v>
      </c>
      <c r="B40" s="122">
        <v>3.74158846</v>
      </c>
      <c r="C40" s="123"/>
      <c r="D40" s="121"/>
      <c r="E40" s="109"/>
      <c r="F40" s="109"/>
    </row>
    <row r="41" spans="1:6">
      <c r="A41" s="110" t="s">
        <v>204</v>
      </c>
      <c r="B41" s="122">
        <v>55</v>
      </c>
      <c r="C41" s="123"/>
      <c r="D41" s="121"/>
      <c r="E41" s="109"/>
      <c r="F41" s="109"/>
    </row>
    <row r="42" spans="1:6">
      <c r="A42" s="110" t="s">
        <v>206</v>
      </c>
      <c r="B42" s="122">
        <v>205.73519974793047</v>
      </c>
      <c r="C42" s="123"/>
      <c r="D42" s="121"/>
      <c r="E42" s="109"/>
      <c r="F42" s="109"/>
    </row>
    <row r="43" spans="1:6">
      <c r="A43" s="110" t="s">
        <v>202</v>
      </c>
      <c r="B43" s="122">
        <v>95.397217459999979</v>
      </c>
      <c r="C43" s="123"/>
      <c r="D43" s="121"/>
      <c r="E43" s="109"/>
      <c r="F43" s="109"/>
    </row>
    <row r="44" spans="1:6">
      <c r="A44" s="110" t="s">
        <v>203</v>
      </c>
      <c r="B44" s="122">
        <v>0</v>
      </c>
      <c r="C44" s="123"/>
      <c r="D44" s="121"/>
      <c r="E44" s="109"/>
      <c r="F44" s="109"/>
    </row>
    <row r="45" spans="1:6">
      <c r="A45" s="110" t="s">
        <v>204</v>
      </c>
      <c r="B45" s="122">
        <v>110.33798228793047</v>
      </c>
      <c r="C45" s="123"/>
      <c r="D45" s="121"/>
      <c r="E45" s="109"/>
      <c r="F45" s="109"/>
    </row>
    <row r="46" spans="1:6">
      <c r="A46" s="110" t="s">
        <v>219</v>
      </c>
      <c r="B46" s="122"/>
      <c r="C46" s="120">
        <v>293768.65567689127</v>
      </c>
      <c r="D46" s="121"/>
      <c r="E46" s="109"/>
      <c r="F46" s="109"/>
    </row>
    <row r="47" spans="1:6">
      <c r="A47" s="110" t="s">
        <v>208</v>
      </c>
      <c r="B47" s="122">
        <v>364.8121264464686</v>
      </c>
      <c r="C47" s="123"/>
      <c r="D47" s="121"/>
      <c r="E47" s="109"/>
      <c r="F47" s="109"/>
    </row>
    <row r="48" spans="1:6">
      <c r="A48" s="110" t="s">
        <v>209</v>
      </c>
      <c r="B48" s="122">
        <v>332.93721691221856</v>
      </c>
      <c r="C48" s="123"/>
      <c r="D48" s="121"/>
      <c r="E48" s="109"/>
      <c r="F48" s="109"/>
    </row>
    <row r="49" spans="1:6">
      <c r="A49" s="110" t="s">
        <v>210</v>
      </c>
      <c r="B49" s="122">
        <v>2.9324715873999998</v>
      </c>
      <c r="C49" s="123"/>
      <c r="D49" s="121"/>
      <c r="E49" s="109"/>
      <c r="F49" s="109"/>
    </row>
    <row r="50" spans="1:6">
      <c r="A50" s="110" t="s">
        <v>211</v>
      </c>
      <c r="B50" s="122">
        <v>28.942437946850003</v>
      </c>
      <c r="C50" s="123"/>
      <c r="D50" s="121"/>
      <c r="E50" s="109"/>
      <c r="F50" s="109"/>
    </row>
    <row r="51" spans="1:6">
      <c r="A51" s="110" t="s">
        <v>212</v>
      </c>
      <c r="B51" s="122">
        <v>0</v>
      </c>
      <c r="C51" s="123"/>
      <c r="D51" s="121"/>
      <c r="E51" s="109"/>
      <c r="F51" s="109"/>
    </row>
    <row r="52" spans="1:6">
      <c r="A52" s="110" t="s">
        <v>213</v>
      </c>
      <c r="B52" s="122">
        <v>293403.84355044481</v>
      </c>
      <c r="C52" s="123"/>
      <c r="D52" s="121"/>
      <c r="E52" s="109"/>
      <c r="F52" s="109"/>
    </row>
    <row r="53" spans="1:6">
      <c r="A53" s="110" t="s">
        <v>209</v>
      </c>
      <c r="B53" s="122">
        <v>175681.77541602761</v>
      </c>
      <c r="C53" s="123"/>
      <c r="D53" s="121"/>
      <c r="E53" s="109"/>
      <c r="F53" s="109"/>
    </row>
    <row r="54" spans="1:6">
      <c r="A54" s="110" t="s">
        <v>210</v>
      </c>
      <c r="B54" s="122">
        <v>2117.92303573353</v>
      </c>
      <c r="C54" s="123"/>
      <c r="D54" s="121"/>
      <c r="E54" s="109"/>
      <c r="F54" s="109"/>
    </row>
    <row r="55" spans="1:6">
      <c r="A55" s="110" t="s">
        <v>211</v>
      </c>
      <c r="B55" s="122">
        <v>115604.14509868367</v>
      </c>
      <c r="C55" s="123"/>
      <c r="D55" s="121"/>
      <c r="E55" s="109"/>
      <c r="F55" s="109"/>
    </row>
    <row r="56" spans="1:6">
      <c r="A56" s="110" t="s">
        <v>212</v>
      </c>
      <c r="B56" s="122">
        <v>0</v>
      </c>
      <c r="C56" s="123"/>
      <c r="D56" s="121"/>
      <c r="E56" s="109"/>
      <c r="F56" s="109"/>
    </row>
    <row r="57" spans="1:6">
      <c r="A57" s="110" t="s">
        <v>220</v>
      </c>
      <c r="B57" s="122"/>
      <c r="C57" s="120">
        <v>89770.084289903491</v>
      </c>
      <c r="D57" s="121"/>
      <c r="E57" s="109"/>
      <c r="F57" s="109"/>
    </row>
    <row r="58" spans="1:6">
      <c r="A58" s="110" t="s">
        <v>208</v>
      </c>
      <c r="B58" s="122">
        <v>14236.244358907485</v>
      </c>
      <c r="C58" s="123"/>
      <c r="D58" s="121"/>
      <c r="E58" s="109"/>
      <c r="F58" s="109"/>
    </row>
    <row r="59" spans="1:6">
      <c r="A59" s="110" t="s">
        <v>209</v>
      </c>
      <c r="B59" s="122">
        <v>1110.8902607550642</v>
      </c>
      <c r="C59" s="123"/>
      <c r="D59" s="121"/>
      <c r="E59" s="109"/>
      <c r="F59" s="109"/>
    </row>
    <row r="60" spans="1:6">
      <c r="A60" s="110" t="s">
        <v>210</v>
      </c>
      <c r="B60" s="122">
        <v>8037.3476001633499</v>
      </c>
      <c r="C60" s="123"/>
      <c r="D60" s="121"/>
      <c r="E60" s="109"/>
      <c r="F60" s="109"/>
    </row>
    <row r="61" spans="1:6">
      <c r="A61" s="110" t="s">
        <v>211</v>
      </c>
      <c r="B61" s="122">
        <v>5087.7264979890688</v>
      </c>
      <c r="C61" s="123"/>
      <c r="D61" s="121"/>
      <c r="E61" s="109"/>
      <c r="F61" s="109"/>
    </row>
    <row r="62" spans="1:6">
      <c r="A62" s="110" t="s">
        <v>212</v>
      </c>
      <c r="B62" s="122">
        <v>0.28000000000000003</v>
      </c>
      <c r="C62" s="123"/>
      <c r="D62" s="121"/>
      <c r="E62" s="109"/>
      <c r="F62" s="109"/>
    </row>
    <row r="63" spans="1:6">
      <c r="A63" s="110" t="s">
        <v>213</v>
      </c>
      <c r="B63" s="122">
        <v>75533.839930996008</v>
      </c>
      <c r="C63" s="123"/>
      <c r="D63" s="121"/>
      <c r="E63" s="109"/>
      <c r="F63" s="109"/>
    </row>
    <row r="64" spans="1:6">
      <c r="A64" s="110" t="s">
        <v>209</v>
      </c>
      <c r="B64" s="122">
        <v>39863.985703975042</v>
      </c>
      <c r="C64" s="123"/>
      <c r="D64" s="121"/>
      <c r="E64" s="109"/>
      <c r="F64" s="109"/>
    </row>
    <row r="65" spans="1:6">
      <c r="A65" s="110" t="s">
        <v>210</v>
      </c>
      <c r="B65" s="122">
        <v>847.55856510892102</v>
      </c>
      <c r="C65" s="123"/>
      <c r="D65" s="121"/>
      <c r="E65" s="109"/>
      <c r="F65" s="109"/>
    </row>
    <row r="66" spans="1:6">
      <c r="A66" s="110" t="s">
        <v>211</v>
      </c>
      <c r="B66" s="122">
        <v>34822.295661912038</v>
      </c>
      <c r="C66" s="123"/>
      <c r="D66" s="121"/>
      <c r="E66" s="109"/>
      <c r="F66" s="109"/>
    </row>
    <row r="67" spans="1:6">
      <c r="A67" s="110" t="s">
        <v>212</v>
      </c>
      <c r="B67" s="122">
        <v>0</v>
      </c>
      <c r="C67" s="123"/>
      <c r="D67" s="121"/>
      <c r="E67" s="109"/>
      <c r="F67" s="109"/>
    </row>
    <row r="68" spans="1:6">
      <c r="A68" s="110" t="s">
        <v>221</v>
      </c>
      <c r="B68" s="122"/>
      <c r="C68" s="120">
        <v>30109.042018021912</v>
      </c>
      <c r="D68" s="121"/>
      <c r="E68" s="109"/>
      <c r="F68" s="109"/>
    </row>
    <row r="69" spans="1:6">
      <c r="A69" s="110" t="s">
        <v>208</v>
      </c>
      <c r="B69" s="122">
        <v>911.13813457697324</v>
      </c>
      <c r="C69" s="123"/>
      <c r="D69" s="121"/>
      <c r="E69" s="109"/>
      <c r="F69" s="109"/>
    </row>
    <row r="70" spans="1:6">
      <c r="A70" s="110" t="s">
        <v>209</v>
      </c>
      <c r="B70" s="122">
        <v>911.13813457697324</v>
      </c>
      <c r="C70" s="123"/>
      <c r="D70" s="121"/>
      <c r="E70" s="109"/>
      <c r="F70" s="109"/>
    </row>
    <row r="71" spans="1:6">
      <c r="A71" s="110" t="s">
        <v>210</v>
      </c>
      <c r="B71" s="122">
        <v>0</v>
      </c>
      <c r="C71" s="123"/>
      <c r="D71" s="121"/>
      <c r="E71" s="109"/>
      <c r="F71" s="109"/>
    </row>
    <row r="72" spans="1:6">
      <c r="A72" s="110" t="s">
        <v>222</v>
      </c>
      <c r="B72" s="122">
        <v>0</v>
      </c>
      <c r="C72" s="123"/>
      <c r="D72" s="121"/>
      <c r="E72" s="109"/>
      <c r="F72" s="109"/>
    </row>
    <row r="73" spans="1:6">
      <c r="A73" s="110" t="s">
        <v>213</v>
      </c>
      <c r="B73" s="122">
        <v>29197.903883444938</v>
      </c>
      <c r="C73" s="123"/>
      <c r="D73" s="121"/>
      <c r="E73" s="109"/>
      <c r="F73" s="109"/>
    </row>
    <row r="74" spans="1:6">
      <c r="A74" s="110" t="s">
        <v>209</v>
      </c>
      <c r="B74" s="122">
        <v>1789.0787579275607</v>
      </c>
      <c r="C74" s="123"/>
      <c r="D74" s="121"/>
      <c r="E74" s="109"/>
      <c r="F74" s="109"/>
    </row>
    <row r="75" spans="1:6">
      <c r="A75" s="110" t="s">
        <v>210</v>
      </c>
      <c r="B75" s="122">
        <v>0</v>
      </c>
      <c r="C75" s="123"/>
      <c r="D75" s="121"/>
      <c r="E75" s="109"/>
      <c r="F75" s="109"/>
    </row>
    <row r="76" spans="1:6">
      <c r="A76" s="110" t="s">
        <v>211</v>
      </c>
      <c r="B76" s="122">
        <v>27408.825125517378</v>
      </c>
      <c r="C76" s="112"/>
      <c r="D76" s="116"/>
      <c r="E76" s="117"/>
      <c r="F76" s="109"/>
    </row>
    <row r="77" spans="1:6">
      <c r="A77" s="114" t="s">
        <v>223</v>
      </c>
      <c r="B77" s="115"/>
      <c r="C77" s="120"/>
      <c r="D77" s="116">
        <v>5743.2109549015995</v>
      </c>
      <c r="E77" s="117"/>
      <c r="F77" s="109"/>
    </row>
    <row r="78" spans="1:6">
      <c r="A78" s="110" t="s">
        <v>224</v>
      </c>
      <c r="B78" s="111"/>
      <c r="C78" s="120">
        <v>1315.2164245776</v>
      </c>
      <c r="D78" s="124"/>
      <c r="E78" s="117"/>
      <c r="F78" s="109"/>
    </row>
    <row r="79" spans="1:6">
      <c r="A79" s="110" t="s">
        <v>225</v>
      </c>
      <c r="B79" s="111"/>
      <c r="C79" s="120">
        <v>4427.9945303239992</v>
      </c>
      <c r="D79" s="121"/>
      <c r="E79" s="117"/>
      <c r="F79" s="109"/>
    </row>
    <row r="80" spans="1:6">
      <c r="A80" s="114" t="s">
        <v>226</v>
      </c>
      <c r="B80" s="111"/>
      <c r="C80" s="111"/>
      <c r="D80" s="116">
        <v>96271.43629533246</v>
      </c>
      <c r="E80" s="109"/>
      <c r="F80" s="109"/>
    </row>
    <row r="81" spans="1:6">
      <c r="A81" s="110" t="s">
        <v>227</v>
      </c>
      <c r="B81" s="122"/>
      <c r="C81" s="120">
        <v>2005.1633440000001</v>
      </c>
      <c r="D81" s="121"/>
      <c r="E81" s="109"/>
      <c r="F81" s="109"/>
    </row>
    <row r="82" spans="1:6">
      <c r="A82" s="125" t="s">
        <v>228</v>
      </c>
      <c r="B82" s="122">
        <v>486.27445689999996</v>
      </c>
      <c r="C82" s="112"/>
      <c r="D82" s="121"/>
      <c r="E82" s="109"/>
      <c r="F82" s="109"/>
    </row>
    <row r="83" spans="1:6">
      <c r="A83" s="125" t="s">
        <v>229</v>
      </c>
      <c r="B83" s="122">
        <v>0</v>
      </c>
      <c r="C83" s="112"/>
      <c r="D83" s="121"/>
      <c r="E83" s="109"/>
      <c r="F83" s="109"/>
    </row>
    <row r="84" spans="1:6">
      <c r="A84" s="125" t="s">
        <v>230</v>
      </c>
      <c r="B84" s="122">
        <v>0</v>
      </c>
      <c r="C84" s="112"/>
      <c r="D84" s="121"/>
      <c r="E84" s="109"/>
      <c r="F84" s="109"/>
    </row>
    <row r="85" spans="1:6">
      <c r="A85" s="125" t="s">
        <v>231</v>
      </c>
      <c r="B85" s="122">
        <v>1518.8888870999999</v>
      </c>
      <c r="C85" s="112"/>
      <c r="D85" s="121"/>
      <c r="E85" s="109"/>
      <c r="F85" s="109"/>
    </row>
    <row r="86" spans="1:6">
      <c r="A86" s="110" t="s">
        <v>232</v>
      </c>
      <c r="B86" s="122"/>
      <c r="C86" s="120">
        <v>3375.5633542003002</v>
      </c>
      <c r="D86" s="121"/>
      <c r="E86" s="109"/>
      <c r="F86" s="109"/>
    </row>
    <row r="87" spans="1:6">
      <c r="A87" s="110" t="s">
        <v>233</v>
      </c>
      <c r="B87" s="122"/>
      <c r="C87" s="120">
        <v>17340.109941965929</v>
      </c>
      <c r="D87" s="121"/>
      <c r="E87" s="109"/>
      <c r="F87" s="109"/>
    </row>
    <row r="88" spans="1:6">
      <c r="A88" s="110" t="s">
        <v>234</v>
      </c>
      <c r="B88" s="122"/>
      <c r="C88" s="120">
        <v>66705.135671068594</v>
      </c>
      <c r="D88" s="124"/>
      <c r="E88" s="109"/>
      <c r="F88" s="109"/>
    </row>
    <row r="89" spans="1:6">
      <c r="A89" s="110" t="s">
        <v>235</v>
      </c>
      <c r="B89" s="122">
        <v>3533.6856190600747</v>
      </c>
      <c r="C89" s="123"/>
      <c r="D89" s="121"/>
      <c r="E89" s="109"/>
      <c r="F89" s="109"/>
    </row>
    <row r="90" spans="1:6">
      <c r="A90" s="110" t="s">
        <v>236</v>
      </c>
      <c r="B90" s="122">
        <v>63171.450052008513</v>
      </c>
      <c r="C90" s="123"/>
      <c r="D90" s="121"/>
      <c r="E90" s="109"/>
      <c r="F90" s="109"/>
    </row>
    <row r="91" spans="1:6">
      <c r="A91" s="110" t="s">
        <v>237</v>
      </c>
      <c r="B91" s="122"/>
      <c r="C91" s="120">
        <v>6845.463984097637</v>
      </c>
      <c r="D91" s="121"/>
      <c r="E91" s="109"/>
      <c r="F91" s="109"/>
    </row>
    <row r="92" spans="1:6">
      <c r="A92" s="110" t="s">
        <v>238</v>
      </c>
      <c r="B92" s="122">
        <v>212.48807223</v>
      </c>
      <c r="C92" s="123"/>
      <c r="D92" s="121"/>
      <c r="E92" s="117"/>
      <c r="F92" s="109"/>
    </row>
    <row r="93" spans="1:6">
      <c r="A93" s="110" t="s">
        <v>239</v>
      </c>
      <c r="B93" s="122">
        <v>6632.9759118676375</v>
      </c>
      <c r="C93" s="123"/>
      <c r="D93" s="121"/>
      <c r="E93" s="126"/>
      <c r="F93" s="109"/>
    </row>
    <row r="94" spans="1:6">
      <c r="A94" s="114" t="s">
        <v>240</v>
      </c>
      <c r="B94" s="122"/>
      <c r="C94" s="122"/>
      <c r="D94" s="116">
        <v>754.16461722296003</v>
      </c>
      <c r="E94" s="127"/>
      <c r="F94" s="109"/>
    </row>
    <row r="95" spans="1:6" ht="15" customHeight="1">
      <c r="A95" s="114" t="s">
        <v>241</v>
      </c>
      <c r="B95" s="115"/>
      <c r="C95" s="112"/>
      <c r="D95" s="116">
        <v>0</v>
      </c>
      <c r="E95" s="109"/>
    </row>
    <row r="96" spans="1:6">
      <c r="A96" s="114" t="s">
        <v>242</v>
      </c>
      <c r="B96" s="115"/>
      <c r="C96" s="115"/>
      <c r="D96" s="116">
        <v>56352.034083342041</v>
      </c>
      <c r="E96" s="128"/>
    </row>
    <row r="97" spans="1:6">
      <c r="A97" s="114"/>
      <c r="B97" s="129"/>
      <c r="C97" s="112"/>
      <c r="D97" s="124"/>
      <c r="E97" s="128"/>
      <c r="F97" s="128"/>
    </row>
    <row r="98" spans="1:6">
      <c r="A98" s="130" t="s">
        <v>243</v>
      </c>
      <c r="B98" s="115"/>
      <c r="C98" s="115"/>
      <c r="D98" s="116">
        <v>980285.31574318872</v>
      </c>
      <c r="E98" s="131"/>
      <c r="F98" s="131"/>
    </row>
    <row r="99" spans="1:6">
      <c r="A99" s="132"/>
      <c r="B99" s="111"/>
      <c r="C99" s="112"/>
      <c r="D99" s="121"/>
      <c r="E99" s="128"/>
      <c r="F99" s="128"/>
    </row>
    <row r="100" spans="1:6">
      <c r="A100" s="114" t="s">
        <v>244</v>
      </c>
      <c r="B100" s="111"/>
      <c r="C100" s="112"/>
      <c r="D100" s="116">
        <v>97486.770289453445</v>
      </c>
      <c r="E100" s="133"/>
      <c r="F100" s="128"/>
    </row>
    <row r="101" spans="1:6">
      <c r="A101" s="114" t="s">
        <v>245</v>
      </c>
      <c r="B101" s="111"/>
      <c r="C101" s="112"/>
      <c r="D101" s="116">
        <v>4233.6152882208607</v>
      </c>
      <c r="E101" s="128"/>
      <c r="F101" s="128"/>
    </row>
    <row r="102" spans="1:6">
      <c r="A102" s="114" t="s">
        <v>246</v>
      </c>
      <c r="B102" s="134"/>
      <c r="C102" s="135"/>
      <c r="D102" s="116">
        <v>5962.1742461632875</v>
      </c>
      <c r="E102" s="128"/>
      <c r="F102" s="128"/>
    </row>
    <row r="103" spans="1:6" ht="13.5" thickBot="1">
      <c r="A103" s="136"/>
      <c r="B103" s="137"/>
      <c r="C103" s="138"/>
      <c r="D103" s="139"/>
    </row>
    <row r="104" spans="1:6" ht="13.5" thickTop="1">
      <c r="A104" s="111" t="s">
        <v>247</v>
      </c>
      <c r="B104" s="134"/>
      <c r="C104" s="135"/>
      <c r="D104" s="140"/>
    </row>
    <row r="105" spans="1:6">
      <c r="A105" s="141"/>
      <c r="B105" s="142"/>
      <c r="C105" s="129"/>
      <c r="D105" s="143"/>
    </row>
    <row r="106" spans="1:6" ht="13.5" thickBot="1">
      <c r="A106" s="129"/>
      <c r="B106" s="142"/>
      <c r="C106" s="129"/>
      <c r="D106" s="104" t="s">
        <v>12</v>
      </c>
    </row>
    <row r="107" spans="1:6" ht="16.5" thickTop="1">
      <c r="A107" s="105" t="s">
        <v>127</v>
      </c>
      <c r="B107" s="144"/>
      <c r="C107" s="145"/>
      <c r="D107" s="146"/>
    </row>
    <row r="108" spans="1:6">
      <c r="A108" s="110"/>
      <c r="B108" s="111"/>
      <c r="C108" s="112"/>
      <c r="D108" s="121"/>
    </row>
    <row r="109" spans="1:6">
      <c r="A109" s="114" t="s">
        <v>248</v>
      </c>
      <c r="B109" s="115"/>
      <c r="C109" s="112"/>
      <c r="D109" s="116">
        <v>4197.9410828299788</v>
      </c>
    </row>
    <row r="110" spans="1:6">
      <c r="A110" s="114" t="s">
        <v>249</v>
      </c>
      <c r="B110" s="115"/>
      <c r="C110" s="112"/>
      <c r="D110" s="116">
        <v>24811.495700873409</v>
      </c>
    </row>
    <row r="111" spans="1:6">
      <c r="A111" s="114" t="s">
        <v>250</v>
      </c>
      <c r="B111" s="115"/>
      <c r="C111" s="112"/>
      <c r="D111" s="116">
        <v>0</v>
      </c>
    </row>
    <row r="112" spans="1:6">
      <c r="A112" s="114" t="s">
        <v>251</v>
      </c>
      <c r="B112" s="115"/>
      <c r="C112" s="112"/>
      <c r="D112" s="116">
        <v>6127.1671396705433</v>
      </c>
    </row>
    <row r="113" spans="1:4">
      <c r="A113" s="114" t="s">
        <v>252</v>
      </c>
      <c r="B113" s="115"/>
      <c r="C113" s="112"/>
      <c r="D113" s="116">
        <v>54174.533695453734</v>
      </c>
    </row>
    <row r="114" spans="1:4">
      <c r="A114" s="110" t="s">
        <v>253</v>
      </c>
      <c r="B114" s="111"/>
      <c r="C114" s="120">
        <v>21868.924538016981</v>
      </c>
      <c r="D114" s="121"/>
    </row>
    <row r="115" spans="1:4" hidden="1">
      <c r="A115" s="110" t="s">
        <v>254</v>
      </c>
      <c r="B115" s="147"/>
      <c r="C115" s="148">
        <v>0</v>
      </c>
      <c r="D115" s="121"/>
    </row>
    <row r="116" spans="1:4" hidden="1">
      <c r="A116" s="125" t="s">
        <v>255</v>
      </c>
      <c r="B116" s="122"/>
      <c r="C116" s="148">
        <v>0</v>
      </c>
      <c r="D116" s="121"/>
    </row>
    <row r="117" spans="1:4" hidden="1">
      <c r="A117" s="125" t="s">
        <v>256</v>
      </c>
      <c r="B117" s="122"/>
      <c r="C117" s="148">
        <v>0</v>
      </c>
      <c r="D117" s="121"/>
    </row>
    <row r="118" spans="1:4">
      <c r="A118" s="110" t="s">
        <v>257</v>
      </c>
      <c r="B118" s="119"/>
      <c r="C118" s="120">
        <v>32305.609157436753</v>
      </c>
      <c r="D118" s="121"/>
    </row>
    <row r="119" spans="1:4">
      <c r="A119" s="149" t="s">
        <v>258</v>
      </c>
      <c r="B119" s="150"/>
      <c r="C119" s="120">
        <v>0</v>
      </c>
      <c r="D119" s="121"/>
    </row>
    <row r="120" spans="1:4">
      <c r="A120" s="149" t="s">
        <v>259</v>
      </c>
      <c r="B120" s="119"/>
      <c r="C120" s="120">
        <v>0</v>
      </c>
      <c r="D120" s="121"/>
    </row>
    <row r="121" spans="1:4">
      <c r="A121" s="114" t="s">
        <v>260</v>
      </c>
      <c r="B121" s="115"/>
      <c r="C121" s="112"/>
      <c r="D121" s="116">
        <v>5743.2109551412641</v>
      </c>
    </row>
    <row r="122" spans="1:4">
      <c r="A122" s="110" t="s">
        <v>224</v>
      </c>
      <c r="B122" s="115"/>
      <c r="C122" s="120">
        <v>1315.2164244124331</v>
      </c>
      <c r="D122" s="124"/>
    </row>
    <row r="123" spans="1:4">
      <c r="A123" s="110" t="s">
        <v>261</v>
      </c>
      <c r="B123" s="115"/>
      <c r="C123" s="120">
        <v>4427.9945307288299</v>
      </c>
      <c r="D123" s="124"/>
    </row>
    <row r="124" spans="1:4">
      <c r="A124" s="114" t="s">
        <v>262</v>
      </c>
      <c r="B124" s="115"/>
      <c r="C124" s="112"/>
      <c r="D124" s="116">
        <v>550026.90294569288</v>
      </c>
    </row>
    <row r="125" spans="1:4">
      <c r="A125" s="110" t="s">
        <v>263</v>
      </c>
      <c r="B125" s="119"/>
      <c r="C125" s="120">
        <v>123938.17877419956</v>
      </c>
      <c r="D125" s="116"/>
    </row>
    <row r="126" spans="1:4">
      <c r="A126" s="110" t="s">
        <v>264</v>
      </c>
      <c r="B126" s="119"/>
      <c r="C126" s="120">
        <v>91054.055084195963</v>
      </c>
      <c r="D126" s="116"/>
    </row>
    <row r="127" spans="1:4">
      <c r="A127" s="110" t="s">
        <v>265</v>
      </c>
      <c r="B127" s="119"/>
      <c r="C127" s="120">
        <v>7854.3039085798318</v>
      </c>
      <c r="D127" s="121"/>
    </row>
    <row r="128" spans="1:4">
      <c r="A128" s="110" t="s">
        <v>266</v>
      </c>
      <c r="B128" s="122">
        <v>7654.8930182398317</v>
      </c>
      <c r="C128" s="129"/>
      <c r="D128" s="121"/>
    </row>
    <row r="129" spans="1:5">
      <c r="A129" s="110" t="s">
        <v>267</v>
      </c>
      <c r="B129" s="122">
        <v>577.06652871966605</v>
      </c>
      <c r="C129" s="123"/>
      <c r="D129" s="121"/>
    </row>
    <row r="130" spans="1:5">
      <c r="A130" s="110" t="s">
        <v>268</v>
      </c>
      <c r="B130" s="122">
        <v>7077.8264895201655</v>
      </c>
      <c r="C130" s="123"/>
      <c r="D130" s="121"/>
    </row>
    <row r="131" spans="1:5">
      <c r="A131" s="110" t="s">
        <v>269</v>
      </c>
      <c r="B131" s="122">
        <v>199.41089034000001</v>
      </c>
      <c r="C131" s="123"/>
      <c r="D131" s="121"/>
    </row>
    <row r="132" spans="1:5">
      <c r="A132" s="110" t="s">
        <v>267</v>
      </c>
      <c r="B132" s="122">
        <v>29.86672622</v>
      </c>
      <c r="C132" s="123"/>
      <c r="D132" s="121"/>
    </row>
    <row r="133" spans="1:5">
      <c r="A133" s="110" t="s">
        <v>268</v>
      </c>
      <c r="B133" s="122">
        <v>169.54416412</v>
      </c>
      <c r="C133" s="123"/>
      <c r="D133" s="121"/>
    </row>
    <row r="134" spans="1:5">
      <c r="A134" s="110" t="s">
        <v>270</v>
      </c>
      <c r="B134" s="119"/>
      <c r="C134" s="120">
        <v>59660.071731718002</v>
      </c>
      <c r="D134" s="121"/>
    </row>
    <row r="135" spans="1:5">
      <c r="A135" s="110" t="s">
        <v>271</v>
      </c>
      <c r="B135" s="119"/>
      <c r="C135" s="120">
        <v>542.6002541327581</v>
      </c>
      <c r="D135" s="121"/>
    </row>
    <row r="136" spans="1:5">
      <c r="A136" s="110" t="s">
        <v>272</v>
      </c>
      <c r="B136" s="119"/>
      <c r="C136" s="120">
        <v>264252.77379653679</v>
      </c>
      <c r="D136" s="121"/>
    </row>
    <row r="137" spans="1:5">
      <c r="A137" s="110" t="s">
        <v>273</v>
      </c>
      <c r="B137" s="122">
        <v>190414.41474908695</v>
      </c>
      <c r="C137" s="123"/>
      <c r="D137" s="121"/>
    </row>
    <row r="138" spans="1:5">
      <c r="A138" s="110" t="s">
        <v>274</v>
      </c>
      <c r="B138" s="122">
        <v>3839.0691994148119</v>
      </c>
      <c r="C138" s="123"/>
      <c r="D138" s="121"/>
    </row>
    <row r="139" spans="1:5">
      <c r="A139" s="110" t="s">
        <v>275</v>
      </c>
      <c r="B139" s="122">
        <v>69999.289848035041</v>
      </c>
      <c r="C139" s="123"/>
      <c r="D139" s="121"/>
    </row>
    <row r="140" spans="1:5">
      <c r="A140" s="110" t="s">
        <v>276</v>
      </c>
      <c r="B140" s="122"/>
      <c r="C140" s="120">
        <v>2724.9193963299999</v>
      </c>
      <c r="D140" s="121"/>
    </row>
    <row r="141" spans="1:5">
      <c r="A141" s="114" t="s">
        <v>277</v>
      </c>
      <c r="B141" s="115"/>
      <c r="C141" s="151"/>
      <c r="D141" s="116">
        <v>248353.98881826128</v>
      </c>
      <c r="E141" s="152"/>
    </row>
    <row r="142" spans="1:5">
      <c r="A142" s="110" t="s">
        <v>278</v>
      </c>
      <c r="B142" s="122"/>
      <c r="C142" s="120">
        <v>2055.31211196</v>
      </c>
      <c r="D142" s="116"/>
    </row>
    <row r="143" spans="1:5">
      <c r="A143" s="110" t="s">
        <v>266</v>
      </c>
      <c r="B143" s="122">
        <v>1990.4677094000001</v>
      </c>
      <c r="C143" s="120"/>
      <c r="D143" s="116"/>
    </row>
    <row r="144" spans="1:5">
      <c r="A144" s="110" t="s">
        <v>269</v>
      </c>
      <c r="B144" s="122">
        <v>64.844402560000006</v>
      </c>
      <c r="C144" s="151"/>
      <c r="D144" s="116"/>
    </row>
    <row r="145" spans="1:5">
      <c r="A145" s="110" t="s">
        <v>279</v>
      </c>
      <c r="B145" s="122"/>
      <c r="C145" s="120">
        <v>4080.2196987469401</v>
      </c>
      <c r="D145" s="116"/>
    </row>
    <row r="146" spans="1:5">
      <c r="A146" s="110" t="s">
        <v>280</v>
      </c>
      <c r="B146" s="115"/>
      <c r="C146" s="120">
        <v>0</v>
      </c>
      <c r="D146" s="153"/>
    </row>
    <row r="147" spans="1:5">
      <c r="A147" s="110" t="s">
        <v>281</v>
      </c>
      <c r="B147" s="115"/>
      <c r="C147" s="120">
        <v>0</v>
      </c>
      <c r="D147" s="154"/>
      <c r="E147" s="152"/>
    </row>
    <row r="148" spans="1:5">
      <c r="A148" s="110" t="s">
        <v>282</v>
      </c>
      <c r="B148" s="115"/>
      <c r="C148" s="120">
        <v>39790.761782804053</v>
      </c>
      <c r="D148" s="154"/>
    </row>
    <row r="149" spans="1:5">
      <c r="A149" s="110" t="s">
        <v>283</v>
      </c>
      <c r="B149" s="115"/>
      <c r="C149" s="120">
        <v>162891.91068244501</v>
      </c>
      <c r="D149" s="154"/>
    </row>
    <row r="150" spans="1:5">
      <c r="A150" s="110" t="s">
        <v>284</v>
      </c>
      <c r="B150" s="122"/>
      <c r="C150" s="120">
        <v>34369.075210011964</v>
      </c>
      <c r="D150" s="154"/>
    </row>
    <row r="151" spans="1:5">
      <c r="A151" s="110" t="s">
        <v>273</v>
      </c>
      <c r="B151" s="122">
        <v>27869.81563021964</v>
      </c>
      <c r="C151" s="122"/>
      <c r="D151" s="154"/>
    </row>
    <row r="152" spans="1:5">
      <c r="A152" s="110" t="s">
        <v>274</v>
      </c>
      <c r="B152" s="122">
        <v>5815.0117292623236</v>
      </c>
      <c r="C152" s="122"/>
      <c r="D152" s="154"/>
    </row>
    <row r="153" spans="1:5">
      <c r="A153" s="110" t="s">
        <v>275</v>
      </c>
      <c r="B153" s="122">
        <v>684.24785052999994</v>
      </c>
      <c r="C153" s="122"/>
      <c r="D153" s="154"/>
    </row>
    <row r="154" spans="1:5">
      <c r="A154" s="110" t="s">
        <v>285</v>
      </c>
      <c r="B154" s="122"/>
      <c r="C154" s="120">
        <v>5166.7093322933342</v>
      </c>
      <c r="D154" s="154"/>
    </row>
    <row r="155" spans="1:5">
      <c r="A155" s="110" t="s">
        <v>286</v>
      </c>
      <c r="B155" s="122">
        <v>4136.4892617133337</v>
      </c>
      <c r="C155" s="122"/>
      <c r="D155" s="154"/>
    </row>
    <row r="156" spans="1:5">
      <c r="A156" s="110" t="s">
        <v>287</v>
      </c>
      <c r="B156" s="122">
        <v>1014.4266705800001</v>
      </c>
      <c r="C156" s="122"/>
      <c r="D156" s="154"/>
    </row>
    <row r="157" spans="1:5">
      <c r="A157" s="110" t="s">
        <v>288</v>
      </c>
      <c r="B157" s="122">
        <v>15.7934</v>
      </c>
      <c r="C157" s="115"/>
      <c r="D157" s="153"/>
    </row>
    <row r="158" spans="1:5">
      <c r="A158" s="114" t="s">
        <v>289</v>
      </c>
      <c r="B158" s="129"/>
      <c r="C158" s="112"/>
      <c r="D158" s="116">
        <v>6647.644864672724</v>
      </c>
    </row>
    <row r="159" spans="1:5">
      <c r="A159" s="114" t="s">
        <v>290</v>
      </c>
      <c r="B159" s="115"/>
      <c r="C159" s="120"/>
      <c r="D159" s="124"/>
    </row>
    <row r="160" spans="1:5">
      <c r="A160" s="110" t="s">
        <v>278</v>
      </c>
      <c r="B160" s="155"/>
      <c r="C160" s="155">
        <v>0</v>
      </c>
      <c r="D160" s="124"/>
    </row>
    <row r="161" spans="1:4">
      <c r="A161" s="110" t="s">
        <v>266</v>
      </c>
      <c r="B161" s="156">
        <v>0</v>
      </c>
      <c r="C161" s="155"/>
      <c r="D161" s="124"/>
    </row>
    <row r="162" spans="1:4">
      <c r="A162" s="110" t="s">
        <v>269</v>
      </c>
      <c r="B162" s="156">
        <v>0</v>
      </c>
      <c r="C162" s="155"/>
      <c r="D162" s="124"/>
    </row>
    <row r="163" spans="1:4">
      <c r="A163" s="110" t="s">
        <v>279</v>
      </c>
      <c r="B163" s="155"/>
      <c r="C163" s="120">
        <v>0</v>
      </c>
      <c r="D163" s="124"/>
    </row>
    <row r="164" spans="1:4">
      <c r="A164" s="110" t="s">
        <v>280</v>
      </c>
      <c r="B164" s="155"/>
      <c r="C164" s="120">
        <v>0</v>
      </c>
      <c r="D164" s="124"/>
    </row>
    <row r="165" spans="1:4">
      <c r="A165" s="110" t="s">
        <v>281</v>
      </c>
      <c r="B165" s="155"/>
      <c r="C165" s="120">
        <v>0</v>
      </c>
      <c r="D165" s="124"/>
    </row>
    <row r="166" spans="1:4">
      <c r="A166" s="110" t="s">
        <v>282</v>
      </c>
      <c r="B166" s="155"/>
      <c r="C166" s="120">
        <v>604.45148661421103</v>
      </c>
      <c r="D166" s="124"/>
    </row>
    <row r="167" spans="1:4">
      <c r="A167" s="110" t="s">
        <v>283</v>
      </c>
      <c r="B167" s="155"/>
      <c r="C167" s="120">
        <v>3813.8730840372054</v>
      </c>
      <c r="D167" s="124"/>
    </row>
    <row r="168" spans="1:4">
      <c r="A168" s="110" t="s">
        <v>284</v>
      </c>
      <c r="B168" s="155"/>
      <c r="C168" s="120">
        <v>2229.2702936762998</v>
      </c>
      <c r="D168" s="124"/>
    </row>
    <row r="169" spans="1:4">
      <c r="A169" s="110" t="s">
        <v>273</v>
      </c>
      <c r="B169" s="122">
        <v>957.58584297000004</v>
      </c>
      <c r="C169" s="123"/>
      <c r="D169" s="124"/>
    </row>
    <row r="170" spans="1:4">
      <c r="A170" s="110" t="s">
        <v>274</v>
      </c>
      <c r="B170" s="122">
        <v>1271.6844507062999</v>
      </c>
      <c r="C170" s="123"/>
      <c r="D170" s="124"/>
    </row>
    <row r="171" spans="1:4">
      <c r="A171" s="110" t="s">
        <v>275</v>
      </c>
      <c r="B171" s="122">
        <v>0</v>
      </c>
      <c r="C171" s="123"/>
      <c r="D171" s="124"/>
    </row>
    <row r="172" spans="1:4">
      <c r="A172" s="110" t="s">
        <v>285</v>
      </c>
      <c r="B172" s="122"/>
      <c r="C172" s="120">
        <v>5.0000345007419587E-2</v>
      </c>
      <c r="D172" s="124"/>
    </row>
    <row r="173" spans="1:4">
      <c r="A173" s="110" t="s">
        <v>286</v>
      </c>
      <c r="B173" s="122">
        <v>5.0000345007419587E-2</v>
      </c>
      <c r="C173" s="123"/>
      <c r="D173" s="124"/>
    </row>
    <row r="174" spans="1:4">
      <c r="A174" s="110" t="s">
        <v>287</v>
      </c>
      <c r="B174" s="122">
        <v>0</v>
      </c>
      <c r="C174" s="123"/>
      <c r="D174" s="124"/>
    </row>
    <row r="175" spans="1:4">
      <c r="A175" s="110" t="s">
        <v>288</v>
      </c>
      <c r="B175" s="122">
        <v>0</v>
      </c>
      <c r="C175" s="112"/>
      <c r="D175" s="121"/>
    </row>
    <row r="176" spans="1:4">
      <c r="A176" s="114" t="s">
        <v>291</v>
      </c>
      <c r="B176" s="122"/>
      <c r="C176" s="123"/>
      <c r="D176" s="116">
        <v>24587.881833676674</v>
      </c>
    </row>
    <row r="177" spans="1:4">
      <c r="A177" s="110" t="s">
        <v>278</v>
      </c>
      <c r="B177" s="156"/>
      <c r="C177" s="155">
        <v>0</v>
      </c>
      <c r="D177" s="116"/>
    </row>
    <row r="178" spans="1:4">
      <c r="A178" s="110" t="s">
        <v>266</v>
      </c>
      <c r="B178" s="155">
        <v>0</v>
      </c>
      <c r="C178" s="155"/>
      <c r="D178" s="121"/>
    </row>
    <row r="179" spans="1:4">
      <c r="A179" s="110" t="s">
        <v>269</v>
      </c>
      <c r="B179" s="155">
        <v>0</v>
      </c>
      <c r="C179" s="155"/>
      <c r="D179" s="121"/>
    </row>
    <row r="180" spans="1:4">
      <c r="A180" s="110" t="s">
        <v>279</v>
      </c>
      <c r="B180" s="156"/>
      <c r="C180" s="120">
        <v>1132.3053317200001</v>
      </c>
      <c r="D180" s="121"/>
    </row>
    <row r="181" spans="1:4">
      <c r="A181" s="110" t="s">
        <v>280</v>
      </c>
      <c r="B181" s="156"/>
      <c r="C181" s="155">
        <v>0</v>
      </c>
      <c r="D181" s="121"/>
    </row>
    <row r="182" spans="1:4">
      <c r="A182" s="110" t="s">
        <v>281</v>
      </c>
      <c r="B182" s="156"/>
      <c r="C182" s="155">
        <v>0</v>
      </c>
      <c r="D182" s="121"/>
    </row>
    <row r="183" spans="1:4">
      <c r="A183" s="110" t="s">
        <v>282</v>
      </c>
      <c r="B183" s="156"/>
      <c r="C183" s="120">
        <v>13.895184219999999</v>
      </c>
      <c r="D183" s="121"/>
    </row>
    <row r="184" spans="1:4">
      <c r="A184" s="110" t="s">
        <v>283</v>
      </c>
      <c r="B184" s="122"/>
      <c r="C184" s="120">
        <v>64.344157109999998</v>
      </c>
      <c r="D184" s="121"/>
    </row>
    <row r="185" spans="1:4">
      <c r="A185" s="110" t="s">
        <v>284</v>
      </c>
      <c r="B185" s="122"/>
      <c r="C185" s="120">
        <v>23068.16175085209</v>
      </c>
      <c r="D185" s="121"/>
    </row>
    <row r="186" spans="1:4">
      <c r="A186" s="110" t="s">
        <v>273</v>
      </c>
      <c r="B186" s="122">
        <v>18870.005147638378</v>
      </c>
      <c r="C186" s="120"/>
      <c r="D186" s="121"/>
    </row>
    <row r="187" spans="1:4">
      <c r="A187" s="110" t="s">
        <v>274</v>
      </c>
      <c r="B187" s="122">
        <v>3559.34422141408</v>
      </c>
      <c r="C187" s="120"/>
      <c r="D187" s="121"/>
    </row>
    <row r="188" spans="1:4">
      <c r="A188" s="110" t="s">
        <v>288</v>
      </c>
      <c r="B188" s="122">
        <v>638.812381799631</v>
      </c>
      <c r="C188" s="155"/>
      <c r="D188" s="121"/>
    </row>
    <row r="189" spans="1:4">
      <c r="A189" s="110" t="s">
        <v>292</v>
      </c>
      <c r="B189" s="156"/>
      <c r="C189" s="120">
        <v>309.17540977458646</v>
      </c>
      <c r="D189" s="121"/>
    </row>
    <row r="190" spans="1:4">
      <c r="A190" s="110" t="s">
        <v>286</v>
      </c>
      <c r="B190" s="122">
        <v>309.17540977458646</v>
      </c>
      <c r="C190" s="155"/>
      <c r="D190" s="121"/>
    </row>
    <row r="191" spans="1:4">
      <c r="A191" s="110" t="s">
        <v>287</v>
      </c>
      <c r="B191" s="156">
        <v>0</v>
      </c>
      <c r="C191" s="155"/>
      <c r="D191" s="121"/>
    </row>
    <row r="192" spans="1:4">
      <c r="A192" s="110" t="s">
        <v>288</v>
      </c>
      <c r="B192" s="156">
        <v>0</v>
      </c>
      <c r="C192" s="155"/>
      <c r="D192" s="121"/>
    </row>
    <row r="193" spans="1:7">
      <c r="A193" s="114" t="s">
        <v>293</v>
      </c>
      <c r="B193" s="115"/>
      <c r="C193" s="112"/>
      <c r="D193" s="116">
        <v>3548.4109893249556</v>
      </c>
    </row>
    <row r="194" spans="1:7">
      <c r="A194" s="110" t="s">
        <v>294</v>
      </c>
      <c r="B194" s="111"/>
      <c r="C194" s="120">
        <v>3373.242198902301</v>
      </c>
      <c r="D194" s="124"/>
    </row>
    <row r="195" spans="1:7">
      <c r="A195" s="110" t="s">
        <v>295</v>
      </c>
      <c r="B195" s="115"/>
      <c r="C195" s="120">
        <v>29</v>
      </c>
      <c r="D195" s="124"/>
    </row>
    <row r="196" spans="1:7">
      <c r="A196" s="110" t="s">
        <v>296</v>
      </c>
      <c r="B196" s="111"/>
      <c r="C196" s="120">
        <v>146.16879042265461</v>
      </c>
      <c r="D196" s="124"/>
    </row>
    <row r="197" spans="1:7">
      <c r="A197" s="114" t="s">
        <v>297</v>
      </c>
      <c r="B197" s="115"/>
      <c r="C197" s="112"/>
      <c r="D197" s="116">
        <v>20008.818037999266</v>
      </c>
    </row>
    <row r="198" spans="1:7">
      <c r="A198" s="114" t="s">
        <v>298</v>
      </c>
      <c r="B198" s="115"/>
      <c r="C198" s="112"/>
      <c r="D198" s="116">
        <v>32057.319679413871</v>
      </c>
    </row>
    <row r="199" spans="1:7">
      <c r="A199" s="110"/>
      <c r="B199" s="111"/>
      <c r="C199" s="112"/>
      <c r="D199" s="121"/>
    </row>
    <row r="200" spans="1:7">
      <c r="A200" s="114" t="s">
        <v>299</v>
      </c>
      <c r="B200" s="115"/>
      <c r="C200" s="112"/>
      <c r="D200" s="116">
        <v>980285.31574301072</v>
      </c>
      <c r="F200" s="152"/>
      <c r="G200" s="152"/>
    </row>
    <row r="201" spans="1:7">
      <c r="A201" s="110"/>
      <c r="B201" s="111"/>
      <c r="C201" s="112"/>
      <c r="D201" s="157"/>
    </row>
    <row r="202" spans="1:7">
      <c r="A202" s="114" t="s">
        <v>300</v>
      </c>
      <c r="B202" s="111"/>
      <c r="C202" s="129"/>
      <c r="D202" s="116">
        <v>97486.770289453445</v>
      </c>
    </row>
    <row r="203" spans="1:7">
      <c r="A203" s="114" t="s">
        <v>301</v>
      </c>
      <c r="B203" s="111"/>
      <c r="C203" s="112"/>
      <c r="D203" s="116">
        <v>5601.7997847575743</v>
      </c>
    </row>
    <row r="204" spans="1:7">
      <c r="A204" s="114" t="s">
        <v>302</v>
      </c>
      <c r="B204" s="111"/>
      <c r="C204" s="112"/>
      <c r="D204" s="116">
        <v>11867.143671659138</v>
      </c>
    </row>
    <row r="205" spans="1:7" ht="13.5" thickBot="1">
      <c r="A205" s="158"/>
      <c r="B205" s="159"/>
      <c r="C205" s="160"/>
      <c r="D205" s="161"/>
    </row>
    <row r="206" spans="1:7" ht="13.5" thickTop="1">
      <c r="A206" s="142" t="s">
        <v>303</v>
      </c>
      <c r="B206" s="129"/>
      <c r="C206" s="129"/>
      <c r="D206" s="143"/>
    </row>
    <row r="207" spans="1:7">
      <c r="D207" s="162"/>
    </row>
    <row r="208" spans="1:7">
      <c r="D208" s="163"/>
    </row>
    <row r="209" spans="4:4">
      <c r="D209" s="163"/>
    </row>
    <row r="210" spans="4:4">
      <c r="D210" s="163"/>
    </row>
    <row r="211" spans="4:4">
      <c r="D211" s="163"/>
    </row>
    <row r="212" spans="4:4">
      <c r="D212" s="163"/>
    </row>
    <row r="213" spans="4:4">
      <c r="D213" s="163"/>
    </row>
    <row r="214" spans="4:4">
      <c r="D214" s="163"/>
    </row>
    <row r="215" spans="4:4">
      <c r="D215" s="163"/>
    </row>
    <row r="216" spans="4:4">
      <c r="D216" s="163"/>
    </row>
    <row r="217" spans="4:4">
      <c r="D217" s="163"/>
    </row>
    <row r="218" spans="4:4">
      <c r="D218" s="163"/>
    </row>
    <row r="219" spans="4:4">
      <c r="D219" s="163"/>
    </row>
    <row r="220" spans="4:4">
      <c r="D220" s="163"/>
    </row>
    <row r="221" spans="4:4">
      <c r="D221" s="163"/>
    </row>
    <row r="222" spans="4:4">
      <c r="D222" s="163"/>
    </row>
    <row r="223" spans="4:4">
      <c r="D223" s="163"/>
    </row>
    <row r="224" spans="4:4">
      <c r="D224" s="163"/>
    </row>
    <row r="225" spans="4:4">
      <c r="D225" s="163"/>
    </row>
    <row r="226" spans="4:4">
      <c r="D226" s="163"/>
    </row>
    <row r="227" spans="4:4">
      <c r="D227" s="163"/>
    </row>
    <row r="228" spans="4:4">
      <c r="D228" s="163"/>
    </row>
    <row r="229" spans="4:4">
      <c r="D229" s="163"/>
    </row>
    <row r="230" spans="4:4">
      <c r="D230" s="163"/>
    </row>
    <row r="231" spans="4:4">
      <c r="D231" s="163"/>
    </row>
    <row r="232" spans="4:4">
      <c r="D232" s="163"/>
    </row>
    <row r="233" spans="4:4">
      <c r="D233" s="163"/>
    </row>
    <row r="234" spans="4:4">
      <c r="D234" s="163"/>
    </row>
    <row r="235" spans="4:4">
      <c r="D235" s="163"/>
    </row>
    <row r="236" spans="4:4">
      <c r="D236" s="163"/>
    </row>
    <row r="237" spans="4:4">
      <c r="D237" s="163"/>
    </row>
    <row r="238" spans="4:4">
      <c r="D238" s="163"/>
    </row>
    <row r="239" spans="4:4">
      <c r="D239" s="163"/>
    </row>
    <row r="240" spans="4:4">
      <c r="D240" s="163"/>
    </row>
    <row r="241" spans="4:4">
      <c r="D241" s="163"/>
    </row>
    <row r="242" spans="4:4">
      <c r="D242" s="163"/>
    </row>
    <row r="243" spans="4:4">
      <c r="D243" s="163"/>
    </row>
    <row r="244" spans="4:4">
      <c r="D244" s="163"/>
    </row>
    <row r="245" spans="4:4">
      <c r="D245" s="163"/>
    </row>
    <row r="246" spans="4:4">
      <c r="D246" s="163"/>
    </row>
    <row r="247" spans="4:4">
      <c r="D247" s="163"/>
    </row>
    <row r="248" spans="4:4">
      <c r="D248" s="163"/>
    </row>
    <row r="249" spans="4:4">
      <c r="D249" s="163"/>
    </row>
    <row r="250" spans="4:4">
      <c r="D250" s="163"/>
    </row>
    <row r="251" spans="4:4">
      <c r="D251" s="163"/>
    </row>
    <row r="252" spans="4:4">
      <c r="D252" s="163"/>
    </row>
    <row r="253" spans="4:4">
      <c r="D253" s="163"/>
    </row>
    <row r="254" spans="4:4">
      <c r="D254" s="163"/>
    </row>
    <row r="255" spans="4:4">
      <c r="D255" s="163"/>
    </row>
    <row r="256" spans="4:4">
      <c r="D256" s="163"/>
    </row>
    <row r="257" spans="4:4">
      <c r="D257" s="163"/>
    </row>
    <row r="258" spans="4:4">
      <c r="D258" s="163"/>
    </row>
    <row r="259" spans="4:4">
      <c r="D259" s="163"/>
    </row>
    <row r="260" spans="4:4">
      <c r="D260" s="163"/>
    </row>
    <row r="261" spans="4:4">
      <c r="D261" s="163"/>
    </row>
    <row r="262" spans="4:4">
      <c r="D262" s="163"/>
    </row>
    <row r="263" spans="4:4">
      <c r="D263" s="163"/>
    </row>
    <row r="264" spans="4:4">
      <c r="D264" s="163"/>
    </row>
    <row r="265" spans="4:4">
      <c r="D265" s="163"/>
    </row>
    <row r="266" spans="4:4">
      <c r="D266" s="163"/>
    </row>
    <row r="267" spans="4:4">
      <c r="D267" s="163"/>
    </row>
    <row r="268" spans="4:4">
      <c r="D268" s="163"/>
    </row>
    <row r="269" spans="4:4">
      <c r="D269" s="163"/>
    </row>
    <row r="270" spans="4:4">
      <c r="D270" s="163"/>
    </row>
    <row r="271" spans="4:4">
      <c r="D271" s="163"/>
    </row>
    <row r="272" spans="4:4">
      <c r="D272" s="163"/>
    </row>
    <row r="273" spans="4:4">
      <c r="D273" s="163"/>
    </row>
    <row r="274" spans="4:4">
      <c r="D274" s="163"/>
    </row>
    <row r="275" spans="4:4">
      <c r="D275" s="163"/>
    </row>
    <row r="276" spans="4:4">
      <c r="D276" s="163"/>
    </row>
    <row r="277" spans="4:4">
      <c r="D277" s="163"/>
    </row>
    <row r="278" spans="4:4">
      <c r="D278" s="163"/>
    </row>
    <row r="279" spans="4:4">
      <c r="D279" s="163"/>
    </row>
    <row r="280" spans="4:4">
      <c r="D280" s="163"/>
    </row>
    <row r="281" spans="4:4">
      <c r="D281" s="163"/>
    </row>
    <row r="282" spans="4:4">
      <c r="D282" s="163"/>
    </row>
    <row r="283" spans="4:4">
      <c r="D283" s="163"/>
    </row>
    <row r="284" spans="4:4">
      <c r="D284" s="163"/>
    </row>
    <row r="285" spans="4:4">
      <c r="D285" s="163"/>
    </row>
    <row r="286" spans="4:4">
      <c r="D286" s="163"/>
    </row>
    <row r="287" spans="4:4">
      <c r="D287" s="163"/>
    </row>
    <row r="288" spans="4:4">
      <c r="D288" s="163"/>
    </row>
    <row r="289" spans="4:4">
      <c r="D289" s="163"/>
    </row>
    <row r="290" spans="4:4">
      <c r="D290" s="163"/>
    </row>
    <row r="291" spans="4:4">
      <c r="D291" s="163"/>
    </row>
    <row r="292" spans="4:4">
      <c r="D292" s="163"/>
    </row>
    <row r="293" spans="4:4">
      <c r="D293" s="163"/>
    </row>
    <row r="294" spans="4:4">
      <c r="D294" s="163"/>
    </row>
    <row r="295" spans="4:4">
      <c r="D295" s="163"/>
    </row>
    <row r="296" spans="4:4">
      <c r="D296" s="163"/>
    </row>
    <row r="297" spans="4:4">
      <c r="D297" s="163"/>
    </row>
    <row r="298" spans="4:4">
      <c r="D298" s="163"/>
    </row>
    <row r="299" spans="4:4">
      <c r="D299" s="163"/>
    </row>
    <row r="300" spans="4:4">
      <c r="D300" s="163"/>
    </row>
    <row r="301" spans="4:4">
      <c r="D301" s="163"/>
    </row>
    <row r="302" spans="4:4">
      <c r="D302" s="163"/>
    </row>
    <row r="303" spans="4:4">
      <c r="D303" s="163"/>
    </row>
    <row r="304" spans="4:4">
      <c r="D304" s="163"/>
    </row>
    <row r="305" spans="4:4">
      <c r="D305" s="163"/>
    </row>
    <row r="306" spans="4:4">
      <c r="D306" s="163"/>
    </row>
    <row r="307" spans="4:4">
      <c r="D307" s="163"/>
    </row>
    <row r="308" spans="4:4">
      <c r="D308" s="163"/>
    </row>
    <row r="309" spans="4:4">
      <c r="D309" s="163"/>
    </row>
    <row r="310" spans="4:4">
      <c r="D310" s="163"/>
    </row>
    <row r="311" spans="4:4">
      <c r="D311" s="163"/>
    </row>
    <row r="312" spans="4:4">
      <c r="D312" s="163"/>
    </row>
    <row r="313" spans="4:4">
      <c r="D313" s="163"/>
    </row>
    <row r="314" spans="4:4">
      <c r="D314" s="163"/>
    </row>
    <row r="315" spans="4:4">
      <c r="D315" s="163"/>
    </row>
    <row r="316" spans="4:4">
      <c r="D316" s="163"/>
    </row>
    <row r="317" spans="4:4">
      <c r="D317" s="163"/>
    </row>
    <row r="318" spans="4:4">
      <c r="D318" s="163"/>
    </row>
    <row r="319" spans="4:4">
      <c r="D319" s="163"/>
    </row>
    <row r="320" spans="4:4">
      <c r="D320" s="163"/>
    </row>
    <row r="321" spans="4:4">
      <c r="D321" s="163"/>
    </row>
    <row r="322" spans="4:4">
      <c r="D322" s="163"/>
    </row>
    <row r="323" spans="4:4">
      <c r="D323" s="163"/>
    </row>
    <row r="324" spans="4:4">
      <c r="D324" s="163"/>
    </row>
    <row r="325" spans="4:4">
      <c r="D325" s="163"/>
    </row>
    <row r="326" spans="4:4">
      <c r="D326" s="163"/>
    </row>
    <row r="327" spans="4:4">
      <c r="D327" s="163"/>
    </row>
    <row r="328" spans="4:4">
      <c r="D328" s="163"/>
    </row>
    <row r="329" spans="4:4">
      <c r="D329" s="163"/>
    </row>
    <row r="330" spans="4:4">
      <c r="D330" s="163"/>
    </row>
    <row r="331" spans="4:4">
      <c r="D331" s="163"/>
    </row>
    <row r="332" spans="4:4">
      <c r="D332" s="163"/>
    </row>
    <row r="333" spans="4:4">
      <c r="D333" s="163"/>
    </row>
    <row r="334" spans="4:4">
      <c r="D334" s="163"/>
    </row>
    <row r="335" spans="4:4">
      <c r="D335" s="163"/>
    </row>
    <row r="336" spans="4:4">
      <c r="D336" s="163"/>
    </row>
    <row r="337" spans="4:4">
      <c r="D337" s="163"/>
    </row>
    <row r="338" spans="4:4">
      <c r="D338" s="163"/>
    </row>
    <row r="339" spans="4:4">
      <c r="D339" s="163"/>
    </row>
    <row r="340" spans="4:4">
      <c r="D340" s="163"/>
    </row>
    <row r="341" spans="4:4">
      <c r="D341" s="163"/>
    </row>
    <row r="342" spans="4:4">
      <c r="D342" s="163"/>
    </row>
    <row r="343" spans="4:4">
      <c r="D343" s="163"/>
    </row>
    <row r="344" spans="4:4">
      <c r="D344" s="163"/>
    </row>
    <row r="345" spans="4:4">
      <c r="D345" s="163"/>
    </row>
    <row r="346" spans="4:4">
      <c r="D346" s="163"/>
    </row>
    <row r="347" spans="4:4">
      <c r="D347" s="163"/>
    </row>
    <row r="348" spans="4:4">
      <c r="D348" s="163"/>
    </row>
    <row r="349" spans="4:4">
      <c r="D349" s="163"/>
    </row>
    <row r="350" spans="4:4">
      <c r="D350" s="163"/>
    </row>
    <row r="351" spans="4:4">
      <c r="D351" s="163"/>
    </row>
    <row r="352" spans="4:4">
      <c r="D352" s="163"/>
    </row>
    <row r="353" spans="4:4">
      <c r="D353" s="163"/>
    </row>
    <row r="354" spans="4:4">
      <c r="D354" s="163"/>
    </row>
    <row r="355" spans="4:4">
      <c r="D355" s="163"/>
    </row>
    <row r="356" spans="4:4">
      <c r="D356" s="163"/>
    </row>
    <row r="357" spans="4:4">
      <c r="D357" s="163"/>
    </row>
    <row r="358" spans="4:4">
      <c r="D358" s="163"/>
    </row>
    <row r="359" spans="4:4">
      <c r="D359" s="163"/>
    </row>
    <row r="360" spans="4:4">
      <c r="D360" s="163"/>
    </row>
    <row r="361" spans="4:4">
      <c r="D361" s="163"/>
    </row>
    <row r="362" spans="4:4">
      <c r="D362" s="163"/>
    </row>
    <row r="363" spans="4:4">
      <c r="D363" s="163"/>
    </row>
    <row r="364" spans="4:4">
      <c r="D364" s="163"/>
    </row>
    <row r="365" spans="4:4">
      <c r="D365" s="163"/>
    </row>
    <row r="366" spans="4:4">
      <c r="D366" s="163"/>
    </row>
    <row r="367" spans="4:4">
      <c r="D367" s="163"/>
    </row>
    <row r="368" spans="4:4">
      <c r="D368" s="163"/>
    </row>
    <row r="369" spans="4:4">
      <c r="D369" s="163"/>
    </row>
    <row r="370" spans="4:4">
      <c r="D370" s="163"/>
    </row>
    <row r="371" spans="4:4">
      <c r="D371" s="163"/>
    </row>
    <row r="372" spans="4:4">
      <c r="D372" s="163"/>
    </row>
    <row r="373" spans="4:4">
      <c r="D373" s="163"/>
    </row>
    <row r="374" spans="4:4">
      <c r="D374" s="163"/>
    </row>
    <row r="375" spans="4:4">
      <c r="D375" s="163"/>
    </row>
    <row r="376" spans="4:4">
      <c r="D376" s="163"/>
    </row>
    <row r="377" spans="4:4">
      <c r="D377" s="163"/>
    </row>
    <row r="378" spans="4:4">
      <c r="D378" s="163"/>
    </row>
    <row r="379" spans="4:4">
      <c r="D379" s="163"/>
    </row>
    <row r="380" spans="4:4">
      <c r="D380" s="163"/>
    </row>
    <row r="381" spans="4:4">
      <c r="D381" s="163"/>
    </row>
    <row r="382" spans="4:4">
      <c r="D382" s="163"/>
    </row>
    <row r="383" spans="4:4">
      <c r="D383" s="163"/>
    </row>
    <row r="384" spans="4:4">
      <c r="D384" s="163"/>
    </row>
    <row r="385" spans="4:4">
      <c r="D385" s="163"/>
    </row>
    <row r="386" spans="4:4">
      <c r="D386" s="163"/>
    </row>
    <row r="387" spans="4:4">
      <c r="D387" s="163"/>
    </row>
    <row r="388" spans="4:4">
      <c r="D388" s="163"/>
    </row>
    <row r="389" spans="4:4">
      <c r="D389" s="163"/>
    </row>
    <row r="390" spans="4:4">
      <c r="D390" s="163"/>
    </row>
    <row r="391" spans="4:4">
      <c r="D391" s="163"/>
    </row>
    <row r="392" spans="4:4">
      <c r="D392" s="163"/>
    </row>
    <row r="393" spans="4:4">
      <c r="D393" s="163"/>
    </row>
    <row r="394" spans="4:4">
      <c r="D394" s="163"/>
    </row>
    <row r="395" spans="4:4">
      <c r="D395" s="163"/>
    </row>
    <row r="396" spans="4:4">
      <c r="D396" s="163"/>
    </row>
    <row r="397" spans="4:4">
      <c r="D397" s="163"/>
    </row>
    <row r="398" spans="4:4">
      <c r="D398" s="163"/>
    </row>
    <row r="399" spans="4:4">
      <c r="D399" s="163"/>
    </row>
    <row r="400" spans="4:4">
      <c r="D400" s="163"/>
    </row>
    <row r="401" spans="4:4">
      <c r="D401" s="163"/>
    </row>
    <row r="402" spans="4:4">
      <c r="D402" s="163"/>
    </row>
    <row r="403" spans="4:4">
      <c r="D403" s="163"/>
    </row>
    <row r="404" spans="4:4">
      <c r="D404" s="163"/>
    </row>
    <row r="405" spans="4:4">
      <c r="D405" s="163"/>
    </row>
    <row r="406" spans="4:4">
      <c r="D406" s="163"/>
    </row>
    <row r="407" spans="4:4">
      <c r="D407" s="163"/>
    </row>
    <row r="408" spans="4:4">
      <c r="D408" s="163"/>
    </row>
    <row r="409" spans="4:4">
      <c r="D409" s="163"/>
    </row>
    <row r="410" spans="4:4">
      <c r="D410" s="163"/>
    </row>
    <row r="411" spans="4:4">
      <c r="D411" s="163"/>
    </row>
    <row r="412" spans="4:4">
      <c r="D412" s="163"/>
    </row>
    <row r="413" spans="4:4">
      <c r="D413" s="163"/>
    </row>
    <row r="414" spans="4:4">
      <c r="D414" s="163"/>
    </row>
    <row r="415" spans="4:4">
      <c r="D415" s="163"/>
    </row>
    <row r="416" spans="4:4">
      <c r="D416" s="163"/>
    </row>
    <row r="417" spans="4:4">
      <c r="D417" s="163"/>
    </row>
    <row r="418" spans="4:4">
      <c r="D418" s="163"/>
    </row>
    <row r="419" spans="4:4">
      <c r="D419" s="163"/>
    </row>
    <row r="420" spans="4:4">
      <c r="D420" s="163"/>
    </row>
    <row r="421" spans="4:4">
      <c r="D421" s="163"/>
    </row>
    <row r="422" spans="4:4">
      <c r="D422" s="163"/>
    </row>
    <row r="423" spans="4:4">
      <c r="D423" s="163"/>
    </row>
    <row r="424" spans="4:4">
      <c r="D424" s="163"/>
    </row>
    <row r="425" spans="4:4">
      <c r="D425" s="163"/>
    </row>
    <row r="426" spans="4:4">
      <c r="D426" s="163"/>
    </row>
    <row r="427" spans="4:4">
      <c r="D427" s="163"/>
    </row>
    <row r="428" spans="4:4">
      <c r="D428" s="163"/>
    </row>
    <row r="429" spans="4:4">
      <c r="D429" s="163"/>
    </row>
    <row r="430" spans="4:4">
      <c r="D430" s="163"/>
    </row>
    <row r="431" spans="4:4">
      <c r="D431" s="163"/>
    </row>
    <row r="432" spans="4:4">
      <c r="D432" s="163"/>
    </row>
    <row r="433" spans="4:4">
      <c r="D433" s="163"/>
    </row>
    <row r="434" spans="4:4">
      <c r="D434" s="163"/>
    </row>
    <row r="435" spans="4:4">
      <c r="D435" s="163"/>
    </row>
    <row r="436" spans="4:4">
      <c r="D436" s="163"/>
    </row>
    <row r="437" spans="4:4">
      <c r="D437" s="163"/>
    </row>
    <row r="438" spans="4:4">
      <c r="D438" s="163"/>
    </row>
    <row r="439" spans="4:4">
      <c r="D439" s="163"/>
    </row>
    <row r="440" spans="4:4">
      <c r="D440" s="163"/>
    </row>
    <row r="441" spans="4:4">
      <c r="D441" s="163"/>
    </row>
    <row r="442" spans="4:4">
      <c r="D442" s="163"/>
    </row>
    <row r="443" spans="4:4">
      <c r="D443" s="163"/>
    </row>
    <row r="444" spans="4:4">
      <c r="D444" s="163"/>
    </row>
    <row r="445" spans="4:4">
      <c r="D445" s="163"/>
    </row>
    <row r="446" spans="4:4">
      <c r="D446" s="163"/>
    </row>
    <row r="447" spans="4:4">
      <c r="D447" s="163"/>
    </row>
    <row r="448" spans="4:4">
      <c r="D448" s="163"/>
    </row>
    <row r="449" spans="4:4">
      <c r="D449" s="163"/>
    </row>
    <row r="450" spans="4:4">
      <c r="D450" s="163"/>
    </row>
    <row r="451" spans="4:4">
      <c r="D451" s="163"/>
    </row>
    <row r="452" spans="4:4">
      <c r="D452" s="163"/>
    </row>
    <row r="453" spans="4:4">
      <c r="D453" s="163"/>
    </row>
    <row r="454" spans="4:4">
      <c r="D454" s="163"/>
    </row>
    <row r="455" spans="4:4">
      <c r="D455" s="163"/>
    </row>
    <row r="456" spans="4:4">
      <c r="D456" s="163"/>
    </row>
    <row r="457" spans="4:4">
      <c r="D457" s="163"/>
    </row>
    <row r="458" spans="4:4">
      <c r="D458" s="163"/>
    </row>
    <row r="459" spans="4:4">
      <c r="D459" s="163"/>
    </row>
    <row r="460" spans="4:4">
      <c r="D460" s="163"/>
    </row>
    <row r="461" spans="4:4">
      <c r="D461" s="163"/>
    </row>
    <row r="462" spans="4:4">
      <c r="D462" s="163"/>
    </row>
    <row r="463" spans="4:4">
      <c r="D463" s="163"/>
    </row>
    <row r="464" spans="4:4">
      <c r="D464" s="163"/>
    </row>
    <row r="465" spans="4:4">
      <c r="D465" s="163"/>
    </row>
    <row r="466" spans="4:4">
      <c r="D466" s="163"/>
    </row>
    <row r="467" spans="4:4">
      <c r="D467" s="163"/>
    </row>
    <row r="468" spans="4:4">
      <c r="D468" s="163"/>
    </row>
    <row r="469" spans="4:4">
      <c r="D469" s="163"/>
    </row>
    <row r="470" spans="4:4">
      <c r="D470" s="163"/>
    </row>
    <row r="471" spans="4:4">
      <c r="D471" s="163"/>
    </row>
    <row r="472" spans="4:4">
      <c r="D472" s="163"/>
    </row>
    <row r="473" spans="4:4">
      <c r="D473" s="163"/>
    </row>
    <row r="474" spans="4:4">
      <c r="D474" s="163"/>
    </row>
    <row r="475" spans="4:4">
      <c r="D475" s="163"/>
    </row>
    <row r="476" spans="4:4">
      <c r="D476" s="163"/>
    </row>
    <row r="477" spans="4:4">
      <c r="D477" s="163"/>
    </row>
    <row r="478" spans="4:4">
      <c r="D478" s="163"/>
    </row>
    <row r="479" spans="4:4">
      <c r="D479" s="163"/>
    </row>
    <row r="480" spans="4:4">
      <c r="D480" s="163"/>
    </row>
    <row r="481" spans="4:4">
      <c r="D481" s="163"/>
    </row>
    <row r="482" spans="4:4">
      <c r="D482" s="163"/>
    </row>
    <row r="483" spans="4:4">
      <c r="D483" s="163"/>
    </row>
    <row r="484" spans="4:4">
      <c r="D484" s="163"/>
    </row>
    <row r="485" spans="4:4">
      <c r="D485" s="163"/>
    </row>
    <row r="486" spans="4:4">
      <c r="D486" s="163"/>
    </row>
    <row r="487" spans="4:4">
      <c r="D487" s="163"/>
    </row>
    <row r="488" spans="4:4">
      <c r="D488" s="163"/>
    </row>
    <row r="489" spans="4:4">
      <c r="D489" s="163"/>
    </row>
    <row r="490" spans="4:4">
      <c r="D490" s="163"/>
    </row>
    <row r="491" spans="4:4">
      <c r="D491" s="163"/>
    </row>
    <row r="492" spans="4:4">
      <c r="D492" s="163"/>
    </row>
    <row r="493" spans="4:4">
      <c r="D493" s="163"/>
    </row>
    <row r="494" spans="4:4">
      <c r="D494" s="163"/>
    </row>
    <row r="495" spans="4:4">
      <c r="D495" s="163"/>
    </row>
    <row r="496" spans="4:4">
      <c r="D496" s="163"/>
    </row>
    <row r="497" spans="4:4">
      <c r="D497" s="163"/>
    </row>
    <row r="498" spans="4:4">
      <c r="D498" s="163"/>
    </row>
    <row r="499" spans="4:4">
      <c r="D499" s="163"/>
    </row>
    <row r="500" spans="4:4">
      <c r="D500" s="163"/>
    </row>
    <row r="501" spans="4:4">
      <c r="D501" s="163"/>
    </row>
    <row r="502" spans="4:4">
      <c r="D502" s="163"/>
    </row>
    <row r="503" spans="4:4">
      <c r="D503" s="163"/>
    </row>
    <row r="504" spans="4:4">
      <c r="D504" s="163"/>
    </row>
    <row r="505" spans="4:4">
      <c r="D505" s="163"/>
    </row>
    <row r="506" spans="4:4">
      <c r="D506" s="163"/>
    </row>
    <row r="507" spans="4:4">
      <c r="D507" s="163"/>
    </row>
    <row r="508" spans="4:4">
      <c r="D508" s="163"/>
    </row>
    <row r="509" spans="4:4">
      <c r="D509" s="163"/>
    </row>
    <row r="510" spans="4:4">
      <c r="D510" s="163"/>
    </row>
    <row r="511" spans="4:4">
      <c r="D511" s="163"/>
    </row>
    <row r="512" spans="4:4">
      <c r="D512" s="163"/>
    </row>
    <row r="513" spans="4:4">
      <c r="D513" s="163"/>
    </row>
    <row r="514" spans="4:4">
      <c r="D514" s="163"/>
    </row>
    <row r="515" spans="4:4">
      <c r="D515" s="163"/>
    </row>
    <row r="516" spans="4:4">
      <c r="D516" s="163"/>
    </row>
    <row r="517" spans="4:4">
      <c r="D517" s="163"/>
    </row>
    <row r="518" spans="4:4">
      <c r="D518" s="163"/>
    </row>
    <row r="519" spans="4:4">
      <c r="D519" s="163"/>
    </row>
    <row r="520" spans="4:4">
      <c r="D520" s="163"/>
    </row>
    <row r="521" spans="4:4">
      <c r="D521" s="163"/>
    </row>
    <row r="522" spans="4:4">
      <c r="D522" s="163"/>
    </row>
    <row r="523" spans="4:4">
      <c r="D523" s="163"/>
    </row>
    <row r="524" spans="4:4">
      <c r="D524" s="163"/>
    </row>
    <row r="525" spans="4:4">
      <c r="D525" s="163"/>
    </row>
    <row r="526" spans="4:4">
      <c r="D526" s="163"/>
    </row>
    <row r="527" spans="4:4">
      <c r="D527" s="163"/>
    </row>
    <row r="528" spans="4:4">
      <c r="D528" s="163"/>
    </row>
    <row r="529" spans="4:4">
      <c r="D529" s="163"/>
    </row>
    <row r="530" spans="4:4">
      <c r="D530" s="163"/>
    </row>
    <row r="531" spans="4:4">
      <c r="D531" s="163"/>
    </row>
    <row r="532" spans="4:4">
      <c r="D532" s="163"/>
    </row>
    <row r="533" spans="4:4">
      <c r="D533" s="163"/>
    </row>
    <row r="534" spans="4:4">
      <c r="D534" s="163"/>
    </row>
    <row r="535" spans="4:4">
      <c r="D535" s="163"/>
    </row>
    <row r="536" spans="4:4">
      <c r="D536" s="163"/>
    </row>
    <row r="537" spans="4:4">
      <c r="D537" s="163"/>
    </row>
    <row r="538" spans="4:4">
      <c r="D538" s="163"/>
    </row>
    <row r="539" spans="4:4">
      <c r="D539" s="163"/>
    </row>
    <row r="540" spans="4:4">
      <c r="D540" s="163"/>
    </row>
    <row r="541" spans="4:4">
      <c r="D541" s="163"/>
    </row>
    <row r="542" spans="4:4">
      <c r="D542" s="163"/>
    </row>
    <row r="543" spans="4:4">
      <c r="D543" s="163"/>
    </row>
    <row r="544" spans="4:4">
      <c r="D544" s="163"/>
    </row>
    <row r="545" spans="4:4">
      <c r="D545" s="163"/>
    </row>
    <row r="546" spans="4:4">
      <c r="D546" s="163"/>
    </row>
    <row r="547" spans="4:4">
      <c r="D547" s="163"/>
    </row>
    <row r="548" spans="4:4">
      <c r="D548" s="163"/>
    </row>
    <row r="549" spans="4:4">
      <c r="D549" s="163"/>
    </row>
    <row r="550" spans="4:4">
      <c r="D550" s="163"/>
    </row>
    <row r="551" spans="4:4">
      <c r="D551" s="163"/>
    </row>
    <row r="552" spans="4:4">
      <c r="D552" s="163"/>
    </row>
    <row r="553" spans="4:4">
      <c r="D553" s="163"/>
    </row>
    <row r="554" spans="4:4">
      <c r="D554" s="163"/>
    </row>
    <row r="555" spans="4:4">
      <c r="D555" s="163"/>
    </row>
    <row r="556" spans="4:4">
      <c r="D556" s="163"/>
    </row>
    <row r="557" spans="4:4">
      <c r="D557" s="163"/>
    </row>
    <row r="558" spans="4:4">
      <c r="D558" s="163"/>
    </row>
    <row r="559" spans="4:4">
      <c r="D559" s="163"/>
    </row>
    <row r="560" spans="4:4">
      <c r="D560" s="163"/>
    </row>
    <row r="561" spans="4:4">
      <c r="D561" s="163"/>
    </row>
    <row r="562" spans="4:4">
      <c r="D562" s="163"/>
    </row>
    <row r="563" spans="4:4">
      <c r="D563" s="163"/>
    </row>
    <row r="564" spans="4:4">
      <c r="D564" s="163"/>
    </row>
    <row r="565" spans="4:4">
      <c r="D565" s="163"/>
    </row>
    <row r="566" spans="4:4">
      <c r="D566" s="163"/>
    </row>
    <row r="567" spans="4:4">
      <c r="D567" s="163"/>
    </row>
    <row r="568" spans="4:4">
      <c r="D568" s="163"/>
    </row>
    <row r="569" spans="4:4">
      <c r="D569" s="163"/>
    </row>
    <row r="570" spans="4:4">
      <c r="D570" s="163"/>
    </row>
    <row r="571" spans="4:4">
      <c r="D571" s="163"/>
    </row>
    <row r="572" spans="4:4">
      <c r="D572" s="163"/>
    </row>
    <row r="573" spans="4:4">
      <c r="D573" s="163"/>
    </row>
    <row r="574" spans="4:4">
      <c r="D574" s="163"/>
    </row>
    <row r="575" spans="4:4">
      <c r="D575" s="163"/>
    </row>
    <row r="576" spans="4:4">
      <c r="D576" s="163"/>
    </row>
    <row r="577" spans="4:4">
      <c r="D577" s="163"/>
    </row>
    <row r="578" spans="4:4">
      <c r="D578" s="163"/>
    </row>
    <row r="579" spans="4:4">
      <c r="D579" s="163"/>
    </row>
    <row r="580" spans="4:4">
      <c r="D580" s="163"/>
    </row>
    <row r="581" spans="4:4">
      <c r="D581" s="163"/>
    </row>
    <row r="582" spans="4:4">
      <c r="D582" s="163"/>
    </row>
    <row r="583" spans="4:4">
      <c r="D583" s="163"/>
    </row>
    <row r="584" spans="4:4">
      <c r="D584" s="163"/>
    </row>
    <row r="585" spans="4:4">
      <c r="D585" s="163"/>
    </row>
    <row r="586" spans="4:4">
      <c r="D586" s="163"/>
    </row>
    <row r="587" spans="4:4">
      <c r="D587" s="163"/>
    </row>
    <row r="588" spans="4:4">
      <c r="D588" s="163"/>
    </row>
    <row r="589" spans="4:4">
      <c r="D589" s="163"/>
    </row>
    <row r="590" spans="4:4">
      <c r="D590" s="163"/>
    </row>
    <row r="591" spans="4:4">
      <c r="D591" s="163"/>
    </row>
    <row r="592" spans="4:4">
      <c r="D592" s="163"/>
    </row>
    <row r="593" spans="4:4">
      <c r="D593" s="163"/>
    </row>
    <row r="594" spans="4:4">
      <c r="D594" s="163"/>
    </row>
    <row r="595" spans="4:4">
      <c r="D595" s="163"/>
    </row>
    <row r="596" spans="4:4">
      <c r="D596" s="163"/>
    </row>
    <row r="597" spans="4:4">
      <c r="D597" s="163"/>
    </row>
    <row r="598" spans="4:4">
      <c r="D598" s="163"/>
    </row>
    <row r="599" spans="4:4">
      <c r="D599" s="163"/>
    </row>
    <row r="600" spans="4:4">
      <c r="D600" s="163"/>
    </row>
    <row r="601" spans="4:4">
      <c r="D601" s="163"/>
    </row>
    <row r="602" spans="4:4">
      <c r="D602" s="163"/>
    </row>
    <row r="603" spans="4:4">
      <c r="D603" s="163"/>
    </row>
    <row r="604" spans="4:4">
      <c r="D604" s="163"/>
    </row>
    <row r="605" spans="4:4">
      <c r="D605" s="163"/>
    </row>
    <row r="606" spans="4:4">
      <c r="D606" s="163"/>
    </row>
    <row r="607" spans="4:4">
      <c r="D607" s="163"/>
    </row>
    <row r="608" spans="4:4">
      <c r="D608" s="163"/>
    </row>
    <row r="609" spans="4:4">
      <c r="D609" s="163"/>
    </row>
    <row r="610" spans="4:4">
      <c r="D610" s="163"/>
    </row>
    <row r="611" spans="4:4">
      <c r="D611" s="163"/>
    </row>
    <row r="612" spans="4:4">
      <c r="D612" s="163"/>
    </row>
    <row r="613" spans="4:4">
      <c r="D613" s="163"/>
    </row>
    <row r="614" spans="4:4">
      <c r="D614" s="163"/>
    </row>
    <row r="615" spans="4:4">
      <c r="D615" s="163"/>
    </row>
    <row r="616" spans="4:4">
      <c r="D616" s="163"/>
    </row>
    <row r="617" spans="4:4">
      <c r="D617" s="163"/>
    </row>
    <row r="618" spans="4:4">
      <c r="D618" s="163"/>
    </row>
    <row r="619" spans="4:4">
      <c r="D619" s="163"/>
    </row>
    <row r="620" spans="4:4">
      <c r="D620" s="163"/>
    </row>
    <row r="621" spans="4:4">
      <c r="D621" s="163"/>
    </row>
    <row r="622" spans="4:4">
      <c r="D622" s="163"/>
    </row>
    <row r="623" spans="4:4">
      <c r="D623" s="163"/>
    </row>
    <row r="624" spans="4:4">
      <c r="D624" s="163"/>
    </row>
    <row r="625" spans="4:4">
      <c r="D625" s="163"/>
    </row>
    <row r="626" spans="4:4">
      <c r="D626" s="163"/>
    </row>
    <row r="627" spans="4:4">
      <c r="D627" s="163"/>
    </row>
    <row r="628" spans="4:4">
      <c r="D628" s="163"/>
    </row>
    <row r="629" spans="4:4">
      <c r="D629" s="163"/>
    </row>
    <row r="630" spans="4:4">
      <c r="D630" s="163"/>
    </row>
    <row r="631" spans="4:4">
      <c r="D631" s="163"/>
    </row>
    <row r="632" spans="4:4">
      <c r="D632" s="163"/>
    </row>
    <row r="633" spans="4:4">
      <c r="D633" s="163"/>
    </row>
    <row r="634" spans="4:4">
      <c r="D634" s="163"/>
    </row>
    <row r="635" spans="4:4">
      <c r="D635" s="163"/>
    </row>
    <row r="636" spans="4:4">
      <c r="D636" s="163"/>
    </row>
    <row r="637" spans="4:4">
      <c r="D637" s="163"/>
    </row>
    <row r="638" spans="4:4">
      <c r="D638" s="163"/>
    </row>
    <row r="639" spans="4:4">
      <c r="D639" s="163"/>
    </row>
    <row r="640" spans="4:4">
      <c r="D640" s="163"/>
    </row>
    <row r="641" spans="4:4">
      <c r="D641" s="163"/>
    </row>
    <row r="642" spans="4:4">
      <c r="D642" s="163"/>
    </row>
    <row r="643" spans="4:4">
      <c r="D643" s="163"/>
    </row>
    <row r="644" spans="4:4">
      <c r="D644" s="163"/>
    </row>
    <row r="645" spans="4:4">
      <c r="D645" s="163"/>
    </row>
    <row r="646" spans="4:4">
      <c r="D646" s="163"/>
    </row>
    <row r="647" spans="4:4">
      <c r="D647" s="163"/>
    </row>
    <row r="648" spans="4:4">
      <c r="D648" s="163"/>
    </row>
    <row r="649" spans="4:4">
      <c r="D649" s="163"/>
    </row>
    <row r="650" spans="4:4">
      <c r="D650" s="163"/>
    </row>
    <row r="651" spans="4:4">
      <c r="D651" s="163"/>
    </row>
    <row r="652" spans="4:4">
      <c r="D652" s="163"/>
    </row>
    <row r="653" spans="4:4">
      <c r="D653" s="163"/>
    </row>
    <row r="654" spans="4:4">
      <c r="D654" s="163"/>
    </row>
    <row r="655" spans="4:4">
      <c r="D655" s="163"/>
    </row>
    <row r="656" spans="4:4">
      <c r="D656" s="163"/>
    </row>
    <row r="657" spans="4:4">
      <c r="D657" s="163"/>
    </row>
    <row r="658" spans="4:4">
      <c r="D658" s="163"/>
    </row>
    <row r="659" spans="4:4">
      <c r="D659" s="163"/>
    </row>
    <row r="660" spans="4:4">
      <c r="D660" s="163"/>
    </row>
    <row r="661" spans="4:4">
      <c r="D661" s="163"/>
    </row>
    <row r="662" spans="4:4">
      <c r="D662" s="163"/>
    </row>
    <row r="663" spans="4:4">
      <c r="D663" s="163"/>
    </row>
    <row r="664" spans="4:4">
      <c r="D664" s="163"/>
    </row>
    <row r="665" spans="4:4">
      <c r="D665" s="163"/>
    </row>
    <row r="666" spans="4:4">
      <c r="D666" s="163"/>
    </row>
    <row r="667" spans="4:4">
      <c r="D667" s="163"/>
    </row>
    <row r="668" spans="4:4">
      <c r="D668" s="163"/>
    </row>
    <row r="669" spans="4:4">
      <c r="D669" s="163"/>
    </row>
    <row r="670" spans="4:4">
      <c r="D670" s="163"/>
    </row>
    <row r="671" spans="4:4">
      <c r="D671" s="163"/>
    </row>
    <row r="672" spans="4:4">
      <c r="D672" s="163"/>
    </row>
    <row r="673" spans="4:4">
      <c r="D673" s="163"/>
    </row>
    <row r="674" spans="4:4">
      <c r="D674" s="163"/>
    </row>
    <row r="675" spans="4:4">
      <c r="D675" s="163"/>
    </row>
    <row r="676" spans="4:4">
      <c r="D676" s="163"/>
    </row>
    <row r="677" spans="4:4">
      <c r="D677" s="163"/>
    </row>
    <row r="678" spans="4:4">
      <c r="D678" s="163"/>
    </row>
    <row r="679" spans="4:4">
      <c r="D679" s="163"/>
    </row>
    <row r="680" spans="4:4">
      <c r="D680" s="163"/>
    </row>
    <row r="681" spans="4:4">
      <c r="D681" s="163"/>
    </row>
    <row r="682" spans="4:4">
      <c r="D682" s="163"/>
    </row>
    <row r="683" spans="4:4">
      <c r="D683" s="163"/>
    </row>
    <row r="684" spans="4:4">
      <c r="D684" s="163"/>
    </row>
    <row r="685" spans="4:4">
      <c r="D685" s="163"/>
    </row>
    <row r="686" spans="4:4">
      <c r="D686" s="163"/>
    </row>
    <row r="687" spans="4:4">
      <c r="D687" s="163"/>
    </row>
    <row r="688" spans="4:4">
      <c r="D688" s="163"/>
    </row>
    <row r="689" spans="4:4">
      <c r="D689" s="163"/>
    </row>
    <row r="690" spans="4:4">
      <c r="D690" s="163"/>
    </row>
    <row r="691" spans="4:4">
      <c r="D691" s="163"/>
    </row>
    <row r="692" spans="4:4">
      <c r="D692" s="163"/>
    </row>
    <row r="693" spans="4:4">
      <c r="D693" s="163"/>
    </row>
    <row r="694" spans="4:4">
      <c r="D694" s="163"/>
    </row>
    <row r="695" spans="4:4">
      <c r="D695" s="163"/>
    </row>
    <row r="696" spans="4:4">
      <c r="D696" s="163"/>
    </row>
    <row r="697" spans="4:4">
      <c r="D697" s="163"/>
    </row>
    <row r="698" spans="4:4">
      <c r="D698" s="163"/>
    </row>
    <row r="699" spans="4:4">
      <c r="D699" s="163"/>
    </row>
    <row r="700" spans="4:4">
      <c r="D700" s="163"/>
    </row>
    <row r="701" spans="4:4">
      <c r="D701" s="163"/>
    </row>
    <row r="702" spans="4:4">
      <c r="D702" s="163"/>
    </row>
    <row r="703" spans="4:4">
      <c r="D703" s="163"/>
    </row>
    <row r="704" spans="4:4">
      <c r="D704" s="163"/>
    </row>
    <row r="705" spans="4:4">
      <c r="D705" s="163"/>
    </row>
    <row r="706" spans="4:4">
      <c r="D706" s="163"/>
    </row>
    <row r="707" spans="4:4">
      <c r="D707" s="163"/>
    </row>
    <row r="708" spans="4:4">
      <c r="D708" s="163"/>
    </row>
    <row r="709" spans="4:4">
      <c r="D709" s="163"/>
    </row>
    <row r="710" spans="4:4">
      <c r="D710" s="163"/>
    </row>
    <row r="711" spans="4:4">
      <c r="D711" s="163"/>
    </row>
    <row r="712" spans="4:4">
      <c r="D712" s="163"/>
    </row>
    <row r="713" spans="4:4">
      <c r="D713" s="163"/>
    </row>
    <row r="714" spans="4:4">
      <c r="D714" s="163"/>
    </row>
    <row r="715" spans="4:4">
      <c r="D715" s="163"/>
    </row>
    <row r="716" spans="4:4">
      <c r="D716" s="163"/>
    </row>
    <row r="717" spans="4:4">
      <c r="D717" s="163"/>
    </row>
    <row r="718" spans="4:4">
      <c r="D718" s="163"/>
    </row>
    <row r="719" spans="4:4">
      <c r="D719" s="163"/>
    </row>
    <row r="720" spans="4:4">
      <c r="D720" s="163"/>
    </row>
    <row r="721" spans="4:4">
      <c r="D721" s="163"/>
    </row>
    <row r="722" spans="4:4">
      <c r="D722" s="163"/>
    </row>
    <row r="723" spans="4:4">
      <c r="D723" s="163"/>
    </row>
    <row r="724" spans="4:4">
      <c r="D724" s="163"/>
    </row>
    <row r="725" spans="4:4">
      <c r="D725" s="163"/>
    </row>
    <row r="726" spans="4:4">
      <c r="D726" s="163"/>
    </row>
    <row r="727" spans="4:4">
      <c r="D727" s="163"/>
    </row>
    <row r="728" spans="4:4">
      <c r="D728" s="163"/>
    </row>
    <row r="729" spans="4:4">
      <c r="D729" s="163"/>
    </row>
    <row r="730" spans="4:4">
      <c r="D730" s="163"/>
    </row>
    <row r="731" spans="4:4">
      <c r="D731" s="163"/>
    </row>
    <row r="732" spans="4:4">
      <c r="D732" s="163"/>
    </row>
    <row r="733" spans="4:4">
      <c r="D733" s="163"/>
    </row>
    <row r="734" spans="4:4">
      <c r="D734" s="163"/>
    </row>
    <row r="735" spans="4:4">
      <c r="D735" s="163"/>
    </row>
    <row r="736" spans="4:4">
      <c r="D736" s="163"/>
    </row>
    <row r="737" spans="4:4">
      <c r="D737" s="163"/>
    </row>
    <row r="738" spans="4:4">
      <c r="D738" s="163"/>
    </row>
    <row r="739" spans="4:4">
      <c r="D739" s="163"/>
    </row>
    <row r="740" spans="4:4">
      <c r="D740" s="163"/>
    </row>
    <row r="741" spans="4:4">
      <c r="D741" s="163"/>
    </row>
    <row r="742" spans="4:4">
      <c r="D742" s="163"/>
    </row>
    <row r="743" spans="4:4">
      <c r="D743" s="163"/>
    </row>
    <row r="744" spans="4:4">
      <c r="D744" s="163"/>
    </row>
    <row r="745" spans="4:4">
      <c r="D745" s="163"/>
    </row>
    <row r="746" spans="4:4">
      <c r="D746" s="163"/>
    </row>
    <row r="747" spans="4:4">
      <c r="D747" s="163"/>
    </row>
    <row r="748" spans="4:4">
      <c r="D748" s="163"/>
    </row>
    <row r="749" spans="4:4">
      <c r="D749" s="163"/>
    </row>
    <row r="750" spans="4:4">
      <c r="D750" s="163"/>
    </row>
    <row r="751" spans="4:4">
      <c r="D751" s="163"/>
    </row>
    <row r="752" spans="4:4">
      <c r="D752" s="163"/>
    </row>
    <row r="753" spans="4:4">
      <c r="D753" s="163"/>
    </row>
    <row r="754" spans="4:4">
      <c r="D754" s="163"/>
    </row>
    <row r="755" spans="4:4">
      <c r="D755" s="163"/>
    </row>
    <row r="756" spans="4:4">
      <c r="D756" s="163"/>
    </row>
    <row r="757" spans="4:4">
      <c r="D757" s="163"/>
    </row>
    <row r="758" spans="4:4">
      <c r="D758" s="163"/>
    </row>
    <row r="759" spans="4:4">
      <c r="D759" s="163"/>
    </row>
    <row r="760" spans="4:4">
      <c r="D760" s="163"/>
    </row>
    <row r="761" spans="4:4">
      <c r="D761" s="163"/>
    </row>
    <row r="762" spans="4:4">
      <c r="D762" s="163"/>
    </row>
    <row r="763" spans="4:4">
      <c r="D763" s="163"/>
    </row>
    <row r="764" spans="4:4">
      <c r="D764" s="163"/>
    </row>
    <row r="765" spans="4:4">
      <c r="D765" s="163"/>
    </row>
    <row r="766" spans="4:4">
      <c r="D766" s="163"/>
    </row>
    <row r="767" spans="4:4">
      <c r="D767" s="163"/>
    </row>
    <row r="768" spans="4:4">
      <c r="D768" s="163"/>
    </row>
    <row r="769" spans="4:4">
      <c r="D769" s="163"/>
    </row>
    <row r="770" spans="4:4">
      <c r="D770" s="163"/>
    </row>
    <row r="771" spans="4:4">
      <c r="D771" s="163"/>
    </row>
    <row r="772" spans="4:4">
      <c r="D772" s="163"/>
    </row>
    <row r="773" spans="4:4">
      <c r="D773" s="163"/>
    </row>
    <row r="774" spans="4:4">
      <c r="D774" s="163"/>
    </row>
    <row r="775" spans="4:4">
      <c r="D775" s="163"/>
    </row>
    <row r="776" spans="4:4">
      <c r="D776" s="163"/>
    </row>
    <row r="777" spans="4:4">
      <c r="D777" s="163"/>
    </row>
    <row r="778" spans="4:4">
      <c r="D778" s="163"/>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12"/>
  <sheetViews>
    <sheetView zoomScaleNormal="100" workbookViewId="0">
      <pane xSplit="1" ySplit="8" topLeftCell="B104" activePane="bottomRight" state="frozen"/>
      <selection pane="topRight" activeCell="B1" sqref="B1"/>
      <selection pane="bottomLeft" activeCell="A9" sqref="A9"/>
      <selection pane="bottomRight" activeCell="H105" sqref="H105"/>
    </sheetView>
  </sheetViews>
  <sheetFormatPr defaultRowHeight="12"/>
  <cols>
    <col min="1" max="1" width="10" style="165" customWidth="1"/>
    <col min="2" max="2" width="8.85546875" style="165" bestFit="1" customWidth="1"/>
    <col min="3" max="3" width="8.7109375" style="165" bestFit="1" customWidth="1"/>
    <col min="4" max="4" width="8.85546875" style="165" bestFit="1" customWidth="1"/>
    <col min="5" max="5" width="8" style="165" bestFit="1" customWidth="1"/>
    <col min="6" max="6" width="9" style="165" bestFit="1" customWidth="1"/>
    <col min="7" max="7" width="10.140625" style="165" customWidth="1"/>
    <col min="8" max="8" width="11" style="165" bestFit="1" customWidth="1"/>
    <col min="9" max="10" width="10.5703125" style="165" bestFit="1" customWidth="1"/>
    <col min="11" max="11" width="9.85546875" style="165" customWidth="1"/>
    <col min="12" max="12" width="11.5703125" style="165" customWidth="1"/>
    <col min="13" max="13" width="11.42578125" style="165" customWidth="1"/>
    <col min="14" max="14" width="10.140625" style="165" customWidth="1"/>
    <col min="15" max="15" width="10.28515625" style="165" bestFit="1" customWidth="1"/>
    <col min="16" max="16" width="12.140625" style="165" bestFit="1" customWidth="1"/>
    <col min="17" max="17" width="12" style="165" bestFit="1" customWidth="1"/>
    <col min="18" max="18" width="12.140625" style="165" customWidth="1"/>
    <col min="19" max="19" width="10.85546875" style="165" customWidth="1"/>
    <col min="20" max="20" width="8.85546875" style="165" bestFit="1" customWidth="1"/>
    <col min="21" max="21" width="9" style="165" bestFit="1" customWidth="1"/>
    <col min="22" max="22" width="8.5703125" style="165" bestFit="1" customWidth="1"/>
    <col min="23" max="23" width="7.85546875" style="165" bestFit="1" customWidth="1"/>
    <col min="24" max="24" width="8.85546875" style="165" bestFit="1" customWidth="1"/>
    <col min="25" max="25" width="11.85546875" style="165" bestFit="1" customWidth="1"/>
    <col min="26" max="26" width="11.7109375" style="165" bestFit="1" customWidth="1"/>
    <col min="27" max="27" width="13.140625" style="165" bestFit="1" customWidth="1"/>
    <col min="28" max="28" width="5.5703125" style="165" bestFit="1" customWidth="1"/>
    <col min="29" max="29" width="10" style="165" bestFit="1" customWidth="1"/>
    <col min="30" max="31" width="14" style="165" bestFit="1" customWidth="1"/>
    <col min="32" max="33" width="13.140625" style="165" bestFit="1" customWidth="1"/>
    <col min="34" max="34" width="14" style="165" bestFit="1" customWidth="1"/>
    <col min="35" max="38" width="9.28515625" style="165" bestFit="1" customWidth="1"/>
    <col min="39" max="40" width="11.7109375" style="165" bestFit="1" customWidth="1"/>
    <col min="41" max="41" width="9.28515625" style="165" bestFit="1" customWidth="1"/>
    <col min="42" max="42" width="11.7109375" style="165" bestFit="1" customWidth="1"/>
    <col min="43" max="43" width="13.140625" style="165" bestFit="1" customWidth="1"/>
    <col min="44" max="45" width="11.7109375" style="165" bestFit="1" customWidth="1"/>
    <col min="46" max="46" width="9.28515625" style="165" bestFit="1" customWidth="1"/>
    <col min="47" max="47" width="13.140625" style="165" bestFit="1" customWidth="1"/>
    <col min="48" max="48" width="9.28515625" style="165" bestFit="1" customWidth="1"/>
    <col min="49" max="50" width="13.140625" style="165" bestFit="1" customWidth="1"/>
    <col min="51" max="51" width="14.85546875" style="165" bestFit="1" customWidth="1"/>
    <col min="52" max="256" width="9.140625" style="165"/>
    <col min="257" max="257" width="9" style="165" customWidth="1"/>
    <col min="258" max="258" width="8.85546875" style="165" bestFit="1" customWidth="1"/>
    <col min="259" max="259" width="8.7109375" style="165" bestFit="1" customWidth="1"/>
    <col min="260" max="260" width="8.85546875" style="165" bestFit="1" customWidth="1"/>
    <col min="261" max="261" width="8" style="165" bestFit="1" customWidth="1"/>
    <col min="262" max="262" width="9" style="165" bestFit="1" customWidth="1"/>
    <col min="263" max="263" width="10.140625" style="165" customWidth="1"/>
    <col min="264" max="264" width="11" style="165" bestFit="1" customWidth="1"/>
    <col min="265" max="266" width="10.5703125" style="165" bestFit="1" customWidth="1"/>
    <col min="267" max="267" width="9.85546875" style="165" customWidth="1"/>
    <col min="268" max="268" width="11.5703125" style="165" customWidth="1"/>
    <col min="269" max="269" width="11.42578125" style="165" customWidth="1"/>
    <col min="270" max="270" width="10.140625" style="165" customWidth="1"/>
    <col min="271" max="271" width="10.28515625" style="165" bestFit="1" customWidth="1"/>
    <col min="272" max="272" width="12.140625" style="165" bestFit="1" customWidth="1"/>
    <col min="273" max="273" width="12" style="165" bestFit="1" customWidth="1"/>
    <col min="274" max="274" width="12.140625" style="165" customWidth="1"/>
    <col min="275" max="275" width="10.85546875" style="165" customWidth="1"/>
    <col min="276" max="276" width="8.85546875" style="165" bestFit="1" customWidth="1"/>
    <col min="277" max="277" width="9" style="165" bestFit="1" customWidth="1"/>
    <col min="278" max="278" width="8.5703125" style="165" bestFit="1" customWidth="1"/>
    <col min="279" max="279" width="7.85546875" style="165" bestFit="1" customWidth="1"/>
    <col min="280" max="280" width="8.85546875" style="165" bestFit="1" customWidth="1"/>
    <col min="281" max="281" width="11.85546875" style="165" bestFit="1" customWidth="1"/>
    <col min="282" max="282" width="11.7109375" style="165" bestFit="1" customWidth="1"/>
    <col min="283" max="283" width="13.140625" style="165" bestFit="1" customWidth="1"/>
    <col min="284" max="284" width="5.5703125" style="165" bestFit="1" customWidth="1"/>
    <col min="285" max="285" width="10" style="165" bestFit="1" customWidth="1"/>
    <col min="286" max="287" width="14" style="165" bestFit="1" customWidth="1"/>
    <col min="288" max="289" width="13.140625" style="165" bestFit="1" customWidth="1"/>
    <col min="290" max="290" width="14" style="165" bestFit="1" customWidth="1"/>
    <col min="291" max="294" width="9.28515625" style="165" bestFit="1" customWidth="1"/>
    <col min="295" max="296" width="11.7109375" style="165" bestFit="1" customWidth="1"/>
    <col min="297" max="297" width="9.28515625" style="165" bestFit="1" customWidth="1"/>
    <col min="298" max="298" width="11.7109375" style="165" bestFit="1" customWidth="1"/>
    <col min="299" max="299" width="13.140625" style="165" bestFit="1" customWidth="1"/>
    <col min="300" max="301" width="11.7109375" style="165" bestFit="1" customWidth="1"/>
    <col min="302" max="302" width="9.28515625" style="165" bestFit="1" customWidth="1"/>
    <col min="303" max="303" width="13.140625" style="165" bestFit="1" customWidth="1"/>
    <col min="304" max="304" width="9.28515625" style="165" bestFit="1" customWidth="1"/>
    <col min="305" max="306" width="13.140625" style="165" bestFit="1" customWidth="1"/>
    <col min="307" max="307" width="14.85546875" style="165" bestFit="1" customWidth="1"/>
    <col min="308" max="512" width="9.140625" style="165"/>
    <col min="513" max="513" width="9" style="165" customWidth="1"/>
    <col min="514" max="514" width="8.85546875" style="165" bestFit="1" customWidth="1"/>
    <col min="515" max="515" width="8.7109375" style="165" bestFit="1" customWidth="1"/>
    <col min="516" max="516" width="8.85546875" style="165" bestFit="1" customWidth="1"/>
    <col min="517" max="517" width="8" style="165" bestFit="1" customWidth="1"/>
    <col min="518" max="518" width="9" style="165" bestFit="1" customWidth="1"/>
    <col min="519" max="519" width="10.140625" style="165" customWidth="1"/>
    <col min="520" max="520" width="11" style="165" bestFit="1" customWidth="1"/>
    <col min="521" max="522" width="10.5703125" style="165" bestFit="1" customWidth="1"/>
    <col min="523" max="523" width="9.85546875" style="165" customWidth="1"/>
    <col min="524" max="524" width="11.5703125" style="165" customWidth="1"/>
    <col min="525" max="525" width="11.42578125" style="165" customWidth="1"/>
    <col min="526" max="526" width="10.140625" style="165" customWidth="1"/>
    <col min="527" max="527" width="10.28515625" style="165" bestFit="1" customWidth="1"/>
    <col min="528" max="528" width="12.140625" style="165" bestFit="1" customWidth="1"/>
    <col min="529" max="529" width="12" style="165" bestFit="1" customWidth="1"/>
    <col min="530" max="530" width="12.140625" style="165" customWidth="1"/>
    <col min="531" max="531" width="10.85546875" style="165" customWidth="1"/>
    <col min="532" max="532" width="8.85546875" style="165" bestFit="1" customWidth="1"/>
    <col min="533" max="533" width="9" style="165" bestFit="1" customWidth="1"/>
    <col min="534" max="534" width="8.5703125" style="165" bestFit="1" customWidth="1"/>
    <col min="535" max="535" width="7.85546875" style="165" bestFit="1" customWidth="1"/>
    <col min="536" max="536" width="8.85546875" style="165" bestFit="1" customWidth="1"/>
    <col min="537" max="537" width="11.85546875" style="165" bestFit="1" customWidth="1"/>
    <col min="538" max="538" width="11.7109375" style="165" bestFit="1" customWidth="1"/>
    <col min="539" max="539" width="13.140625" style="165" bestFit="1" customWidth="1"/>
    <col min="540" max="540" width="5.5703125" style="165" bestFit="1" customWidth="1"/>
    <col min="541" max="541" width="10" style="165" bestFit="1" customWidth="1"/>
    <col min="542" max="543" width="14" style="165" bestFit="1" customWidth="1"/>
    <col min="544" max="545" width="13.140625" style="165" bestFit="1" customWidth="1"/>
    <col min="546" max="546" width="14" style="165" bestFit="1" customWidth="1"/>
    <col min="547" max="550" width="9.28515625" style="165" bestFit="1" customWidth="1"/>
    <col min="551" max="552" width="11.7109375" style="165" bestFit="1" customWidth="1"/>
    <col min="553" max="553" width="9.28515625" style="165" bestFit="1" customWidth="1"/>
    <col min="554" max="554" width="11.7109375" style="165" bestFit="1" customWidth="1"/>
    <col min="555" max="555" width="13.140625" style="165" bestFit="1" customWidth="1"/>
    <col min="556" max="557" width="11.7109375" style="165" bestFit="1" customWidth="1"/>
    <col min="558" max="558" width="9.28515625" style="165" bestFit="1" customWidth="1"/>
    <col min="559" max="559" width="13.140625" style="165" bestFit="1" customWidth="1"/>
    <col min="560" max="560" width="9.28515625" style="165" bestFit="1" customWidth="1"/>
    <col min="561" max="562" width="13.140625" style="165" bestFit="1" customWidth="1"/>
    <col min="563" max="563" width="14.85546875" style="165" bestFit="1" customWidth="1"/>
    <col min="564" max="768" width="9.140625" style="165"/>
    <col min="769" max="769" width="9" style="165" customWidth="1"/>
    <col min="770" max="770" width="8.85546875" style="165" bestFit="1" customWidth="1"/>
    <col min="771" max="771" width="8.7109375" style="165" bestFit="1" customWidth="1"/>
    <col min="772" max="772" width="8.85546875" style="165" bestFit="1" customWidth="1"/>
    <col min="773" max="773" width="8" style="165" bestFit="1" customWidth="1"/>
    <col min="774" max="774" width="9" style="165" bestFit="1" customWidth="1"/>
    <col min="775" max="775" width="10.140625" style="165" customWidth="1"/>
    <col min="776" max="776" width="11" style="165" bestFit="1" customWidth="1"/>
    <col min="777" max="778" width="10.5703125" style="165" bestFit="1" customWidth="1"/>
    <col min="779" max="779" width="9.85546875" style="165" customWidth="1"/>
    <col min="780" max="780" width="11.5703125" style="165" customWidth="1"/>
    <col min="781" max="781" width="11.42578125" style="165" customWidth="1"/>
    <col min="782" max="782" width="10.140625" style="165" customWidth="1"/>
    <col min="783" max="783" width="10.28515625" style="165" bestFit="1" customWidth="1"/>
    <col min="784" max="784" width="12.140625" style="165" bestFit="1" customWidth="1"/>
    <col min="785" max="785" width="12" style="165" bestFit="1" customWidth="1"/>
    <col min="786" max="786" width="12.140625" style="165" customWidth="1"/>
    <col min="787" max="787" width="10.85546875" style="165" customWidth="1"/>
    <col min="788" max="788" width="8.85546875" style="165" bestFit="1" customWidth="1"/>
    <col min="789" max="789" width="9" style="165" bestFit="1" customWidth="1"/>
    <col min="790" max="790" width="8.5703125" style="165" bestFit="1" customWidth="1"/>
    <col min="791" max="791" width="7.85546875" style="165" bestFit="1" customWidth="1"/>
    <col min="792" max="792" width="8.85546875" style="165" bestFit="1" customWidth="1"/>
    <col min="793" max="793" width="11.85546875" style="165" bestFit="1" customWidth="1"/>
    <col min="794" max="794" width="11.7109375" style="165" bestFit="1" customWidth="1"/>
    <col min="795" max="795" width="13.140625" style="165" bestFit="1" customWidth="1"/>
    <col min="796" max="796" width="5.5703125" style="165" bestFit="1" customWidth="1"/>
    <col min="797" max="797" width="10" style="165" bestFit="1" customWidth="1"/>
    <col min="798" max="799" width="14" style="165" bestFit="1" customWidth="1"/>
    <col min="800" max="801" width="13.140625" style="165" bestFit="1" customWidth="1"/>
    <col min="802" max="802" width="14" style="165" bestFit="1" customWidth="1"/>
    <col min="803" max="806" width="9.28515625" style="165" bestFit="1" customWidth="1"/>
    <col min="807" max="808" width="11.7109375" style="165" bestFit="1" customWidth="1"/>
    <col min="809" max="809" width="9.28515625" style="165" bestFit="1" customWidth="1"/>
    <col min="810" max="810" width="11.7109375" style="165" bestFit="1" customWidth="1"/>
    <col min="811" max="811" width="13.140625" style="165" bestFit="1" customWidth="1"/>
    <col min="812" max="813" width="11.7109375" style="165" bestFit="1" customWidth="1"/>
    <col min="814" max="814" width="9.28515625" style="165" bestFit="1" customWidth="1"/>
    <col min="815" max="815" width="13.140625" style="165" bestFit="1" customWidth="1"/>
    <col min="816" max="816" width="9.28515625" style="165" bestFit="1" customWidth="1"/>
    <col min="817" max="818" width="13.140625" style="165" bestFit="1" customWidth="1"/>
    <col min="819" max="819" width="14.85546875" style="165" bestFit="1" customWidth="1"/>
    <col min="820" max="1024" width="9.140625" style="165"/>
    <col min="1025" max="1025" width="9" style="165" customWidth="1"/>
    <col min="1026" max="1026" width="8.85546875" style="165" bestFit="1" customWidth="1"/>
    <col min="1027" max="1027" width="8.7109375" style="165" bestFit="1" customWidth="1"/>
    <col min="1028" max="1028" width="8.85546875" style="165" bestFit="1" customWidth="1"/>
    <col min="1029" max="1029" width="8" style="165" bestFit="1" customWidth="1"/>
    <col min="1030" max="1030" width="9" style="165" bestFit="1" customWidth="1"/>
    <col min="1031" max="1031" width="10.140625" style="165" customWidth="1"/>
    <col min="1032" max="1032" width="11" style="165" bestFit="1" customWidth="1"/>
    <col min="1033" max="1034" width="10.5703125" style="165" bestFit="1" customWidth="1"/>
    <col min="1035" max="1035" width="9.85546875" style="165" customWidth="1"/>
    <col min="1036" max="1036" width="11.5703125" style="165" customWidth="1"/>
    <col min="1037" max="1037" width="11.42578125" style="165" customWidth="1"/>
    <col min="1038" max="1038" width="10.140625" style="165" customWidth="1"/>
    <col min="1039" max="1039" width="10.28515625" style="165" bestFit="1" customWidth="1"/>
    <col min="1040" max="1040" width="12.140625" style="165" bestFit="1" customWidth="1"/>
    <col min="1041" max="1041" width="12" style="165" bestFit="1" customWidth="1"/>
    <col min="1042" max="1042" width="12.140625" style="165" customWidth="1"/>
    <col min="1043" max="1043" width="10.85546875" style="165" customWidth="1"/>
    <col min="1044" max="1044" width="8.85546875" style="165" bestFit="1" customWidth="1"/>
    <col min="1045" max="1045" width="9" style="165" bestFit="1" customWidth="1"/>
    <col min="1046" max="1046" width="8.5703125" style="165" bestFit="1" customWidth="1"/>
    <col min="1047" max="1047" width="7.85546875" style="165" bestFit="1" customWidth="1"/>
    <col min="1048" max="1048" width="8.85546875" style="165" bestFit="1" customWidth="1"/>
    <col min="1049" max="1049" width="11.85546875" style="165" bestFit="1" customWidth="1"/>
    <col min="1050" max="1050" width="11.7109375" style="165" bestFit="1" customWidth="1"/>
    <col min="1051" max="1051" width="13.140625" style="165" bestFit="1" customWidth="1"/>
    <col min="1052" max="1052" width="5.5703125" style="165" bestFit="1" customWidth="1"/>
    <col min="1053" max="1053" width="10" style="165" bestFit="1" customWidth="1"/>
    <col min="1054" max="1055" width="14" style="165" bestFit="1" customWidth="1"/>
    <col min="1056" max="1057" width="13.140625" style="165" bestFit="1" customWidth="1"/>
    <col min="1058" max="1058" width="14" style="165" bestFit="1" customWidth="1"/>
    <col min="1059" max="1062" width="9.28515625" style="165" bestFit="1" customWidth="1"/>
    <col min="1063" max="1064" width="11.7109375" style="165" bestFit="1" customWidth="1"/>
    <col min="1065" max="1065" width="9.28515625" style="165" bestFit="1" customWidth="1"/>
    <col min="1066" max="1066" width="11.7109375" style="165" bestFit="1" customWidth="1"/>
    <col min="1067" max="1067" width="13.140625" style="165" bestFit="1" customWidth="1"/>
    <col min="1068" max="1069" width="11.7109375" style="165" bestFit="1" customWidth="1"/>
    <col min="1070" max="1070" width="9.28515625" style="165" bestFit="1" customWidth="1"/>
    <col min="1071" max="1071" width="13.140625" style="165" bestFit="1" customWidth="1"/>
    <col min="1072" max="1072" width="9.28515625" style="165" bestFit="1" customWidth="1"/>
    <col min="1073" max="1074" width="13.140625" style="165" bestFit="1" customWidth="1"/>
    <col min="1075" max="1075" width="14.85546875" style="165" bestFit="1" customWidth="1"/>
    <col min="1076" max="1280" width="9.140625" style="165"/>
    <col min="1281" max="1281" width="9" style="165" customWidth="1"/>
    <col min="1282" max="1282" width="8.85546875" style="165" bestFit="1" customWidth="1"/>
    <col min="1283" max="1283" width="8.7109375" style="165" bestFit="1" customWidth="1"/>
    <col min="1284" max="1284" width="8.85546875" style="165" bestFit="1" customWidth="1"/>
    <col min="1285" max="1285" width="8" style="165" bestFit="1" customWidth="1"/>
    <col min="1286" max="1286" width="9" style="165" bestFit="1" customWidth="1"/>
    <col min="1287" max="1287" width="10.140625" style="165" customWidth="1"/>
    <col min="1288" max="1288" width="11" style="165" bestFit="1" customWidth="1"/>
    <col min="1289" max="1290" width="10.5703125" style="165" bestFit="1" customWidth="1"/>
    <col min="1291" max="1291" width="9.85546875" style="165" customWidth="1"/>
    <col min="1292" max="1292" width="11.5703125" style="165" customWidth="1"/>
    <col min="1293" max="1293" width="11.42578125" style="165" customWidth="1"/>
    <col min="1294" max="1294" width="10.140625" style="165" customWidth="1"/>
    <col min="1295" max="1295" width="10.28515625" style="165" bestFit="1" customWidth="1"/>
    <col min="1296" max="1296" width="12.140625" style="165" bestFit="1" customWidth="1"/>
    <col min="1297" max="1297" width="12" style="165" bestFit="1" customWidth="1"/>
    <col min="1298" max="1298" width="12.140625" style="165" customWidth="1"/>
    <col min="1299" max="1299" width="10.85546875" style="165" customWidth="1"/>
    <col min="1300" max="1300" width="8.85546875" style="165" bestFit="1" customWidth="1"/>
    <col min="1301" max="1301" width="9" style="165" bestFit="1" customWidth="1"/>
    <col min="1302" max="1302" width="8.5703125" style="165" bestFit="1" customWidth="1"/>
    <col min="1303" max="1303" width="7.85546875" style="165" bestFit="1" customWidth="1"/>
    <col min="1304" max="1304" width="8.85546875" style="165" bestFit="1" customWidth="1"/>
    <col min="1305" max="1305" width="11.85546875" style="165" bestFit="1" customWidth="1"/>
    <col min="1306" max="1306" width="11.7109375" style="165" bestFit="1" customWidth="1"/>
    <col min="1307" max="1307" width="13.140625" style="165" bestFit="1" customWidth="1"/>
    <col min="1308" max="1308" width="5.5703125" style="165" bestFit="1" customWidth="1"/>
    <col min="1309" max="1309" width="10" style="165" bestFit="1" customWidth="1"/>
    <col min="1310" max="1311" width="14" style="165" bestFit="1" customWidth="1"/>
    <col min="1312" max="1313" width="13.140625" style="165" bestFit="1" customWidth="1"/>
    <col min="1314" max="1314" width="14" style="165" bestFit="1" customWidth="1"/>
    <col min="1315" max="1318" width="9.28515625" style="165" bestFit="1" customWidth="1"/>
    <col min="1319" max="1320" width="11.7109375" style="165" bestFit="1" customWidth="1"/>
    <col min="1321" max="1321" width="9.28515625" style="165" bestFit="1" customWidth="1"/>
    <col min="1322" max="1322" width="11.7109375" style="165" bestFit="1" customWidth="1"/>
    <col min="1323" max="1323" width="13.140625" style="165" bestFit="1" customWidth="1"/>
    <col min="1324" max="1325" width="11.7109375" style="165" bestFit="1" customWidth="1"/>
    <col min="1326" max="1326" width="9.28515625" style="165" bestFit="1" customWidth="1"/>
    <col min="1327" max="1327" width="13.140625" style="165" bestFit="1" customWidth="1"/>
    <col min="1328" max="1328" width="9.28515625" style="165" bestFit="1" customWidth="1"/>
    <col min="1329" max="1330" width="13.140625" style="165" bestFit="1" customWidth="1"/>
    <col min="1331" max="1331" width="14.85546875" style="165" bestFit="1" customWidth="1"/>
    <col min="1332" max="1536" width="9.140625" style="165"/>
    <col min="1537" max="1537" width="9" style="165" customWidth="1"/>
    <col min="1538" max="1538" width="8.85546875" style="165" bestFit="1" customWidth="1"/>
    <col min="1539" max="1539" width="8.7109375" style="165" bestFit="1" customWidth="1"/>
    <col min="1540" max="1540" width="8.85546875" style="165" bestFit="1" customWidth="1"/>
    <col min="1541" max="1541" width="8" style="165" bestFit="1" customWidth="1"/>
    <col min="1542" max="1542" width="9" style="165" bestFit="1" customWidth="1"/>
    <col min="1543" max="1543" width="10.140625" style="165" customWidth="1"/>
    <col min="1544" max="1544" width="11" style="165" bestFit="1" customWidth="1"/>
    <col min="1545" max="1546" width="10.5703125" style="165" bestFit="1" customWidth="1"/>
    <col min="1547" max="1547" width="9.85546875" style="165" customWidth="1"/>
    <col min="1548" max="1548" width="11.5703125" style="165" customWidth="1"/>
    <col min="1549" max="1549" width="11.42578125" style="165" customWidth="1"/>
    <col min="1550" max="1550" width="10.140625" style="165" customWidth="1"/>
    <col min="1551" max="1551" width="10.28515625" style="165" bestFit="1" customWidth="1"/>
    <col min="1552" max="1552" width="12.140625" style="165" bestFit="1" customWidth="1"/>
    <col min="1553" max="1553" width="12" style="165" bestFit="1" customWidth="1"/>
    <col min="1554" max="1554" width="12.140625" style="165" customWidth="1"/>
    <col min="1555" max="1555" width="10.85546875" style="165" customWidth="1"/>
    <col min="1556" max="1556" width="8.85546875" style="165" bestFit="1" customWidth="1"/>
    <col min="1557" max="1557" width="9" style="165" bestFit="1" customWidth="1"/>
    <col min="1558" max="1558" width="8.5703125" style="165" bestFit="1" customWidth="1"/>
    <col min="1559" max="1559" width="7.85546875" style="165" bestFit="1" customWidth="1"/>
    <col min="1560" max="1560" width="8.85546875" style="165" bestFit="1" customWidth="1"/>
    <col min="1561" max="1561" width="11.85546875" style="165" bestFit="1" customWidth="1"/>
    <col min="1562" max="1562" width="11.7109375" style="165" bestFit="1" customWidth="1"/>
    <col min="1563" max="1563" width="13.140625" style="165" bestFit="1" customWidth="1"/>
    <col min="1564" max="1564" width="5.5703125" style="165" bestFit="1" customWidth="1"/>
    <col min="1565" max="1565" width="10" style="165" bestFit="1" customWidth="1"/>
    <col min="1566" max="1567" width="14" style="165" bestFit="1" customWidth="1"/>
    <col min="1568" max="1569" width="13.140625" style="165" bestFit="1" customWidth="1"/>
    <col min="1570" max="1570" width="14" style="165" bestFit="1" customWidth="1"/>
    <col min="1571" max="1574" width="9.28515625" style="165" bestFit="1" customWidth="1"/>
    <col min="1575" max="1576" width="11.7109375" style="165" bestFit="1" customWidth="1"/>
    <col min="1577" max="1577" width="9.28515625" style="165" bestFit="1" customWidth="1"/>
    <col min="1578" max="1578" width="11.7109375" style="165" bestFit="1" customWidth="1"/>
    <col min="1579" max="1579" width="13.140625" style="165" bestFit="1" customWidth="1"/>
    <col min="1580" max="1581" width="11.7109375" style="165" bestFit="1" customWidth="1"/>
    <col min="1582" max="1582" width="9.28515625" style="165" bestFit="1" customWidth="1"/>
    <col min="1583" max="1583" width="13.140625" style="165" bestFit="1" customWidth="1"/>
    <col min="1584" max="1584" width="9.28515625" style="165" bestFit="1" customWidth="1"/>
    <col min="1585" max="1586" width="13.140625" style="165" bestFit="1" customWidth="1"/>
    <col min="1587" max="1587" width="14.85546875" style="165" bestFit="1" customWidth="1"/>
    <col min="1588" max="1792" width="9.140625" style="165"/>
    <col min="1793" max="1793" width="9" style="165" customWidth="1"/>
    <col min="1794" max="1794" width="8.85546875" style="165" bestFit="1" customWidth="1"/>
    <col min="1795" max="1795" width="8.7109375" style="165" bestFit="1" customWidth="1"/>
    <col min="1796" max="1796" width="8.85546875" style="165" bestFit="1" customWidth="1"/>
    <col min="1797" max="1797" width="8" style="165" bestFit="1" customWidth="1"/>
    <col min="1798" max="1798" width="9" style="165" bestFit="1" customWidth="1"/>
    <col min="1799" max="1799" width="10.140625" style="165" customWidth="1"/>
    <col min="1800" max="1800" width="11" style="165" bestFit="1" customWidth="1"/>
    <col min="1801" max="1802" width="10.5703125" style="165" bestFit="1" customWidth="1"/>
    <col min="1803" max="1803" width="9.85546875" style="165" customWidth="1"/>
    <col min="1804" max="1804" width="11.5703125" style="165" customWidth="1"/>
    <col min="1805" max="1805" width="11.42578125" style="165" customWidth="1"/>
    <col min="1806" max="1806" width="10.140625" style="165" customWidth="1"/>
    <col min="1807" max="1807" width="10.28515625" style="165" bestFit="1" customWidth="1"/>
    <col min="1808" max="1808" width="12.140625" style="165" bestFit="1" customWidth="1"/>
    <col min="1809" max="1809" width="12" style="165" bestFit="1" customWidth="1"/>
    <col min="1810" max="1810" width="12.140625" style="165" customWidth="1"/>
    <col min="1811" max="1811" width="10.85546875" style="165" customWidth="1"/>
    <col min="1812" max="1812" width="8.85546875" style="165" bestFit="1" customWidth="1"/>
    <col min="1813" max="1813" width="9" style="165" bestFit="1" customWidth="1"/>
    <col min="1814" max="1814" width="8.5703125" style="165" bestFit="1" customWidth="1"/>
    <col min="1815" max="1815" width="7.85546875" style="165" bestFit="1" customWidth="1"/>
    <col min="1816" max="1816" width="8.85546875" style="165" bestFit="1" customWidth="1"/>
    <col min="1817" max="1817" width="11.85546875" style="165" bestFit="1" customWidth="1"/>
    <col min="1818" max="1818" width="11.7109375" style="165" bestFit="1" customWidth="1"/>
    <col min="1819" max="1819" width="13.140625" style="165" bestFit="1" customWidth="1"/>
    <col min="1820" max="1820" width="5.5703125" style="165" bestFit="1" customWidth="1"/>
    <col min="1821" max="1821" width="10" style="165" bestFit="1" customWidth="1"/>
    <col min="1822" max="1823" width="14" style="165" bestFit="1" customWidth="1"/>
    <col min="1824" max="1825" width="13.140625" style="165" bestFit="1" customWidth="1"/>
    <col min="1826" max="1826" width="14" style="165" bestFit="1" customWidth="1"/>
    <col min="1827" max="1830" width="9.28515625" style="165" bestFit="1" customWidth="1"/>
    <col min="1831" max="1832" width="11.7109375" style="165" bestFit="1" customWidth="1"/>
    <col min="1833" max="1833" width="9.28515625" style="165" bestFit="1" customWidth="1"/>
    <col min="1834" max="1834" width="11.7109375" style="165" bestFit="1" customWidth="1"/>
    <col min="1835" max="1835" width="13.140625" style="165" bestFit="1" customWidth="1"/>
    <col min="1836" max="1837" width="11.7109375" style="165" bestFit="1" customWidth="1"/>
    <col min="1838" max="1838" width="9.28515625" style="165" bestFit="1" customWidth="1"/>
    <col min="1839" max="1839" width="13.140625" style="165" bestFit="1" customWidth="1"/>
    <col min="1840" max="1840" width="9.28515625" style="165" bestFit="1" customWidth="1"/>
    <col min="1841" max="1842" width="13.140625" style="165" bestFit="1" customWidth="1"/>
    <col min="1843" max="1843" width="14.85546875" style="165" bestFit="1" customWidth="1"/>
    <col min="1844" max="2048" width="9.140625" style="165"/>
    <col min="2049" max="2049" width="9" style="165" customWidth="1"/>
    <col min="2050" max="2050" width="8.85546875" style="165" bestFit="1" customWidth="1"/>
    <col min="2051" max="2051" width="8.7109375" style="165" bestFit="1" customWidth="1"/>
    <col min="2052" max="2052" width="8.85546875" style="165" bestFit="1" customWidth="1"/>
    <col min="2053" max="2053" width="8" style="165" bestFit="1" customWidth="1"/>
    <col min="2054" max="2054" width="9" style="165" bestFit="1" customWidth="1"/>
    <col min="2055" max="2055" width="10.140625" style="165" customWidth="1"/>
    <col min="2056" max="2056" width="11" style="165" bestFit="1" customWidth="1"/>
    <col min="2057" max="2058" width="10.5703125" style="165" bestFit="1" customWidth="1"/>
    <col min="2059" max="2059" width="9.85546875" style="165" customWidth="1"/>
    <col min="2060" max="2060" width="11.5703125" style="165" customWidth="1"/>
    <col min="2061" max="2061" width="11.42578125" style="165" customWidth="1"/>
    <col min="2062" max="2062" width="10.140625" style="165" customWidth="1"/>
    <col min="2063" max="2063" width="10.28515625" style="165" bestFit="1" customWidth="1"/>
    <col min="2064" max="2064" width="12.140625" style="165" bestFit="1" customWidth="1"/>
    <col min="2065" max="2065" width="12" style="165" bestFit="1" customWidth="1"/>
    <col min="2066" max="2066" width="12.140625" style="165" customWidth="1"/>
    <col min="2067" max="2067" width="10.85546875" style="165" customWidth="1"/>
    <col min="2068" max="2068" width="8.85546875" style="165" bestFit="1" customWidth="1"/>
    <col min="2069" max="2069" width="9" style="165" bestFit="1" customWidth="1"/>
    <col min="2070" max="2070" width="8.5703125" style="165" bestFit="1" customWidth="1"/>
    <col min="2071" max="2071" width="7.85546875" style="165" bestFit="1" customWidth="1"/>
    <col min="2072" max="2072" width="8.85546875" style="165" bestFit="1" customWidth="1"/>
    <col min="2073" max="2073" width="11.85546875" style="165" bestFit="1" customWidth="1"/>
    <col min="2074" max="2074" width="11.7109375" style="165" bestFit="1" customWidth="1"/>
    <col min="2075" max="2075" width="13.140625" style="165" bestFit="1" customWidth="1"/>
    <col min="2076" max="2076" width="5.5703125" style="165" bestFit="1" customWidth="1"/>
    <col min="2077" max="2077" width="10" style="165" bestFit="1" customWidth="1"/>
    <col min="2078" max="2079" width="14" style="165" bestFit="1" customWidth="1"/>
    <col min="2080" max="2081" width="13.140625" style="165" bestFit="1" customWidth="1"/>
    <col min="2082" max="2082" width="14" style="165" bestFit="1" customWidth="1"/>
    <col min="2083" max="2086" width="9.28515625" style="165" bestFit="1" customWidth="1"/>
    <col min="2087" max="2088" width="11.7109375" style="165" bestFit="1" customWidth="1"/>
    <col min="2089" max="2089" width="9.28515625" style="165" bestFit="1" customWidth="1"/>
    <col min="2090" max="2090" width="11.7109375" style="165" bestFit="1" customWidth="1"/>
    <col min="2091" max="2091" width="13.140625" style="165" bestFit="1" customWidth="1"/>
    <col min="2092" max="2093" width="11.7109375" style="165" bestFit="1" customWidth="1"/>
    <col min="2094" max="2094" width="9.28515625" style="165" bestFit="1" customWidth="1"/>
    <col min="2095" max="2095" width="13.140625" style="165" bestFit="1" customWidth="1"/>
    <col min="2096" max="2096" width="9.28515625" style="165" bestFit="1" customWidth="1"/>
    <col min="2097" max="2098" width="13.140625" style="165" bestFit="1" customWidth="1"/>
    <col min="2099" max="2099" width="14.85546875" style="165" bestFit="1" customWidth="1"/>
    <col min="2100" max="2304" width="9.140625" style="165"/>
    <col min="2305" max="2305" width="9" style="165" customWidth="1"/>
    <col min="2306" max="2306" width="8.85546875" style="165" bestFit="1" customWidth="1"/>
    <col min="2307" max="2307" width="8.7109375" style="165" bestFit="1" customWidth="1"/>
    <col min="2308" max="2308" width="8.85546875" style="165" bestFit="1" customWidth="1"/>
    <col min="2309" max="2309" width="8" style="165" bestFit="1" customWidth="1"/>
    <col min="2310" max="2310" width="9" style="165" bestFit="1" customWidth="1"/>
    <col min="2311" max="2311" width="10.140625" style="165" customWidth="1"/>
    <col min="2312" max="2312" width="11" style="165" bestFit="1" customWidth="1"/>
    <col min="2313" max="2314" width="10.5703125" style="165" bestFit="1" customWidth="1"/>
    <col min="2315" max="2315" width="9.85546875" style="165" customWidth="1"/>
    <col min="2316" max="2316" width="11.5703125" style="165" customWidth="1"/>
    <col min="2317" max="2317" width="11.42578125" style="165" customWidth="1"/>
    <col min="2318" max="2318" width="10.140625" style="165" customWidth="1"/>
    <col min="2319" max="2319" width="10.28515625" style="165" bestFit="1" customWidth="1"/>
    <col min="2320" max="2320" width="12.140625" style="165" bestFit="1" customWidth="1"/>
    <col min="2321" max="2321" width="12" style="165" bestFit="1" customWidth="1"/>
    <col min="2322" max="2322" width="12.140625" style="165" customWidth="1"/>
    <col min="2323" max="2323" width="10.85546875" style="165" customWidth="1"/>
    <col min="2324" max="2324" width="8.85546875" style="165" bestFit="1" customWidth="1"/>
    <col min="2325" max="2325" width="9" style="165" bestFit="1" customWidth="1"/>
    <col min="2326" max="2326" width="8.5703125" style="165" bestFit="1" customWidth="1"/>
    <col min="2327" max="2327" width="7.85546875" style="165" bestFit="1" customWidth="1"/>
    <col min="2328" max="2328" width="8.85546875" style="165" bestFit="1" customWidth="1"/>
    <col min="2329" max="2329" width="11.85546875" style="165" bestFit="1" customWidth="1"/>
    <col min="2330" max="2330" width="11.7109375" style="165" bestFit="1" customWidth="1"/>
    <col min="2331" max="2331" width="13.140625" style="165" bestFit="1" customWidth="1"/>
    <col min="2332" max="2332" width="5.5703125" style="165" bestFit="1" customWidth="1"/>
    <col min="2333" max="2333" width="10" style="165" bestFit="1" customWidth="1"/>
    <col min="2334" max="2335" width="14" style="165" bestFit="1" customWidth="1"/>
    <col min="2336" max="2337" width="13.140625" style="165" bestFit="1" customWidth="1"/>
    <col min="2338" max="2338" width="14" style="165" bestFit="1" customWidth="1"/>
    <col min="2339" max="2342" width="9.28515625" style="165" bestFit="1" customWidth="1"/>
    <col min="2343" max="2344" width="11.7109375" style="165" bestFit="1" customWidth="1"/>
    <col min="2345" max="2345" width="9.28515625" style="165" bestFit="1" customWidth="1"/>
    <col min="2346" max="2346" width="11.7109375" style="165" bestFit="1" customWidth="1"/>
    <col min="2347" max="2347" width="13.140625" style="165" bestFit="1" customWidth="1"/>
    <col min="2348" max="2349" width="11.7109375" style="165" bestFit="1" customWidth="1"/>
    <col min="2350" max="2350" width="9.28515625" style="165" bestFit="1" customWidth="1"/>
    <col min="2351" max="2351" width="13.140625" style="165" bestFit="1" customWidth="1"/>
    <col min="2352" max="2352" width="9.28515625" style="165" bestFit="1" customWidth="1"/>
    <col min="2353" max="2354" width="13.140625" style="165" bestFit="1" customWidth="1"/>
    <col min="2355" max="2355" width="14.85546875" style="165" bestFit="1" customWidth="1"/>
    <col min="2356" max="2560" width="9.140625" style="165"/>
    <col min="2561" max="2561" width="9" style="165" customWidth="1"/>
    <col min="2562" max="2562" width="8.85546875" style="165" bestFit="1" customWidth="1"/>
    <col min="2563" max="2563" width="8.7109375" style="165" bestFit="1" customWidth="1"/>
    <col min="2564" max="2564" width="8.85546875" style="165" bestFit="1" customWidth="1"/>
    <col min="2565" max="2565" width="8" style="165" bestFit="1" customWidth="1"/>
    <col min="2566" max="2566" width="9" style="165" bestFit="1" customWidth="1"/>
    <col min="2567" max="2567" width="10.140625" style="165" customWidth="1"/>
    <col min="2568" max="2568" width="11" style="165" bestFit="1" customWidth="1"/>
    <col min="2569" max="2570" width="10.5703125" style="165" bestFit="1" customWidth="1"/>
    <col min="2571" max="2571" width="9.85546875" style="165" customWidth="1"/>
    <col min="2572" max="2572" width="11.5703125" style="165" customWidth="1"/>
    <col min="2573" max="2573" width="11.42578125" style="165" customWidth="1"/>
    <col min="2574" max="2574" width="10.140625" style="165" customWidth="1"/>
    <col min="2575" max="2575" width="10.28515625" style="165" bestFit="1" customWidth="1"/>
    <col min="2576" max="2576" width="12.140625" style="165" bestFit="1" customWidth="1"/>
    <col min="2577" max="2577" width="12" style="165" bestFit="1" customWidth="1"/>
    <col min="2578" max="2578" width="12.140625" style="165" customWidth="1"/>
    <col min="2579" max="2579" width="10.85546875" style="165" customWidth="1"/>
    <col min="2580" max="2580" width="8.85546875" style="165" bestFit="1" customWidth="1"/>
    <col min="2581" max="2581" width="9" style="165" bestFit="1" customWidth="1"/>
    <col min="2582" max="2582" width="8.5703125" style="165" bestFit="1" customWidth="1"/>
    <col min="2583" max="2583" width="7.85546875" style="165" bestFit="1" customWidth="1"/>
    <col min="2584" max="2584" width="8.85546875" style="165" bestFit="1" customWidth="1"/>
    <col min="2585" max="2585" width="11.85546875" style="165" bestFit="1" customWidth="1"/>
    <col min="2586" max="2586" width="11.7109375" style="165" bestFit="1" customWidth="1"/>
    <col min="2587" max="2587" width="13.140625" style="165" bestFit="1" customWidth="1"/>
    <col min="2588" max="2588" width="5.5703125" style="165" bestFit="1" customWidth="1"/>
    <col min="2589" max="2589" width="10" style="165" bestFit="1" customWidth="1"/>
    <col min="2590" max="2591" width="14" style="165" bestFit="1" customWidth="1"/>
    <col min="2592" max="2593" width="13.140625" style="165" bestFit="1" customWidth="1"/>
    <col min="2594" max="2594" width="14" style="165" bestFit="1" customWidth="1"/>
    <col min="2595" max="2598" width="9.28515625" style="165" bestFit="1" customWidth="1"/>
    <col min="2599" max="2600" width="11.7109375" style="165" bestFit="1" customWidth="1"/>
    <col min="2601" max="2601" width="9.28515625" style="165" bestFit="1" customWidth="1"/>
    <col min="2602" max="2602" width="11.7109375" style="165" bestFit="1" customWidth="1"/>
    <col min="2603" max="2603" width="13.140625" style="165" bestFit="1" customWidth="1"/>
    <col min="2604" max="2605" width="11.7109375" style="165" bestFit="1" customWidth="1"/>
    <col min="2606" max="2606" width="9.28515625" style="165" bestFit="1" customWidth="1"/>
    <col min="2607" max="2607" width="13.140625" style="165" bestFit="1" customWidth="1"/>
    <col min="2608" max="2608" width="9.28515625" style="165" bestFit="1" customWidth="1"/>
    <col min="2609" max="2610" width="13.140625" style="165" bestFit="1" customWidth="1"/>
    <col min="2611" max="2611" width="14.85546875" style="165" bestFit="1" customWidth="1"/>
    <col min="2612" max="2816" width="9.140625" style="165"/>
    <col min="2817" max="2817" width="9" style="165" customWidth="1"/>
    <col min="2818" max="2818" width="8.85546875" style="165" bestFit="1" customWidth="1"/>
    <col min="2819" max="2819" width="8.7109375" style="165" bestFit="1" customWidth="1"/>
    <col min="2820" max="2820" width="8.85546875" style="165" bestFit="1" customWidth="1"/>
    <col min="2821" max="2821" width="8" style="165" bestFit="1" customWidth="1"/>
    <col min="2822" max="2822" width="9" style="165" bestFit="1" customWidth="1"/>
    <col min="2823" max="2823" width="10.140625" style="165" customWidth="1"/>
    <col min="2824" max="2824" width="11" style="165" bestFit="1" customWidth="1"/>
    <col min="2825" max="2826" width="10.5703125" style="165" bestFit="1" customWidth="1"/>
    <col min="2827" max="2827" width="9.85546875" style="165" customWidth="1"/>
    <col min="2828" max="2828" width="11.5703125" style="165" customWidth="1"/>
    <col min="2829" max="2829" width="11.42578125" style="165" customWidth="1"/>
    <col min="2830" max="2830" width="10.140625" style="165" customWidth="1"/>
    <col min="2831" max="2831" width="10.28515625" style="165" bestFit="1" customWidth="1"/>
    <col min="2832" max="2832" width="12.140625" style="165" bestFit="1" customWidth="1"/>
    <col min="2833" max="2833" width="12" style="165" bestFit="1" customWidth="1"/>
    <col min="2834" max="2834" width="12.140625" style="165" customWidth="1"/>
    <col min="2835" max="2835" width="10.85546875" style="165" customWidth="1"/>
    <col min="2836" max="2836" width="8.85546875" style="165" bestFit="1" customWidth="1"/>
    <col min="2837" max="2837" width="9" style="165" bestFit="1" customWidth="1"/>
    <col min="2838" max="2838" width="8.5703125" style="165" bestFit="1" customWidth="1"/>
    <col min="2839" max="2839" width="7.85546875" style="165" bestFit="1" customWidth="1"/>
    <col min="2840" max="2840" width="8.85546875" style="165" bestFit="1" customWidth="1"/>
    <col min="2841" max="2841" width="11.85546875" style="165" bestFit="1" customWidth="1"/>
    <col min="2842" max="2842" width="11.7109375" style="165" bestFit="1" customWidth="1"/>
    <col min="2843" max="2843" width="13.140625" style="165" bestFit="1" customWidth="1"/>
    <col min="2844" max="2844" width="5.5703125" style="165" bestFit="1" customWidth="1"/>
    <col min="2845" max="2845" width="10" style="165" bestFit="1" customWidth="1"/>
    <col min="2846" max="2847" width="14" style="165" bestFit="1" customWidth="1"/>
    <col min="2848" max="2849" width="13.140625" style="165" bestFit="1" customWidth="1"/>
    <col min="2850" max="2850" width="14" style="165" bestFit="1" customWidth="1"/>
    <col min="2851" max="2854" width="9.28515625" style="165" bestFit="1" customWidth="1"/>
    <col min="2855" max="2856" width="11.7109375" style="165" bestFit="1" customWidth="1"/>
    <col min="2857" max="2857" width="9.28515625" style="165" bestFit="1" customWidth="1"/>
    <col min="2858" max="2858" width="11.7109375" style="165" bestFit="1" customWidth="1"/>
    <col min="2859" max="2859" width="13.140625" style="165" bestFit="1" customWidth="1"/>
    <col min="2860" max="2861" width="11.7109375" style="165" bestFit="1" customWidth="1"/>
    <col min="2862" max="2862" width="9.28515625" style="165" bestFit="1" customWidth="1"/>
    <col min="2863" max="2863" width="13.140625" style="165" bestFit="1" customWidth="1"/>
    <col min="2864" max="2864" width="9.28515625" style="165" bestFit="1" customWidth="1"/>
    <col min="2865" max="2866" width="13.140625" style="165" bestFit="1" customWidth="1"/>
    <col min="2867" max="2867" width="14.85546875" style="165" bestFit="1" customWidth="1"/>
    <col min="2868" max="3072" width="9.140625" style="165"/>
    <col min="3073" max="3073" width="9" style="165" customWidth="1"/>
    <col min="3074" max="3074" width="8.85546875" style="165" bestFit="1" customWidth="1"/>
    <col min="3075" max="3075" width="8.7109375" style="165" bestFit="1" customWidth="1"/>
    <col min="3076" max="3076" width="8.85546875" style="165" bestFit="1" customWidth="1"/>
    <col min="3077" max="3077" width="8" style="165" bestFit="1" customWidth="1"/>
    <col min="3078" max="3078" width="9" style="165" bestFit="1" customWidth="1"/>
    <col min="3079" max="3079" width="10.140625" style="165" customWidth="1"/>
    <col min="3080" max="3080" width="11" style="165" bestFit="1" customWidth="1"/>
    <col min="3081" max="3082" width="10.5703125" style="165" bestFit="1" customWidth="1"/>
    <col min="3083" max="3083" width="9.85546875" style="165" customWidth="1"/>
    <col min="3084" max="3084" width="11.5703125" style="165" customWidth="1"/>
    <col min="3085" max="3085" width="11.42578125" style="165" customWidth="1"/>
    <col min="3086" max="3086" width="10.140625" style="165" customWidth="1"/>
    <col min="3087" max="3087" width="10.28515625" style="165" bestFit="1" customWidth="1"/>
    <col min="3088" max="3088" width="12.140625" style="165" bestFit="1" customWidth="1"/>
    <col min="3089" max="3089" width="12" style="165" bestFit="1" customWidth="1"/>
    <col min="3090" max="3090" width="12.140625" style="165" customWidth="1"/>
    <col min="3091" max="3091" width="10.85546875" style="165" customWidth="1"/>
    <col min="3092" max="3092" width="8.85546875" style="165" bestFit="1" customWidth="1"/>
    <col min="3093" max="3093" width="9" style="165" bestFit="1" customWidth="1"/>
    <col min="3094" max="3094" width="8.5703125" style="165" bestFit="1" customWidth="1"/>
    <col min="3095" max="3095" width="7.85546875" style="165" bestFit="1" customWidth="1"/>
    <col min="3096" max="3096" width="8.85546875" style="165" bestFit="1" customWidth="1"/>
    <col min="3097" max="3097" width="11.85546875" style="165" bestFit="1" customWidth="1"/>
    <col min="3098" max="3098" width="11.7109375" style="165" bestFit="1" customWidth="1"/>
    <col min="3099" max="3099" width="13.140625" style="165" bestFit="1" customWidth="1"/>
    <col min="3100" max="3100" width="5.5703125" style="165" bestFit="1" customWidth="1"/>
    <col min="3101" max="3101" width="10" style="165" bestFit="1" customWidth="1"/>
    <col min="3102" max="3103" width="14" style="165" bestFit="1" customWidth="1"/>
    <col min="3104" max="3105" width="13.140625" style="165" bestFit="1" customWidth="1"/>
    <col min="3106" max="3106" width="14" style="165" bestFit="1" customWidth="1"/>
    <col min="3107" max="3110" width="9.28515625" style="165" bestFit="1" customWidth="1"/>
    <col min="3111" max="3112" width="11.7109375" style="165" bestFit="1" customWidth="1"/>
    <col min="3113" max="3113" width="9.28515625" style="165" bestFit="1" customWidth="1"/>
    <col min="3114" max="3114" width="11.7109375" style="165" bestFit="1" customWidth="1"/>
    <col min="3115" max="3115" width="13.140625" style="165" bestFit="1" customWidth="1"/>
    <col min="3116" max="3117" width="11.7109375" style="165" bestFit="1" customWidth="1"/>
    <col min="3118" max="3118" width="9.28515625" style="165" bestFit="1" customWidth="1"/>
    <col min="3119" max="3119" width="13.140625" style="165" bestFit="1" customWidth="1"/>
    <col min="3120" max="3120" width="9.28515625" style="165" bestFit="1" customWidth="1"/>
    <col min="3121" max="3122" width="13.140625" style="165" bestFit="1" customWidth="1"/>
    <col min="3123" max="3123" width="14.85546875" style="165" bestFit="1" customWidth="1"/>
    <col min="3124" max="3328" width="9.140625" style="165"/>
    <col min="3329" max="3329" width="9" style="165" customWidth="1"/>
    <col min="3330" max="3330" width="8.85546875" style="165" bestFit="1" customWidth="1"/>
    <col min="3331" max="3331" width="8.7109375" style="165" bestFit="1" customWidth="1"/>
    <col min="3332" max="3332" width="8.85546875" style="165" bestFit="1" customWidth="1"/>
    <col min="3333" max="3333" width="8" style="165" bestFit="1" customWidth="1"/>
    <col min="3334" max="3334" width="9" style="165" bestFit="1" customWidth="1"/>
    <col min="3335" max="3335" width="10.140625" style="165" customWidth="1"/>
    <col min="3336" max="3336" width="11" style="165" bestFit="1" customWidth="1"/>
    <col min="3337" max="3338" width="10.5703125" style="165" bestFit="1" customWidth="1"/>
    <col min="3339" max="3339" width="9.85546875" style="165" customWidth="1"/>
    <col min="3340" max="3340" width="11.5703125" style="165" customWidth="1"/>
    <col min="3341" max="3341" width="11.42578125" style="165" customWidth="1"/>
    <col min="3342" max="3342" width="10.140625" style="165" customWidth="1"/>
    <col min="3343" max="3343" width="10.28515625" style="165" bestFit="1" customWidth="1"/>
    <col min="3344" max="3344" width="12.140625" style="165" bestFit="1" customWidth="1"/>
    <col min="3345" max="3345" width="12" style="165" bestFit="1" customWidth="1"/>
    <col min="3346" max="3346" width="12.140625" style="165" customWidth="1"/>
    <col min="3347" max="3347" width="10.85546875" style="165" customWidth="1"/>
    <col min="3348" max="3348" width="8.85546875" style="165" bestFit="1" customWidth="1"/>
    <col min="3349" max="3349" width="9" style="165" bestFit="1" customWidth="1"/>
    <col min="3350" max="3350" width="8.5703125" style="165" bestFit="1" customWidth="1"/>
    <col min="3351" max="3351" width="7.85546875" style="165" bestFit="1" customWidth="1"/>
    <col min="3352" max="3352" width="8.85546875" style="165" bestFit="1" customWidth="1"/>
    <col min="3353" max="3353" width="11.85546875" style="165" bestFit="1" customWidth="1"/>
    <col min="3354" max="3354" width="11.7109375" style="165" bestFit="1" customWidth="1"/>
    <col min="3355" max="3355" width="13.140625" style="165" bestFit="1" customWidth="1"/>
    <col min="3356" max="3356" width="5.5703125" style="165" bestFit="1" customWidth="1"/>
    <col min="3357" max="3357" width="10" style="165" bestFit="1" customWidth="1"/>
    <col min="3358" max="3359" width="14" style="165" bestFit="1" customWidth="1"/>
    <col min="3360" max="3361" width="13.140625" style="165" bestFit="1" customWidth="1"/>
    <col min="3362" max="3362" width="14" style="165" bestFit="1" customWidth="1"/>
    <col min="3363" max="3366" width="9.28515625" style="165" bestFit="1" customWidth="1"/>
    <col min="3367" max="3368" width="11.7109375" style="165" bestFit="1" customWidth="1"/>
    <col min="3369" max="3369" width="9.28515625" style="165" bestFit="1" customWidth="1"/>
    <col min="3370" max="3370" width="11.7109375" style="165" bestFit="1" customWidth="1"/>
    <col min="3371" max="3371" width="13.140625" style="165" bestFit="1" customWidth="1"/>
    <col min="3372" max="3373" width="11.7109375" style="165" bestFit="1" customWidth="1"/>
    <col min="3374" max="3374" width="9.28515625" style="165" bestFit="1" customWidth="1"/>
    <col min="3375" max="3375" width="13.140625" style="165" bestFit="1" customWidth="1"/>
    <col min="3376" max="3376" width="9.28515625" style="165" bestFit="1" customWidth="1"/>
    <col min="3377" max="3378" width="13.140625" style="165" bestFit="1" customWidth="1"/>
    <col min="3379" max="3379" width="14.85546875" style="165" bestFit="1" customWidth="1"/>
    <col min="3380" max="3584" width="9.140625" style="165"/>
    <col min="3585" max="3585" width="9" style="165" customWidth="1"/>
    <col min="3586" max="3586" width="8.85546875" style="165" bestFit="1" customWidth="1"/>
    <col min="3587" max="3587" width="8.7109375" style="165" bestFit="1" customWidth="1"/>
    <col min="3588" max="3588" width="8.85546875" style="165" bestFit="1" customWidth="1"/>
    <col min="3589" max="3589" width="8" style="165" bestFit="1" customWidth="1"/>
    <col min="3590" max="3590" width="9" style="165" bestFit="1" customWidth="1"/>
    <col min="3591" max="3591" width="10.140625" style="165" customWidth="1"/>
    <col min="3592" max="3592" width="11" style="165" bestFit="1" customWidth="1"/>
    <col min="3593" max="3594" width="10.5703125" style="165" bestFit="1" customWidth="1"/>
    <col min="3595" max="3595" width="9.85546875" style="165" customWidth="1"/>
    <col min="3596" max="3596" width="11.5703125" style="165" customWidth="1"/>
    <col min="3597" max="3597" width="11.42578125" style="165" customWidth="1"/>
    <col min="3598" max="3598" width="10.140625" style="165" customWidth="1"/>
    <col min="3599" max="3599" width="10.28515625" style="165" bestFit="1" customWidth="1"/>
    <col min="3600" max="3600" width="12.140625" style="165" bestFit="1" customWidth="1"/>
    <col min="3601" max="3601" width="12" style="165" bestFit="1" customWidth="1"/>
    <col min="3602" max="3602" width="12.140625" style="165" customWidth="1"/>
    <col min="3603" max="3603" width="10.85546875" style="165" customWidth="1"/>
    <col min="3604" max="3604" width="8.85546875" style="165" bestFit="1" customWidth="1"/>
    <col min="3605" max="3605" width="9" style="165" bestFit="1" customWidth="1"/>
    <col min="3606" max="3606" width="8.5703125" style="165" bestFit="1" customWidth="1"/>
    <col min="3607" max="3607" width="7.85546875" style="165" bestFit="1" customWidth="1"/>
    <col min="3608" max="3608" width="8.85546875" style="165" bestFit="1" customWidth="1"/>
    <col min="3609" max="3609" width="11.85546875" style="165" bestFit="1" customWidth="1"/>
    <col min="3610" max="3610" width="11.7109375" style="165" bestFit="1" customWidth="1"/>
    <col min="3611" max="3611" width="13.140625" style="165" bestFit="1" customWidth="1"/>
    <col min="3612" max="3612" width="5.5703125" style="165" bestFit="1" customWidth="1"/>
    <col min="3613" max="3613" width="10" style="165" bestFit="1" customWidth="1"/>
    <col min="3614" max="3615" width="14" style="165" bestFit="1" customWidth="1"/>
    <col min="3616" max="3617" width="13.140625" style="165" bestFit="1" customWidth="1"/>
    <col min="3618" max="3618" width="14" style="165" bestFit="1" customWidth="1"/>
    <col min="3619" max="3622" width="9.28515625" style="165" bestFit="1" customWidth="1"/>
    <col min="3623" max="3624" width="11.7109375" style="165" bestFit="1" customWidth="1"/>
    <col min="3625" max="3625" width="9.28515625" style="165" bestFit="1" customWidth="1"/>
    <col min="3626" max="3626" width="11.7109375" style="165" bestFit="1" customWidth="1"/>
    <col min="3627" max="3627" width="13.140625" style="165" bestFit="1" customWidth="1"/>
    <col min="3628" max="3629" width="11.7109375" style="165" bestFit="1" customWidth="1"/>
    <col min="3630" max="3630" width="9.28515625" style="165" bestFit="1" customWidth="1"/>
    <col min="3631" max="3631" width="13.140625" style="165" bestFit="1" customWidth="1"/>
    <col min="3632" max="3632" width="9.28515625" style="165" bestFit="1" customWidth="1"/>
    <col min="3633" max="3634" width="13.140625" style="165" bestFit="1" customWidth="1"/>
    <col min="3635" max="3635" width="14.85546875" style="165" bestFit="1" customWidth="1"/>
    <col min="3636" max="3840" width="9.140625" style="165"/>
    <col min="3841" max="3841" width="9" style="165" customWidth="1"/>
    <col min="3842" max="3842" width="8.85546875" style="165" bestFit="1" customWidth="1"/>
    <col min="3843" max="3843" width="8.7109375" style="165" bestFit="1" customWidth="1"/>
    <col min="3844" max="3844" width="8.85546875" style="165" bestFit="1" customWidth="1"/>
    <col min="3845" max="3845" width="8" style="165" bestFit="1" customWidth="1"/>
    <col min="3846" max="3846" width="9" style="165" bestFit="1" customWidth="1"/>
    <col min="3847" max="3847" width="10.140625" style="165" customWidth="1"/>
    <col min="3848" max="3848" width="11" style="165" bestFit="1" customWidth="1"/>
    <col min="3849" max="3850" width="10.5703125" style="165" bestFit="1" customWidth="1"/>
    <col min="3851" max="3851" width="9.85546875" style="165" customWidth="1"/>
    <col min="3852" max="3852" width="11.5703125" style="165" customWidth="1"/>
    <col min="3853" max="3853" width="11.42578125" style="165" customWidth="1"/>
    <col min="3854" max="3854" width="10.140625" style="165" customWidth="1"/>
    <col min="3855" max="3855" width="10.28515625" style="165" bestFit="1" customWidth="1"/>
    <col min="3856" max="3856" width="12.140625" style="165" bestFit="1" customWidth="1"/>
    <col min="3857" max="3857" width="12" style="165" bestFit="1" customWidth="1"/>
    <col min="3858" max="3858" width="12.140625" style="165" customWidth="1"/>
    <col min="3859" max="3859" width="10.85546875" style="165" customWidth="1"/>
    <col min="3860" max="3860" width="8.85546875" style="165" bestFit="1" customWidth="1"/>
    <col min="3861" max="3861" width="9" style="165" bestFit="1" customWidth="1"/>
    <col min="3862" max="3862" width="8.5703125" style="165" bestFit="1" customWidth="1"/>
    <col min="3863" max="3863" width="7.85546875" style="165" bestFit="1" customWidth="1"/>
    <col min="3864" max="3864" width="8.85546875" style="165" bestFit="1" customWidth="1"/>
    <col min="3865" max="3865" width="11.85546875" style="165" bestFit="1" customWidth="1"/>
    <col min="3866" max="3866" width="11.7109375" style="165" bestFit="1" customWidth="1"/>
    <col min="3867" max="3867" width="13.140625" style="165" bestFit="1" customWidth="1"/>
    <col min="3868" max="3868" width="5.5703125" style="165" bestFit="1" customWidth="1"/>
    <col min="3869" max="3869" width="10" style="165" bestFit="1" customWidth="1"/>
    <col min="3870" max="3871" width="14" style="165" bestFit="1" customWidth="1"/>
    <col min="3872" max="3873" width="13.140625" style="165" bestFit="1" customWidth="1"/>
    <col min="3874" max="3874" width="14" style="165" bestFit="1" customWidth="1"/>
    <col min="3875" max="3878" width="9.28515625" style="165" bestFit="1" customWidth="1"/>
    <col min="3879" max="3880" width="11.7109375" style="165" bestFit="1" customWidth="1"/>
    <col min="3881" max="3881" width="9.28515625" style="165" bestFit="1" customWidth="1"/>
    <col min="3882" max="3882" width="11.7109375" style="165" bestFit="1" customWidth="1"/>
    <col min="3883" max="3883" width="13.140625" style="165" bestFit="1" customWidth="1"/>
    <col min="3884" max="3885" width="11.7109375" style="165" bestFit="1" customWidth="1"/>
    <col min="3886" max="3886" width="9.28515625" style="165" bestFit="1" customWidth="1"/>
    <col min="3887" max="3887" width="13.140625" style="165" bestFit="1" customWidth="1"/>
    <col min="3888" max="3888" width="9.28515625" style="165" bestFit="1" customWidth="1"/>
    <col min="3889" max="3890" width="13.140625" style="165" bestFit="1" customWidth="1"/>
    <col min="3891" max="3891" width="14.85546875" style="165" bestFit="1" customWidth="1"/>
    <col min="3892" max="4096" width="9.140625" style="165"/>
    <col min="4097" max="4097" width="9" style="165" customWidth="1"/>
    <col min="4098" max="4098" width="8.85546875" style="165" bestFit="1" customWidth="1"/>
    <col min="4099" max="4099" width="8.7109375" style="165" bestFit="1" customWidth="1"/>
    <col min="4100" max="4100" width="8.85546875" style="165" bestFit="1" customWidth="1"/>
    <col min="4101" max="4101" width="8" style="165" bestFit="1" customWidth="1"/>
    <col min="4102" max="4102" width="9" style="165" bestFit="1" customWidth="1"/>
    <col min="4103" max="4103" width="10.140625" style="165" customWidth="1"/>
    <col min="4104" max="4104" width="11" style="165" bestFit="1" customWidth="1"/>
    <col min="4105" max="4106" width="10.5703125" style="165" bestFit="1" customWidth="1"/>
    <col min="4107" max="4107" width="9.85546875" style="165" customWidth="1"/>
    <col min="4108" max="4108" width="11.5703125" style="165" customWidth="1"/>
    <col min="4109" max="4109" width="11.42578125" style="165" customWidth="1"/>
    <col min="4110" max="4110" width="10.140625" style="165" customWidth="1"/>
    <col min="4111" max="4111" width="10.28515625" style="165" bestFit="1" customWidth="1"/>
    <col min="4112" max="4112" width="12.140625" style="165" bestFit="1" customWidth="1"/>
    <col min="4113" max="4113" width="12" style="165" bestFit="1" customWidth="1"/>
    <col min="4114" max="4114" width="12.140625" style="165" customWidth="1"/>
    <col min="4115" max="4115" width="10.85546875" style="165" customWidth="1"/>
    <col min="4116" max="4116" width="8.85546875" style="165" bestFit="1" customWidth="1"/>
    <col min="4117" max="4117" width="9" style="165" bestFit="1" customWidth="1"/>
    <col min="4118" max="4118" width="8.5703125" style="165" bestFit="1" customWidth="1"/>
    <col min="4119" max="4119" width="7.85546875" style="165" bestFit="1" customWidth="1"/>
    <col min="4120" max="4120" width="8.85546875" style="165" bestFit="1" customWidth="1"/>
    <col min="4121" max="4121" width="11.85546875" style="165" bestFit="1" customWidth="1"/>
    <col min="4122" max="4122" width="11.7109375" style="165" bestFit="1" customWidth="1"/>
    <col min="4123" max="4123" width="13.140625" style="165" bestFit="1" customWidth="1"/>
    <col min="4124" max="4124" width="5.5703125" style="165" bestFit="1" customWidth="1"/>
    <col min="4125" max="4125" width="10" style="165" bestFit="1" customWidth="1"/>
    <col min="4126" max="4127" width="14" style="165" bestFit="1" customWidth="1"/>
    <col min="4128" max="4129" width="13.140625" style="165" bestFit="1" customWidth="1"/>
    <col min="4130" max="4130" width="14" style="165" bestFit="1" customWidth="1"/>
    <col min="4131" max="4134" width="9.28515625" style="165" bestFit="1" customWidth="1"/>
    <col min="4135" max="4136" width="11.7109375" style="165" bestFit="1" customWidth="1"/>
    <col min="4137" max="4137" width="9.28515625" style="165" bestFit="1" customWidth="1"/>
    <col min="4138" max="4138" width="11.7109375" style="165" bestFit="1" customWidth="1"/>
    <col min="4139" max="4139" width="13.140625" style="165" bestFit="1" customWidth="1"/>
    <col min="4140" max="4141" width="11.7109375" style="165" bestFit="1" customWidth="1"/>
    <col min="4142" max="4142" width="9.28515625" style="165" bestFit="1" customWidth="1"/>
    <col min="4143" max="4143" width="13.140625" style="165" bestFit="1" customWidth="1"/>
    <col min="4144" max="4144" width="9.28515625" style="165" bestFit="1" customWidth="1"/>
    <col min="4145" max="4146" width="13.140625" style="165" bestFit="1" customWidth="1"/>
    <col min="4147" max="4147" width="14.85546875" style="165" bestFit="1" customWidth="1"/>
    <col min="4148" max="4352" width="9.140625" style="165"/>
    <col min="4353" max="4353" width="9" style="165" customWidth="1"/>
    <col min="4354" max="4354" width="8.85546875" style="165" bestFit="1" customWidth="1"/>
    <col min="4355" max="4355" width="8.7109375" style="165" bestFit="1" customWidth="1"/>
    <col min="4356" max="4356" width="8.85546875" style="165" bestFit="1" customWidth="1"/>
    <col min="4357" max="4357" width="8" style="165" bestFit="1" customWidth="1"/>
    <col min="4358" max="4358" width="9" style="165" bestFit="1" customWidth="1"/>
    <col min="4359" max="4359" width="10.140625" style="165" customWidth="1"/>
    <col min="4360" max="4360" width="11" style="165" bestFit="1" customWidth="1"/>
    <col min="4361" max="4362" width="10.5703125" style="165" bestFit="1" customWidth="1"/>
    <col min="4363" max="4363" width="9.85546875" style="165" customWidth="1"/>
    <col min="4364" max="4364" width="11.5703125" style="165" customWidth="1"/>
    <col min="4365" max="4365" width="11.42578125" style="165" customWidth="1"/>
    <col min="4366" max="4366" width="10.140625" style="165" customWidth="1"/>
    <col min="4367" max="4367" width="10.28515625" style="165" bestFit="1" customWidth="1"/>
    <col min="4368" max="4368" width="12.140625" style="165" bestFit="1" customWidth="1"/>
    <col min="4369" max="4369" width="12" style="165" bestFit="1" customWidth="1"/>
    <col min="4370" max="4370" width="12.140625" style="165" customWidth="1"/>
    <col min="4371" max="4371" width="10.85546875" style="165" customWidth="1"/>
    <col min="4372" max="4372" width="8.85546875" style="165" bestFit="1" customWidth="1"/>
    <col min="4373" max="4373" width="9" style="165" bestFit="1" customWidth="1"/>
    <col min="4374" max="4374" width="8.5703125" style="165" bestFit="1" customWidth="1"/>
    <col min="4375" max="4375" width="7.85546875" style="165" bestFit="1" customWidth="1"/>
    <col min="4376" max="4376" width="8.85546875" style="165" bestFit="1" customWidth="1"/>
    <col min="4377" max="4377" width="11.85546875" style="165" bestFit="1" customWidth="1"/>
    <col min="4378" max="4378" width="11.7109375" style="165" bestFit="1" customWidth="1"/>
    <col min="4379" max="4379" width="13.140625" style="165" bestFit="1" customWidth="1"/>
    <col min="4380" max="4380" width="5.5703125" style="165" bestFit="1" customWidth="1"/>
    <col min="4381" max="4381" width="10" style="165" bestFit="1" customWidth="1"/>
    <col min="4382" max="4383" width="14" style="165" bestFit="1" customWidth="1"/>
    <col min="4384" max="4385" width="13.140625" style="165" bestFit="1" customWidth="1"/>
    <col min="4386" max="4386" width="14" style="165" bestFit="1" customWidth="1"/>
    <col min="4387" max="4390" width="9.28515625" style="165" bestFit="1" customWidth="1"/>
    <col min="4391" max="4392" width="11.7109375" style="165" bestFit="1" customWidth="1"/>
    <col min="4393" max="4393" width="9.28515625" style="165" bestFit="1" customWidth="1"/>
    <col min="4394" max="4394" width="11.7109375" style="165" bestFit="1" customWidth="1"/>
    <col min="4395" max="4395" width="13.140625" style="165" bestFit="1" customWidth="1"/>
    <col min="4396" max="4397" width="11.7109375" style="165" bestFit="1" customWidth="1"/>
    <col min="4398" max="4398" width="9.28515625" style="165" bestFit="1" customWidth="1"/>
    <col min="4399" max="4399" width="13.140625" style="165" bestFit="1" customWidth="1"/>
    <col min="4400" max="4400" width="9.28515625" style="165" bestFit="1" customWidth="1"/>
    <col min="4401" max="4402" width="13.140625" style="165" bestFit="1" customWidth="1"/>
    <col min="4403" max="4403" width="14.85546875" style="165" bestFit="1" customWidth="1"/>
    <col min="4404" max="4608" width="9.140625" style="165"/>
    <col min="4609" max="4609" width="9" style="165" customWidth="1"/>
    <col min="4610" max="4610" width="8.85546875" style="165" bestFit="1" customWidth="1"/>
    <col min="4611" max="4611" width="8.7109375" style="165" bestFit="1" customWidth="1"/>
    <col min="4612" max="4612" width="8.85546875" style="165" bestFit="1" customWidth="1"/>
    <col min="4613" max="4613" width="8" style="165" bestFit="1" customWidth="1"/>
    <col min="4614" max="4614" width="9" style="165" bestFit="1" customWidth="1"/>
    <col min="4615" max="4615" width="10.140625" style="165" customWidth="1"/>
    <col min="4616" max="4616" width="11" style="165" bestFit="1" customWidth="1"/>
    <col min="4617" max="4618" width="10.5703125" style="165" bestFit="1" customWidth="1"/>
    <col min="4619" max="4619" width="9.85546875" style="165" customWidth="1"/>
    <col min="4620" max="4620" width="11.5703125" style="165" customWidth="1"/>
    <col min="4621" max="4621" width="11.42578125" style="165" customWidth="1"/>
    <col min="4622" max="4622" width="10.140625" style="165" customWidth="1"/>
    <col min="4623" max="4623" width="10.28515625" style="165" bestFit="1" customWidth="1"/>
    <col min="4624" max="4624" width="12.140625" style="165" bestFit="1" customWidth="1"/>
    <col min="4625" max="4625" width="12" style="165" bestFit="1" customWidth="1"/>
    <col min="4626" max="4626" width="12.140625" style="165" customWidth="1"/>
    <col min="4627" max="4627" width="10.85546875" style="165" customWidth="1"/>
    <col min="4628" max="4628" width="8.85546875" style="165" bestFit="1" customWidth="1"/>
    <col min="4629" max="4629" width="9" style="165" bestFit="1" customWidth="1"/>
    <col min="4630" max="4630" width="8.5703125" style="165" bestFit="1" customWidth="1"/>
    <col min="4631" max="4631" width="7.85546875" style="165" bestFit="1" customWidth="1"/>
    <col min="4632" max="4632" width="8.85546875" style="165" bestFit="1" customWidth="1"/>
    <col min="4633" max="4633" width="11.85546875" style="165" bestFit="1" customWidth="1"/>
    <col min="4634" max="4634" width="11.7109375" style="165" bestFit="1" customWidth="1"/>
    <col min="4635" max="4635" width="13.140625" style="165" bestFit="1" customWidth="1"/>
    <col min="4636" max="4636" width="5.5703125" style="165" bestFit="1" customWidth="1"/>
    <col min="4637" max="4637" width="10" style="165" bestFit="1" customWidth="1"/>
    <col min="4638" max="4639" width="14" style="165" bestFit="1" customWidth="1"/>
    <col min="4640" max="4641" width="13.140625" style="165" bestFit="1" customWidth="1"/>
    <col min="4642" max="4642" width="14" style="165" bestFit="1" customWidth="1"/>
    <col min="4643" max="4646" width="9.28515625" style="165" bestFit="1" customWidth="1"/>
    <col min="4647" max="4648" width="11.7109375" style="165" bestFit="1" customWidth="1"/>
    <col min="4649" max="4649" width="9.28515625" style="165" bestFit="1" customWidth="1"/>
    <col min="4650" max="4650" width="11.7109375" style="165" bestFit="1" customWidth="1"/>
    <col min="4651" max="4651" width="13.140625" style="165" bestFit="1" customWidth="1"/>
    <col min="4652" max="4653" width="11.7109375" style="165" bestFit="1" customWidth="1"/>
    <col min="4654" max="4654" width="9.28515625" style="165" bestFit="1" customWidth="1"/>
    <col min="4655" max="4655" width="13.140625" style="165" bestFit="1" customWidth="1"/>
    <col min="4656" max="4656" width="9.28515625" style="165" bestFit="1" customWidth="1"/>
    <col min="4657" max="4658" width="13.140625" style="165" bestFit="1" customWidth="1"/>
    <col min="4659" max="4659" width="14.85546875" style="165" bestFit="1" customWidth="1"/>
    <col min="4660" max="4864" width="9.140625" style="165"/>
    <col min="4865" max="4865" width="9" style="165" customWidth="1"/>
    <col min="4866" max="4866" width="8.85546875" style="165" bestFit="1" customWidth="1"/>
    <col min="4867" max="4867" width="8.7109375" style="165" bestFit="1" customWidth="1"/>
    <col min="4868" max="4868" width="8.85546875" style="165" bestFit="1" customWidth="1"/>
    <col min="4869" max="4869" width="8" style="165" bestFit="1" customWidth="1"/>
    <col min="4870" max="4870" width="9" style="165" bestFit="1" customWidth="1"/>
    <col min="4871" max="4871" width="10.140625" style="165" customWidth="1"/>
    <col min="4872" max="4872" width="11" style="165" bestFit="1" customWidth="1"/>
    <col min="4873" max="4874" width="10.5703125" style="165" bestFit="1" customWidth="1"/>
    <col min="4875" max="4875" width="9.85546875" style="165" customWidth="1"/>
    <col min="4876" max="4876" width="11.5703125" style="165" customWidth="1"/>
    <col min="4877" max="4877" width="11.42578125" style="165" customWidth="1"/>
    <col min="4878" max="4878" width="10.140625" style="165" customWidth="1"/>
    <col min="4879" max="4879" width="10.28515625" style="165" bestFit="1" customWidth="1"/>
    <col min="4880" max="4880" width="12.140625" style="165" bestFit="1" customWidth="1"/>
    <col min="4881" max="4881" width="12" style="165" bestFit="1" customWidth="1"/>
    <col min="4882" max="4882" width="12.140625" style="165" customWidth="1"/>
    <col min="4883" max="4883" width="10.85546875" style="165" customWidth="1"/>
    <col min="4884" max="4884" width="8.85546875" style="165" bestFit="1" customWidth="1"/>
    <col min="4885" max="4885" width="9" style="165" bestFit="1" customWidth="1"/>
    <col min="4886" max="4886" width="8.5703125" style="165" bestFit="1" customWidth="1"/>
    <col min="4887" max="4887" width="7.85546875" style="165" bestFit="1" customWidth="1"/>
    <col min="4888" max="4888" width="8.85546875" style="165" bestFit="1" customWidth="1"/>
    <col min="4889" max="4889" width="11.85546875" style="165" bestFit="1" customWidth="1"/>
    <col min="4890" max="4890" width="11.7109375" style="165" bestFit="1" customWidth="1"/>
    <col min="4891" max="4891" width="13.140625" style="165" bestFit="1" customWidth="1"/>
    <col min="4892" max="4892" width="5.5703125" style="165" bestFit="1" customWidth="1"/>
    <col min="4893" max="4893" width="10" style="165" bestFit="1" customWidth="1"/>
    <col min="4894" max="4895" width="14" style="165" bestFit="1" customWidth="1"/>
    <col min="4896" max="4897" width="13.140625" style="165" bestFit="1" customWidth="1"/>
    <col min="4898" max="4898" width="14" style="165" bestFit="1" customWidth="1"/>
    <col min="4899" max="4902" width="9.28515625" style="165" bestFit="1" customWidth="1"/>
    <col min="4903" max="4904" width="11.7109375" style="165" bestFit="1" customWidth="1"/>
    <col min="4905" max="4905" width="9.28515625" style="165" bestFit="1" customWidth="1"/>
    <col min="4906" max="4906" width="11.7109375" style="165" bestFit="1" customWidth="1"/>
    <col min="4907" max="4907" width="13.140625" style="165" bestFit="1" customWidth="1"/>
    <col min="4908" max="4909" width="11.7109375" style="165" bestFit="1" customWidth="1"/>
    <col min="4910" max="4910" width="9.28515625" style="165" bestFit="1" customWidth="1"/>
    <col min="4911" max="4911" width="13.140625" style="165" bestFit="1" customWidth="1"/>
    <col min="4912" max="4912" width="9.28515625" style="165" bestFit="1" customWidth="1"/>
    <col min="4913" max="4914" width="13.140625" style="165" bestFit="1" customWidth="1"/>
    <col min="4915" max="4915" width="14.85546875" style="165" bestFit="1" customWidth="1"/>
    <col min="4916" max="5120" width="9.140625" style="165"/>
    <col min="5121" max="5121" width="9" style="165" customWidth="1"/>
    <col min="5122" max="5122" width="8.85546875" style="165" bestFit="1" customWidth="1"/>
    <col min="5123" max="5123" width="8.7109375" style="165" bestFit="1" customWidth="1"/>
    <col min="5124" max="5124" width="8.85546875" style="165" bestFit="1" customWidth="1"/>
    <col min="5125" max="5125" width="8" style="165" bestFit="1" customWidth="1"/>
    <col min="5126" max="5126" width="9" style="165" bestFit="1" customWidth="1"/>
    <col min="5127" max="5127" width="10.140625" style="165" customWidth="1"/>
    <col min="5128" max="5128" width="11" style="165" bestFit="1" customWidth="1"/>
    <col min="5129" max="5130" width="10.5703125" style="165" bestFit="1" customWidth="1"/>
    <col min="5131" max="5131" width="9.85546875" style="165" customWidth="1"/>
    <col min="5132" max="5132" width="11.5703125" style="165" customWidth="1"/>
    <col min="5133" max="5133" width="11.42578125" style="165" customWidth="1"/>
    <col min="5134" max="5134" width="10.140625" style="165" customWidth="1"/>
    <col min="5135" max="5135" width="10.28515625" style="165" bestFit="1" customWidth="1"/>
    <col min="5136" max="5136" width="12.140625" style="165" bestFit="1" customWidth="1"/>
    <col min="5137" max="5137" width="12" style="165" bestFit="1" customWidth="1"/>
    <col min="5138" max="5138" width="12.140625" style="165" customWidth="1"/>
    <col min="5139" max="5139" width="10.85546875" style="165" customWidth="1"/>
    <col min="5140" max="5140" width="8.85546875" style="165" bestFit="1" customWidth="1"/>
    <col min="5141" max="5141" width="9" style="165" bestFit="1" customWidth="1"/>
    <col min="5142" max="5142" width="8.5703125" style="165" bestFit="1" customWidth="1"/>
    <col min="5143" max="5143" width="7.85546875" style="165" bestFit="1" customWidth="1"/>
    <col min="5144" max="5144" width="8.85546875" style="165" bestFit="1" customWidth="1"/>
    <col min="5145" max="5145" width="11.85546875" style="165" bestFit="1" customWidth="1"/>
    <col min="5146" max="5146" width="11.7109375" style="165" bestFit="1" customWidth="1"/>
    <col min="5147" max="5147" width="13.140625" style="165" bestFit="1" customWidth="1"/>
    <col min="5148" max="5148" width="5.5703125" style="165" bestFit="1" customWidth="1"/>
    <col min="5149" max="5149" width="10" style="165" bestFit="1" customWidth="1"/>
    <col min="5150" max="5151" width="14" style="165" bestFit="1" customWidth="1"/>
    <col min="5152" max="5153" width="13.140625" style="165" bestFit="1" customWidth="1"/>
    <col min="5154" max="5154" width="14" style="165" bestFit="1" customWidth="1"/>
    <col min="5155" max="5158" width="9.28515625" style="165" bestFit="1" customWidth="1"/>
    <col min="5159" max="5160" width="11.7109375" style="165" bestFit="1" customWidth="1"/>
    <col min="5161" max="5161" width="9.28515625" style="165" bestFit="1" customWidth="1"/>
    <col min="5162" max="5162" width="11.7109375" style="165" bestFit="1" customWidth="1"/>
    <col min="5163" max="5163" width="13.140625" style="165" bestFit="1" customWidth="1"/>
    <col min="5164" max="5165" width="11.7109375" style="165" bestFit="1" customWidth="1"/>
    <col min="5166" max="5166" width="9.28515625" style="165" bestFit="1" customWidth="1"/>
    <col min="5167" max="5167" width="13.140625" style="165" bestFit="1" customWidth="1"/>
    <col min="5168" max="5168" width="9.28515625" style="165" bestFit="1" customWidth="1"/>
    <col min="5169" max="5170" width="13.140625" style="165" bestFit="1" customWidth="1"/>
    <col min="5171" max="5171" width="14.85546875" style="165" bestFit="1" customWidth="1"/>
    <col min="5172" max="5376" width="9.140625" style="165"/>
    <col min="5377" max="5377" width="9" style="165" customWidth="1"/>
    <col min="5378" max="5378" width="8.85546875" style="165" bestFit="1" customWidth="1"/>
    <col min="5379" max="5379" width="8.7109375" style="165" bestFit="1" customWidth="1"/>
    <col min="5380" max="5380" width="8.85546875" style="165" bestFit="1" customWidth="1"/>
    <col min="5381" max="5381" width="8" style="165" bestFit="1" customWidth="1"/>
    <col min="5382" max="5382" width="9" style="165" bestFit="1" customWidth="1"/>
    <col min="5383" max="5383" width="10.140625" style="165" customWidth="1"/>
    <col min="5384" max="5384" width="11" style="165" bestFit="1" customWidth="1"/>
    <col min="5385" max="5386" width="10.5703125" style="165" bestFit="1" customWidth="1"/>
    <col min="5387" max="5387" width="9.85546875" style="165" customWidth="1"/>
    <col min="5388" max="5388" width="11.5703125" style="165" customWidth="1"/>
    <col min="5389" max="5389" width="11.42578125" style="165" customWidth="1"/>
    <col min="5390" max="5390" width="10.140625" style="165" customWidth="1"/>
    <col min="5391" max="5391" width="10.28515625" style="165" bestFit="1" customWidth="1"/>
    <col min="5392" max="5392" width="12.140625" style="165" bestFit="1" customWidth="1"/>
    <col min="5393" max="5393" width="12" style="165" bestFit="1" customWidth="1"/>
    <col min="5394" max="5394" width="12.140625" style="165" customWidth="1"/>
    <col min="5395" max="5395" width="10.85546875" style="165" customWidth="1"/>
    <col min="5396" max="5396" width="8.85546875" style="165" bestFit="1" customWidth="1"/>
    <col min="5397" max="5397" width="9" style="165" bestFit="1" customWidth="1"/>
    <col min="5398" max="5398" width="8.5703125" style="165" bestFit="1" customWidth="1"/>
    <col min="5399" max="5399" width="7.85546875" style="165" bestFit="1" customWidth="1"/>
    <col min="5400" max="5400" width="8.85546875" style="165" bestFit="1" customWidth="1"/>
    <col min="5401" max="5401" width="11.85546875" style="165" bestFit="1" customWidth="1"/>
    <col min="5402" max="5402" width="11.7109375" style="165" bestFit="1" customWidth="1"/>
    <col min="5403" max="5403" width="13.140625" style="165" bestFit="1" customWidth="1"/>
    <col min="5404" max="5404" width="5.5703125" style="165" bestFit="1" customWidth="1"/>
    <col min="5405" max="5405" width="10" style="165" bestFit="1" customWidth="1"/>
    <col min="5406" max="5407" width="14" style="165" bestFit="1" customWidth="1"/>
    <col min="5408" max="5409" width="13.140625" style="165" bestFit="1" customWidth="1"/>
    <col min="5410" max="5410" width="14" style="165" bestFit="1" customWidth="1"/>
    <col min="5411" max="5414" width="9.28515625" style="165" bestFit="1" customWidth="1"/>
    <col min="5415" max="5416" width="11.7109375" style="165" bestFit="1" customWidth="1"/>
    <col min="5417" max="5417" width="9.28515625" style="165" bestFit="1" customWidth="1"/>
    <col min="5418" max="5418" width="11.7109375" style="165" bestFit="1" customWidth="1"/>
    <col min="5419" max="5419" width="13.140625" style="165" bestFit="1" customWidth="1"/>
    <col min="5420" max="5421" width="11.7109375" style="165" bestFit="1" customWidth="1"/>
    <col min="5422" max="5422" width="9.28515625" style="165" bestFit="1" customWidth="1"/>
    <col min="5423" max="5423" width="13.140625" style="165" bestFit="1" customWidth="1"/>
    <col min="5424" max="5424" width="9.28515625" style="165" bestFit="1" customWidth="1"/>
    <col min="5425" max="5426" width="13.140625" style="165" bestFit="1" customWidth="1"/>
    <col min="5427" max="5427" width="14.85546875" style="165" bestFit="1" customWidth="1"/>
    <col min="5428" max="5632" width="9.140625" style="165"/>
    <col min="5633" max="5633" width="9" style="165" customWidth="1"/>
    <col min="5634" max="5634" width="8.85546875" style="165" bestFit="1" customWidth="1"/>
    <col min="5635" max="5635" width="8.7109375" style="165" bestFit="1" customWidth="1"/>
    <col min="5636" max="5636" width="8.85546875" style="165" bestFit="1" customWidth="1"/>
    <col min="5637" max="5637" width="8" style="165" bestFit="1" customWidth="1"/>
    <col min="5638" max="5638" width="9" style="165" bestFit="1" customWidth="1"/>
    <col min="5639" max="5639" width="10.140625" style="165" customWidth="1"/>
    <col min="5640" max="5640" width="11" style="165" bestFit="1" customWidth="1"/>
    <col min="5641" max="5642" width="10.5703125" style="165" bestFit="1" customWidth="1"/>
    <col min="5643" max="5643" width="9.85546875" style="165" customWidth="1"/>
    <col min="5644" max="5644" width="11.5703125" style="165" customWidth="1"/>
    <col min="5645" max="5645" width="11.42578125" style="165" customWidth="1"/>
    <col min="5646" max="5646" width="10.140625" style="165" customWidth="1"/>
    <col min="5647" max="5647" width="10.28515625" style="165" bestFit="1" customWidth="1"/>
    <col min="5648" max="5648" width="12.140625" style="165" bestFit="1" customWidth="1"/>
    <col min="5649" max="5649" width="12" style="165" bestFit="1" customWidth="1"/>
    <col min="5650" max="5650" width="12.140625" style="165" customWidth="1"/>
    <col min="5651" max="5651" width="10.85546875" style="165" customWidth="1"/>
    <col min="5652" max="5652" width="8.85546875" style="165" bestFit="1" customWidth="1"/>
    <col min="5653" max="5653" width="9" style="165" bestFit="1" customWidth="1"/>
    <col min="5654" max="5654" width="8.5703125" style="165" bestFit="1" customWidth="1"/>
    <col min="5655" max="5655" width="7.85546875" style="165" bestFit="1" customWidth="1"/>
    <col min="5656" max="5656" width="8.85546875" style="165" bestFit="1" customWidth="1"/>
    <col min="5657" max="5657" width="11.85546875" style="165" bestFit="1" customWidth="1"/>
    <col min="5658" max="5658" width="11.7109375" style="165" bestFit="1" customWidth="1"/>
    <col min="5659" max="5659" width="13.140625" style="165" bestFit="1" customWidth="1"/>
    <col min="5660" max="5660" width="5.5703125" style="165" bestFit="1" customWidth="1"/>
    <col min="5661" max="5661" width="10" style="165" bestFit="1" customWidth="1"/>
    <col min="5662" max="5663" width="14" style="165" bestFit="1" customWidth="1"/>
    <col min="5664" max="5665" width="13.140625" style="165" bestFit="1" customWidth="1"/>
    <col min="5666" max="5666" width="14" style="165" bestFit="1" customWidth="1"/>
    <col min="5667" max="5670" width="9.28515625" style="165" bestFit="1" customWidth="1"/>
    <col min="5671" max="5672" width="11.7109375" style="165" bestFit="1" customWidth="1"/>
    <col min="5673" max="5673" width="9.28515625" style="165" bestFit="1" customWidth="1"/>
    <col min="5674" max="5674" width="11.7109375" style="165" bestFit="1" customWidth="1"/>
    <col min="5675" max="5675" width="13.140625" style="165" bestFit="1" customWidth="1"/>
    <col min="5676" max="5677" width="11.7109375" style="165" bestFit="1" customWidth="1"/>
    <col min="5678" max="5678" width="9.28515625" style="165" bestFit="1" customWidth="1"/>
    <col min="5679" max="5679" width="13.140625" style="165" bestFit="1" customWidth="1"/>
    <col min="5680" max="5680" width="9.28515625" style="165" bestFit="1" customWidth="1"/>
    <col min="5681" max="5682" width="13.140625" style="165" bestFit="1" customWidth="1"/>
    <col min="5683" max="5683" width="14.85546875" style="165" bestFit="1" customWidth="1"/>
    <col min="5684" max="5888" width="9.140625" style="165"/>
    <col min="5889" max="5889" width="9" style="165" customWidth="1"/>
    <col min="5890" max="5890" width="8.85546875" style="165" bestFit="1" customWidth="1"/>
    <col min="5891" max="5891" width="8.7109375" style="165" bestFit="1" customWidth="1"/>
    <col min="5892" max="5892" width="8.85546875" style="165" bestFit="1" customWidth="1"/>
    <col min="5893" max="5893" width="8" style="165" bestFit="1" customWidth="1"/>
    <col min="5894" max="5894" width="9" style="165" bestFit="1" customWidth="1"/>
    <col min="5895" max="5895" width="10.140625" style="165" customWidth="1"/>
    <col min="5896" max="5896" width="11" style="165" bestFit="1" customWidth="1"/>
    <col min="5897" max="5898" width="10.5703125" style="165" bestFit="1" customWidth="1"/>
    <col min="5899" max="5899" width="9.85546875" style="165" customWidth="1"/>
    <col min="5900" max="5900" width="11.5703125" style="165" customWidth="1"/>
    <col min="5901" max="5901" width="11.42578125" style="165" customWidth="1"/>
    <col min="5902" max="5902" width="10.140625" style="165" customWidth="1"/>
    <col min="5903" max="5903" width="10.28515625" style="165" bestFit="1" customWidth="1"/>
    <col min="5904" max="5904" width="12.140625" style="165" bestFit="1" customWidth="1"/>
    <col min="5905" max="5905" width="12" style="165" bestFit="1" customWidth="1"/>
    <col min="5906" max="5906" width="12.140625" style="165" customWidth="1"/>
    <col min="5907" max="5907" width="10.85546875" style="165" customWidth="1"/>
    <col min="5908" max="5908" width="8.85546875" style="165" bestFit="1" customWidth="1"/>
    <col min="5909" max="5909" width="9" style="165" bestFit="1" customWidth="1"/>
    <col min="5910" max="5910" width="8.5703125" style="165" bestFit="1" customWidth="1"/>
    <col min="5911" max="5911" width="7.85546875" style="165" bestFit="1" customWidth="1"/>
    <col min="5912" max="5912" width="8.85546875" style="165" bestFit="1" customWidth="1"/>
    <col min="5913" max="5913" width="11.85546875" style="165" bestFit="1" customWidth="1"/>
    <col min="5914" max="5914" width="11.7109375" style="165" bestFit="1" customWidth="1"/>
    <col min="5915" max="5915" width="13.140625" style="165" bestFit="1" customWidth="1"/>
    <col min="5916" max="5916" width="5.5703125" style="165" bestFit="1" customWidth="1"/>
    <col min="5917" max="5917" width="10" style="165" bestFit="1" customWidth="1"/>
    <col min="5918" max="5919" width="14" style="165" bestFit="1" customWidth="1"/>
    <col min="5920" max="5921" width="13.140625" style="165" bestFit="1" customWidth="1"/>
    <col min="5922" max="5922" width="14" style="165" bestFit="1" customWidth="1"/>
    <col min="5923" max="5926" width="9.28515625" style="165" bestFit="1" customWidth="1"/>
    <col min="5927" max="5928" width="11.7109375" style="165" bestFit="1" customWidth="1"/>
    <col min="5929" max="5929" width="9.28515625" style="165" bestFit="1" customWidth="1"/>
    <col min="5930" max="5930" width="11.7109375" style="165" bestFit="1" customWidth="1"/>
    <col min="5931" max="5931" width="13.140625" style="165" bestFit="1" customWidth="1"/>
    <col min="5932" max="5933" width="11.7109375" style="165" bestFit="1" customWidth="1"/>
    <col min="5934" max="5934" width="9.28515625" style="165" bestFit="1" customWidth="1"/>
    <col min="5935" max="5935" width="13.140625" style="165" bestFit="1" customWidth="1"/>
    <col min="5936" max="5936" width="9.28515625" style="165" bestFit="1" customWidth="1"/>
    <col min="5937" max="5938" width="13.140625" style="165" bestFit="1" customWidth="1"/>
    <col min="5939" max="5939" width="14.85546875" style="165" bestFit="1" customWidth="1"/>
    <col min="5940" max="6144" width="9.140625" style="165"/>
    <col min="6145" max="6145" width="9" style="165" customWidth="1"/>
    <col min="6146" max="6146" width="8.85546875" style="165" bestFit="1" customWidth="1"/>
    <col min="6147" max="6147" width="8.7109375" style="165" bestFit="1" customWidth="1"/>
    <col min="6148" max="6148" width="8.85546875" style="165" bestFit="1" customWidth="1"/>
    <col min="6149" max="6149" width="8" style="165" bestFit="1" customWidth="1"/>
    <col min="6150" max="6150" width="9" style="165" bestFit="1" customWidth="1"/>
    <col min="6151" max="6151" width="10.140625" style="165" customWidth="1"/>
    <col min="6152" max="6152" width="11" style="165" bestFit="1" customWidth="1"/>
    <col min="6153" max="6154" width="10.5703125" style="165" bestFit="1" customWidth="1"/>
    <col min="6155" max="6155" width="9.85546875" style="165" customWidth="1"/>
    <col min="6156" max="6156" width="11.5703125" style="165" customWidth="1"/>
    <col min="6157" max="6157" width="11.42578125" style="165" customWidth="1"/>
    <col min="6158" max="6158" width="10.140625" style="165" customWidth="1"/>
    <col min="6159" max="6159" width="10.28515625" style="165" bestFit="1" customWidth="1"/>
    <col min="6160" max="6160" width="12.140625" style="165" bestFit="1" customWidth="1"/>
    <col min="6161" max="6161" width="12" style="165" bestFit="1" customWidth="1"/>
    <col min="6162" max="6162" width="12.140625" style="165" customWidth="1"/>
    <col min="6163" max="6163" width="10.85546875" style="165" customWidth="1"/>
    <col min="6164" max="6164" width="8.85546875" style="165" bestFit="1" customWidth="1"/>
    <col min="6165" max="6165" width="9" style="165" bestFit="1" customWidth="1"/>
    <col min="6166" max="6166" width="8.5703125" style="165" bestFit="1" customWidth="1"/>
    <col min="6167" max="6167" width="7.85546875" style="165" bestFit="1" customWidth="1"/>
    <col min="6168" max="6168" width="8.85546875" style="165" bestFit="1" customWidth="1"/>
    <col min="6169" max="6169" width="11.85546875" style="165" bestFit="1" customWidth="1"/>
    <col min="6170" max="6170" width="11.7109375" style="165" bestFit="1" customWidth="1"/>
    <col min="6171" max="6171" width="13.140625" style="165" bestFit="1" customWidth="1"/>
    <col min="6172" max="6172" width="5.5703125" style="165" bestFit="1" customWidth="1"/>
    <col min="6173" max="6173" width="10" style="165" bestFit="1" customWidth="1"/>
    <col min="6174" max="6175" width="14" style="165" bestFit="1" customWidth="1"/>
    <col min="6176" max="6177" width="13.140625" style="165" bestFit="1" customWidth="1"/>
    <col min="6178" max="6178" width="14" style="165" bestFit="1" customWidth="1"/>
    <col min="6179" max="6182" width="9.28515625" style="165" bestFit="1" customWidth="1"/>
    <col min="6183" max="6184" width="11.7109375" style="165" bestFit="1" customWidth="1"/>
    <col min="6185" max="6185" width="9.28515625" style="165" bestFit="1" customWidth="1"/>
    <col min="6186" max="6186" width="11.7109375" style="165" bestFit="1" customWidth="1"/>
    <col min="6187" max="6187" width="13.140625" style="165" bestFit="1" customWidth="1"/>
    <col min="6188" max="6189" width="11.7109375" style="165" bestFit="1" customWidth="1"/>
    <col min="6190" max="6190" width="9.28515625" style="165" bestFit="1" customWidth="1"/>
    <col min="6191" max="6191" width="13.140625" style="165" bestFit="1" customWidth="1"/>
    <col min="6192" max="6192" width="9.28515625" style="165" bestFit="1" customWidth="1"/>
    <col min="6193" max="6194" width="13.140625" style="165" bestFit="1" customWidth="1"/>
    <col min="6195" max="6195" width="14.85546875" style="165" bestFit="1" customWidth="1"/>
    <col min="6196" max="6400" width="9.140625" style="165"/>
    <col min="6401" max="6401" width="9" style="165" customWidth="1"/>
    <col min="6402" max="6402" width="8.85546875" style="165" bestFit="1" customWidth="1"/>
    <col min="6403" max="6403" width="8.7109375" style="165" bestFit="1" customWidth="1"/>
    <col min="6404" max="6404" width="8.85546875" style="165" bestFit="1" customWidth="1"/>
    <col min="6405" max="6405" width="8" style="165" bestFit="1" customWidth="1"/>
    <col min="6406" max="6406" width="9" style="165" bestFit="1" customWidth="1"/>
    <col min="6407" max="6407" width="10.140625" style="165" customWidth="1"/>
    <col min="6408" max="6408" width="11" style="165" bestFit="1" customWidth="1"/>
    <col min="6409" max="6410" width="10.5703125" style="165" bestFit="1" customWidth="1"/>
    <col min="6411" max="6411" width="9.85546875" style="165" customWidth="1"/>
    <col min="6412" max="6412" width="11.5703125" style="165" customWidth="1"/>
    <col min="6413" max="6413" width="11.42578125" style="165" customWidth="1"/>
    <col min="6414" max="6414" width="10.140625" style="165" customWidth="1"/>
    <col min="6415" max="6415" width="10.28515625" style="165" bestFit="1" customWidth="1"/>
    <col min="6416" max="6416" width="12.140625" style="165" bestFit="1" customWidth="1"/>
    <col min="6417" max="6417" width="12" style="165" bestFit="1" customWidth="1"/>
    <col min="6418" max="6418" width="12.140625" style="165" customWidth="1"/>
    <col min="6419" max="6419" width="10.85546875" style="165" customWidth="1"/>
    <col min="6420" max="6420" width="8.85546875" style="165" bestFit="1" customWidth="1"/>
    <col min="6421" max="6421" width="9" style="165" bestFit="1" customWidth="1"/>
    <col min="6422" max="6422" width="8.5703125" style="165" bestFit="1" customWidth="1"/>
    <col min="6423" max="6423" width="7.85546875" style="165" bestFit="1" customWidth="1"/>
    <col min="6424" max="6424" width="8.85546875" style="165" bestFit="1" customWidth="1"/>
    <col min="6425" max="6425" width="11.85546875" style="165" bestFit="1" customWidth="1"/>
    <col min="6426" max="6426" width="11.7109375" style="165" bestFit="1" customWidth="1"/>
    <col min="6427" max="6427" width="13.140625" style="165" bestFit="1" customWidth="1"/>
    <col min="6428" max="6428" width="5.5703125" style="165" bestFit="1" customWidth="1"/>
    <col min="6429" max="6429" width="10" style="165" bestFit="1" customWidth="1"/>
    <col min="6430" max="6431" width="14" style="165" bestFit="1" customWidth="1"/>
    <col min="6432" max="6433" width="13.140625" style="165" bestFit="1" customWidth="1"/>
    <col min="6434" max="6434" width="14" style="165" bestFit="1" customWidth="1"/>
    <col min="6435" max="6438" width="9.28515625" style="165" bestFit="1" customWidth="1"/>
    <col min="6439" max="6440" width="11.7109375" style="165" bestFit="1" customWidth="1"/>
    <col min="6441" max="6441" width="9.28515625" style="165" bestFit="1" customWidth="1"/>
    <col min="6442" max="6442" width="11.7109375" style="165" bestFit="1" customWidth="1"/>
    <col min="6443" max="6443" width="13.140625" style="165" bestFit="1" customWidth="1"/>
    <col min="6444" max="6445" width="11.7109375" style="165" bestFit="1" customWidth="1"/>
    <col min="6446" max="6446" width="9.28515625" style="165" bestFit="1" customWidth="1"/>
    <col min="6447" max="6447" width="13.140625" style="165" bestFit="1" customWidth="1"/>
    <col min="6448" max="6448" width="9.28515625" style="165" bestFit="1" customWidth="1"/>
    <col min="6449" max="6450" width="13.140625" style="165" bestFit="1" customWidth="1"/>
    <col min="6451" max="6451" width="14.85546875" style="165" bestFit="1" customWidth="1"/>
    <col min="6452" max="6656" width="9.140625" style="165"/>
    <col min="6657" max="6657" width="9" style="165" customWidth="1"/>
    <col min="6658" max="6658" width="8.85546875" style="165" bestFit="1" customWidth="1"/>
    <col min="6659" max="6659" width="8.7109375" style="165" bestFit="1" customWidth="1"/>
    <col min="6660" max="6660" width="8.85546875" style="165" bestFit="1" customWidth="1"/>
    <col min="6661" max="6661" width="8" style="165" bestFit="1" customWidth="1"/>
    <col min="6662" max="6662" width="9" style="165" bestFit="1" customWidth="1"/>
    <col min="6663" max="6663" width="10.140625" style="165" customWidth="1"/>
    <col min="6664" max="6664" width="11" style="165" bestFit="1" customWidth="1"/>
    <col min="6665" max="6666" width="10.5703125" style="165" bestFit="1" customWidth="1"/>
    <col min="6667" max="6667" width="9.85546875" style="165" customWidth="1"/>
    <col min="6668" max="6668" width="11.5703125" style="165" customWidth="1"/>
    <col min="6669" max="6669" width="11.42578125" style="165" customWidth="1"/>
    <col min="6670" max="6670" width="10.140625" style="165" customWidth="1"/>
    <col min="6671" max="6671" width="10.28515625" style="165" bestFit="1" customWidth="1"/>
    <col min="6672" max="6672" width="12.140625" style="165" bestFit="1" customWidth="1"/>
    <col min="6673" max="6673" width="12" style="165" bestFit="1" customWidth="1"/>
    <col min="6674" max="6674" width="12.140625" style="165" customWidth="1"/>
    <col min="6675" max="6675" width="10.85546875" style="165" customWidth="1"/>
    <col min="6676" max="6676" width="8.85546875" style="165" bestFit="1" customWidth="1"/>
    <col min="6677" max="6677" width="9" style="165" bestFit="1" customWidth="1"/>
    <col min="6678" max="6678" width="8.5703125" style="165" bestFit="1" customWidth="1"/>
    <col min="6679" max="6679" width="7.85546875" style="165" bestFit="1" customWidth="1"/>
    <col min="6680" max="6680" width="8.85546875" style="165" bestFit="1" customWidth="1"/>
    <col min="6681" max="6681" width="11.85546875" style="165" bestFit="1" customWidth="1"/>
    <col min="6682" max="6682" width="11.7109375" style="165" bestFit="1" customWidth="1"/>
    <col min="6683" max="6683" width="13.140625" style="165" bestFit="1" customWidth="1"/>
    <col min="6684" max="6684" width="5.5703125" style="165" bestFit="1" customWidth="1"/>
    <col min="6685" max="6685" width="10" style="165" bestFit="1" customWidth="1"/>
    <col min="6686" max="6687" width="14" style="165" bestFit="1" customWidth="1"/>
    <col min="6688" max="6689" width="13.140625" style="165" bestFit="1" customWidth="1"/>
    <col min="6690" max="6690" width="14" style="165" bestFit="1" customWidth="1"/>
    <col min="6691" max="6694" width="9.28515625" style="165" bestFit="1" customWidth="1"/>
    <col min="6695" max="6696" width="11.7109375" style="165" bestFit="1" customWidth="1"/>
    <col min="6697" max="6697" width="9.28515625" style="165" bestFit="1" customWidth="1"/>
    <col min="6698" max="6698" width="11.7109375" style="165" bestFit="1" customWidth="1"/>
    <col min="6699" max="6699" width="13.140625" style="165" bestFit="1" customWidth="1"/>
    <col min="6700" max="6701" width="11.7109375" style="165" bestFit="1" customWidth="1"/>
    <col min="6702" max="6702" width="9.28515625" style="165" bestFit="1" customWidth="1"/>
    <col min="6703" max="6703" width="13.140625" style="165" bestFit="1" customWidth="1"/>
    <col min="6704" max="6704" width="9.28515625" style="165" bestFit="1" customWidth="1"/>
    <col min="6705" max="6706" width="13.140625" style="165" bestFit="1" customWidth="1"/>
    <col min="6707" max="6707" width="14.85546875" style="165" bestFit="1" customWidth="1"/>
    <col min="6708" max="6912" width="9.140625" style="165"/>
    <col min="6913" max="6913" width="9" style="165" customWidth="1"/>
    <col min="6914" max="6914" width="8.85546875" style="165" bestFit="1" customWidth="1"/>
    <col min="6915" max="6915" width="8.7109375" style="165" bestFit="1" customWidth="1"/>
    <col min="6916" max="6916" width="8.85546875" style="165" bestFit="1" customWidth="1"/>
    <col min="6917" max="6917" width="8" style="165" bestFit="1" customWidth="1"/>
    <col min="6918" max="6918" width="9" style="165" bestFit="1" customWidth="1"/>
    <col min="6919" max="6919" width="10.140625" style="165" customWidth="1"/>
    <col min="6920" max="6920" width="11" style="165" bestFit="1" customWidth="1"/>
    <col min="6921" max="6922" width="10.5703125" style="165" bestFit="1" customWidth="1"/>
    <col min="6923" max="6923" width="9.85546875" style="165" customWidth="1"/>
    <col min="6924" max="6924" width="11.5703125" style="165" customWidth="1"/>
    <col min="6925" max="6925" width="11.42578125" style="165" customWidth="1"/>
    <col min="6926" max="6926" width="10.140625" style="165" customWidth="1"/>
    <col min="6927" max="6927" width="10.28515625" style="165" bestFit="1" customWidth="1"/>
    <col min="6928" max="6928" width="12.140625" style="165" bestFit="1" customWidth="1"/>
    <col min="6929" max="6929" width="12" style="165" bestFit="1" customWidth="1"/>
    <col min="6930" max="6930" width="12.140625" style="165" customWidth="1"/>
    <col min="6931" max="6931" width="10.85546875" style="165" customWidth="1"/>
    <col min="6932" max="6932" width="8.85546875" style="165" bestFit="1" customWidth="1"/>
    <col min="6933" max="6933" width="9" style="165" bestFit="1" customWidth="1"/>
    <col min="6934" max="6934" width="8.5703125" style="165" bestFit="1" customWidth="1"/>
    <col min="6935" max="6935" width="7.85546875" style="165" bestFit="1" customWidth="1"/>
    <col min="6936" max="6936" width="8.85546875" style="165" bestFit="1" customWidth="1"/>
    <col min="6937" max="6937" width="11.85546875" style="165" bestFit="1" customWidth="1"/>
    <col min="6938" max="6938" width="11.7109375" style="165" bestFit="1" customWidth="1"/>
    <col min="6939" max="6939" width="13.140625" style="165" bestFit="1" customWidth="1"/>
    <col min="6940" max="6940" width="5.5703125" style="165" bestFit="1" customWidth="1"/>
    <col min="6941" max="6941" width="10" style="165" bestFit="1" customWidth="1"/>
    <col min="6942" max="6943" width="14" style="165" bestFit="1" customWidth="1"/>
    <col min="6944" max="6945" width="13.140625" style="165" bestFit="1" customWidth="1"/>
    <col min="6946" max="6946" width="14" style="165" bestFit="1" customWidth="1"/>
    <col min="6947" max="6950" width="9.28515625" style="165" bestFit="1" customWidth="1"/>
    <col min="6951" max="6952" width="11.7109375" style="165" bestFit="1" customWidth="1"/>
    <col min="6953" max="6953" width="9.28515625" style="165" bestFit="1" customWidth="1"/>
    <col min="6954" max="6954" width="11.7109375" style="165" bestFit="1" customWidth="1"/>
    <col min="6955" max="6955" width="13.140625" style="165" bestFit="1" customWidth="1"/>
    <col min="6956" max="6957" width="11.7109375" style="165" bestFit="1" customWidth="1"/>
    <col min="6958" max="6958" width="9.28515625" style="165" bestFit="1" customWidth="1"/>
    <col min="6959" max="6959" width="13.140625" style="165" bestFit="1" customWidth="1"/>
    <col min="6960" max="6960" width="9.28515625" style="165" bestFit="1" customWidth="1"/>
    <col min="6961" max="6962" width="13.140625" style="165" bestFit="1" customWidth="1"/>
    <col min="6963" max="6963" width="14.85546875" style="165" bestFit="1" customWidth="1"/>
    <col min="6964" max="7168" width="9.140625" style="165"/>
    <col min="7169" max="7169" width="9" style="165" customWidth="1"/>
    <col min="7170" max="7170" width="8.85546875" style="165" bestFit="1" customWidth="1"/>
    <col min="7171" max="7171" width="8.7109375" style="165" bestFit="1" customWidth="1"/>
    <col min="7172" max="7172" width="8.85546875" style="165" bestFit="1" customWidth="1"/>
    <col min="7173" max="7173" width="8" style="165" bestFit="1" customWidth="1"/>
    <col min="7174" max="7174" width="9" style="165" bestFit="1" customWidth="1"/>
    <col min="7175" max="7175" width="10.140625" style="165" customWidth="1"/>
    <col min="7176" max="7176" width="11" style="165" bestFit="1" customWidth="1"/>
    <col min="7177" max="7178" width="10.5703125" style="165" bestFit="1" customWidth="1"/>
    <col min="7179" max="7179" width="9.85546875" style="165" customWidth="1"/>
    <col min="7180" max="7180" width="11.5703125" style="165" customWidth="1"/>
    <col min="7181" max="7181" width="11.42578125" style="165" customWidth="1"/>
    <col min="7182" max="7182" width="10.140625" style="165" customWidth="1"/>
    <col min="7183" max="7183" width="10.28515625" style="165" bestFit="1" customWidth="1"/>
    <col min="7184" max="7184" width="12.140625" style="165" bestFit="1" customWidth="1"/>
    <col min="7185" max="7185" width="12" style="165" bestFit="1" customWidth="1"/>
    <col min="7186" max="7186" width="12.140625" style="165" customWidth="1"/>
    <col min="7187" max="7187" width="10.85546875" style="165" customWidth="1"/>
    <col min="7188" max="7188" width="8.85546875" style="165" bestFit="1" customWidth="1"/>
    <col min="7189" max="7189" width="9" style="165" bestFit="1" customWidth="1"/>
    <col min="7190" max="7190" width="8.5703125" style="165" bestFit="1" customWidth="1"/>
    <col min="7191" max="7191" width="7.85546875" style="165" bestFit="1" customWidth="1"/>
    <col min="7192" max="7192" width="8.85546875" style="165" bestFit="1" customWidth="1"/>
    <col min="7193" max="7193" width="11.85546875" style="165" bestFit="1" customWidth="1"/>
    <col min="7194" max="7194" width="11.7109375" style="165" bestFit="1" customWidth="1"/>
    <col min="7195" max="7195" width="13.140625" style="165" bestFit="1" customWidth="1"/>
    <col min="7196" max="7196" width="5.5703125" style="165" bestFit="1" customWidth="1"/>
    <col min="7197" max="7197" width="10" style="165" bestFit="1" customWidth="1"/>
    <col min="7198" max="7199" width="14" style="165" bestFit="1" customWidth="1"/>
    <col min="7200" max="7201" width="13.140625" style="165" bestFit="1" customWidth="1"/>
    <col min="7202" max="7202" width="14" style="165" bestFit="1" customWidth="1"/>
    <col min="7203" max="7206" width="9.28515625" style="165" bestFit="1" customWidth="1"/>
    <col min="7207" max="7208" width="11.7109375" style="165" bestFit="1" customWidth="1"/>
    <col min="7209" max="7209" width="9.28515625" style="165" bestFit="1" customWidth="1"/>
    <col min="7210" max="7210" width="11.7109375" style="165" bestFit="1" customWidth="1"/>
    <col min="7211" max="7211" width="13.140625" style="165" bestFit="1" customWidth="1"/>
    <col min="7212" max="7213" width="11.7109375" style="165" bestFit="1" customWidth="1"/>
    <col min="7214" max="7214" width="9.28515625" style="165" bestFit="1" customWidth="1"/>
    <col min="7215" max="7215" width="13.140625" style="165" bestFit="1" customWidth="1"/>
    <col min="7216" max="7216" width="9.28515625" style="165" bestFit="1" customWidth="1"/>
    <col min="7217" max="7218" width="13.140625" style="165" bestFit="1" customWidth="1"/>
    <col min="7219" max="7219" width="14.85546875" style="165" bestFit="1" customWidth="1"/>
    <col min="7220" max="7424" width="9.140625" style="165"/>
    <col min="7425" max="7425" width="9" style="165" customWidth="1"/>
    <col min="7426" max="7426" width="8.85546875" style="165" bestFit="1" customWidth="1"/>
    <col min="7427" max="7427" width="8.7109375" style="165" bestFit="1" customWidth="1"/>
    <col min="7428" max="7428" width="8.85546875" style="165" bestFit="1" customWidth="1"/>
    <col min="7429" max="7429" width="8" style="165" bestFit="1" customWidth="1"/>
    <col min="7430" max="7430" width="9" style="165" bestFit="1" customWidth="1"/>
    <col min="7431" max="7431" width="10.140625" style="165" customWidth="1"/>
    <col min="7432" max="7432" width="11" style="165" bestFit="1" customWidth="1"/>
    <col min="7433" max="7434" width="10.5703125" style="165" bestFit="1" customWidth="1"/>
    <col min="7435" max="7435" width="9.85546875" style="165" customWidth="1"/>
    <col min="7436" max="7436" width="11.5703125" style="165" customWidth="1"/>
    <col min="7437" max="7437" width="11.42578125" style="165" customWidth="1"/>
    <col min="7438" max="7438" width="10.140625" style="165" customWidth="1"/>
    <col min="7439" max="7439" width="10.28515625" style="165" bestFit="1" customWidth="1"/>
    <col min="7440" max="7440" width="12.140625" style="165" bestFit="1" customWidth="1"/>
    <col min="7441" max="7441" width="12" style="165" bestFit="1" customWidth="1"/>
    <col min="7442" max="7442" width="12.140625" style="165" customWidth="1"/>
    <col min="7443" max="7443" width="10.85546875" style="165" customWidth="1"/>
    <col min="7444" max="7444" width="8.85546875" style="165" bestFit="1" customWidth="1"/>
    <col min="7445" max="7445" width="9" style="165" bestFit="1" customWidth="1"/>
    <col min="7446" max="7446" width="8.5703125" style="165" bestFit="1" customWidth="1"/>
    <col min="7447" max="7447" width="7.85546875" style="165" bestFit="1" customWidth="1"/>
    <col min="7448" max="7448" width="8.85546875" style="165" bestFit="1" customWidth="1"/>
    <col min="7449" max="7449" width="11.85546875" style="165" bestFit="1" customWidth="1"/>
    <col min="7450" max="7450" width="11.7109375" style="165" bestFit="1" customWidth="1"/>
    <col min="7451" max="7451" width="13.140625" style="165" bestFit="1" customWidth="1"/>
    <col min="7452" max="7452" width="5.5703125" style="165" bestFit="1" customWidth="1"/>
    <col min="7453" max="7453" width="10" style="165" bestFit="1" customWidth="1"/>
    <col min="7454" max="7455" width="14" style="165" bestFit="1" customWidth="1"/>
    <col min="7456" max="7457" width="13.140625" style="165" bestFit="1" customWidth="1"/>
    <col min="7458" max="7458" width="14" style="165" bestFit="1" customWidth="1"/>
    <col min="7459" max="7462" width="9.28515625" style="165" bestFit="1" customWidth="1"/>
    <col min="7463" max="7464" width="11.7109375" style="165" bestFit="1" customWidth="1"/>
    <col min="7465" max="7465" width="9.28515625" style="165" bestFit="1" customWidth="1"/>
    <col min="7466" max="7466" width="11.7109375" style="165" bestFit="1" customWidth="1"/>
    <col min="7467" max="7467" width="13.140625" style="165" bestFit="1" customWidth="1"/>
    <col min="7468" max="7469" width="11.7109375" style="165" bestFit="1" customWidth="1"/>
    <col min="7470" max="7470" width="9.28515625" style="165" bestFit="1" customWidth="1"/>
    <col min="7471" max="7471" width="13.140625" style="165" bestFit="1" customWidth="1"/>
    <col min="7472" max="7472" width="9.28515625" style="165" bestFit="1" customWidth="1"/>
    <col min="7473" max="7474" width="13.140625" style="165" bestFit="1" customWidth="1"/>
    <col min="7475" max="7475" width="14.85546875" style="165" bestFit="1" customWidth="1"/>
    <col min="7476" max="7680" width="9.140625" style="165"/>
    <col min="7681" max="7681" width="9" style="165" customWidth="1"/>
    <col min="7682" max="7682" width="8.85546875" style="165" bestFit="1" customWidth="1"/>
    <col min="7683" max="7683" width="8.7109375" style="165" bestFit="1" customWidth="1"/>
    <col min="7684" max="7684" width="8.85546875" style="165" bestFit="1" customWidth="1"/>
    <col min="7685" max="7685" width="8" style="165" bestFit="1" customWidth="1"/>
    <col min="7686" max="7686" width="9" style="165" bestFit="1" customWidth="1"/>
    <col min="7687" max="7687" width="10.140625" style="165" customWidth="1"/>
    <col min="7688" max="7688" width="11" style="165" bestFit="1" customWidth="1"/>
    <col min="7689" max="7690" width="10.5703125" style="165" bestFit="1" customWidth="1"/>
    <col min="7691" max="7691" width="9.85546875" style="165" customWidth="1"/>
    <col min="7692" max="7692" width="11.5703125" style="165" customWidth="1"/>
    <col min="7693" max="7693" width="11.42578125" style="165" customWidth="1"/>
    <col min="7694" max="7694" width="10.140625" style="165" customWidth="1"/>
    <col min="7695" max="7695" width="10.28515625" style="165" bestFit="1" customWidth="1"/>
    <col min="7696" max="7696" width="12.140625" style="165" bestFit="1" customWidth="1"/>
    <col min="7697" max="7697" width="12" style="165" bestFit="1" customWidth="1"/>
    <col min="7698" max="7698" width="12.140625" style="165" customWidth="1"/>
    <col min="7699" max="7699" width="10.85546875" style="165" customWidth="1"/>
    <col min="7700" max="7700" width="8.85546875" style="165" bestFit="1" customWidth="1"/>
    <col min="7701" max="7701" width="9" style="165" bestFit="1" customWidth="1"/>
    <col min="7702" max="7702" width="8.5703125" style="165" bestFit="1" customWidth="1"/>
    <col min="7703" max="7703" width="7.85546875" style="165" bestFit="1" customWidth="1"/>
    <col min="7704" max="7704" width="8.85546875" style="165" bestFit="1" customWidth="1"/>
    <col min="7705" max="7705" width="11.85546875" style="165" bestFit="1" customWidth="1"/>
    <col min="7706" max="7706" width="11.7109375" style="165" bestFit="1" customWidth="1"/>
    <col min="7707" max="7707" width="13.140625" style="165" bestFit="1" customWidth="1"/>
    <col min="7708" max="7708" width="5.5703125" style="165" bestFit="1" customWidth="1"/>
    <col min="7709" max="7709" width="10" style="165" bestFit="1" customWidth="1"/>
    <col min="7710" max="7711" width="14" style="165" bestFit="1" customWidth="1"/>
    <col min="7712" max="7713" width="13.140625" style="165" bestFit="1" customWidth="1"/>
    <col min="7714" max="7714" width="14" style="165" bestFit="1" customWidth="1"/>
    <col min="7715" max="7718" width="9.28515625" style="165" bestFit="1" customWidth="1"/>
    <col min="7719" max="7720" width="11.7109375" style="165" bestFit="1" customWidth="1"/>
    <col min="7721" max="7721" width="9.28515625" style="165" bestFit="1" customWidth="1"/>
    <col min="7722" max="7722" width="11.7109375" style="165" bestFit="1" customWidth="1"/>
    <col min="7723" max="7723" width="13.140625" style="165" bestFit="1" customWidth="1"/>
    <col min="7724" max="7725" width="11.7109375" style="165" bestFit="1" customWidth="1"/>
    <col min="7726" max="7726" width="9.28515625" style="165" bestFit="1" customWidth="1"/>
    <col min="7727" max="7727" width="13.140625" style="165" bestFit="1" customWidth="1"/>
    <col min="7728" max="7728" width="9.28515625" style="165" bestFit="1" customWidth="1"/>
    <col min="7729" max="7730" width="13.140625" style="165" bestFit="1" customWidth="1"/>
    <col min="7731" max="7731" width="14.85546875" style="165" bestFit="1" customWidth="1"/>
    <col min="7732" max="7936" width="9.140625" style="165"/>
    <col min="7937" max="7937" width="9" style="165" customWidth="1"/>
    <col min="7938" max="7938" width="8.85546875" style="165" bestFit="1" customWidth="1"/>
    <col min="7939" max="7939" width="8.7109375" style="165" bestFit="1" customWidth="1"/>
    <col min="7940" max="7940" width="8.85546875" style="165" bestFit="1" customWidth="1"/>
    <col min="7941" max="7941" width="8" style="165" bestFit="1" customWidth="1"/>
    <col min="7942" max="7942" width="9" style="165" bestFit="1" customWidth="1"/>
    <col min="7943" max="7943" width="10.140625" style="165" customWidth="1"/>
    <col min="7944" max="7944" width="11" style="165" bestFit="1" customWidth="1"/>
    <col min="7945" max="7946" width="10.5703125" style="165" bestFit="1" customWidth="1"/>
    <col min="7947" max="7947" width="9.85546875" style="165" customWidth="1"/>
    <col min="7948" max="7948" width="11.5703125" style="165" customWidth="1"/>
    <col min="7949" max="7949" width="11.42578125" style="165" customWidth="1"/>
    <col min="7950" max="7950" width="10.140625" style="165" customWidth="1"/>
    <col min="7951" max="7951" width="10.28515625" style="165" bestFit="1" customWidth="1"/>
    <col min="7952" max="7952" width="12.140625" style="165" bestFit="1" customWidth="1"/>
    <col min="7953" max="7953" width="12" style="165" bestFit="1" customWidth="1"/>
    <col min="7954" max="7954" width="12.140625" style="165" customWidth="1"/>
    <col min="7955" max="7955" width="10.85546875" style="165" customWidth="1"/>
    <col min="7956" max="7956" width="8.85546875" style="165" bestFit="1" customWidth="1"/>
    <col min="7957" max="7957" width="9" style="165" bestFit="1" customWidth="1"/>
    <col min="7958" max="7958" width="8.5703125" style="165" bestFit="1" customWidth="1"/>
    <col min="7959" max="7959" width="7.85546875" style="165" bestFit="1" customWidth="1"/>
    <col min="7960" max="7960" width="8.85546875" style="165" bestFit="1" customWidth="1"/>
    <col min="7961" max="7961" width="11.85546875" style="165" bestFit="1" customWidth="1"/>
    <col min="7962" max="7962" width="11.7109375" style="165" bestFit="1" customWidth="1"/>
    <col min="7963" max="7963" width="13.140625" style="165" bestFit="1" customWidth="1"/>
    <col min="7964" max="7964" width="5.5703125" style="165" bestFit="1" customWidth="1"/>
    <col min="7965" max="7965" width="10" style="165" bestFit="1" customWidth="1"/>
    <col min="7966" max="7967" width="14" style="165" bestFit="1" customWidth="1"/>
    <col min="7968" max="7969" width="13.140625" style="165" bestFit="1" customWidth="1"/>
    <col min="7970" max="7970" width="14" style="165" bestFit="1" customWidth="1"/>
    <col min="7971" max="7974" width="9.28515625" style="165" bestFit="1" customWidth="1"/>
    <col min="7975" max="7976" width="11.7109375" style="165" bestFit="1" customWidth="1"/>
    <col min="7977" max="7977" width="9.28515625" style="165" bestFit="1" customWidth="1"/>
    <col min="7978" max="7978" width="11.7109375" style="165" bestFit="1" customWidth="1"/>
    <col min="7979" max="7979" width="13.140625" style="165" bestFit="1" customWidth="1"/>
    <col min="7980" max="7981" width="11.7109375" style="165" bestFit="1" customWidth="1"/>
    <col min="7982" max="7982" width="9.28515625" style="165" bestFit="1" customWidth="1"/>
    <col min="7983" max="7983" width="13.140625" style="165" bestFit="1" customWidth="1"/>
    <col min="7984" max="7984" width="9.28515625" style="165" bestFit="1" customWidth="1"/>
    <col min="7985" max="7986" width="13.140625" style="165" bestFit="1" customWidth="1"/>
    <col min="7987" max="7987" width="14.85546875" style="165" bestFit="1" customWidth="1"/>
    <col min="7988" max="8192" width="9.140625" style="165"/>
    <col min="8193" max="8193" width="9" style="165" customWidth="1"/>
    <col min="8194" max="8194" width="8.85546875" style="165" bestFit="1" customWidth="1"/>
    <col min="8195" max="8195" width="8.7109375" style="165" bestFit="1" customWidth="1"/>
    <col min="8196" max="8196" width="8.85546875" style="165" bestFit="1" customWidth="1"/>
    <col min="8197" max="8197" width="8" style="165" bestFit="1" customWidth="1"/>
    <col min="8198" max="8198" width="9" style="165" bestFit="1" customWidth="1"/>
    <col min="8199" max="8199" width="10.140625" style="165" customWidth="1"/>
    <col min="8200" max="8200" width="11" style="165" bestFit="1" customWidth="1"/>
    <col min="8201" max="8202" width="10.5703125" style="165" bestFit="1" customWidth="1"/>
    <col min="8203" max="8203" width="9.85546875" style="165" customWidth="1"/>
    <col min="8204" max="8204" width="11.5703125" style="165" customWidth="1"/>
    <col min="8205" max="8205" width="11.42578125" style="165" customWidth="1"/>
    <col min="8206" max="8206" width="10.140625" style="165" customWidth="1"/>
    <col min="8207" max="8207" width="10.28515625" style="165" bestFit="1" customWidth="1"/>
    <col min="8208" max="8208" width="12.140625" style="165" bestFit="1" customWidth="1"/>
    <col min="8209" max="8209" width="12" style="165" bestFit="1" customWidth="1"/>
    <col min="8210" max="8210" width="12.140625" style="165" customWidth="1"/>
    <col min="8211" max="8211" width="10.85546875" style="165" customWidth="1"/>
    <col min="8212" max="8212" width="8.85546875" style="165" bestFit="1" customWidth="1"/>
    <col min="8213" max="8213" width="9" style="165" bestFit="1" customWidth="1"/>
    <col min="8214" max="8214" width="8.5703125" style="165" bestFit="1" customWidth="1"/>
    <col min="8215" max="8215" width="7.85546875" style="165" bestFit="1" customWidth="1"/>
    <col min="8216" max="8216" width="8.85546875" style="165" bestFit="1" customWidth="1"/>
    <col min="8217" max="8217" width="11.85546875" style="165" bestFit="1" customWidth="1"/>
    <col min="8218" max="8218" width="11.7109375" style="165" bestFit="1" customWidth="1"/>
    <col min="8219" max="8219" width="13.140625" style="165" bestFit="1" customWidth="1"/>
    <col min="8220" max="8220" width="5.5703125" style="165" bestFit="1" customWidth="1"/>
    <col min="8221" max="8221" width="10" style="165" bestFit="1" customWidth="1"/>
    <col min="8222" max="8223" width="14" style="165" bestFit="1" customWidth="1"/>
    <col min="8224" max="8225" width="13.140625" style="165" bestFit="1" customWidth="1"/>
    <col min="8226" max="8226" width="14" style="165" bestFit="1" customWidth="1"/>
    <col min="8227" max="8230" width="9.28515625" style="165" bestFit="1" customWidth="1"/>
    <col min="8231" max="8232" width="11.7109375" style="165" bestFit="1" customWidth="1"/>
    <col min="8233" max="8233" width="9.28515625" style="165" bestFit="1" customWidth="1"/>
    <col min="8234" max="8234" width="11.7109375" style="165" bestFit="1" customWidth="1"/>
    <col min="8235" max="8235" width="13.140625" style="165" bestFit="1" customWidth="1"/>
    <col min="8236" max="8237" width="11.7109375" style="165" bestFit="1" customWidth="1"/>
    <col min="8238" max="8238" width="9.28515625" style="165" bestFit="1" customWidth="1"/>
    <col min="8239" max="8239" width="13.140625" style="165" bestFit="1" customWidth="1"/>
    <col min="8240" max="8240" width="9.28515625" style="165" bestFit="1" customWidth="1"/>
    <col min="8241" max="8242" width="13.140625" style="165" bestFit="1" customWidth="1"/>
    <col min="8243" max="8243" width="14.85546875" style="165" bestFit="1" customWidth="1"/>
    <col min="8244" max="8448" width="9.140625" style="165"/>
    <col min="8449" max="8449" width="9" style="165" customWidth="1"/>
    <col min="8450" max="8450" width="8.85546875" style="165" bestFit="1" customWidth="1"/>
    <col min="8451" max="8451" width="8.7109375" style="165" bestFit="1" customWidth="1"/>
    <col min="8452" max="8452" width="8.85546875" style="165" bestFit="1" customWidth="1"/>
    <col min="8453" max="8453" width="8" style="165" bestFit="1" customWidth="1"/>
    <col min="8454" max="8454" width="9" style="165" bestFit="1" customWidth="1"/>
    <col min="8455" max="8455" width="10.140625" style="165" customWidth="1"/>
    <col min="8456" max="8456" width="11" style="165" bestFit="1" customWidth="1"/>
    <col min="8457" max="8458" width="10.5703125" style="165" bestFit="1" customWidth="1"/>
    <col min="8459" max="8459" width="9.85546875" style="165" customWidth="1"/>
    <col min="8460" max="8460" width="11.5703125" style="165" customWidth="1"/>
    <col min="8461" max="8461" width="11.42578125" style="165" customWidth="1"/>
    <col min="8462" max="8462" width="10.140625" style="165" customWidth="1"/>
    <col min="8463" max="8463" width="10.28515625" style="165" bestFit="1" customWidth="1"/>
    <col min="8464" max="8464" width="12.140625" style="165" bestFit="1" customWidth="1"/>
    <col min="8465" max="8465" width="12" style="165" bestFit="1" customWidth="1"/>
    <col min="8466" max="8466" width="12.140625" style="165" customWidth="1"/>
    <col min="8467" max="8467" width="10.85546875" style="165" customWidth="1"/>
    <col min="8468" max="8468" width="8.85546875" style="165" bestFit="1" customWidth="1"/>
    <col min="8469" max="8469" width="9" style="165" bestFit="1" customWidth="1"/>
    <col min="8470" max="8470" width="8.5703125" style="165" bestFit="1" customWidth="1"/>
    <col min="8471" max="8471" width="7.85546875" style="165" bestFit="1" customWidth="1"/>
    <col min="8472" max="8472" width="8.85546875" style="165" bestFit="1" customWidth="1"/>
    <col min="8473" max="8473" width="11.85546875" style="165" bestFit="1" customWidth="1"/>
    <col min="8474" max="8474" width="11.7109375" style="165" bestFit="1" customWidth="1"/>
    <col min="8475" max="8475" width="13.140625" style="165" bestFit="1" customWidth="1"/>
    <col min="8476" max="8476" width="5.5703125" style="165" bestFit="1" customWidth="1"/>
    <col min="8477" max="8477" width="10" style="165" bestFit="1" customWidth="1"/>
    <col min="8478" max="8479" width="14" style="165" bestFit="1" customWidth="1"/>
    <col min="8480" max="8481" width="13.140625" style="165" bestFit="1" customWidth="1"/>
    <col min="8482" max="8482" width="14" style="165" bestFit="1" customWidth="1"/>
    <col min="8483" max="8486" width="9.28515625" style="165" bestFit="1" customWidth="1"/>
    <col min="8487" max="8488" width="11.7109375" style="165" bestFit="1" customWidth="1"/>
    <col min="8489" max="8489" width="9.28515625" style="165" bestFit="1" customWidth="1"/>
    <col min="8490" max="8490" width="11.7109375" style="165" bestFit="1" customWidth="1"/>
    <col min="8491" max="8491" width="13.140625" style="165" bestFit="1" customWidth="1"/>
    <col min="8492" max="8493" width="11.7109375" style="165" bestFit="1" customWidth="1"/>
    <col min="8494" max="8494" width="9.28515625" style="165" bestFit="1" customWidth="1"/>
    <col min="8495" max="8495" width="13.140625" style="165" bestFit="1" customWidth="1"/>
    <col min="8496" max="8496" width="9.28515625" style="165" bestFit="1" customWidth="1"/>
    <col min="8497" max="8498" width="13.140625" style="165" bestFit="1" customWidth="1"/>
    <col min="8499" max="8499" width="14.85546875" style="165" bestFit="1" customWidth="1"/>
    <col min="8500" max="8704" width="9.140625" style="165"/>
    <col min="8705" max="8705" width="9" style="165" customWidth="1"/>
    <col min="8706" max="8706" width="8.85546875" style="165" bestFit="1" customWidth="1"/>
    <col min="8707" max="8707" width="8.7109375" style="165" bestFit="1" customWidth="1"/>
    <col min="8708" max="8708" width="8.85546875" style="165" bestFit="1" customWidth="1"/>
    <col min="8709" max="8709" width="8" style="165" bestFit="1" customWidth="1"/>
    <col min="8710" max="8710" width="9" style="165" bestFit="1" customWidth="1"/>
    <col min="8711" max="8711" width="10.140625" style="165" customWidth="1"/>
    <col min="8712" max="8712" width="11" style="165" bestFit="1" customWidth="1"/>
    <col min="8713" max="8714" width="10.5703125" style="165" bestFit="1" customWidth="1"/>
    <col min="8715" max="8715" width="9.85546875" style="165" customWidth="1"/>
    <col min="8716" max="8716" width="11.5703125" style="165" customWidth="1"/>
    <col min="8717" max="8717" width="11.42578125" style="165" customWidth="1"/>
    <col min="8718" max="8718" width="10.140625" style="165" customWidth="1"/>
    <col min="8719" max="8719" width="10.28515625" style="165" bestFit="1" customWidth="1"/>
    <col min="8720" max="8720" width="12.140625" style="165" bestFit="1" customWidth="1"/>
    <col min="8721" max="8721" width="12" style="165" bestFit="1" customWidth="1"/>
    <col min="8722" max="8722" width="12.140625" style="165" customWidth="1"/>
    <col min="8723" max="8723" width="10.85546875" style="165" customWidth="1"/>
    <col min="8724" max="8724" width="8.85546875" style="165" bestFit="1" customWidth="1"/>
    <col min="8725" max="8725" width="9" style="165" bestFit="1" customWidth="1"/>
    <col min="8726" max="8726" width="8.5703125" style="165" bestFit="1" customWidth="1"/>
    <col min="8727" max="8727" width="7.85546875" style="165" bestFit="1" customWidth="1"/>
    <col min="8728" max="8728" width="8.85546875" style="165" bestFit="1" customWidth="1"/>
    <col min="8729" max="8729" width="11.85546875" style="165" bestFit="1" customWidth="1"/>
    <col min="8730" max="8730" width="11.7109375" style="165" bestFit="1" customWidth="1"/>
    <col min="8731" max="8731" width="13.140625" style="165" bestFit="1" customWidth="1"/>
    <col min="8732" max="8732" width="5.5703125" style="165" bestFit="1" customWidth="1"/>
    <col min="8733" max="8733" width="10" style="165" bestFit="1" customWidth="1"/>
    <col min="8734" max="8735" width="14" style="165" bestFit="1" customWidth="1"/>
    <col min="8736" max="8737" width="13.140625" style="165" bestFit="1" customWidth="1"/>
    <col min="8738" max="8738" width="14" style="165" bestFit="1" customWidth="1"/>
    <col min="8739" max="8742" width="9.28515625" style="165" bestFit="1" customWidth="1"/>
    <col min="8743" max="8744" width="11.7109375" style="165" bestFit="1" customWidth="1"/>
    <col min="8745" max="8745" width="9.28515625" style="165" bestFit="1" customWidth="1"/>
    <col min="8746" max="8746" width="11.7109375" style="165" bestFit="1" customWidth="1"/>
    <col min="8747" max="8747" width="13.140625" style="165" bestFit="1" customWidth="1"/>
    <col min="8748" max="8749" width="11.7109375" style="165" bestFit="1" customWidth="1"/>
    <col min="8750" max="8750" width="9.28515625" style="165" bestFit="1" customWidth="1"/>
    <col min="8751" max="8751" width="13.140625" style="165" bestFit="1" customWidth="1"/>
    <col min="8752" max="8752" width="9.28515625" style="165" bestFit="1" customWidth="1"/>
    <col min="8753" max="8754" width="13.140625" style="165" bestFit="1" customWidth="1"/>
    <col min="8755" max="8755" width="14.85546875" style="165" bestFit="1" customWidth="1"/>
    <col min="8756" max="8960" width="9.140625" style="165"/>
    <col min="8961" max="8961" width="9" style="165" customWidth="1"/>
    <col min="8962" max="8962" width="8.85546875" style="165" bestFit="1" customWidth="1"/>
    <col min="8963" max="8963" width="8.7109375" style="165" bestFit="1" customWidth="1"/>
    <col min="8964" max="8964" width="8.85546875" style="165" bestFit="1" customWidth="1"/>
    <col min="8965" max="8965" width="8" style="165" bestFit="1" customWidth="1"/>
    <col min="8966" max="8966" width="9" style="165" bestFit="1" customWidth="1"/>
    <col min="8967" max="8967" width="10.140625" style="165" customWidth="1"/>
    <col min="8968" max="8968" width="11" style="165" bestFit="1" customWidth="1"/>
    <col min="8969" max="8970" width="10.5703125" style="165" bestFit="1" customWidth="1"/>
    <col min="8971" max="8971" width="9.85546875" style="165" customWidth="1"/>
    <col min="8972" max="8972" width="11.5703125" style="165" customWidth="1"/>
    <col min="8973" max="8973" width="11.42578125" style="165" customWidth="1"/>
    <col min="8974" max="8974" width="10.140625" style="165" customWidth="1"/>
    <col min="8975" max="8975" width="10.28515625" style="165" bestFit="1" customWidth="1"/>
    <col min="8976" max="8976" width="12.140625" style="165" bestFit="1" customWidth="1"/>
    <col min="8977" max="8977" width="12" style="165" bestFit="1" customWidth="1"/>
    <col min="8978" max="8978" width="12.140625" style="165" customWidth="1"/>
    <col min="8979" max="8979" width="10.85546875" style="165" customWidth="1"/>
    <col min="8980" max="8980" width="8.85546875" style="165" bestFit="1" customWidth="1"/>
    <col min="8981" max="8981" width="9" style="165" bestFit="1" customWidth="1"/>
    <col min="8982" max="8982" width="8.5703125" style="165" bestFit="1" customWidth="1"/>
    <col min="8983" max="8983" width="7.85546875" style="165" bestFit="1" customWidth="1"/>
    <col min="8984" max="8984" width="8.85546875" style="165" bestFit="1" customWidth="1"/>
    <col min="8985" max="8985" width="11.85546875" style="165" bestFit="1" customWidth="1"/>
    <col min="8986" max="8986" width="11.7109375" style="165" bestFit="1" customWidth="1"/>
    <col min="8987" max="8987" width="13.140625" style="165" bestFit="1" customWidth="1"/>
    <col min="8988" max="8988" width="5.5703125" style="165" bestFit="1" customWidth="1"/>
    <col min="8989" max="8989" width="10" style="165" bestFit="1" customWidth="1"/>
    <col min="8990" max="8991" width="14" style="165" bestFit="1" customWidth="1"/>
    <col min="8992" max="8993" width="13.140625" style="165" bestFit="1" customWidth="1"/>
    <col min="8994" max="8994" width="14" style="165" bestFit="1" customWidth="1"/>
    <col min="8995" max="8998" width="9.28515625" style="165" bestFit="1" customWidth="1"/>
    <col min="8999" max="9000" width="11.7109375" style="165" bestFit="1" customWidth="1"/>
    <col min="9001" max="9001" width="9.28515625" style="165" bestFit="1" customWidth="1"/>
    <col min="9002" max="9002" width="11.7109375" style="165" bestFit="1" customWidth="1"/>
    <col min="9003" max="9003" width="13.140625" style="165" bestFit="1" customWidth="1"/>
    <col min="9004" max="9005" width="11.7109375" style="165" bestFit="1" customWidth="1"/>
    <col min="9006" max="9006" width="9.28515625" style="165" bestFit="1" customWidth="1"/>
    <col min="9007" max="9007" width="13.140625" style="165" bestFit="1" customWidth="1"/>
    <col min="9008" max="9008" width="9.28515625" style="165" bestFit="1" customWidth="1"/>
    <col min="9009" max="9010" width="13.140625" style="165" bestFit="1" customWidth="1"/>
    <col min="9011" max="9011" width="14.85546875" style="165" bestFit="1" customWidth="1"/>
    <col min="9012" max="9216" width="9.140625" style="165"/>
    <col min="9217" max="9217" width="9" style="165" customWidth="1"/>
    <col min="9218" max="9218" width="8.85546875" style="165" bestFit="1" customWidth="1"/>
    <col min="9219" max="9219" width="8.7109375" style="165" bestFit="1" customWidth="1"/>
    <col min="9220" max="9220" width="8.85546875" style="165" bestFit="1" customWidth="1"/>
    <col min="9221" max="9221" width="8" style="165" bestFit="1" customWidth="1"/>
    <col min="9222" max="9222" width="9" style="165" bestFit="1" customWidth="1"/>
    <col min="9223" max="9223" width="10.140625" style="165" customWidth="1"/>
    <col min="9224" max="9224" width="11" style="165" bestFit="1" customWidth="1"/>
    <col min="9225" max="9226" width="10.5703125" style="165" bestFit="1" customWidth="1"/>
    <col min="9227" max="9227" width="9.85546875" style="165" customWidth="1"/>
    <col min="9228" max="9228" width="11.5703125" style="165" customWidth="1"/>
    <col min="9229" max="9229" width="11.42578125" style="165" customWidth="1"/>
    <col min="9230" max="9230" width="10.140625" style="165" customWidth="1"/>
    <col min="9231" max="9231" width="10.28515625" style="165" bestFit="1" customWidth="1"/>
    <col min="9232" max="9232" width="12.140625" style="165" bestFit="1" customWidth="1"/>
    <col min="9233" max="9233" width="12" style="165" bestFit="1" customWidth="1"/>
    <col min="9234" max="9234" width="12.140625" style="165" customWidth="1"/>
    <col min="9235" max="9235" width="10.85546875" style="165" customWidth="1"/>
    <col min="9236" max="9236" width="8.85546875" style="165" bestFit="1" customWidth="1"/>
    <col min="9237" max="9237" width="9" style="165" bestFit="1" customWidth="1"/>
    <col min="9238" max="9238" width="8.5703125" style="165" bestFit="1" customWidth="1"/>
    <col min="9239" max="9239" width="7.85546875" style="165" bestFit="1" customWidth="1"/>
    <col min="9240" max="9240" width="8.85546875" style="165" bestFit="1" customWidth="1"/>
    <col min="9241" max="9241" width="11.85546875" style="165" bestFit="1" customWidth="1"/>
    <col min="9242" max="9242" width="11.7109375" style="165" bestFit="1" customWidth="1"/>
    <col min="9243" max="9243" width="13.140625" style="165" bestFit="1" customWidth="1"/>
    <col min="9244" max="9244" width="5.5703125" style="165" bestFit="1" customWidth="1"/>
    <col min="9245" max="9245" width="10" style="165" bestFit="1" customWidth="1"/>
    <col min="9246" max="9247" width="14" style="165" bestFit="1" customWidth="1"/>
    <col min="9248" max="9249" width="13.140625" style="165" bestFit="1" customWidth="1"/>
    <col min="9250" max="9250" width="14" style="165" bestFit="1" customWidth="1"/>
    <col min="9251" max="9254" width="9.28515625" style="165" bestFit="1" customWidth="1"/>
    <col min="9255" max="9256" width="11.7109375" style="165" bestFit="1" customWidth="1"/>
    <col min="9257" max="9257" width="9.28515625" style="165" bestFit="1" customWidth="1"/>
    <col min="9258" max="9258" width="11.7109375" style="165" bestFit="1" customWidth="1"/>
    <col min="9259" max="9259" width="13.140625" style="165" bestFit="1" customWidth="1"/>
    <col min="9260" max="9261" width="11.7109375" style="165" bestFit="1" customWidth="1"/>
    <col min="9262" max="9262" width="9.28515625" style="165" bestFit="1" customWidth="1"/>
    <col min="9263" max="9263" width="13.140625" style="165" bestFit="1" customWidth="1"/>
    <col min="9264" max="9264" width="9.28515625" style="165" bestFit="1" customWidth="1"/>
    <col min="9265" max="9266" width="13.140625" style="165" bestFit="1" customWidth="1"/>
    <col min="9267" max="9267" width="14.85546875" style="165" bestFit="1" customWidth="1"/>
    <col min="9268" max="9472" width="9.140625" style="165"/>
    <col min="9473" max="9473" width="9" style="165" customWidth="1"/>
    <col min="9474" max="9474" width="8.85546875" style="165" bestFit="1" customWidth="1"/>
    <col min="9475" max="9475" width="8.7109375" style="165" bestFit="1" customWidth="1"/>
    <col min="9476" max="9476" width="8.85546875" style="165" bestFit="1" customWidth="1"/>
    <col min="9477" max="9477" width="8" style="165" bestFit="1" customWidth="1"/>
    <col min="9478" max="9478" width="9" style="165" bestFit="1" customWidth="1"/>
    <col min="9479" max="9479" width="10.140625" style="165" customWidth="1"/>
    <col min="9480" max="9480" width="11" style="165" bestFit="1" customWidth="1"/>
    <col min="9481" max="9482" width="10.5703125" style="165" bestFit="1" customWidth="1"/>
    <col min="9483" max="9483" width="9.85546875" style="165" customWidth="1"/>
    <col min="9484" max="9484" width="11.5703125" style="165" customWidth="1"/>
    <col min="9485" max="9485" width="11.42578125" style="165" customWidth="1"/>
    <col min="9486" max="9486" width="10.140625" style="165" customWidth="1"/>
    <col min="9487" max="9487" width="10.28515625" style="165" bestFit="1" customWidth="1"/>
    <col min="9488" max="9488" width="12.140625" style="165" bestFit="1" customWidth="1"/>
    <col min="9489" max="9489" width="12" style="165" bestFit="1" customWidth="1"/>
    <col min="9490" max="9490" width="12.140625" style="165" customWidth="1"/>
    <col min="9491" max="9491" width="10.85546875" style="165" customWidth="1"/>
    <col min="9492" max="9492" width="8.85546875" style="165" bestFit="1" customWidth="1"/>
    <col min="9493" max="9493" width="9" style="165" bestFit="1" customWidth="1"/>
    <col min="9494" max="9494" width="8.5703125" style="165" bestFit="1" customWidth="1"/>
    <col min="9495" max="9495" width="7.85546875" style="165" bestFit="1" customWidth="1"/>
    <col min="9496" max="9496" width="8.85546875" style="165" bestFit="1" customWidth="1"/>
    <col min="9497" max="9497" width="11.85546875" style="165" bestFit="1" customWidth="1"/>
    <col min="9498" max="9498" width="11.7109375" style="165" bestFit="1" customWidth="1"/>
    <col min="9499" max="9499" width="13.140625" style="165" bestFit="1" customWidth="1"/>
    <col min="9500" max="9500" width="5.5703125" style="165" bestFit="1" customWidth="1"/>
    <col min="9501" max="9501" width="10" style="165" bestFit="1" customWidth="1"/>
    <col min="9502" max="9503" width="14" style="165" bestFit="1" customWidth="1"/>
    <col min="9504" max="9505" width="13.140625" style="165" bestFit="1" customWidth="1"/>
    <col min="9506" max="9506" width="14" style="165" bestFit="1" customWidth="1"/>
    <col min="9507" max="9510" width="9.28515625" style="165" bestFit="1" customWidth="1"/>
    <col min="9511" max="9512" width="11.7109375" style="165" bestFit="1" customWidth="1"/>
    <col min="9513" max="9513" width="9.28515625" style="165" bestFit="1" customWidth="1"/>
    <col min="9514" max="9514" width="11.7109375" style="165" bestFit="1" customWidth="1"/>
    <col min="9515" max="9515" width="13.140625" style="165" bestFit="1" customWidth="1"/>
    <col min="9516" max="9517" width="11.7109375" style="165" bestFit="1" customWidth="1"/>
    <col min="9518" max="9518" width="9.28515625" style="165" bestFit="1" customWidth="1"/>
    <col min="9519" max="9519" width="13.140625" style="165" bestFit="1" customWidth="1"/>
    <col min="9520" max="9520" width="9.28515625" style="165" bestFit="1" customWidth="1"/>
    <col min="9521" max="9522" width="13.140625" style="165" bestFit="1" customWidth="1"/>
    <col min="9523" max="9523" width="14.85546875" style="165" bestFit="1" customWidth="1"/>
    <col min="9524" max="9728" width="9.140625" style="165"/>
    <col min="9729" max="9729" width="9" style="165" customWidth="1"/>
    <col min="9730" max="9730" width="8.85546875" style="165" bestFit="1" customWidth="1"/>
    <col min="9731" max="9731" width="8.7109375" style="165" bestFit="1" customWidth="1"/>
    <col min="9732" max="9732" width="8.85546875" style="165" bestFit="1" customWidth="1"/>
    <col min="9733" max="9733" width="8" style="165" bestFit="1" customWidth="1"/>
    <col min="9734" max="9734" width="9" style="165" bestFit="1" customWidth="1"/>
    <col min="9735" max="9735" width="10.140625" style="165" customWidth="1"/>
    <col min="9736" max="9736" width="11" style="165" bestFit="1" customWidth="1"/>
    <col min="9737" max="9738" width="10.5703125" style="165" bestFit="1" customWidth="1"/>
    <col min="9739" max="9739" width="9.85546875" style="165" customWidth="1"/>
    <col min="9740" max="9740" width="11.5703125" style="165" customWidth="1"/>
    <col min="9741" max="9741" width="11.42578125" style="165" customWidth="1"/>
    <col min="9742" max="9742" width="10.140625" style="165" customWidth="1"/>
    <col min="9743" max="9743" width="10.28515625" style="165" bestFit="1" customWidth="1"/>
    <col min="9744" max="9744" width="12.140625" style="165" bestFit="1" customWidth="1"/>
    <col min="9745" max="9745" width="12" style="165" bestFit="1" customWidth="1"/>
    <col min="9746" max="9746" width="12.140625" style="165" customWidth="1"/>
    <col min="9747" max="9747" width="10.85546875" style="165" customWidth="1"/>
    <col min="9748" max="9748" width="8.85546875" style="165" bestFit="1" customWidth="1"/>
    <col min="9749" max="9749" width="9" style="165" bestFit="1" customWidth="1"/>
    <col min="9750" max="9750" width="8.5703125" style="165" bestFit="1" customWidth="1"/>
    <col min="9751" max="9751" width="7.85546875" style="165" bestFit="1" customWidth="1"/>
    <col min="9752" max="9752" width="8.85546875" style="165" bestFit="1" customWidth="1"/>
    <col min="9753" max="9753" width="11.85546875" style="165" bestFit="1" customWidth="1"/>
    <col min="9754" max="9754" width="11.7109375" style="165" bestFit="1" customWidth="1"/>
    <col min="9755" max="9755" width="13.140625" style="165" bestFit="1" customWidth="1"/>
    <col min="9756" max="9756" width="5.5703125" style="165" bestFit="1" customWidth="1"/>
    <col min="9757" max="9757" width="10" style="165" bestFit="1" customWidth="1"/>
    <col min="9758" max="9759" width="14" style="165" bestFit="1" customWidth="1"/>
    <col min="9760" max="9761" width="13.140625" style="165" bestFit="1" customWidth="1"/>
    <col min="9762" max="9762" width="14" style="165" bestFit="1" customWidth="1"/>
    <col min="9763" max="9766" width="9.28515625" style="165" bestFit="1" customWidth="1"/>
    <col min="9767" max="9768" width="11.7109375" style="165" bestFit="1" customWidth="1"/>
    <col min="9769" max="9769" width="9.28515625" style="165" bestFit="1" customWidth="1"/>
    <col min="9770" max="9770" width="11.7109375" style="165" bestFit="1" customWidth="1"/>
    <col min="9771" max="9771" width="13.140625" style="165" bestFit="1" customWidth="1"/>
    <col min="9772" max="9773" width="11.7109375" style="165" bestFit="1" customWidth="1"/>
    <col min="9774" max="9774" width="9.28515625" style="165" bestFit="1" customWidth="1"/>
    <col min="9775" max="9775" width="13.140625" style="165" bestFit="1" customWidth="1"/>
    <col min="9776" max="9776" width="9.28515625" style="165" bestFit="1" customWidth="1"/>
    <col min="9777" max="9778" width="13.140625" style="165" bestFit="1" customWidth="1"/>
    <col min="9779" max="9779" width="14.85546875" style="165" bestFit="1" customWidth="1"/>
    <col min="9780" max="9984" width="9.140625" style="165"/>
    <col min="9985" max="9985" width="9" style="165" customWidth="1"/>
    <col min="9986" max="9986" width="8.85546875" style="165" bestFit="1" customWidth="1"/>
    <col min="9987" max="9987" width="8.7109375" style="165" bestFit="1" customWidth="1"/>
    <col min="9988" max="9988" width="8.85546875" style="165" bestFit="1" customWidth="1"/>
    <col min="9989" max="9989" width="8" style="165" bestFit="1" customWidth="1"/>
    <col min="9990" max="9990" width="9" style="165" bestFit="1" customWidth="1"/>
    <col min="9991" max="9991" width="10.140625" style="165" customWidth="1"/>
    <col min="9992" max="9992" width="11" style="165" bestFit="1" customWidth="1"/>
    <col min="9993" max="9994" width="10.5703125" style="165" bestFit="1" customWidth="1"/>
    <col min="9995" max="9995" width="9.85546875" style="165" customWidth="1"/>
    <col min="9996" max="9996" width="11.5703125" style="165" customWidth="1"/>
    <col min="9997" max="9997" width="11.42578125" style="165" customWidth="1"/>
    <col min="9998" max="9998" width="10.140625" style="165" customWidth="1"/>
    <col min="9999" max="9999" width="10.28515625" style="165" bestFit="1" customWidth="1"/>
    <col min="10000" max="10000" width="12.140625" style="165" bestFit="1" customWidth="1"/>
    <col min="10001" max="10001" width="12" style="165" bestFit="1" customWidth="1"/>
    <col min="10002" max="10002" width="12.140625" style="165" customWidth="1"/>
    <col min="10003" max="10003" width="10.85546875" style="165" customWidth="1"/>
    <col min="10004" max="10004" width="8.85546875" style="165" bestFit="1" customWidth="1"/>
    <col min="10005" max="10005" width="9" style="165" bestFit="1" customWidth="1"/>
    <col min="10006" max="10006" width="8.5703125" style="165" bestFit="1" customWidth="1"/>
    <col min="10007" max="10007" width="7.85546875" style="165" bestFit="1" customWidth="1"/>
    <col min="10008" max="10008" width="8.85546875" style="165" bestFit="1" customWidth="1"/>
    <col min="10009" max="10009" width="11.85546875" style="165" bestFit="1" customWidth="1"/>
    <col min="10010" max="10010" width="11.7109375" style="165" bestFit="1" customWidth="1"/>
    <col min="10011" max="10011" width="13.140625" style="165" bestFit="1" customWidth="1"/>
    <col min="10012" max="10012" width="5.5703125" style="165" bestFit="1" customWidth="1"/>
    <col min="10013" max="10013" width="10" style="165" bestFit="1" customWidth="1"/>
    <col min="10014" max="10015" width="14" style="165" bestFit="1" customWidth="1"/>
    <col min="10016" max="10017" width="13.140625" style="165" bestFit="1" customWidth="1"/>
    <col min="10018" max="10018" width="14" style="165" bestFit="1" customWidth="1"/>
    <col min="10019" max="10022" width="9.28515625" style="165" bestFit="1" customWidth="1"/>
    <col min="10023" max="10024" width="11.7109375" style="165" bestFit="1" customWidth="1"/>
    <col min="10025" max="10025" width="9.28515625" style="165" bestFit="1" customWidth="1"/>
    <col min="10026" max="10026" width="11.7109375" style="165" bestFit="1" customWidth="1"/>
    <col min="10027" max="10027" width="13.140625" style="165" bestFit="1" customWidth="1"/>
    <col min="10028" max="10029" width="11.7109375" style="165" bestFit="1" customWidth="1"/>
    <col min="10030" max="10030" width="9.28515625" style="165" bestFit="1" customWidth="1"/>
    <col min="10031" max="10031" width="13.140625" style="165" bestFit="1" customWidth="1"/>
    <col min="10032" max="10032" width="9.28515625" style="165" bestFit="1" customWidth="1"/>
    <col min="10033" max="10034" width="13.140625" style="165" bestFit="1" customWidth="1"/>
    <col min="10035" max="10035" width="14.85546875" style="165" bestFit="1" customWidth="1"/>
    <col min="10036" max="10240" width="9.140625" style="165"/>
    <col min="10241" max="10241" width="9" style="165" customWidth="1"/>
    <col min="10242" max="10242" width="8.85546875" style="165" bestFit="1" customWidth="1"/>
    <col min="10243" max="10243" width="8.7109375" style="165" bestFit="1" customWidth="1"/>
    <col min="10244" max="10244" width="8.85546875" style="165" bestFit="1" customWidth="1"/>
    <col min="10245" max="10245" width="8" style="165" bestFit="1" customWidth="1"/>
    <col min="10246" max="10246" width="9" style="165" bestFit="1" customWidth="1"/>
    <col min="10247" max="10247" width="10.140625" style="165" customWidth="1"/>
    <col min="10248" max="10248" width="11" style="165" bestFit="1" customWidth="1"/>
    <col min="10249" max="10250" width="10.5703125" style="165" bestFit="1" customWidth="1"/>
    <col min="10251" max="10251" width="9.85546875" style="165" customWidth="1"/>
    <col min="10252" max="10252" width="11.5703125" style="165" customWidth="1"/>
    <col min="10253" max="10253" width="11.42578125" style="165" customWidth="1"/>
    <col min="10254" max="10254" width="10.140625" style="165" customWidth="1"/>
    <col min="10255" max="10255" width="10.28515625" style="165" bestFit="1" customWidth="1"/>
    <col min="10256" max="10256" width="12.140625" style="165" bestFit="1" customWidth="1"/>
    <col min="10257" max="10257" width="12" style="165" bestFit="1" customWidth="1"/>
    <col min="10258" max="10258" width="12.140625" style="165" customWidth="1"/>
    <col min="10259" max="10259" width="10.85546875" style="165" customWidth="1"/>
    <col min="10260" max="10260" width="8.85546875" style="165" bestFit="1" customWidth="1"/>
    <col min="10261" max="10261" width="9" style="165" bestFit="1" customWidth="1"/>
    <col min="10262" max="10262" width="8.5703125" style="165" bestFit="1" customWidth="1"/>
    <col min="10263" max="10263" width="7.85546875" style="165" bestFit="1" customWidth="1"/>
    <col min="10264" max="10264" width="8.85546875" style="165" bestFit="1" customWidth="1"/>
    <col min="10265" max="10265" width="11.85546875" style="165" bestFit="1" customWidth="1"/>
    <col min="10266" max="10266" width="11.7109375" style="165" bestFit="1" customWidth="1"/>
    <col min="10267" max="10267" width="13.140625" style="165" bestFit="1" customWidth="1"/>
    <col min="10268" max="10268" width="5.5703125" style="165" bestFit="1" customWidth="1"/>
    <col min="10269" max="10269" width="10" style="165" bestFit="1" customWidth="1"/>
    <col min="10270" max="10271" width="14" style="165" bestFit="1" customWidth="1"/>
    <col min="10272" max="10273" width="13.140625" style="165" bestFit="1" customWidth="1"/>
    <col min="10274" max="10274" width="14" style="165" bestFit="1" customWidth="1"/>
    <col min="10275" max="10278" width="9.28515625" style="165" bestFit="1" customWidth="1"/>
    <col min="10279" max="10280" width="11.7109375" style="165" bestFit="1" customWidth="1"/>
    <col min="10281" max="10281" width="9.28515625" style="165" bestFit="1" customWidth="1"/>
    <col min="10282" max="10282" width="11.7109375" style="165" bestFit="1" customWidth="1"/>
    <col min="10283" max="10283" width="13.140625" style="165" bestFit="1" customWidth="1"/>
    <col min="10284" max="10285" width="11.7109375" style="165" bestFit="1" customWidth="1"/>
    <col min="10286" max="10286" width="9.28515625" style="165" bestFit="1" customWidth="1"/>
    <col min="10287" max="10287" width="13.140625" style="165" bestFit="1" customWidth="1"/>
    <col min="10288" max="10288" width="9.28515625" style="165" bestFit="1" customWidth="1"/>
    <col min="10289" max="10290" width="13.140625" style="165" bestFit="1" customWidth="1"/>
    <col min="10291" max="10291" width="14.85546875" style="165" bestFit="1" customWidth="1"/>
    <col min="10292" max="10496" width="9.140625" style="165"/>
    <col min="10497" max="10497" width="9" style="165" customWidth="1"/>
    <col min="10498" max="10498" width="8.85546875" style="165" bestFit="1" customWidth="1"/>
    <col min="10499" max="10499" width="8.7109375" style="165" bestFit="1" customWidth="1"/>
    <col min="10500" max="10500" width="8.85546875" style="165" bestFit="1" customWidth="1"/>
    <col min="10501" max="10501" width="8" style="165" bestFit="1" customWidth="1"/>
    <col min="10502" max="10502" width="9" style="165" bestFit="1" customWidth="1"/>
    <col min="10503" max="10503" width="10.140625" style="165" customWidth="1"/>
    <col min="10504" max="10504" width="11" style="165" bestFit="1" customWidth="1"/>
    <col min="10505" max="10506" width="10.5703125" style="165" bestFit="1" customWidth="1"/>
    <col min="10507" max="10507" width="9.85546875" style="165" customWidth="1"/>
    <col min="10508" max="10508" width="11.5703125" style="165" customWidth="1"/>
    <col min="10509" max="10509" width="11.42578125" style="165" customWidth="1"/>
    <col min="10510" max="10510" width="10.140625" style="165" customWidth="1"/>
    <col min="10511" max="10511" width="10.28515625" style="165" bestFit="1" customWidth="1"/>
    <col min="10512" max="10512" width="12.140625" style="165" bestFit="1" customWidth="1"/>
    <col min="10513" max="10513" width="12" style="165" bestFit="1" customWidth="1"/>
    <col min="10514" max="10514" width="12.140625" style="165" customWidth="1"/>
    <col min="10515" max="10515" width="10.85546875" style="165" customWidth="1"/>
    <col min="10516" max="10516" width="8.85546875" style="165" bestFit="1" customWidth="1"/>
    <col min="10517" max="10517" width="9" style="165" bestFit="1" customWidth="1"/>
    <col min="10518" max="10518" width="8.5703125" style="165" bestFit="1" customWidth="1"/>
    <col min="10519" max="10519" width="7.85546875" style="165" bestFit="1" customWidth="1"/>
    <col min="10520" max="10520" width="8.85546875" style="165" bestFit="1" customWidth="1"/>
    <col min="10521" max="10521" width="11.85546875" style="165" bestFit="1" customWidth="1"/>
    <col min="10522" max="10522" width="11.7109375" style="165" bestFit="1" customWidth="1"/>
    <col min="10523" max="10523" width="13.140625" style="165" bestFit="1" customWidth="1"/>
    <col min="10524" max="10524" width="5.5703125" style="165" bestFit="1" customWidth="1"/>
    <col min="10525" max="10525" width="10" style="165" bestFit="1" customWidth="1"/>
    <col min="10526" max="10527" width="14" style="165" bestFit="1" customWidth="1"/>
    <col min="10528" max="10529" width="13.140625" style="165" bestFit="1" customWidth="1"/>
    <col min="10530" max="10530" width="14" style="165" bestFit="1" customWidth="1"/>
    <col min="10531" max="10534" width="9.28515625" style="165" bestFit="1" customWidth="1"/>
    <col min="10535" max="10536" width="11.7109375" style="165" bestFit="1" customWidth="1"/>
    <col min="10537" max="10537" width="9.28515625" style="165" bestFit="1" customWidth="1"/>
    <col min="10538" max="10538" width="11.7109375" style="165" bestFit="1" customWidth="1"/>
    <col min="10539" max="10539" width="13.140625" style="165" bestFit="1" customWidth="1"/>
    <col min="10540" max="10541" width="11.7109375" style="165" bestFit="1" customWidth="1"/>
    <col min="10542" max="10542" width="9.28515625" style="165" bestFit="1" customWidth="1"/>
    <col min="10543" max="10543" width="13.140625" style="165" bestFit="1" customWidth="1"/>
    <col min="10544" max="10544" width="9.28515625" style="165" bestFit="1" customWidth="1"/>
    <col min="10545" max="10546" width="13.140625" style="165" bestFit="1" customWidth="1"/>
    <col min="10547" max="10547" width="14.85546875" style="165" bestFit="1" customWidth="1"/>
    <col min="10548" max="10752" width="9.140625" style="165"/>
    <col min="10753" max="10753" width="9" style="165" customWidth="1"/>
    <col min="10754" max="10754" width="8.85546875" style="165" bestFit="1" customWidth="1"/>
    <col min="10755" max="10755" width="8.7109375" style="165" bestFit="1" customWidth="1"/>
    <col min="10756" max="10756" width="8.85546875" style="165" bestFit="1" customWidth="1"/>
    <col min="10757" max="10757" width="8" style="165" bestFit="1" customWidth="1"/>
    <col min="10758" max="10758" width="9" style="165" bestFit="1" customWidth="1"/>
    <col min="10759" max="10759" width="10.140625" style="165" customWidth="1"/>
    <col min="10760" max="10760" width="11" style="165" bestFit="1" customWidth="1"/>
    <col min="10761" max="10762" width="10.5703125" style="165" bestFit="1" customWidth="1"/>
    <col min="10763" max="10763" width="9.85546875" style="165" customWidth="1"/>
    <col min="10764" max="10764" width="11.5703125" style="165" customWidth="1"/>
    <col min="10765" max="10765" width="11.42578125" style="165" customWidth="1"/>
    <col min="10766" max="10766" width="10.140625" style="165" customWidth="1"/>
    <col min="10767" max="10767" width="10.28515625" style="165" bestFit="1" customWidth="1"/>
    <col min="10768" max="10768" width="12.140625" style="165" bestFit="1" customWidth="1"/>
    <col min="10769" max="10769" width="12" style="165" bestFit="1" customWidth="1"/>
    <col min="10770" max="10770" width="12.140625" style="165" customWidth="1"/>
    <col min="10771" max="10771" width="10.85546875" style="165" customWidth="1"/>
    <col min="10772" max="10772" width="8.85546875" style="165" bestFit="1" customWidth="1"/>
    <col min="10773" max="10773" width="9" style="165" bestFit="1" customWidth="1"/>
    <col min="10774" max="10774" width="8.5703125" style="165" bestFit="1" customWidth="1"/>
    <col min="10775" max="10775" width="7.85546875" style="165" bestFit="1" customWidth="1"/>
    <col min="10776" max="10776" width="8.85546875" style="165" bestFit="1" customWidth="1"/>
    <col min="10777" max="10777" width="11.85546875" style="165" bestFit="1" customWidth="1"/>
    <col min="10778" max="10778" width="11.7109375" style="165" bestFit="1" customWidth="1"/>
    <col min="10779" max="10779" width="13.140625" style="165" bestFit="1" customWidth="1"/>
    <col min="10780" max="10780" width="5.5703125" style="165" bestFit="1" customWidth="1"/>
    <col min="10781" max="10781" width="10" style="165" bestFit="1" customWidth="1"/>
    <col min="10782" max="10783" width="14" style="165" bestFit="1" customWidth="1"/>
    <col min="10784" max="10785" width="13.140625" style="165" bestFit="1" customWidth="1"/>
    <col min="10786" max="10786" width="14" style="165" bestFit="1" customWidth="1"/>
    <col min="10787" max="10790" width="9.28515625" style="165" bestFit="1" customWidth="1"/>
    <col min="10791" max="10792" width="11.7109375" style="165" bestFit="1" customWidth="1"/>
    <col min="10793" max="10793" width="9.28515625" style="165" bestFit="1" customWidth="1"/>
    <col min="10794" max="10794" width="11.7109375" style="165" bestFit="1" customWidth="1"/>
    <col min="10795" max="10795" width="13.140625" style="165" bestFit="1" customWidth="1"/>
    <col min="10796" max="10797" width="11.7109375" style="165" bestFit="1" customWidth="1"/>
    <col min="10798" max="10798" width="9.28515625" style="165" bestFit="1" customWidth="1"/>
    <col min="10799" max="10799" width="13.140625" style="165" bestFit="1" customWidth="1"/>
    <col min="10800" max="10800" width="9.28515625" style="165" bestFit="1" customWidth="1"/>
    <col min="10801" max="10802" width="13.140625" style="165" bestFit="1" customWidth="1"/>
    <col min="10803" max="10803" width="14.85546875" style="165" bestFit="1" customWidth="1"/>
    <col min="10804" max="11008" width="9.140625" style="165"/>
    <col min="11009" max="11009" width="9" style="165" customWidth="1"/>
    <col min="11010" max="11010" width="8.85546875" style="165" bestFit="1" customWidth="1"/>
    <col min="11011" max="11011" width="8.7109375" style="165" bestFit="1" customWidth="1"/>
    <col min="11012" max="11012" width="8.85546875" style="165" bestFit="1" customWidth="1"/>
    <col min="11013" max="11013" width="8" style="165" bestFit="1" customWidth="1"/>
    <col min="11014" max="11014" width="9" style="165" bestFit="1" customWidth="1"/>
    <col min="11015" max="11015" width="10.140625" style="165" customWidth="1"/>
    <col min="11016" max="11016" width="11" style="165" bestFit="1" customWidth="1"/>
    <col min="11017" max="11018" width="10.5703125" style="165" bestFit="1" customWidth="1"/>
    <col min="11019" max="11019" width="9.85546875" style="165" customWidth="1"/>
    <col min="11020" max="11020" width="11.5703125" style="165" customWidth="1"/>
    <col min="11021" max="11021" width="11.42578125" style="165" customWidth="1"/>
    <col min="11022" max="11022" width="10.140625" style="165" customWidth="1"/>
    <col min="11023" max="11023" width="10.28515625" style="165" bestFit="1" customWidth="1"/>
    <col min="11024" max="11024" width="12.140625" style="165" bestFit="1" customWidth="1"/>
    <col min="11025" max="11025" width="12" style="165" bestFit="1" customWidth="1"/>
    <col min="11026" max="11026" width="12.140625" style="165" customWidth="1"/>
    <col min="11027" max="11027" width="10.85546875" style="165" customWidth="1"/>
    <col min="11028" max="11028" width="8.85546875" style="165" bestFit="1" customWidth="1"/>
    <col min="11029" max="11029" width="9" style="165" bestFit="1" customWidth="1"/>
    <col min="11030" max="11030" width="8.5703125" style="165" bestFit="1" customWidth="1"/>
    <col min="11031" max="11031" width="7.85546875" style="165" bestFit="1" customWidth="1"/>
    <col min="11032" max="11032" width="8.85546875" style="165" bestFit="1" customWidth="1"/>
    <col min="11033" max="11033" width="11.85546875" style="165" bestFit="1" customWidth="1"/>
    <col min="11034" max="11034" width="11.7109375" style="165" bestFit="1" customWidth="1"/>
    <col min="11035" max="11035" width="13.140625" style="165" bestFit="1" customWidth="1"/>
    <col min="11036" max="11036" width="5.5703125" style="165" bestFit="1" customWidth="1"/>
    <col min="11037" max="11037" width="10" style="165" bestFit="1" customWidth="1"/>
    <col min="11038" max="11039" width="14" style="165" bestFit="1" customWidth="1"/>
    <col min="11040" max="11041" width="13.140625" style="165" bestFit="1" customWidth="1"/>
    <col min="11042" max="11042" width="14" style="165" bestFit="1" customWidth="1"/>
    <col min="11043" max="11046" width="9.28515625" style="165" bestFit="1" customWidth="1"/>
    <col min="11047" max="11048" width="11.7109375" style="165" bestFit="1" customWidth="1"/>
    <col min="11049" max="11049" width="9.28515625" style="165" bestFit="1" customWidth="1"/>
    <col min="11050" max="11050" width="11.7109375" style="165" bestFit="1" customWidth="1"/>
    <col min="11051" max="11051" width="13.140625" style="165" bestFit="1" customWidth="1"/>
    <col min="11052" max="11053" width="11.7109375" style="165" bestFit="1" customWidth="1"/>
    <col min="11054" max="11054" width="9.28515625" style="165" bestFit="1" customWidth="1"/>
    <col min="11055" max="11055" width="13.140625" style="165" bestFit="1" customWidth="1"/>
    <col min="11056" max="11056" width="9.28515625" style="165" bestFit="1" customWidth="1"/>
    <col min="11057" max="11058" width="13.140625" style="165" bestFit="1" customWidth="1"/>
    <col min="11059" max="11059" width="14.85546875" style="165" bestFit="1" customWidth="1"/>
    <col min="11060" max="11264" width="9.140625" style="165"/>
    <col min="11265" max="11265" width="9" style="165" customWidth="1"/>
    <col min="11266" max="11266" width="8.85546875" style="165" bestFit="1" customWidth="1"/>
    <col min="11267" max="11267" width="8.7109375" style="165" bestFit="1" customWidth="1"/>
    <col min="11268" max="11268" width="8.85546875" style="165" bestFit="1" customWidth="1"/>
    <col min="11269" max="11269" width="8" style="165" bestFit="1" customWidth="1"/>
    <col min="11270" max="11270" width="9" style="165" bestFit="1" customWidth="1"/>
    <col min="11271" max="11271" width="10.140625" style="165" customWidth="1"/>
    <col min="11272" max="11272" width="11" style="165" bestFit="1" customWidth="1"/>
    <col min="11273" max="11274" width="10.5703125" style="165" bestFit="1" customWidth="1"/>
    <col min="11275" max="11275" width="9.85546875" style="165" customWidth="1"/>
    <col min="11276" max="11276" width="11.5703125" style="165" customWidth="1"/>
    <col min="11277" max="11277" width="11.42578125" style="165" customWidth="1"/>
    <col min="11278" max="11278" width="10.140625" style="165" customWidth="1"/>
    <col min="11279" max="11279" width="10.28515625" style="165" bestFit="1" customWidth="1"/>
    <col min="11280" max="11280" width="12.140625" style="165" bestFit="1" customWidth="1"/>
    <col min="11281" max="11281" width="12" style="165" bestFit="1" customWidth="1"/>
    <col min="11282" max="11282" width="12.140625" style="165" customWidth="1"/>
    <col min="11283" max="11283" width="10.85546875" style="165" customWidth="1"/>
    <col min="11284" max="11284" width="8.85546875" style="165" bestFit="1" customWidth="1"/>
    <col min="11285" max="11285" width="9" style="165" bestFit="1" customWidth="1"/>
    <col min="11286" max="11286" width="8.5703125" style="165" bestFit="1" customWidth="1"/>
    <col min="11287" max="11287" width="7.85546875" style="165" bestFit="1" customWidth="1"/>
    <col min="11288" max="11288" width="8.85546875" style="165" bestFit="1" customWidth="1"/>
    <col min="11289" max="11289" width="11.85546875" style="165" bestFit="1" customWidth="1"/>
    <col min="11290" max="11290" width="11.7109375" style="165" bestFit="1" customWidth="1"/>
    <col min="11291" max="11291" width="13.140625" style="165" bestFit="1" customWidth="1"/>
    <col min="11292" max="11292" width="5.5703125" style="165" bestFit="1" customWidth="1"/>
    <col min="11293" max="11293" width="10" style="165" bestFit="1" customWidth="1"/>
    <col min="11294" max="11295" width="14" style="165" bestFit="1" customWidth="1"/>
    <col min="11296" max="11297" width="13.140625" style="165" bestFit="1" customWidth="1"/>
    <col min="11298" max="11298" width="14" style="165" bestFit="1" customWidth="1"/>
    <col min="11299" max="11302" width="9.28515625" style="165" bestFit="1" customWidth="1"/>
    <col min="11303" max="11304" width="11.7109375" style="165" bestFit="1" customWidth="1"/>
    <col min="11305" max="11305" width="9.28515625" style="165" bestFit="1" customWidth="1"/>
    <col min="11306" max="11306" width="11.7109375" style="165" bestFit="1" customWidth="1"/>
    <col min="11307" max="11307" width="13.140625" style="165" bestFit="1" customWidth="1"/>
    <col min="11308" max="11309" width="11.7109375" style="165" bestFit="1" customWidth="1"/>
    <col min="11310" max="11310" width="9.28515625" style="165" bestFit="1" customWidth="1"/>
    <col min="11311" max="11311" width="13.140625" style="165" bestFit="1" customWidth="1"/>
    <col min="11312" max="11312" width="9.28515625" style="165" bestFit="1" customWidth="1"/>
    <col min="11313" max="11314" width="13.140625" style="165" bestFit="1" customWidth="1"/>
    <col min="11315" max="11315" width="14.85546875" style="165" bestFit="1" customWidth="1"/>
    <col min="11316" max="11520" width="9.140625" style="165"/>
    <col min="11521" max="11521" width="9" style="165" customWidth="1"/>
    <col min="11522" max="11522" width="8.85546875" style="165" bestFit="1" customWidth="1"/>
    <col min="11523" max="11523" width="8.7109375" style="165" bestFit="1" customWidth="1"/>
    <col min="11524" max="11524" width="8.85546875" style="165" bestFit="1" customWidth="1"/>
    <col min="11525" max="11525" width="8" style="165" bestFit="1" customWidth="1"/>
    <col min="11526" max="11526" width="9" style="165" bestFit="1" customWidth="1"/>
    <col min="11527" max="11527" width="10.140625" style="165" customWidth="1"/>
    <col min="11528" max="11528" width="11" style="165" bestFit="1" customWidth="1"/>
    <col min="11529" max="11530" width="10.5703125" style="165" bestFit="1" customWidth="1"/>
    <col min="11531" max="11531" width="9.85546875" style="165" customWidth="1"/>
    <col min="11532" max="11532" width="11.5703125" style="165" customWidth="1"/>
    <col min="11533" max="11533" width="11.42578125" style="165" customWidth="1"/>
    <col min="11534" max="11534" width="10.140625" style="165" customWidth="1"/>
    <col min="11535" max="11535" width="10.28515625" style="165" bestFit="1" customWidth="1"/>
    <col min="11536" max="11536" width="12.140625" style="165" bestFit="1" customWidth="1"/>
    <col min="11537" max="11537" width="12" style="165" bestFit="1" customWidth="1"/>
    <col min="11538" max="11538" width="12.140625" style="165" customWidth="1"/>
    <col min="11539" max="11539" width="10.85546875" style="165" customWidth="1"/>
    <col min="11540" max="11540" width="8.85546875" style="165" bestFit="1" customWidth="1"/>
    <col min="11541" max="11541" width="9" style="165" bestFit="1" customWidth="1"/>
    <col min="11542" max="11542" width="8.5703125" style="165" bestFit="1" customWidth="1"/>
    <col min="11543" max="11543" width="7.85546875" style="165" bestFit="1" customWidth="1"/>
    <col min="11544" max="11544" width="8.85546875" style="165" bestFit="1" customWidth="1"/>
    <col min="11545" max="11545" width="11.85546875" style="165" bestFit="1" customWidth="1"/>
    <col min="11546" max="11546" width="11.7109375" style="165" bestFit="1" customWidth="1"/>
    <col min="11547" max="11547" width="13.140625" style="165" bestFit="1" customWidth="1"/>
    <col min="11548" max="11548" width="5.5703125" style="165" bestFit="1" customWidth="1"/>
    <col min="11549" max="11549" width="10" style="165" bestFit="1" customWidth="1"/>
    <col min="11550" max="11551" width="14" style="165" bestFit="1" customWidth="1"/>
    <col min="11552" max="11553" width="13.140625" style="165" bestFit="1" customWidth="1"/>
    <col min="11554" max="11554" width="14" style="165" bestFit="1" customWidth="1"/>
    <col min="11555" max="11558" width="9.28515625" style="165" bestFit="1" customWidth="1"/>
    <col min="11559" max="11560" width="11.7109375" style="165" bestFit="1" customWidth="1"/>
    <col min="11561" max="11561" width="9.28515625" style="165" bestFit="1" customWidth="1"/>
    <col min="11562" max="11562" width="11.7109375" style="165" bestFit="1" customWidth="1"/>
    <col min="11563" max="11563" width="13.140625" style="165" bestFit="1" customWidth="1"/>
    <col min="11564" max="11565" width="11.7109375" style="165" bestFit="1" customWidth="1"/>
    <col min="11566" max="11566" width="9.28515625" style="165" bestFit="1" customWidth="1"/>
    <col min="11567" max="11567" width="13.140625" style="165" bestFit="1" customWidth="1"/>
    <col min="11568" max="11568" width="9.28515625" style="165" bestFit="1" customWidth="1"/>
    <col min="11569" max="11570" width="13.140625" style="165" bestFit="1" customWidth="1"/>
    <col min="11571" max="11571" width="14.85546875" style="165" bestFit="1" customWidth="1"/>
    <col min="11572" max="11776" width="9.140625" style="165"/>
    <col min="11777" max="11777" width="9" style="165" customWidth="1"/>
    <col min="11778" max="11778" width="8.85546875" style="165" bestFit="1" customWidth="1"/>
    <col min="11779" max="11779" width="8.7109375" style="165" bestFit="1" customWidth="1"/>
    <col min="11780" max="11780" width="8.85546875" style="165" bestFit="1" customWidth="1"/>
    <col min="11781" max="11781" width="8" style="165" bestFit="1" customWidth="1"/>
    <col min="11782" max="11782" width="9" style="165" bestFit="1" customWidth="1"/>
    <col min="11783" max="11783" width="10.140625" style="165" customWidth="1"/>
    <col min="11784" max="11784" width="11" style="165" bestFit="1" customWidth="1"/>
    <col min="11785" max="11786" width="10.5703125" style="165" bestFit="1" customWidth="1"/>
    <col min="11787" max="11787" width="9.85546875" style="165" customWidth="1"/>
    <col min="11788" max="11788" width="11.5703125" style="165" customWidth="1"/>
    <col min="11789" max="11789" width="11.42578125" style="165" customWidth="1"/>
    <col min="11790" max="11790" width="10.140625" style="165" customWidth="1"/>
    <col min="11791" max="11791" width="10.28515625" style="165" bestFit="1" customWidth="1"/>
    <col min="11792" max="11792" width="12.140625" style="165" bestFit="1" customWidth="1"/>
    <col min="11793" max="11793" width="12" style="165" bestFit="1" customWidth="1"/>
    <col min="11794" max="11794" width="12.140625" style="165" customWidth="1"/>
    <col min="11795" max="11795" width="10.85546875" style="165" customWidth="1"/>
    <col min="11796" max="11796" width="8.85546875" style="165" bestFit="1" customWidth="1"/>
    <col min="11797" max="11797" width="9" style="165" bestFit="1" customWidth="1"/>
    <col min="11798" max="11798" width="8.5703125" style="165" bestFit="1" customWidth="1"/>
    <col min="11799" max="11799" width="7.85546875" style="165" bestFit="1" customWidth="1"/>
    <col min="11800" max="11800" width="8.85546875" style="165" bestFit="1" customWidth="1"/>
    <col min="11801" max="11801" width="11.85546875" style="165" bestFit="1" customWidth="1"/>
    <col min="11802" max="11802" width="11.7109375" style="165" bestFit="1" customWidth="1"/>
    <col min="11803" max="11803" width="13.140625" style="165" bestFit="1" customWidth="1"/>
    <col min="11804" max="11804" width="5.5703125" style="165" bestFit="1" customWidth="1"/>
    <col min="11805" max="11805" width="10" style="165" bestFit="1" customWidth="1"/>
    <col min="11806" max="11807" width="14" style="165" bestFit="1" customWidth="1"/>
    <col min="11808" max="11809" width="13.140625" style="165" bestFit="1" customWidth="1"/>
    <col min="11810" max="11810" width="14" style="165" bestFit="1" customWidth="1"/>
    <col min="11811" max="11814" width="9.28515625" style="165" bestFit="1" customWidth="1"/>
    <col min="11815" max="11816" width="11.7109375" style="165" bestFit="1" customWidth="1"/>
    <col min="11817" max="11817" width="9.28515625" style="165" bestFit="1" customWidth="1"/>
    <col min="11818" max="11818" width="11.7109375" style="165" bestFit="1" customWidth="1"/>
    <col min="11819" max="11819" width="13.140625" style="165" bestFit="1" customWidth="1"/>
    <col min="11820" max="11821" width="11.7109375" style="165" bestFit="1" customWidth="1"/>
    <col min="11822" max="11822" width="9.28515625" style="165" bestFit="1" customWidth="1"/>
    <col min="11823" max="11823" width="13.140625" style="165" bestFit="1" customWidth="1"/>
    <col min="11824" max="11824" width="9.28515625" style="165" bestFit="1" customWidth="1"/>
    <col min="11825" max="11826" width="13.140625" style="165" bestFit="1" customWidth="1"/>
    <col min="11827" max="11827" width="14.85546875" style="165" bestFit="1" customWidth="1"/>
    <col min="11828" max="12032" width="9.140625" style="165"/>
    <col min="12033" max="12033" width="9" style="165" customWidth="1"/>
    <col min="12034" max="12034" width="8.85546875" style="165" bestFit="1" customWidth="1"/>
    <col min="12035" max="12035" width="8.7109375" style="165" bestFit="1" customWidth="1"/>
    <col min="12036" max="12036" width="8.85546875" style="165" bestFit="1" customWidth="1"/>
    <col min="12037" max="12037" width="8" style="165" bestFit="1" customWidth="1"/>
    <col min="12038" max="12038" width="9" style="165" bestFit="1" customWidth="1"/>
    <col min="12039" max="12039" width="10.140625" style="165" customWidth="1"/>
    <col min="12040" max="12040" width="11" style="165" bestFit="1" customWidth="1"/>
    <col min="12041" max="12042" width="10.5703125" style="165" bestFit="1" customWidth="1"/>
    <col min="12043" max="12043" width="9.85546875" style="165" customWidth="1"/>
    <col min="12044" max="12044" width="11.5703125" style="165" customWidth="1"/>
    <col min="12045" max="12045" width="11.42578125" style="165" customWidth="1"/>
    <col min="12046" max="12046" width="10.140625" style="165" customWidth="1"/>
    <col min="12047" max="12047" width="10.28515625" style="165" bestFit="1" customWidth="1"/>
    <col min="12048" max="12048" width="12.140625" style="165" bestFit="1" customWidth="1"/>
    <col min="12049" max="12049" width="12" style="165" bestFit="1" customWidth="1"/>
    <col min="12050" max="12050" width="12.140625" style="165" customWidth="1"/>
    <col min="12051" max="12051" width="10.85546875" style="165" customWidth="1"/>
    <col min="12052" max="12052" width="8.85546875" style="165" bestFit="1" customWidth="1"/>
    <col min="12053" max="12053" width="9" style="165" bestFit="1" customWidth="1"/>
    <col min="12054" max="12054" width="8.5703125" style="165" bestFit="1" customWidth="1"/>
    <col min="12055" max="12055" width="7.85546875" style="165" bestFit="1" customWidth="1"/>
    <col min="12056" max="12056" width="8.85546875" style="165" bestFit="1" customWidth="1"/>
    <col min="12057" max="12057" width="11.85546875" style="165" bestFit="1" customWidth="1"/>
    <col min="12058" max="12058" width="11.7109375" style="165" bestFit="1" customWidth="1"/>
    <col min="12059" max="12059" width="13.140625" style="165" bestFit="1" customWidth="1"/>
    <col min="12060" max="12060" width="5.5703125" style="165" bestFit="1" customWidth="1"/>
    <col min="12061" max="12061" width="10" style="165" bestFit="1" customWidth="1"/>
    <col min="12062" max="12063" width="14" style="165" bestFit="1" customWidth="1"/>
    <col min="12064" max="12065" width="13.140625" style="165" bestFit="1" customWidth="1"/>
    <col min="12066" max="12066" width="14" style="165" bestFit="1" customWidth="1"/>
    <col min="12067" max="12070" width="9.28515625" style="165" bestFit="1" customWidth="1"/>
    <col min="12071" max="12072" width="11.7109375" style="165" bestFit="1" customWidth="1"/>
    <col min="12073" max="12073" width="9.28515625" style="165" bestFit="1" customWidth="1"/>
    <col min="12074" max="12074" width="11.7109375" style="165" bestFit="1" customWidth="1"/>
    <col min="12075" max="12075" width="13.140625" style="165" bestFit="1" customWidth="1"/>
    <col min="12076" max="12077" width="11.7109375" style="165" bestFit="1" customWidth="1"/>
    <col min="12078" max="12078" width="9.28515625" style="165" bestFit="1" customWidth="1"/>
    <col min="12079" max="12079" width="13.140625" style="165" bestFit="1" customWidth="1"/>
    <col min="12080" max="12080" width="9.28515625" style="165" bestFit="1" customWidth="1"/>
    <col min="12081" max="12082" width="13.140625" style="165" bestFit="1" customWidth="1"/>
    <col min="12083" max="12083" width="14.85546875" style="165" bestFit="1" customWidth="1"/>
    <col min="12084" max="12288" width="9.140625" style="165"/>
    <col min="12289" max="12289" width="9" style="165" customWidth="1"/>
    <col min="12290" max="12290" width="8.85546875" style="165" bestFit="1" customWidth="1"/>
    <col min="12291" max="12291" width="8.7109375" style="165" bestFit="1" customWidth="1"/>
    <col min="12292" max="12292" width="8.85546875" style="165" bestFit="1" customWidth="1"/>
    <col min="12293" max="12293" width="8" style="165" bestFit="1" customWidth="1"/>
    <col min="12294" max="12294" width="9" style="165" bestFit="1" customWidth="1"/>
    <col min="12295" max="12295" width="10.140625" style="165" customWidth="1"/>
    <col min="12296" max="12296" width="11" style="165" bestFit="1" customWidth="1"/>
    <col min="12297" max="12298" width="10.5703125" style="165" bestFit="1" customWidth="1"/>
    <col min="12299" max="12299" width="9.85546875" style="165" customWidth="1"/>
    <col min="12300" max="12300" width="11.5703125" style="165" customWidth="1"/>
    <col min="12301" max="12301" width="11.42578125" style="165" customWidth="1"/>
    <col min="12302" max="12302" width="10.140625" style="165" customWidth="1"/>
    <col min="12303" max="12303" width="10.28515625" style="165" bestFit="1" customWidth="1"/>
    <col min="12304" max="12304" width="12.140625" style="165" bestFit="1" customWidth="1"/>
    <col min="12305" max="12305" width="12" style="165" bestFit="1" customWidth="1"/>
    <col min="12306" max="12306" width="12.140625" style="165" customWidth="1"/>
    <col min="12307" max="12307" width="10.85546875" style="165" customWidth="1"/>
    <col min="12308" max="12308" width="8.85546875" style="165" bestFit="1" customWidth="1"/>
    <col min="12309" max="12309" width="9" style="165" bestFit="1" customWidth="1"/>
    <col min="12310" max="12310" width="8.5703125" style="165" bestFit="1" customWidth="1"/>
    <col min="12311" max="12311" width="7.85546875" style="165" bestFit="1" customWidth="1"/>
    <col min="12312" max="12312" width="8.85546875" style="165" bestFit="1" customWidth="1"/>
    <col min="12313" max="12313" width="11.85546875" style="165" bestFit="1" customWidth="1"/>
    <col min="12314" max="12314" width="11.7109375" style="165" bestFit="1" customWidth="1"/>
    <col min="12315" max="12315" width="13.140625" style="165" bestFit="1" customWidth="1"/>
    <col min="12316" max="12316" width="5.5703125" style="165" bestFit="1" customWidth="1"/>
    <col min="12317" max="12317" width="10" style="165" bestFit="1" customWidth="1"/>
    <col min="12318" max="12319" width="14" style="165" bestFit="1" customWidth="1"/>
    <col min="12320" max="12321" width="13.140625" style="165" bestFit="1" customWidth="1"/>
    <col min="12322" max="12322" width="14" style="165" bestFit="1" customWidth="1"/>
    <col min="12323" max="12326" width="9.28515625" style="165" bestFit="1" customWidth="1"/>
    <col min="12327" max="12328" width="11.7109375" style="165" bestFit="1" customWidth="1"/>
    <col min="12329" max="12329" width="9.28515625" style="165" bestFit="1" customWidth="1"/>
    <col min="12330" max="12330" width="11.7109375" style="165" bestFit="1" customWidth="1"/>
    <col min="12331" max="12331" width="13.140625" style="165" bestFit="1" customWidth="1"/>
    <col min="12332" max="12333" width="11.7109375" style="165" bestFit="1" customWidth="1"/>
    <col min="12334" max="12334" width="9.28515625" style="165" bestFit="1" customWidth="1"/>
    <col min="12335" max="12335" width="13.140625" style="165" bestFit="1" customWidth="1"/>
    <col min="12336" max="12336" width="9.28515625" style="165" bestFit="1" customWidth="1"/>
    <col min="12337" max="12338" width="13.140625" style="165" bestFit="1" customWidth="1"/>
    <col min="12339" max="12339" width="14.85546875" style="165" bestFit="1" customWidth="1"/>
    <col min="12340" max="12544" width="9.140625" style="165"/>
    <col min="12545" max="12545" width="9" style="165" customWidth="1"/>
    <col min="12546" max="12546" width="8.85546875" style="165" bestFit="1" customWidth="1"/>
    <col min="12547" max="12547" width="8.7109375" style="165" bestFit="1" customWidth="1"/>
    <col min="12548" max="12548" width="8.85546875" style="165" bestFit="1" customWidth="1"/>
    <col min="12549" max="12549" width="8" style="165" bestFit="1" customWidth="1"/>
    <col min="12550" max="12550" width="9" style="165" bestFit="1" customWidth="1"/>
    <col min="12551" max="12551" width="10.140625" style="165" customWidth="1"/>
    <col min="12552" max="12552" width="11" style="165" bestFit="1" customWidth="1"/>
    <col min="12553" max="12554" width="10.5703125" style="165" bestFit="1" customWidth="1"/>
    <col min="12555" max="12555" width="9.85546875" style="165" customWidth="1"/>
    <col min="12556" max="12556" width="11.5703125" style="165" customWidth="1"/>
    <col min="12557" max="12557" width="11.42578125" style="165" customWidth="1"/>
    <col min="12558" max="12558" width="10.140625" style="165" customWidth="1"/>
    <col min="12559" max="12559" width="10.28515625" style="165" bestFit="1" customWidth="1"/>
    <col min="12560" max="12560" width="12.140625" style="165" bestFit="1" customWidth="1"/>
    <col min="12561" max="12561" width="12" style="165" bestFit="1" customWidth="1"/>
    <col min="12562" max="12562" width="12.140625" style="165" customWidth="1"/>
    <col min="12563" max="12563" width="10.85546875" style="165" customWidth="1"/>
    <col min="12564" max="12564" width="8.85546875" style="165" bestFit="1" customWidth="1"/>
    <col min="12565" max="12565" width="9" style="165" bestFit="1" customWidth="1"/>
    <col min="12566" max="12566" width="8.5703125" style="165" bestFit="1" customWidth="1"/>
    <col min="12567" max="12567" width="7.85546875" style="165" bestFit="1" customWidth="1"/>
    <col min="12568" max="12568" width="8.85546875" style="165" bestFit="1" customWidth="1"/>
    <col min="12569" max="12569" width="11.85546875" style="165" bestFit="1" customWidth="1"/>
    <col min="12570" max="12570" width="11.7109375" style="165" bestFit="1" customWidth="1"/>
    <col min="12571" max="12571" width="13.140625" style="165" bestFit="1" customWidth="1"/>
    <col min="12572" max="12572" width="5.5703125" style="165" bestFit="1" customWidth="1"/>
    <col min="12573" max="12573" width="10" style="165" bestFit="1" customWidth="1"/>
    <col min="12574" max="12575" width="14" style="165" bestFit="1" customWidth="1"/>
    <col min="12576" max="12577" width="13.140625" style="165" bestFit="1" customWidth="1"/>
    <col min="12578" max="12578" width="14" style="165" bestFit="1" customWidth="1"/>
    <col min="12579" max="12582" width="9.28515625" style="165" bestFit="1" customWidth="1"/>
    <col min="12583" max="12584" width="11.7109375" style="165" bestFit="1" customWidth="1"/>
    <col min="12585" max="12585" width="9.28515625" style="165" bestFit="1" customWidth="1"/>
    <col min="12586" max="12586" width="11.7109375" style="165" bestFit="1" customWidth="1"/>
    <col min="12587" max="12587" width="13.140625" style="165" bestFit="1" customWidth="1"/>
    <col min="12588" max="12589" width="11.7109375" style="165" bestFit="1" customWidth="1"/>
    <col min="12590" max="12590" width="9.28515625" style="165" bestFit="1" customWidth="1"/>
    <col min="12591" max="12591" width="13.140625" style="165" bestFit="1" customWidth="1"/>
    <col min="12592" max="12592" width="9.28515625" style="165" bestFit="1" customWidth="1"/>
    <col min="12593" max="12594" width="13.140625" style="165" bestFit="1" customWidth="1"/>
    <col min="12595" max="12595" width="14.85546875" style="165" bestFit="1" customWidth="1"/>
    <col min="12596" max="12800" width="9.140625" style="165"/>
    <col min="12801" max="12801" width="9" style="165" customWidth="1"/>
    <col min="12802" max="12802" width="8.85546875" style="165" bestFit="1" customWidth="1"/>
    <col min="12803" max="12803" width="8.7109375" style="165" bestFit="1" customWidth="1"/>
    <col min="12804" max="12804" width="8.85546875" style="165" bestFit="1" customWidth="1"/>
    <col min="12805" max="12805" width="8" style="165" bestFit="1" customWidth="1"/>
    <col min="12806" max="12806" width="9" style="165" bestFit="1" customWidth="1"/>
    <col min="12807" max="12807" width="10.140625" style="165" customWidth="1"/>
    <col min="12808" max="12808" width="11" style="165" bestFit="1" customWidth="1"/>
    <col min="12809" max="12810" width="10.5703125" style="165" bestFit="1" customWidth="1"/>
    <col min="12811" max="12811" width="9.85546875" style="165" customWidth="1"/>
    <col min="12812" max="12812" width="11.5703125" style="165" customWidth="1"/>
    <col min="12813" max="12813" width="11.42578125" style="165" customWidth="1"/>
    <col min="12814" max="12814" width="10.140625" style="165" customWidth="1"/>
    <col min="12815" max="12815" width="10.28515625" style="165" bestFit="1" customWidth="1"/>
    <col min="12816" max="12816" width="12.140625" style="165" bestFit="1" customWidth="1"/>
    <col min="12817" max="12817" width="12" style="165" bestFit="1" customWidth="1"/>
    <col min="12818" max="12818" width="12.140625" style="165" customWidth="1"/>
    <col min="12819" max="12819" width="10.85546875" style="165" customWidth="1"/>
    <col min="12820" max="12820" width="8.85546875" style="165" bestFit="1" customWidth="1"/>
    <col min="12821" max="12821" width="9" style="165" bestFit="1" customWidth="1"/>
    <col min="12822" max="12822" width="8.5703125" style="165" bestFit="1" customWidth="1"/>
    <col min="12823" max="12823" width="7.85546875" style="165" bestFit="1" customWidth="1"/>
    <col min="12824" max="12824" width="8.85546875" style="165" bestFit="1" customWidth="1"/>
    <col min="12825" max="12825" width="11.85546875" style="165" bestFit="1" customWidth="1"/>
    <col min="12826" max="12826" width="11.7109375" style="165" bestFit="1" customWidth="1"/>
    <col min="12827" max="12827" width="13.140625" style="165" bestFit="1" customWidth="1"/>
    <col min="12828" max="12828" width="5.5703125" style="165" bestFit="1" customWidth="1"/>
    <col min="12829" max="12829" width="10" style="165" bestFit="1" customWidth="1"/>
    <col min="12830" max="12831" width="14" style="165" bestFit="1" customWidth="1"/>
    <col min="12832" max="12833" width="13.140625" style="165" bestFit="1" customWidth="1"/>
    <col min="12834" max="12834" width="14" style="165" bestFit="1" customWidth="1"/>
    <col min="12835" max="12838" width="9.28515625" style="165" bestFit="1" customWidth="1"/>
    <col min="12839" max="12840" width="11.7109375" style="165" bestFit="1" customWidth="1"/>
    <col min="12841" max="12841" width="9.28515625" style="165" bestFit="1" customWidth="1"/>
    <col min="12842" max="12842" width="11.7109375" style="165" bestFit="1" customWidth="1"/>
    <col min="12843" max="12843" width="13.140625" style="165" bestFit="1" customWidth="1"/>
    <col min="12844" max="12845" width="11.7109375" style="165" bestFit="1" customWidth="1"/>
    <col min="12846" max="12846" width="9.28515625" style="165" bestFit="1" customWidth="1"/>
    <col min="12847" max="12847" width="13.140625" style="165" bestFit="1" customWidth="1"/>
    <col min="12848" max="12848" width="9.28515625" style="165" bestFit="1" customWidth="1"/>
    <col min="12849" max="12850" width="13.140625" style="165" bestFit="1" customWidth="1"/>
    <col min="12851" max="12851" width="14.85546875" style="165" bestFit="1" customWidth="1"/>
    <col min="12852" max="13056" width="9.140625" style="165"/>
    <col min="13057" max="13057" width="9" style="165" customWidth="1"/>
    <col min="13058" max="13058" width="8.85546875" style="165" bestFit="1" customWidth="1"/>
    <col min="13059" max="13059" width="8.7109375" style="165" bestFit="1" customWidth="1"/>
    <col min="13060" max="13060" width="8.85546875" style="165" bestFit="1" customWidth="1"/>
    <col min="13061" max="13061" width="8" style="165" bestFit="1" customWidth="1"/>
    <col min="13062" max="13062" width="9" style="165" bestFit="1" customWidth="1"/>
    <col min="13063" max="13063" width="10.140625" style="165" customWidth="1"/>
    <col min="13064" max="13064" width="11" style="165" bestFit="1" customWidth="1"/>
    <col min="13065" max="13066" width="10.5703125" style="165" bestFit="1" customWidth="1"/>
    <col min="13067" max="13067" width="9.85546875" style="165" customWidth="1"/>
    <col min="13068" max="13068" width="11.5703125" style="165" customWidth="1"/>
    <col min="13069" max="13069" width="11.42578125" style="165" customWidth="1"/>
    <col min="13070" max="13070" width="10.140625" style="165" customWidth="1"/>
    <col min="13071" max="13071" width="10.28515625" style="165" bestFit="1" customWidth="1"/>
    <col min="13072" max="13072" width="12.140625" style="165" bestFit="1" customWidth="1"/>
    <col min="13073" max="13073" width="12" style="165" bestFit="1" customWidth="1"/>
    <col min="13074" max="13074" width="12.140625" style="165" customWidth="1"/>
    <col min="13075" max="13075" width="10.85546875" style="165" customWidth="1"/>
    <col min="13076" max="13076" width="8.85546875" style="165" bestFit="1" customWidth="1"/>
    <col min="13077" max="13077" width="9" style="165" bestFit="1" customWidth="1"/>
    <col min="13078" max="13078" width="8.5703125" style="165" bestFit="1" customWidth="1"/>
    <col min="13079" max="13079" width="7.85546875" style="165" bestFit="1" customWidth="1"/>
    <col min="13080" max="13080" width="8.85546875" style="165" bestFit="1" customWidth="1"/>
    <col min="13081" max="13081" width="11.85546875" style="165" bestFit="1" customWidth="1"/>
    <col min="13082" max="13082" width="11.7109375" style="165" bestFit="1" customWidth="1"/>
    <col min="13083" max="13083" width="13.140625" style="165" bestFit="1" customWidth="1"/>
    <col min="13084" max="13084" width="5.5703125" style="165" bestFit="1" customWidth="1"/>
    <col min="13085" max="13085" width="10" style="165" bestFit="1" customWidth="1"/>
    <col min="13086" max="13087" width="14" style="165" bestFit="1" customWidth="1"/>
    <col min="13088" max="13089" width="13.140625" style="165" bestFit="1" customWidth="1"/>
    <col min="13090" max="13090" width="14" style="165" bestFit="1" customWidth="1"/>
    <col min="13091" max="13094" width="9.28515625" style="165" bestFit="1" customWidth="1"/>
    <col min="13095" max="13096" width="11.7109375" style="165" bestFit="1" customWidth="1"/>
    <col min="13097" max="13097" width="9.28515625" style="165" bestFit="1" customWidth="1"/>
    <col min="13098" max="13098" width="11.7109375" style="165" bestFit="1" customWidth="1"/>
    <col min="13099" max="13099" width="13.140625" style="165" bestFit="1" customWidth="1"/>
    <col min="13100" max="13101" width="11.7109375" style="165" bestFit="1" customWidth="1"/>
    <col min="13102" max="13102" width="9.28515625" style="165" bestFit="1" customWidth="1"/>
    <col min="13103" max="13103" width="13.140625" style="165" bestFit="1" customWidth="1"/>
    <col min="13104" max="13104" width="9.28515625" style="165" bestFit="1" customWidth="1"/>
    <col min="13105" max="13106" width="13.140625" style="165" bestFit="1" customWidth="1"/>
    <col min="13107" max="13107" width="14.85546875" style="165" bestFit="1" customWidth="1"/>
    <col min="13108" max="13312" width="9.140625" style="165"/>
    <col min="13313" max="13313" width="9" style="165" customWidth="1"/>
    <col min="13314" max="13314" width="8.85546875" style="165" bestFit="1" customWidth="1"/>
    <col min="13315" max="13315" width="8.7109375" style="165" bestFit="1" customWidth="1"/>
    <col min="13316" max="13316" width="8.85546875" style="165" bestFit="1" customWidth="1"/>
    <col min="13317" max="13317" width="8" style="165" bestFit="1" customWidth="1"/>
    <col min="13318" max="13318" width="9" style="165" bestFit="1" customWidth="1"/>
    <col min="13319" max="13319" width="10.140625" style="165" customWidth="1"/>
    <col min="13320" max="13320" width="11" style="165" bestFit="1" customWidth="1"/>
    <col min="13321" max="13322" width="10.5703125" style="165" bestFit="1" customWidth="1"/>
    <col min="13323" max="13323" width="9.85546875" style="165" customWidth="1"/>
    <col min="13324" max="13324" width="11.5703125" style="165" customWidth="1"/>
    <col min="13325" max="13325" width="11.42578125" style="165" customWidth="1"/>
    <col min="13326" max="13326" width="10.140625" style="165" customWidth="1"/>
    <col min="13327" max="13327" width="10.28515625" style="165" bestFit="1" customWidth="1"/>
    <col min="13328" max="13328" width="12.140625" style="165" bestFit="1" customWidth="1"/>
    <col min="13329" max="13329" width="12" style="165" bestFit="1" customWidth="1"/>
    <col min="13330" max="13330" width="12.140625" style="165" customWidth="1"/>
    <col min="13331" max="13331" width="10.85546875" style="165" customWidth="1"/>
    <col min="13332" max="13332" width="8.85546875" style="165" bestFit="1" customWidth="1"/>
    <col min="13333" max="13333" width="9" style="165" bestFit="1" customWidth="1"/>
    <col min="13334" max="13334" width="8.5703125" style="165" bestFit="1" customWidth="1"/>
    <col min="13335" max="13335" width="7.85546875" style="165" bestFit="1" customWidth="1"/>
    <col min="13336" max="13336" width="8.85546875" style="165" bestFit="1" customWidth="1"/>
    <col min="13337" max="13337" width="11.85546875" style="165" bestFit="1" customWidth="1"/>
    <col min="13338" max="13338" width="11.7109375" style="165" bestFit="1" customWidth="1"/>
    <col min="13339" max="13339" width="13.140625" style="165" bestFit="1" customWidth="1"/>
    <col min="13340" max="13340" width="5.5703125" style="165" bestFit="1" customWidth="1"/>
    <col min="13341" max="13341" width="10" style="165" bestFit="1" customWidth="1"/>
    <col min="13342" max="13343" width="14" style="165" bestFit="1" customWidth="1"/>
    <col min="13344" max="13345" width="13.140625" style="165" bestFit="1" customWidth="1"/>
    <col min="13346" max="13346" width="14" style="165" bestFit="1" customWidth="1"/>
    <col min="13347" max="13350" width="9.28515625" style="165" bestFit="1" customWidth="1"/>
    <col min="13351" max="13352" width="11.7109375" style="165" bestFit="1" customWidth="1"/>
    <col min="13353" max="13353" width="9.28515625" style="165" bestFit="1" customWidth="1"/>
    <col min="13354" max="13354" width="11.7109375" style="165" bestFit="1" customWidth="1"/>
    <col min="13355" max="13355" width="13.140625" style="165" bestFit="1" customWidth="1"/>
    <col min="13356" max="13357" width="11.7109375" style="165" bestFit="1" customWidth="1"/>
    <col min="13358" max="13358" width="9.28515625" style="165" bestFit="1" customWidth="1"/>
    <col min="13359" max="13359" width="13.140625" style="165" bestFit="1" customWidth="1"/>
    <col min="13360" max="13360" width="9.28515625" style="165" bestFit="1" customWidth="1"/>
    <col min="13361" max="13362" width="13.140625" style="165" bestFit="1" customWidth="1"/>
    <col min="13363" max="13363" width="14.85546875" style="165" bestFit="1" customWidth="1"/>
    <col min="13364" max="13568" width="9.140625" style="165"/>
    <col min="13569" max="13569" width="9" style="165" customWidth="1"/>
    <col min="13570" max="13570" width="8.85546875" style="165" bestFit="1" customWidth="1"/>
    <col min="13571" max="13571" width="8.7109375" style="165" bestFit="1" customWidth="1"/>
    <col min="13572" max="13572" width="8.85546875" style="165" bestFit="1" customWidth="1"/>
    <col min="13573" max="13573" width="8" style="165" bestFit="1" customWidth="1"/>
    <col min="13574" max="13574" width="9" style="165" bestFit="1" customWidth="1"/>
    <col min="13575" max="13575" width="10.140625" style="165" customWidth="1"/>
    <col min="13576" max="13576" width="11" style="165" bestFit="1" customWidth="1"/>
    <col min="13577" max="13578" width="10.5703125" style="165" bestFit="1" customWidth="1"/>
    <col min="13579" max="13579" width="9.85546875" style="165" customWidth="1"/>
    <col min="13580" max="13580" width="11.5703125" style="165" customWidth="1"/>
    <col min="13581" max="13581" width="11.42578125" style="165" customWidth="1"/>
    <col min="13582" max="13582" width="10.140625" style="165" customWidth="1"/>
    <col min="13583" max="13583" width="10.28515625" style="165" bestFit="1" customWidth="1"/>
    <col min="13584" max="13584" width="12.140625" style="165" bestFit="1" customWidth="1"/>
    <col min="13585" max="13585" width="12" style="165" bestFit="1" customWidth="1"/>
    <col min="13586" max="13586" width="12.140625" style="165" customWidth="1"/>
    <col min="13587" max="13587" width="10.85546875" style="165" customWidth="1"/>
    <col min="13588" max="13588" width="8.85546875" style="165" bestFit="1" customWidth="1"/>
    <col min="13589" max="13589" width="9" style="165" bestFit="1" customWidth="1"/>
    <col min="13590" max="13590" width="8.5703125" style="165" bestFit="1" customWidth="1"/>
    <col min="13591" max="13591" width="7.85546875" style="165" bestFit="1" customWidth="1"/>
    <col min="13592" max="13592" width="8.85546875" style="165" bestFit="1" customWidth="1"/>
    <col min="13593" max="13593" width="11.85546875" style="165" bestFit="1" customWidth="1"/>
    <col min="13594" max="13594" width="11.7109375" style="165" bestFit="1" customWidth="1"/>
    <col min="13595" max="13595" width="13.140625" style="165" bestFit="1" customWidth="1"/>
    <col min="13596" max="13596" width="5.5703125" style="165" bestFit="1" customWidth="1"/>
    <col min="13597" max="13597" width="10" style="165" bestFit="1" customWidth="1"/>
    <col min="13598" max="13599" width="14" style="165" bestFit="1" customWidth="1"/>
    <col min="13600" max="13601" width="13.140625" style="165" bestFit="1" customWidth="1"/>
    <col min="13602" max="13602" width="14" style="165" bestFit="1" customWidth="1"/>
    <col min="13603" max="13606" width="9.28515625" style="165" bestFit="1" customWidth="1"/>
    <col min="13607" max="13608" width="11.7109375" style="165" bestFit="1" customWidth="1"/>
    <col min="13609" max="13609" width="9.28515625" style="165" bestFit="1" customWidth="1"/>
    <col min="13610" max="13610" width="11.7109375" style="165" bestFit="1" customWidth="1"/>
    <col min="13611" max="13611" width="13.140625" style="165" bestFit="1" customWidth="1"/>
    <col min="13612" max="13613" width="11.7109375" style="165" bestFit="1" customWidth="1"/>
    <col min="13614" max="13614" width="9.28515625" style="165" bestFit="1" customWidth="1"/>
    <col min="13615" max="13615" width="13.140625" style="165" bestFit="1" customWidth="1"/>
    <col min="13616" max="13616" width="9.28515625" style="165" bestFit="1" customWidth="1"/>
    <col min="13617" max="13618" width="13.140625" style="165" bestFit="1" customWidth="1"/>
    <col min="13619" max="13619" width="14.85546875" style="165" bestFit="1" customWidth="1"/>
    <col min="13620" max="13824" width="9.140625" style="165"/>
    <col min="13825" max="13825" width="9" style="165" customWidth="1"/>
    <col min="13826" max="13826" width="8.85546875" style="165" bestFit="1" customWidth="1"/>
    <col min="13827" max="13827" width="8.7109375" style="165" bestFit="1" customWidth="1"/>
    <col min="13828" max="13828" width="8.85546875" style="165" bestFit="1" customWidth="1"/>
    <col min="13829" max="13829" width="8" style="165" bestFit="1" customWidth="1"/>
    <col min="13830" max="13830" width="9" style="165" bestFit="1" customWidth="1"/>
    <col min="13831" max="13831" width="10.140625" style="165" customWidth="1"/>
    <col min="13832" max="13832" width="11" style="165" bestFit="1" customWidth="1"/>
    <col min="13833" max="13834" width="10.5703125" style="165" bestFit="1" customWidth="1"/>
    <col min="13835" max="13835" width="9.85546875" style="165" customWidth="1"/>
    <col min="13836" max="13836" width="11.5703125" style="165" customWidth="1"/>
    <col min="13837" max="13837" width="11.42578125" style="165" customWidth="1"/>
    <col min="13838" max="13838" width="10.140625" style="165" customWidth="1"/>
    <col min="13839" max="13839" width="10.28515625" style="165" bestFit="1" customWidth="1"/>
    <col min="13840" max="13840" width="12.140625" style="165" bestFit="1" customWidth="1"/>
    <col min="13841" max="13841" width="12" style="165" bestFit="1" customWidth="1"/>
    <col min="13842" max="13842" width="12.140625" style="165" customWidth="1"/>
    <col min="13843" max="13843" width="10.85546875" style="165" customWidth="1"/>
    <col min="13844" max="13844" width="8.85546875" style="165" bestFit="1" customWidth="1"/>
    <col min="13845" max="13845" width="9" style="165" bestFit="1" customWidth="1"/>
    <col min="13846" max="13846" width="8.5703125" style="165" bestFit="1" customWidth="1"/>
    <col min="13847" max="13847" width="7.85546875" style="165" bestFit="1" customWidth="1"/>
    <col min="13848" max="13848" width="8.85546875" style="165" bestFit="1" customWidth="1"/>
    <col min="13849" max="13849" width="11.85546875" style="165" bestFit="1" customWidth="1"/>
    <col min="13850" max="13850" width="11.7109375" style="165" bestFit="1" customWidth="1"/>
    <col min="13851" max="13851" width="13.140625" style="165" bestFit="1" customWidth="1"/>
    <col min="13852" max="13852" width="5.5703125" style="165" bestFit="1" customWidth="1"/>
    <col min="13853" max="13853" width="10" style="165" bestFit="1" customWidth="1"/>
    <col min="13854" max="13855" width="14" style="165" bestFit="1" customWidth="1"/>
    <col min="13856" max="13857" width="13.140625" style="165" bestFit="1" customWidth="1"/>
    <col min="13858" max="13858" width="14" style="165" bestFit="1" customWidth="1"/>
    <col min="13859" max="13862" width="9.28515625" style="165" bestFit="1" customWidth="1"/>
    <col min="13863" max="13864" width="11.7109375" style="165" bestFit="1" customWidth="1"/>
    <col min="13865" max="13865" width="9.28515625" style="165" bestFit="1" customWidth="1"/>
    <col min="13866" max="13866" width="11.7109375" style="165" bestFit="1" customWidth="1"/>
    <col min="13867" max="13867" width="13.140625" style="165" bestFit="1" customWidth="1"/>
    <col min="13868" max="13869" width="11.7109375" style="165" bestFit="1" customWidth="1"/>
    <col min="13870" max="13870" width="9.28515625" style="165" bestFit="1" customWidth="1"/>
    <col min="13871" max="13871" width="13.140625" style="165" bestFit="1" customWidth="1"/>
    <col min="13872" max="13872" width="9.28515625" style="165" bestFit="1" customWidth="1"/>
    <col min="13873" max="13874" width="13.140625" style="165" bestFit="1" customWidth="1"/>
    <col min="13875" max="13875" width="14.85546875" style="165" bestFit="1" customWidth="1"/>
    <col min="13876" max="14080" width="9.140625" style="165"/>
    <col min="14081" max="14081" width="9" style="165" customWidth="1"/>
    <col min="14082" max="14082" width="8.85546875" style="165" bestFit="1" customWidth="1"/>
    <col min="14083" max="14083" width="8.7109375" style="165" bestFit="1" customWidth="1"/>
    <col min="14084" max="14084" width="8.85546875" style="165" bestFit="1" customWidth="1"/>
    <col min="14085" max="14085" width="8" style="165" bestFit="1" customWidth="1"/>
    <col min="14086" max="14086" width="9" style="165" bestFit="1" customWidth="1"/>
    <col min="14087" max="14087" width="10.140625" style="165" customWidth="1"/>
    <col min="14088" max="14088" width="11" style="165" bestFit="1" customWidth="1"/>
    <col min="14089" max="14090" width="10.5703125" style="165" bestFit="1" customWidth="1"/>
    <col min="14091" max="14091" width="9.85546875" style="165" customWidth="1"/>
    <col min="14092" max="14092" width="11.5703125" style="165" customWidth="1"/>
    <col min="14093" max="14093" width="11.42578125" style="165" customWidth="1"/>
    <col min="14094" max="14094" width="10.140625" style="165" customWidth="1"/>
    <col min="14095" max="14095" width="10.28515625" style="165" bestFit="1" customWidth="1"/>
    <col min="14096" max="14096" width="12.140625" style="165" bestFit="1" customWidth="1"/>
    <col min="14097" max="14097" width="12" style="165" bestFit="1" customWidth="1"/>
    <col min="14098" max="14098" width="12.140625" style="165" customWidth="1"/>
    <col min="14099" max="14099" width="10.85546875" style="165" customWidth="1"/>
    <col min="14100" max="14100" width="8.85546875" style="165" bestFit="1" customWidth="1"/>
    <col min="14101" max="14101" width="9" style="165" bestFit="1" customWidth="1"/>
    <col min="14102" max="14102" width="8.5703125" style="165" bestFit="1" customWidth="1"/>
    <col min="14103" max="14103" width="7.85546875" style="165" bestFit="1" customWidth="1"/>
    <col min="14104" max="14104" width="8.85546875" style="165" bestFit="1" customWidth="1"/>
    <col min="14105" max="14105" width="11.85546875" style="165" bestFit="1" customWidth="1"/>
    <col min="14106" max="14106" width="11.7109375" style="165" bestFit="1" customWidth="1"/>
    <col min="14107" max="14107" width="13.140625" style="165" bestFit="1" customWidth="1"/>
    <col min="14108" max="14108" width="5.5703125" style="165" bestFit="1" customWidth="1"/>
    <col min="14109" max="14109" width="10" style="165" bestFit="1" customWidth="1"/>
    <col min="14110" max="14111" width="14" style="165" bestFit="1" customWidth="1"/>
    <col min="14112" max="14113" width="13.140625" style="165" bestFit="1" customWidth="1"/>
    <col min="14114" max="14114" width="14" style="165" bestFit="1" customWidth="1"/>
    <col min="14115" max="14118" width="9.28515625" style="165" bestFit="1" customWidth="1"/>
    <col min="14119" max="14120" width="11.7109375" style="165" bestFit="1" customWidth="1"/>
    <col min="14121" max="14121" width="9.28515625" style="165" bestFit="1" customWidth="1"/>
    <col min="14122" max="14122" width="11.7109375" style="165" bestFit="1" customWidth="1"/>
    <col min="14123" max="14123" width="13.140625" style="165" bestFit="1" customWidth="1"/>
    <col min="14124" max="14125" width="11.7109375" style="165" bestFit="1" customWidth="1"/>
    <col min="14126" max="14126" width="9.28515625" style="165" bestFit="1" customWidth="1"/>
    <col min="14127" max="14127" width="13.140625" style="165" bestFit="1" customWidth="1"/>
    <col min="14128" max="14128" width="9.28515625" style="165" bestFit="1" customWidth="1"/>
    <col min="14129" max="14130" width="13.140625" style="165" bestFit="1" customWidth="1"/>
    <col min="14131" max="14131" width="14.85546875" style="165" bestFit="1" customWidth="1"/>
    <col min="14132" max="14336" width="9.140625" style="165"/>
    <col min="14337" max="14337" width="9" style="165" customWidth="1"/>
    <col min="14338" max="14338" width="8.85546875" style="165" bestFit="1" customWidth="1"/>
    <col min="14339" max="14339" width="8.7109375" style="165" bestFit="1" customWidth="1"/>
    <col min="14340" max="14340" width="8.85546875" style="165" bestFit="1" customWidth="1"/>
    <col min="14341" max="14341" width="8" style="165" bestFit="1" customWidth="1"/>
    <col min="14342" max="14342" width="9" style="165" bestFit="1" customWidth="1"/>
    <col min="14343" max="14343" width="10.140625" style="165" customWidth="1"/>
    <col min="14344" max="14344" width="11" style="165" bestFit="1" customWidth="1"/>
    <col min="14345" max="14346" width="10.5703125" style="165" bestFit="1" customWidth="1"/>
    <col min="14347" max="14347" width="9.85546875" style="165" customWidth="1"/>
    <col min="14348" max="14348" width="11.5703125" style="165" customWidth="1"/>
    <col min="14349" max="14349" width="11.42578125" style="165" customWidth="1"/>
    <col min="14350" max="14350" width="10.140625" style="165" customWidth="1"/>
    <col min="14351" max="14351" width="10.28515625" style="165" bestFit="1" customWidth="1"/>
    <col min="14352" max="14352" width="12.140625" style="165" bestFit="1" customWidth="1"/>
    <col min="14353" max="14353" width="12" style="165" bestFit="1" customWidth="1"/>
    <col min="14354" max="14354" width="12.140625" style="165" customWidth="1"/>
    <col min="14355" max="14355" width="10.85546875" style="165" customWidth="1"/>
    <col min="14356" max="14356" width="8.85546875" style="165" bestFit="1" customWidth="1"/>
    <col min="14357" max="14357" width="9" style="165" bestFit="1" customWidth="1"/>
    <col min="14358" max="14358" width="8.5703125" style="165" bestFit="1" customWidth="1"/>
    <col min="14359" max="14359" width="7.85546875" style="165" bestFit="1" customWidth="1"/>
    <col min="14360" max="14360" width="8.85546875" style="165" bestFit="1" customWidth="1"/>
    <col min="14361" max="14361" width="11.85546875" style="165" bestFit="1" customWidth="1"/>
    <col min="14362" max="14362" width="11.7109375" style="165" bestFit="1" customWidth="1"/>
    <col min="14363" max="14363" width="13.140625" style="165" bestFit="1" customWidth="1"/>
    <col min="14364" max="14364" width="5.5703125" style="165" bestFit="1" customWidth="1"/>
    <col min="14365" max="14365" width="10" style="165" bestFit="1" customWidth="1"/>
    <col min="14366" max="14367" width="14" style="165" bestFit="1" customWidth="1"/>
    <col min="14368" max="14369" width="13.140625" style="165" bestFit="1" customWidth="1"/>
    <col min="14370" max="14370" width="14" style="165" bestFit="1" customWidth="1"/>
    <col min="14371" max="14374" width="9.28515625" style="165" bestFit="1" customWidth="1"/>
    <col min="14375" max="14376" width="11.7109375" style="165" bestFit="1" customWidth="1"/>
    <col min="14377" max="14377" width="9.28515625" style="165" bestFit="1" customWidth="1"/>
    <col min="14378" max="14378" width="11.7109375" style="165" bestFit="1" customWidth="1"/>
    <col min="14379" max="14379" width="13.140625" style="165" bestFit="1" customWidth="1"/>
    <col min="14380" max="14381" width="11.7109375" style="165" bestFit="1" customWidth="1"/>
    <col min="14382" max="14382" width="9.28515625" style="165" bestFit="1" customWidth="1"/>
    <col min="14383" max="14383" width="13.140625" style="165" bestFit="1" customWidth="1"/>
    <col min="14384" max="14384" width="9.28515625" style="165" bestFit="1" customWidth="1"/>
    <col min="14385" max="14386" width="13.140625" style="165" bestFit="1" customWidth="1"/>
    <col min="14387" max="14387" width="14.85546875" style="165" bestFit="1" customWidth="1"/>
    <col min="14388" max="14592" width="9.140625" style="165"/>
    <col min="14593" max="14593" width="9" style="165" customWidth="1"/>
    <col min="14594" max="14594" width="8.85546875" style="165" bestFit="1" customWidth="1"/>
    <col min="14595" max="14595" width="8.7109375" style="165" bestFit="1" customWidth="1"/>
    <col min="14596" max="14596" width="8.85546875" style="165" bestFit="1" customWidth="1"/>
    <col min="14597" max="14597" width="8" style="165" bestFit="1" customWidth="1"/>
    <col min="14598" max="14598" width="9" style="165" bestFit="1" customWidth="1"/>
    <col min="14599" max="14599" width="10.140625" style="165" customWidth="1"/>
    <col min="14600" max="14600" width="11" style="165" bestFit="1" customWidth="1"/>
    <col min="14601" max="14602" width="10.5703125" style="165" bestFit="1" customWidth="1"/>
    <col min="14603" max="14603" width="9.85546875" style="165" customWidth="1"/>
    <col min="14604" max="14604" width="11.5703125" style="165" customWidth="1"/>
    <col min="14605" max="14605" width="11.42578125" style="165" customWidth="1"/>
    <col min="14606" max="14606" width="10.140625" style="165" customWidth="1"/>
    <col min="14607" max="14607" width="10.28515625" style="165" bestFit="1" customWidth="1"/>
    <col min="14608" max="14608" width="12.140625" style="165" bestFit="1" customWidth="1"/>
    <col min="14609" max="14609" width="12" style="165" bestFit="1" customWidth="1"/>
    <col min="14610" max="14610" width="12.140625" style="165" customWidth="1"/>
    <col min="14611" max="14611" width="10.85546875" style="165" customWidth="1"/>
    <col min="14612" max="14612" width="8.85546875" style="165" bestFit="1" customWidth="1"/>
    <col min="14613" max="14613" width="9" style="165" bestFit="1" customWidth="1"/>
    <col min="14614" max="14614" width="8.5703125" style="165" bestFit="1" customWidth="1"/>
    <col min="14615" max="14615" width="7.85546875" style="165" bestFit="1" customWidth="1"/>
    <col min="14616" max="14616" width="8.85546875" style="165" bestFit="1" customWidth="1"/>
    <col min="14617" max="14617" width="11.85546875" style="165" bestFit="1" customWidth="1"/>
    <col min="14618" max="14618" width="11.7109375" style="165" bestFit="1" customWidth="1"/>
    <col min="14619" max="14619" width="13.140625" style="165" bestFit="1" customWidth="1"/>
    <col min="14620" max="14620" width="5.5703125" style="165" bestFit="1" customWidth="1"/>
    <col min="14621" max="14621" width="10" style="165" bestFit="1" customWidth="1"/>
    <col min="14622" max="14623" width="14" style="165" bestFit="1" customWidth="1"/>
    <col min="14624" max="14625" width="13.140625" style="165" bestFit="1" customWidth="1"/>
    <col min="14626" max="14626" width="14" style="165" bestFit="1" customWidth="1"/>
    <col min="14627" max="14630" width="9.28515625" style="165" bestFit="1" customWidth="1"/>
    <col min="14631" max="14632" width="11.7109375" style="165" bestFit="1" customWidth="1"/>
    <col min="14633" max="14633" width="9.28515625" style="165" bestFit="1" customWidth="1"/>
    <col min="14634" max="14634" width="11.7109375" style="165" bestFit="1" customWidth="1"/>
    <col min="14635" max="14635" width="13.140625" style="165" bestFit="1" customWidth="1"/>
    <col min="14636" max="14637" width="11.7109375" style="165" bestFit="1" customWidth="1"/>
    <col min="14638" max="14638" width="9.28515625" style="165" bestFit="1" customWidth="1"/>
    <col min="14639" max="14639" width="13.140625" style="165" bestFit="1" customWidth="1"/>
    <col min="14640" max="14640" width="9.28515625" style="165" bestFit="1" customWidth="1"/>
    <col min="14641" max="14642" width="13.140625" style="165" bestFit="1" customWidth="1"/>
    <col min="14643" max="14643" width="14.85546875" style="165" bestFit="1" customWidth="1"/>
    <col min="14644" max="14848" width="9.140625" style="165"/>
    <col min="14849" max="14849" width="9" style="165" customWidth="1"/>
    <col min="14850" max="14850" width="8.85546875" style="165" bestFit="1" customWidth="1"/>
    <col min="14851" max="14851" width="8.7109375" style="165" bestFit="1" customWidth="1"/>
    <col min="14852" max="14852" width="8.85546875" style="165" bestFit="1" customWidth="1"/>
    <col min="14853" max="14853" width="8" style="165" bestFit="1" customWidth="1"/>
    <col min="14854" max="14854" width="9" style="165" bestFit="1" customWidth="1"/>
    <col min="14855" max="14855" width="10.140625" style="165" customWidth="1"/>
    <col min="14856" max="14856" width="11" style="165" bestFit="1" customWidth="1"/>
    <col min="14857" max="14858" width="10.5703125" style="165" bestFit="1" customWidth="1"/>
    <col min="14859" max="14859" width="9.85546875" style="165" customWidth="1"/>
    <col min="14860" max="14860" width="11.5703125" style="165" customWidth="1"/>
    <col min="14861" max="14861" width="11.42578125" style="165" customWidth="1"/>
    <col min="14862" max="14862" width="10.140625" style="165" customWidth="1"/>
    <col min="14863" max="14863" width="10.28515625" style="165" bestFit="1" customWidth="1"/>
    <col min="14864" max="14864" width="12.140625" style="165" bestFit="1" customWidth="1"/>
    <col min="14865" max="14865" width="12" style="165" bestFit="1" customWidth="1"/>
    <col min="14866" max="14866" width="12.140625" style="165" customWidth="1"/>
    <col min="14867" max="14867" width="10.85546875" style="165" customWidth="1"/>
    <col min="14868" max="14868" width="8.85546875" style="165" bestFit="1" customWidth="1"/>
    <col min="14869" max="14869" width="9" style="165" bestFit="1" customWidth="1"/>
    <col min="14870" max="14870" width="8.5703125" style="165" bestFit="1" customWidth="1"/>
    <col min="14871" max="14871" width="7.85546875" style="165" bestFit="1" customWidth="1"/>
    <col min="14872" max="14872" width="8.85546875" style="165" bestFit="1" customWidth="1"/>
    <col min="14873" max="14873" width="11.85546875" style="165" bestFit="1" customWidth="1"/>
    <col min="14874" max="14874" width="11.7109375" style="165" bestFit="1" customWidth="1"/>
    <col min="14875" max="14875" width="13.140625" style="165" bestFit="1" customWidth="1"/>
    <col min="14876" max="14876" width="5.5703125" style="165" bestFit="1" customWidth="1"/>
    <col min="14877" max="14877" width="10" style="165" bestFit="1" customWidth="1"/>
    <col min="14878" max="14879" width="14" style="165" bestFit="1" customWidth="1"/>
    <col min="14880" max="14881" width="13.140625" style="165" bestFit="1" customWidth="1"/>
    <col min="14882" max="14882" width="14" style="165" bestFit="1" customWidth="1"/>
    <col min="14883" max="14886" width="9.28515625" style="165" bestFit="1" customWidth="1"/>
    <col min="14887" max="14888" width="11.7109375" style="165" bestFit="1" customWidth="1"/>
    <col min="14889" max="14889" width="9.28515625" style="165" bestFit="1" customWidth="1"/>
    <col min="14890" max="14890" width="11.7109375" style="165" bestFit="1" customWidth="1"/>
    <col min="14891" max="14891" width="13.140625" style="165" bestFit="1" customWidth="1"/>
    <col min="14892" max="14893" width="11.7109375" style="165" bestFit="1" customWidth="1"/>
    <col min="14894" max="14894" width="9.28515625" style="165" bestFit="1" customWidth="1"/>
    <col min="14895" max="14895" width="13.140625" style="165" bestFit="1" customWidth="1"/>
    <col min="14896" max="14896" width="9.28515625" style="165" bestFit="1" customWidth="1"/>
    <col min="14897" max="14898" width="13.140625" style="165" bestFit="1" customWidth="1"/>
    <col min="14899" max="14899" width="14.85546875" style="165" bestFit="1" customWidth="1"/>
    <col min="14900" max="15104" width="9.140625" style="165"/>
    <col min="15105" max="15105" width="9" style="165" customWidth="1"/>
    <col min="15106" max="15106" width="8.85546875" style="165" bestFit="1" customWidth="1"/>
    <col min="15107" max="15107" width="8.7109375" style="165" bestFit="1" customWidth="1"/>
    <col min="15108" max="15108" width="8.85546875" style="165" bestFit="1" customWidth="1"/>
    <col min="15109" max="15109" width="8" style="165" bestFit="1" customWidth="1"/>
    <col min="15110" max="15110" width="9" style="165" bestFit="1" customWidth="1"/>
    <col min="15111" max="15111" width="10.140625" style="165" customWidth="1"/>
    <col min="15112" max="15112" width="11" style="165" bestFit="1" customWidth="1"/>
    <col min="15113" max="15114" width="10.5703125" style="165" bestFit="1" customWidth="1"/>
    <col min="15115" max="15115" width="9.85546875" style="165" customWidth="1"/>
    <col min="15116" max="15116" width="11.5703125" style="165" customWidth="1"/>
    <col min="15117" max="15117" width="11.42578125" style="165" customWidth="1"/>
    <col min="15118" max="15118" width="10.140625" style="165" customWidth="1"/>
    <col min="15119" max="15119" width="10.28515625" style="165" bestFit="1" customWidth="1"/>
    <col min="15120" max="15120" width="12.140625" style="165" bestFit="1" customWidth="1"/>
    <col min="15121" max="15121" width="12" style="165" bestFit="1" customWidth="1"/>
    <col min="15122" max="15122" width="12.140625" style="165" customWidth="1"/>
    <col min="15123" max="15123" width="10.85546875" style="165" customWidth="1"/>
    <col min="15124" max="15124" width="8.85546875" style="165" bestFit="1" customWidth="1"/>
    <col min="15125" max="15125" width="9" style="165" bestFit="1" customWidth="1"/>
    <col min="15126" max="15126" width="8.5703125" style="165" bestFit="1" customWidth="1"/>
    <col min="15127" max="15127" width="7.85546875" style="165" bestFit="1" customWidth="1"/>
    <col min="15128" max="15128" width="8.85546875" style="165" bestFit="1" customWidth="1"/>
    <col min="15129" max="15129" width="11.85546875" style="165" bestFit="1" customWidth="1"/>
    <col min="15130" max="15130" width="11.7109375" style="165" bestFit="1" customWidth="1"/>
    <col min="15131" max="15131" width="13.140625" style="165" bestFit="1" customWidth="1"/>
    <col min="15132" max="15132" width="5.5703125" style="165" bestFit="1" customWidth="1"/>
    <col min="15133" max="15133" width="10" style="165" bestFit="1" customWidth="1"/>
    <col min="15134" max="15135" width="14" style="165" bestFit="1" customWidth="1"/>
    <col min="15136" max="15137" width="13.140625" style="165" bestFit="1" customWidth="1"/>
    <col min="15138" max="15138" width="14" style="165" bestFit="1" customWidth="1"/>
    <col min="15139" max="15142" width="9.28515625" style="165" bestFit="1" customWidth="1"/>
    <col min="15143" max="15144" width="11.7109375" style="165" bestFit="1" customWidth="1"/>
    <col min="15145" max="15145" width="9.28515625" style="165" bestFit="1" customWidth="1"/>
    <col min="15146" max="15146" width="11.7109375" style="165" bestFit="1" customWidth="1"/>
    <col min="15147" max="15147" width="13.140625" style="165" bestFit="1" customWidth="1"/>
    <col min="15148" max="15149" width="11.7109375" style="165" bestFit="1" customWidth="1"/>
    <col min="15150" max="15150" width="9.28515625" style="165" bestFit="1" customWidth="1"/>
    <col min="15151" max="15151" width="13.140625" style="165" bestFit="1" customWidth="1"/>
    <col min="15152" max="15152" width="9.28515625" style="165" bestFit="1" customWidth="1"/>
    <col min="15153" max="15154" width="13.140625" style="165" bestFit="1" customWidth="1"/>
    <col min="15155" max="15155" width="14.85546875" style="165" bestFit="1" customWidth="1"/>
    <col min="15156" max="15360" width="9.140625" style="165"/>
    <col min="15361" max="15361" width="9" style="165" customWidth="1"/>
    <col min="15362" max="15362" width="8.85546875" style="165" bestFit="1" customWidth="1"/>
    <col min="15363" max="15363" width="8.7109375" style="165" bestFit="1" customWidth="1"/>
    <col min="15364" max="15364" width="8.85546875" style="165" bestFit="1" customWidth="1"/>
    <col min="15365" max="15365" width="8" style="165" bestFit="1" customWidth="1"/>
    <col min="15366" max="15366" width="9" style="165" bestFit="1" customWidth="1"/>
    <col min="15367" max="15367" width="10.140625" style="165" customWidth="1"/>
    <col min="15368" max="15368" width="11" style="165" bestFit="1" customWidth="1"/>
    <col min="15369" max="15370" width="10.5703125" style="165" bestFit="1" customWidth="1"/>
    <col min="15371" max="15371" width="9.85546875" style="165" customWidth="1"/>
    <col min="15372" max="15372" width="11.5703125" style="165" customWidth="1"/>
    <col min="15373" max="15373" width="11.42578125" style="165" customWidth="1"/>
    <col min="15374" max="15374" width="10.140625" style="165" customWidth="1"/>
    <col min="15375" max="15375" width="10.28515625" style="165" bestFit="1" customWidth="1"/>
    <col min="15376" max="15376" width="12.140625" style="165" bestFit="1" customWidth="1"/>
    <col min="15377" max="15377" width="12" style="165" bestFit="1" customWidth="1"/>
    <col min="15378" max="15378" width="12.140625" style="165" customWidth="1"/>
    <col min="15379" max="15379" width="10.85546875" style="165" customWidth="1"/>
    <col min="15380" max="15380" width="8.85546875" style="165" bestFit="1" customWidth="1"/>
    <col min="15381" max="15381" width="9" style="165" bestFit="1" customWidth="1"/>
    <col min="15382" max="15382" width="8.5703125" style="165" bestFit="1" customWidth="1"/>
    <col min="15383" max="15383" width="7.85546875" style="165" bestFit="1" customWidth="1"/>
    <col min="15384" max="15384" width="8.85546875" style="165" bestFit="1" customWidth="1"/>
    <col min="15385" max="15385" width="11.85546875" style="165" bestFit="1" customWidth="1"/>
    <col min="15386" max="15386" width="11.7109375" style="165" bestFit="1" customWidth="1"/>
    <col min="15387" max="15387" width="13.140625" style="165" bestFit="1" customWidth="1"/>
    <col min="15388" max="15388" width="5.5703125" style="165" bestFit="1" customWidth="1"/>
    <col min="15389" max="15389" width="10" style="165" bestFit="1" customWidth="1"/>
    <col min="15390" max="15391" width="14" style="165" bestFit="1" customWidth="1"/>
    <col min="15392" max="15393" width="13.140625" style="165" bestFit="1" customWidth="1"/>
    <col min="15394" max="15394" width="14" style="165" bestFit="1" customWidth="1"/>
    <col min="15395" max="15398" width="9.28515625" style="165" bestFit="1" customWidth="1"/>
    <col min="15399" max="15400" width="11.7109375" style="165" bestFit="1" customWidth="1"/>
    <col min="15401" max="15401" width="9.28515625" style="165" bestFit="1" customWidth="1"/>
    <col min="15402" max="15402" width="11.7109375" style="165" bestFit="1" customWidth="1"/>
    <col min="15403" max="15403" width="13.140625" style="165" bestFit="1" customWidth="1"/>
    <col min="15404" max="15405" width="11.7109375" style="165" bestFit="1" customWidth="1"/>
    <col min="15406" max="15406" width="9.28515625" style="165" bestFit="1" customWidth="1"/>
    <col min="15407" max="15407" width="13.140625" style="165" bestFit="1" customWidth="1"/>
    <col min="15408" max="15408" width="9.28515625" style="165" bestFit="1" customWidth="1"/>
    <col min="15409" max="15410" width="13.140625" style="165" bestFit="1" customWidth="1"/>
    <col min="15411" max="15411" width="14.85546875" style="165" bestFit="1" customWidth="1"/>
    <col min="15412" max="15616" width="9.140625" style="165"/>
    <col min="15617" max="15617" width="9" style="165" customWidth="1"/>
    <col min="15618" max="15618" width="8.85546875" style="165" bestFit="1" customWidth="1"/>
    <col min="15619" max="15619" width="8.7109375" style="165" bestFit="1" customWidth="1"/>
    <col min="15620" max="15620" width="8.85546875" style="165" bestFit="1" customWidth="1"/>
    <col min="15621" max="15621" width="8" style="165" bestFit="1" customWidth="1"/>
    <col min="15622" max="15622" width="9" style="165" bestFit="1" customWidth="1"/>
    <col min="15623" max="15623" width="10.140625" style="165" customWidth="1"/>
    <col min="15624" max="15624" width="11" style="165" bestFit="1" customWidth="1"/>
    <col min="15625" max="15626" width="10.5703125" style="165" bestFit="1" customWidth="1"/>
    <col min="15627" max="15627" width="9.85546875" style="165" customWidth="1"/>
    <col min="15628" max="15628" width="11.5703125" style="165" customWidth="1"/>
    <col min="15629" max="15629" width="11.42578125" style="165" customWidth="1"/>
    <col min="15630" max="15630" width="10.140625" style="165" customWidth="1"/>
    <col min="15631" max="15631" width="10.28515625" style="165" bestFit="1" customWidth="1"/>
    <col min="15632" max="15632" width="12.140625" style="165" bestFit="1" customWidth="1"/>
    <col min="15633" max="15633" width="12" style="165" bestFit="1" customWidth="1"/>
    <col min="15634" max="15634" width="12.140625" style="165" customWidth="1"/>
    <col min="15635" max="15635" width="10.85546875" style="165" customWidth="1"/>
    <col min="15636" max="15636" width="8.85546875" style="165" bestFit="1" customWidth="1"/>
    <col min="15637" max="15637" width="9" style="165" bestFit="1" customWidth="1"/>
    <col min="15638" max="15638" width="8.5703125" style="165" bestFit="1" customWidth="1"/>
    <col min="15639" max="15639" width="7.85546875" style="165" bestFit="1" customWidth="1"/>
    <col min="15640" max="15640" width="8.85546875" style="165" bestFit="1" customWidth="1"/>
    <col min="15641" max="15641" width="11.85546875" style="165" bestFit="1" customWidth="1"/>
    <col min="15642" max="15642" width="11.7109375" style="165" bestFit="1" customWidth="1"/>
    <col min="15643" max="15643" width="13.140625" style="165" bestFit="1" customWidth="1"/>
    <col min="15644" max="15644" width="5.5703125" style="165" bestFit="1" customWidth="1"/>
    <col min="15645" max="15645" width="10" style="165" bestFit="1" customWidth="1"/>
    <col min="15646" max="15647" width="14" style="165" bestFit="1" customWidth="1"/>
    <col min="15648" max="15649" width="13.140625" style="165" bestFit="1" customWidth="1"/>
    <col min="15650" max="15650" width="14" style="165" bestFit="1" customWidth="1"/>
    <col min="15651" max="15654" width="9.28515625" style="165" bestFit="1" customWidth="1"/>
    <col min="15655" max="15656" width="11.7109375" style="165" bestFit="1" customWidth="1"/>
    <col min="15657" max="15657" width="9.28515625" style="165" bestFit="1" customWidth="1"/>
    <col min="15658" max="15658" width="11.7109375" style="165" bestFit="1" customWidth="1"/>
    <col min="15659" max="15659" width="13.140625" style="165" bestFit="1" customWidth="1"/>
    <col min="15660" max="15661" width="11.7109375" style="165" bestFit="1" customWidth="1"/>
    <col min="15662" max="15662" width="9.28515625" style="165" bestFit="1" customWidth="1"/>
    <col min="15663" max="15663" width="13.140625" style="165" bestFit="1" customWidth="1"/>
    <col min="15664" max="15664" width="9.28515625" style="165" bestFit="1" customWidth="1"/>
    <col min="15665" max="15666" width="13.140625" style="165" bestFit="1" customWidth="1"/>
    <col min="15667" max="15667" width="14.85546875" style="165" bestFit="1" customWidth="1"/>
    <col min="15668" max="15872" width="9.140625" style="165"/>
    <col min="15873" max="15873" width="9" style="165" customWidth="1"/>
    <col min="15874" max="15874" width="8.85546875" style="165" bestFit="1" customWidth="1"/>
    <col min="15875" max="15875" width="8.7109375" style="165" bestFit="1" customWidth="1"/>
    <col min="15876" max="15876" width="8.85546875" style="165" bestFit="1" customWidth="1"/>
    <col min="15877" max="15877" width="8" style="165" bestFit="1" customWidth="1"/>
    <col min="15878" max="15878" width="9" style="165" bestFit="1" customWidth="1"/>
    <col min="15879" max="15879" width="10.140625" style="165" customWidth="1"/>
    <col min="15880" max="15880" width="11" style="165" bestFit="1" customWidth="1"/>
    <col min="15881" max="15882" width="10.5703125" style="165" bestFit="1" customWidth="1"/>
    <col min="15883" max="15883" width="9.85546875" style="165" customWidth="1"/>
    <col min="15884" max="15884" width="11.5703125" style="165" customWidth="1"/>
    <col min="15885" max="15885" width="11.42578125" style="165" customWidth="1"/>
    <col min="15886" max="15886" width="10.140625" style="165" customWidth="1"/>
    <col min="15887" max="15887" width="10.28515625" style="165" bestFit="1" customWidth="1"/>
    <col min="15888" max="15888" width="12.140625" style="165" bestFit="1" customWidth="1"/>
    <col min="15889" max="15889" width="12" style="165" bestFit="1" customWidth="1"/>
    <col min="15890" max="15890" width="12.140625" style="165" customWidth="1"/>
    <col min="15891" max="15891" width="10.85546875" style="165" customWidth="1"/>
    <col min="15892" max="15892" width="8.85546875" style="165" bestFit="1" customWidth="1"/>
    <col min="15893" max="15893" width="9" style="165" bestFit="1" customWidth="1"/>
    <col min="15894" max="15894" width="8.5703125" style="165" bestFit="1" customWidth="1"/>
    <col min="15895" max="15895" width="7.85546875" style="165" bestFit="1" customWidth="1"/>
    <col min="15896" max="15896" width="8.85546875" style="165" bestFit="1" customWidth="1"/>
    <col min="15897" max="15897" width="11.85546875" style="165" bestFit="1" customWidth="1"/>
    <col min="15898" max="15898" width="11.7109375" style="165" bestFit="1" customWidth="1"/>
    <col min="15899" max="15899" width="13.140625" style="165" bestFit="1" customWidth="1"/>
    <col min="15900" max="15900" width="5.5703125" style="165" bestFit="1" customWidth="1"/>
    <col min="15901" max="15901" width="10" style="165" bestFit="1" customWidth="1"/>
    <col min="15902" max="15903" width="14" style="165" bestFit="1" customWidth="1"/>
    <col min="15904" max="15905" width="13.140625" style="165" bestFit="1" customWidth="1"/>
    <col min="15906" max="15906" width="14" style="165" bestFit="1" customWidth="1"/>
    <col min="15907" max="15910" width="9.28515625" style="165" bestFit="1" customWidth="1"/>
    <col min="15911" max="15912" width="11.7109375" style="165" bestFit="1" customWidth="1"/>
    <col min="15913" max="15913" width="9.28515625" style="165" bestFit="1" customWidth="1"/>
    <col min="15914" max="15914" width="11.7109375" style="165" bestFit="1" customWidth="1"/>
    <col min="15915" max="15915" width="13.140625" style="165" bestFit="1" customWidth="1"/>
    <col min="15916" max="15917" width="11.7109375" style="165" bestFit="1" customWidth="1"/>
    <col min="15918" max="15918" width="9.28515625" style="165" bestFit="1" customWidth="1"/>
    <col min="15919" max="15919" width="13.140625" style="165" bestFit="1" customWidth="1"/>
    <col min="15920" max="15920" width="9.28515625" style="165" bestFit="1" customWidth="1"/>
    <col min="15921" max="15922" width="13.140625" style="165" bestFit="1" customWidth="1"/>
    <col min="15923" max="15923" width="14.85546875" style="165" bestFit="1" customWidth="1"/>
    <col min="15924" max="16128" width="9.140625" style="165"/>
    <col min="16129" max="16129" width="9" style="165" customWidth="1"/>
    <col min="16130" max="16130" width="8.85546875" style="165" bestFit="1" customWidth="1"/>
    <col min="16131" max="16131" width="8.7109375" style="165" bestFit="1" customWidth="1"/>
    <col min="16132" max="16132" width="8.85546875" style="165" bestFit="1" customWidth="1"/>
    <col min="16133" max="16133" width="8" style="165" bestFit="1" customWidth="1"/>
    <col min="16134" max="16134" width="9" style="165" bestFit="1" customWidth="1"/>
    <col min="16135" max="16135" width="10.140625" style="165" customWidth="1"/>
    <col min="16136" max="16136" width="11" style="165" bestFit="1" customWidth="1"/>
    <col min="16137" max="16138" width="10.5703125" style="165" bestFit="1" customWidth="1"/>
    <col min="16139" max="16139" width="9.85546875" style="165" customWidth="1"/>
    <col min="16140" max="16140" width="11.5703125" style="165" customWidth="1"/>
    <col min="16141" max="16141" width="11.42578125" style="165" customWidth="1"/>
    <col min="16142" max="16142" width="10.140625" style="165" customWidth="1"/>
    <col min="16143" max="16143" width="10.28515625" style="165" bestFit="1" customWidth="1"/>
    <col min="16144" max="16144" width="12.140625" style="165" bestFit="1" customWidth="1"/>
    <col min="16145" max="16145" width="12" style="165" bestFit="1" customWidth="1"/>
    <col min="16146" max="16146" width="12.140625" style="165" customWidth="1"/>
    <col min="16147" max="16147" width="10.85546875" style="165" customWidth="1"/>
    <col min="16148" max="16148" width="8.85546875" style="165" bestFit="1" customWidth="1"/>
    <col min="16149" max="16149" width="9" style="165" bestFit="1" customWidth="1"/>
    <col min="16150" max="16150" width="8.5703125" style="165" bestFit="1" customWidth="1"/>
    <col min="16151" max="16151" width="7.85546875" style="165" bestFit="1" customWidth="1"/>
    <col min="16152" max="16152" width="8.85546875" style="165" bestFit="1" customWidth="1"/>
    <col min="16153" max="16153" width="11.85546875" style="165" bestFit="1" customWidth="1"/>
    <col min="16154" max="16154" width="11.7109375" style="165" bestFit="1" customWidth="1"/>
    <col min="16155" max="16155" width="13.140625" style="165" bestFit="1" customWidth="1"/>
    <col min="16156" max="16156" width="5.5703125" style="165" bestFit="1" customWidth="1"/>
    <col min="16157" max="16157" width="10" style="165" bestFit="1" customWidth="1"/>
    <col min="16158" max="16159" width="14" style="165" bestFit="1" customWidth="1"/>
    <col min="16160" max="16161" width="13.140625" style="165" bestFit="1" customWidth="1"/>
    <col min="16162" max="16162" width="14" style="165" bestFit="1" customWidth="1"/>
    <col min="16163" max="16166" width="9.28515625" style="165" bestFit="1" customWidth="1"/>
    <col min="16167" max="16168" width="11.7109375" style="165" bestFit="1" customWidth="1"/>
    <col min="16169" max="16169" width="9.28515625" style="165" bestFit="1" customWidth="1"/>
    <col min="16170" max="16170" width="11.7109375" style="165" bestFit="1" customWidth="1"/>
    <col min="16171" max="16171" width="13.140625" style="165" bestFit="1" customWidth="1"/>
    <col min="16172" max="16173" width="11.7109375" style="165" bestFit="1" customWidth="1"/>
    <col min="16174" max="16174" width="9.28515625" style="165" bestFit="1" customWidth="1"/>
    <col min="16175" max="16175" width="13.140625" style="165" bestFit="1" customWidth="1"/>
    <col min="16176" max="16176" width="9.28515625" style="165" bestFit="1" customWidth="1"/>
    <col min="16177" max="16178" width="13.140625" style="165" bestFit="1" customWidth="1"/>
    <col min="16179" max="16179" width="14.85546875" style="165" bestFit="1" customWidth="1"/>
    <col min="16180" max="16384" width="9.140625" style="165"/>
  </cols>
  <sheetData>
    <row r="1" spans="1:38" ht="16.5">
      <c r="A1" s="164" t="s">
        <v>304</v>
      </c>
    </row>
    <row r="2" spans="1:38" ht="15" hidden="1" customHeight="1">
      <c r="A2" s="166"/>
    </row>
    <row r="3" spans="1:38" ht="10.5" customHeight="1" thickBot="1">
      <c r="Y3" s="167" t="s">
        <v>12</v>
      </c>
    </row>
    <row r="4" spans="1:38" ht="15" customHeight="1" thickTop="1" thickBot="1">
      <c r="A4" s="168" t="s">
        <v>305</v>
      </c>
      <c r="B4" s="169" t="s">
        <v>306</v>
      </c>
      <c r="C4" s="170"/>
      <c r="D4" s="170"/>
      <c r="E4" s="171"/>
      <c r="F4" s="170" t="s">
        <v>307</v>
      </c>
      <c r="G4" s="170"/>
      <c r="H4" s="170"/>
      <c r="I4" s="170"/>
      <c r="J4" s="170"/>
      <c r="K4" s="171"/>
      <c r="L4" s="170" t="s">
        <v>308</v>
      </c>
      <c r="M4" s="170"/>
      <c r="N4" s="170"/>
      <c r="O4" s="171"/>
      <c r="P4" s="170" t="s">
        <v>309</v>
      </c>
      <c r="Q4" s="170"/>
      <c r="R4" s="170"/>
      <c r="S4" s="170"/>
      <c r="T4" s="171"/>
      <c r="U4" s="172" t="s">
        <v>310</v>
      </c>
      <c r="V4" s="173" t="s">
        <v>311</v>
      </c>
      <c r="W4" s="174" t="s">
        <v>312</v>
      </c>
      <c r="X4" s="175" t="s">
        <v>313</v>
      </c>
      <c r="Y4" s="175" t="s">
        <v>314</v>
      </c>
    </row>
    <row r="5" spans="1:38" ht="15" customHeight="1">
      <c r="A5" s="176" t="s">
        <v>315</v>
      </c>
      <c r="B5" s="177" t="s">
        <v>316</v>
      </c>
      <c r="C5" s="178" t="s">
        <v>317</v>
      </c>
      <c r="D5" s="178" t="s">
        <v>318</v>
      </c>
      <c r="E5" s="179" t="s">
        <v>319</v>
      </c>
      <c r="F5" s="180" t="s">
        <v>317</v>
      </c>
      <c r="G5" s="178" t="s">
        <v>320</v>
      </c>
      <c r="H5" s="178" t="s">
        <v>321</v>
      </c>
      <c r="I5" s="178" t="s">
        <v>321</v>
      </c>
      <c r="J5" s="178" t="s">
        <v>322</v>
      </c>
      <c r="K5" s="181" t="s">
        <v>319</v>
      </c>
      <c r="L5" s="180" t="s">
        <v>323</v>
      </c>
      <c r="M5" s="178" t="s">
        <v>324</v>
      </c>
      <c r="N5" s="177" t="s">
        <v>325</v>
      </c>
      <c r="O5" s="179" t="s">
        <v>319</v>
      </c>
      <c r="P5" s="180" t="s">
        <v>326</v>
      </c>
      <c r="Q5" s="178" t="s">
        <v>327</v>
      </c>
      <c r="R5" s="178" t="s">
        <v>322</v>
      </c>
      <c r="S5" s="178" t="s">
        <v>328</v>
      </c>
      <c r="T5" s="179" t="s">
        <v>319</v>
      </c>
      <c r="U5" s="182" t="s">
        <v>329</v>
      </c>
      <c r="V5" s="183" t="s">
        <v>330</v>
      </c>
      <c r="W5" s="184" t="s">
        <v>331</v>
      </c>
      <c r="X5" s="185" t="s">
        <v>127</v>
      </c>
      <c r="Y5" s="185" t="s">
        <v>332</v>
      </c>
    </row>
    <row r="6" spans="1:38" ht="15" customHeight="1">
      <c r="A6" s="176" t="s">
        <v>1</v>
      </c>
      <c r="B6" s="186" t="s">
        <v>333</v>
      </c>
      <c r="C6" s="187" t="s">
        <v>334</v>
      </c>
      <c r="D6" s="187" t="s">
        <v>335</v>
      </c>
      <c r="E6" s="188"/>
      <c r="F6" s="189" t="s">
        <v>336</v>
      </c>
      <c r="G6" s="187" t="s">
        <v>327</v>
      </c>
      <c r="H6" s="187" t="s">
        <v>337</v>
      </c>
      <c r="I6" s="187" t="s">
        <v>338</v>
      </c>
      <c r="J6" s="187" t="s">
        <v>339</v>
      </c>
      <c r="K6" s="188"/>
      <c r="L6" s="189" t="s">
        <v>327</v>
      </c>
      <c r="M6" s="187" t="s">
        <v>337</v>
      </c>
      <c r="N6" s="186"/>
      <c r="O6" s="190" t="s">
        <v>148</v>
      </c>
      <c r="P6" s="189" t="s">
        <v>340</v>
      </c>
      <c r="Q6" s="187" t="s">
        <v>341</v>
      </c>
      <c r="R6" s="187" t="s">
        <v>342</v>
      </c>
      <c r="S6" s="187" t="s">
        <v>343</v>
      </c>
      <c r="T6" s="190" t="s">
        <v>148</v>
      </c>
      <c r="U6" s="182" t="s">
        <v>344</v>
      </c>
      <c r="V6" s="191" t="s">
        <v>345</v>
      </c>
      <c r="W6" s="184"/>
      <c r="X6" s="185"/>
      <c r="Y6" s="185" t="s">
        <v>346</v>
      </c>
    </row>
    <row r="7" spans="1:38" ht="15" customHeight="1">
      <c r="A7" s="176"/>
      <c r="B7" s="186" t="s">
        <v>347</v>
      </c>
      <c r="C7" s="187" t="s">
        <v>318</v>
      </c>
      <c r="D7" s="187" t="s">
        <v>327</v>
      </c>
      <c r="E7" s="190"/>
      <c r="F7" s="189" t="s">
        <v>345</v>
      </c>
      <c r="G7" s="187" t="s">
        <v>348</v>
      </c>
      <c r="H7" s="187"/>
      <c r="I7" s="187" t="s">
        <v>342</v>
      </c>
      <c r="J7" s="187" t="s">
        <v>335</v>
      </c>
      <c r="K7" s="190"/>
      <c r="L7" s="189"/>
      <c r="M7" s="187"/>
      <c r="N7" s="186"/>
      <c r="O7" s="190"/>
      <c r="P7" s="189" t="s">
        <v>342</v>
      </c>
      <c r="Q7" s="187" t="s">
        <v>349</v>
      </c>
      <c r="R7" s="187" t="s">
        <v>325</v>
      </c>
      <c r="S7" s="187" t="s">
        <v>342</v>
      </c>
      <c r="T7" s="190"/>
      <c r="U7" s="182" t="s">
        <v>350</v>
      </c>
      <c r="V7" s="191" t="s">
        <v>333</v>
      </c>
      <c r="W7" s="184"/>
      <c r="X7" s="185"/>
      <c r="Y7" s="185" t="s">
        <v>351</v>
      </c>
    </row>
    <row r="8" spans="1:38">
      <c r="A8" s="176"/>
      <c r="B8" s="186"/>
      <c r="C8" s="187" t="s">
        <v>335</v>
      </c>
      <c r="D8" s="187"/>
      <c r="E8" s="190"/>
      <c r="F8" s="189" t="s">
        <v>352</v>
      </c>
      <c r="G8" s="187"/>
      <c r="H8" s="187"/>
      <c r="I8" s="187" t="s">
        <v>353</v>
      </c>
      <c r="J8" s="187"/>
      <c r="K8" s="190"/>
      <c r="L8" s="189"/>
      <c r="M8" s="187"/>
      <c r="N8" s="186"/>
      <c r="O8" s="190"/>
      <c r="P8" s="189" t="s">
        <v>348</v>
      </c>
      <c r="Q8" s="187"/>
      <c r="R8" s="187"/>
      <c r="S8" s="187" t="s">
        <v>354</v>
      </c>
      <c r="T8" s="190"/>
      <c r="U8" s="182" t="s">
        <v>355</v>
      </c>
      <c r="V8" s="192" t="s">
        <v>335</v>
      </c>
      <c r="W8" s="184"/>
      <c r="X8" s="185"/>
      <c r="Y8" s="185"/>
    </row>
    <row r="9" spans="1:38" ht="17.100000000000001" hidden="1" customHeight="1">
      <c r="A9" s="193"/>
      <c r="B9" s="194"/>
      <c r="C9" s="195"/>
      <c r="D9" s="195"/>
      <c r="E9" s="196"/>
      <c r="F9" s="197"/>
      <c r="G9" s="195"/>
      <c r="H9" s="195"/>
      <c r="I9" s="195"/>
      <c r="J9" s="195"/>
      <c r="K9" s="196"/>
      <c r="L9" s="197"/>
      <c r="M9" s="195"/>
      <c r="N9" s="194"/>
      <c r="O9" s="196"/>
      <c r="P9" s="197"/>
      <c r="Q9" s="195"/>
      <c r="R9" s="195"/>
      <c r="S9" s="195"/>
      <c r="T9" s="196"/>
      <c r="U9" s="198"/>
      <c r="V9" s="194"/>
      <c r="W9" s="199"/>
      <c r="X9" s="200"/>
      <c r="Y9" s="201"/>
      <c r="Z9" s="202"/>
      <c r="AA9" s="202"/>
    </row>
    <row r="10" spans="1:38" ht="17.100000000000001" hidden="1" customHeight="1">
      <c r="A10" s="203">
        <v>38504</v>
      </c>
      <c r="B10" s="194">
        <v>2288.2717847100002</v>
      </c>
      <c r="C10" s="194">
        <v>5972.1277568715004</v>
      </c>
      <c r="D10" s="194">
        <v>4734.9080789999998</v>
      </c>
      <c r="E10" s="196">
        <v>12995.307620581501</v>
      </c>
      <c r="F10" s="194">
        <v>129366.85213971259</v>
      </c>
      <c r="G10" s="194">
        <v>2812.8223654527296</v>
      </c>
      <c r="H10" s="194">
        <v>15167.746466234499</v>
      </c>
      <c r="I10" s="194">
        <v>122.33018281741701</v>
      </c>
      <c r="J10" s="194">
        <v>82878.777472506103</v>
      </c>
      <c r="K10" s="196">
        <v>230348.52862672333</v>
      </c>
      <c r="L10" s="204">
        <v>35182.513720000003</v>
      </c>
      <c r="M10" s="194">
        <v>5783.6478650999898</v>
      </c>
      <c r="N10" s="194">
        <v>0</v>
      </c>
      <c r="O10" s="196">
        <v>40966.161585099995</v>
      </c>
      <c r="P10" s="194">
        <v>1116.7134366550001</v>
      </c>
      <c r="Q10" s="194">
        <v>2360.1966436374341</v>
      </c>
      <c r="R10" s="194">
        <v>94062.657999999996</v>
      </c>
      <c r="S10" s="194">
        <v>7526.8785190311874</v>
      </c>
      <c r="T10" s="205">
        <v>105066.44659932362</v>
      </c>
      <c r="U10" s="206">
        <v>7497.9530000000004</v>
      </c>
      <c r="V10" s="194">
        <v>1512.1059738003121</v>
      </c>
      <c r="W10" s="199">
        <v>18325.518465607453</v>
      </c>
      <c r="X10" s="200">
        <v>416712.02187113615</v>
      </c>
      <c r="Y10" s="201">
        <v>32121.923720025588</v>
      </c>
      <c r="Z10" s="207"/>
      <c r="AA10" s="208"/>
      <c r="AB10" s="209"/>
      <c r="AC10" s="210"/>
      <c r="AD10" s="207"/>
      <c r="AE10" s="207"/>
      <c r="AF10" s="207"/>
      <c r="AG10" s="207"/>
      <c r="AH10" s="210"/>
      <c r="AI10" s="207"/>
      <c r="AJ10" s="207"/>
      <c r="AK10" s="210"/>
      <c r="AL10" s="207"/>
    </row>
    <row r="11" spans="1:38" ht="17.100000000000001" hidden="1" customHeight="1">
      <c r="A11" s="203">
        <v>38534</v>
      </c>
      <c r="B11" s="194">
        <v>2182.6022840099904</v>
      </c>
      <c r="C11" s="194">
        <v>5537.2912004899999</v>
      </c>
      <c r="D11" s="194">
        <v>4648.4409097099997</v>
      </c>
      <c r="E11" s="196">
        <v>12368.334394209989</v>
      </c>
      <c r="F11" s="194">
        <v>106932.14125260898</v>
      </c>
      <c r="G11" s="194">
        <v>2728.8233098945484</v>
      </c>
      <c r="H11" s="194">
        <v>15628.423862450032</v>
      </c>
      <c r="I11" s="194">
        <v>191.66818607283855</v>
      </c>
      <c r="J11" s="194">
        <v>87298.249134641694</v>
      </c>
      <c r="K11" s="196">
        <v>212779.3057456681</v>
      </c>
      <c r="L11" s="204">
        <v>35570.310312699999</v>
      </c>
      <c r="M11" s="194">
        <v>5783.5782971000008</v>
      </c>
      <c r="N11" s="194">
        <v>0</v>
      </c>
      <c r="O11" s="196">
        <v>41353.8886098</v>
      </c>
      <c r="P11" s="194">
        <v>1175.4904637646</v>
      </c>
      <c r="Q11" s="194">
        <v>2339.9240077602749</v>
      </c>
      <c r="R11" s="194">
        <v>95206.687000000005</v>
      </c>
      <c r="S11" s="194">
        <v>7665.8803094183022</v>
      </c>
      <c r="T11" s="205">
        <v>106387.98178094317</v>
      </c>
      <c r="U11" s="206">
        <v>7801.2190000000001</v>
      </c>
      <c r="V11" s="194">
        <v>837.93906105580174</v>
      </c>
      <c r="W11" s="199">
        <v>18756.698307650244</v>
      </c>
      <c r="X11" s="200">
        <v>400285.36689932726</v>
      </c>
      <c r="Y11" s="201">
        <v>32038.359271389618</v>
      </c>
      <c r="Z11" s="207"/>
      <c r="AA11" s="208"/>
      <c r="AB11" s="209"/>
      <c r="AC11" s="210"/>
      <c r="AD11" s="207"/>
      <c r="AE11" s="207"/>
      <c r="AF11" s="207"/>
      <c r="AG11" s="207"/>
      <c r="AH11" s="210"/>
      <c r="AI11" s="207"/>
      <c r="AJ11" s="207"/>
      <c r="AK11" s="210"/>
      <c r="AL11" s="207"/>
    </row>
    <row r="12" spans="1:38" ht="17.100000000000001" hidden="1" customHeight="1">
      <c r="A12" s="203">
        <v>38565</v>
      </c>
      <c r="B12" s="194">
        <v>2489.22817979</v>
      </c>
      <c r="C12" s="194">
        <v>6434.5690999379904</v>
      </c>
      <c r="D12" s="194">
        <v>4358.4958489999999</v>
      </c>
      <c r="E12" s="196">
        <v>13282.29312872799</v>
      </c>
      <c r="F12" s="194">
        <v>122071.33286237679</v>
      </c>
      <c r="G12" s="194">
        <v>2622.5270386860398</v>
      </c>
      <c r="H12" s="194">
        <v>14175.601966948601</v>
      </c>
      <c r="I12" s="194">
        <v>200.20047463637101</v>
      </c>
      <c r="J12" s="194">
        <v>86794.200807258909</v>
      </c>
      <c r="K12" s="196">
        <v>225863.86314990668</v>
      </c>
      <c r="L12" s="204">
        <v>35102.264468000001</v>
      </c>
      <c r="M12" s="194">
        <v>6081.6695740999903</v>
      </c>
      <c r="N12" s="194">
        <v>0</v>
      </c>
      <c r="O12" s="196">
        <v>41183.934042099994</v>
      </c>
      <c r="P12" s="194">
        <v>1183.4456973280001</v>
      </c>
      <c r="Q12" s="194">
        <v>2433.1727125282878</v>
      </c>
      <c r="R12" s="194">
        <v>94503.513999999996</v>
      </c>
      <c r="S12" s="194">
        <v>7631.3093009293898</v>
      </c>
      <c r="T12" s="205">
        <v>105751.44171078567</v>
      </c>
      <c r="U12" s="206">
        <v>7108.7920000000004</v>
      </c>
      <c r="V12" s="194">
        <v>1354.0606180710001</v>
      </c>
      <c r="W12" s="199">
        <v>19246.723401501218</v>
      </c>
      <c r="X12" s="200">
        <v>413791.10805109254</v>
      </c>
      <c r="Y12" s="201">
        <v>32879.614792760636</v>
      </c>
      <c r="Z12" s="207"/>
      <c r="AA12" s="208"/>
      <c r="AB12" s="209"/>
      <c r="AC12" s="210"/>
      <c r="AD12" s="207"/>
      <c r="AE12" s="207"/>
      <c r="AF12" s="207"/>
      <c r="AG12" s="207"/>
      <c r="AH12" s="210"/>
      <c r="AI12" s="207"/>
      <c r="AJ12" s="207"/>
      <c r="AK12" s="210"/>
      <c r="AL12" s="207"/>
    </row>
    <row r="13" spans="1:38" ht="17.100000000000001" hidden="1" customHeight="1">
      <c r="A13" s="203">
        <v>38596</v>
      </c>
      <c r="B13" s="194">
        <v>2408.8757292600003</v>
      </c>
      <c r="C13" s="194">
        <v>7026.5167934139999</v>
      </c>
      <c r="D13" s="194">
        <v>3565.3916985800001</v>
      </c>
      <c r="E13" s="196">
        <v>13000.784221254</v>
      </c>
      <c r="F13" s="194">
        <v>131607.30286745905</v>
      </c>
      <c r="G13" s="194">
        <v>2496.7817463853999</v>
      </c>
      <c r="H13" s="194">
        <v>12163.4765707682</v>
      </c>
      <c r="I13" s="194">
        <v>200.45484380619999</v>
      </c>
      <c r="J13" s="194">
        <v>93288.476479194243</v>
      </c>
      <c r="K13" s="196">
        <v>239756.49250761306</v>
      </c>
      <c r="L13" s="204">
        <v>35203.212053270006</v>
      </c>
      <c r="M13" s="194">
        <v>6116.6651956800006</v>
      </c>
      <c r="N13" s="194">
        <v>0</v>
      </c>
      <c r="O13" s="196">
        <v>41319.877248950004</v>
      </c>
      <c r="P13" s="194">
        <v>1139.7882688926002</v>
      </c>
      <c r="Q13" s="194">
        <v>2444.50542632</v>
      </c>
      <c r="R13" s="194">
        <v>98050.858321134641</v>
      </c>
      <c r="S13" s="194">
        <v>7508.6622417702001</v>
      </c>
      <c r="T13" s="205">
        <v>109143.81425811745</v>
      </c>
      <c r="U13" s="206">
        <v>6592.9799866106259</v>
      </c>
      <c r="V13" s="194">
        <v>1030.93450178137</v>
      </c>
      <c r="W13" s="199">
        <v>20507.168710179547</v>
      </c>
      <c r="X13" s="200">
        <v>431352.04143450601</v>
      </c>
      <c r="Y13" s="201">
        <v>33981.7640653204</v>
      </c>
      <c r="Z13" s="207"/>
      <c r="AA13" s="208"/>
      <c r="AB13" s="209"/>
      <c r="AC13" s="210"/>
      <c r="AD13" s="207"/>
      <c r="AE13" s="207"/>
      <c r="AF13" s="207"/>
      <c r="AG13" s="207"/>
      <c r="AH13" s="210"/>
      <c r="AI13" s="207"/>
      <c r="AJ13" s="207"/>
      <c r="AK13" s="210"/>
      <c r="AL13" s="207"/>
    </row>
    <row r="14" spans="1:38" ht="17.100000000000001" hidden="1" customHeight="1">
      <c r="A14" s="203">
        <v>38626</v>
      </c>
      <c r="B14" s="194">
        <v>2520.6453239899997</v>
      </c>
      <c r="C14" s="194">
        <v>5859.529470456233</v>
      </c>
      <c r="D14" s="194">
        <v>3768.2101037799998</v>
      </c>
      <c r="E14" s="196">
        <v>12148.384898226233</v>
      </c>
      <c r="F14" s="194">
        <v>129248.02928813528</v>
      </c>
      <c r="G14" s="194">
        <v>2954.7450757151864</v>
      </c>
      <c r="H14" s="194">
        <v>11864.010638166543</v>
      </c>
      <c r="I14" s="194">
        <v>309.34550456390002</v>
      </c>
      <c r="J14" s="194">
        <v>91730.663426500119</v>
      </c>
      <c r="K14" s="196">
        <v>236106.79393308103</v>
      </c>
      <c r="L14" s="204">
        <v>34230.179441450004</v>
      </c>
      <c r="M14" s="194">
        <v>6806.6211435499999</v>
      </c>
      <c r="N14" s="194">
        <v>0</v>
      </c>
      <c r="O14" s="196">
        <v>41036.800585000005</v>
      </c>
      <c r="P14" s="194">
        <v>1136.0858658076334</v>
      </c>
      <c r="Q14" s="194">
        <v>2543.27141248</v>
      </c>
      <c r="R14" s="194">
        <v>99932.227386160303</v>
      </c>
      <c r="S14" s="194">
        <v>7395.3844091870642</v>
      </c>
      <c r="T14" s="205">
        <v>111006.969073635</v>
      </c>
      <c r="U14" s="206">
        <v>6877.6386364935524</v>
      </c>
      <c r="V14" s="194">
        <v>997.60526489737686</v>
      </c>
      <c r="W14" s="199">
        <v>22991.683188226856</v>
      </c>
      <c r="X14" s="200">
        <v>431165.87557956006</v>
      </c>
      <c r="Y14" s="201">
        <v>34587.292841753748</v>
      </c>
      <c r="Z14" s="207"/>
      <c r="AA14" s="208"/>
      <c r="AB14" s="209"/>
      <c r="AC14" s="210"/>
      <c r="AD14" s="207"/>
      <c r="AE14" s="207"/>
      <c r="AF14" s="207"/>
      <c r="AG14" s="207"/>
      <c r="AH14" s="210"/>
      <c r="AI14" s="207"/>
      <c r="AJ14" s="207"/>
      <c r="AK14" s="210"/>
      <c r="AL14" s="207"/>
    </row>
    <row r="15" spans="1:38" ht="17.100000000000001" hidden="1" customHeight="1">
      <c r="A15" s="203">
        <v>38657</v>
      </c>
      <c r="B15" s="194">
        <v>3146.5575425799998</v>
      </c>
      <c r="C15" s="194">
        <v>7077.8004051612006</v>
      </c>
      <c r="D15" s="194">
        <v>3187.9134588699999</v>
      </c>
      <c r="E15" s="196">
        <v>13412.2714066112</v>
      </c>
      <c r="F15" s="194">
        <v>145364.8285057008</v>
      </c>
      <c r="G15" s="194">
        <v>2701.2480393017313</v>
      </c>
      <c r="H15" s="194">
        <v>9738.345893302052</v>
      </c>
      <c r="I15" s="194">
        <v>275.80524239524999</v>
      </c>
      <c r="J15" s="194">
        <v>93714.865041671073</v>
      </c>
      <c r="K15" s="196">
        <v>251795.09272237093</v>
      </c>
      <c r="L15" s="204">
        <v>33624.241317849999</v>
      </c>
      <c r="M15" s="194">
        <v>7186.62554955</v>
      </c>
      <c r="N15" s="194">
        <v>0</v>
      </c>
      <c r="O15" s="196">
        <v>40810.8668674</v>
      </c>
      <c r="P15" s="194">
        <v>1232.7431208513999</v>
      </c>
      <c r="Q15" s="194">
        <v>2659.2428599999998</v>
      </c>
      <c r="R15" s="194">
        <v>101426.66208870323</v>
      </c>
      <c r="S15" s="194">
        <v>7314.8372427051636</v>
      </c>
      <c r="T15" s="205">
        <v>112633.48531225979</v>
      </c>
      <c r="U15" s="206">
        <v>7023.7911593629669</v>
      </c>
      <c r="V15" s="194">
        <v>1619.0114018049062</v>
      </c>
      <c r="W15" s="199">
        <v>23506.659763641754</v>
      </c>
      <c r="X15" s="200">
        <v>450801.17863345146</v>
      </c>
      <c r="Y15" s="201">
        <v>35652.400000000001</v>
      </c>
      <c r="Z15" s="207"/>
      <c r="AA15" s="208"/>
      <c r="AB15" s="209"/>
      <c r="AC15" s="210"/>
      <c r="AD15" s="207"/>
      <c r="AE15" s="207"/>
      <c r="AF15" s="207"/>
      <c r="AG15" s="207"/>
      <c r="AH15" s="210"/>
      <c r="AI15" s="207"/>
      <c r="AJ15" s="207"/>
      <c r="AK15" s="210"/>
      <c r="AL15" s="207"/>
    </row>
    <row r="16" spans="1:38" ht="17.100000000000001" hidden="1" customHeight="1">
      <c r="A16" s="203">
        <v>38687</v>
      </c>
      <c r="B16" s="194">
        <v>3479.7823776300002</v>
      </c>
      <c r="C16" s="194">
        <v>6541.8117668997247</v>
      </c>
      <c r="D16" s="194">
        <v>2998.0775980200001</v>
      </c>
      <c r="E16" s="196">
        <v>13019.671742549725</v>
      </c>
      <c r="F16" s="194">
        <v>130923.76840326407</v>
      </c>
      <c r="G16" s="194">
        <v>2448.8633409771737</v>
      </c>
      <c r="H16" s="194">
        <v>9787.2797315395528</v>
      </c>
      <c r="I16" s="194">
        <v>377.27212851357433</v>
      </c>
      <c r="J16" s="194">
        <v>92862.783091492121</v>
      </c>
      <c r="K16" s="196">
        <v>236399.96669578651</v>
      </c>
      <c r="L16" s="204">
        <v>32994.145168449999</v>
      </c>
      <c r="M16" s="194">
        <v>7928.2053893399998</v>
      </c>
      <c r="N16" s="194">
        <v>0</v>
      </c>
      <c r="O16" s="196">
        <v>40922.35055779</v>
      </c>
      <c r="P16" s="194">
        <v>1217.6658932</v>
      </c>
      <c r="Q16" s="194">
        <v>2675.6347144700003</v>
      </c>
      <c r="R16" s="194">
        <v>104878.50261707332</v>
      </c>
      <c r="S16" s="194">
        <v>7242.4994065856799</v>
      </c>
      <c r="T16" s="205">
        <v>116014.30263132899</v>
      </c>
      <c r="U16" s="206">
        <v>6878.7649459408667</v>
      </c>
      <c r="V16" s="194">
        <v>1505.3700467928934</v>
      </c>
      <c r="W16" s="199">
        <v>25054.77557092705</v>
      </c>
      <c r="X16" s="200">
        <v>439795.20219111606</v>
      </c>
      <c r="Y16" s="201">
        <v>36922.1</v>
      </c>
      <c r="Z16" s="207"/>
      <c r="AA16" s="208"/>
      <c r="AB16" s="209"/>
      <c r="AC16" s="210"/>
      <c r="AD16" s="207"/>
      <c r="AE16" s="207"/>
      <c r="AF16" s="207"/>
      <c r="AG16" s="207"/>
      <c r="AH16" s="210"/>
      <c r="AI16" s="207"/>
      <c r="AJ16" s="207"/>
      <c r="AK16" s="210"/>
      <c r="AL16" s="207"/>
    </row>
    <row r="17" spans="1:38" ht="17.100000000000001" hidden="1" customHeight="1">
      <c r="A17" s="203">
        <v>38718</v>
      </c>
      <c r="B17" s="194">
        <v>2461.2949634000001</v>
      </c>
      <c r="C17" s="194">
        <v>7203.3058494525949</v>
      </c>
      <c r="D17" s="194">
        <v>2232.5159364400001</v>
      </c>
      <c r="E17" s="196">
        <v>11897.116749292596</v>
      </c>
      <c r="F17" s="194">
        <v>135459.50282657592</v>
      </c>
      <c r="G17" s="194">
        <v>2249.3445342491195</v>
      </c>
      <c r="H17" s="194">
        <v>13527.118806693108</v>
      </c>
      <c r="I17" s="194">
        <v>373.37724705835461</v>
      </c>
      <c r="J17" s="194">
        <v>90555.058572084119</v>
      </c>
      <c r="K17" s="196">
        <v>242164.40198666064</v>
      </c>
      <c r="L17" s="204">
        <v>34044.442740749997</v>
      </c>
      <c r="M17" s="194">
        <v>8036.8259754400005</v>
      </c>
      <c r="N17" s="194">
        <v>0</v>
      </c>
      <c r="O17" s="196">
        <v>42081.268716189996</v>
      </c>
      <c r="P17" s="194">
        <v>1211.527538</v>
      </c>
      <c r="Q17" s="194">
        <v>2691.9382723099998</v>
      </c>
      <c r="R17" s="194">
        <v>104199.11284681392</v>
      </c>
      <c r="S17" s="194">
        <v>7262.4369091793042</v>
      </c>
      <c r="T17" s="205">
        <v>115365.01556630323</v>
      </c>
      <c r="U17" s="206">
        <v>6423.5101832495211</v>
      </c>
      <c r="V17" s="194">
        <v>466.67746763246646</v>
      </c>
      <c r="W17" s="199">
        <v>22200.424507039697</v>
      </c>
      <c r="X17" s="200">
        <v>440598.41517636814</v>
      </c>
      <c r="Y17" s="201">
        <v>35270.699999999997</v>
      </c>
      <c r="Z17" s="207"/>
      <c r="AA17" s="208"/>
      <c r="AB17" s="209"/>
      <c r="AC17" s="210"/>
      <c r="AD17" s="207"/>
      <c r="AE17" s="207"/>
      <c r="AF17" s="207"/>
      <c r="AG17" s="207"/>
      <c r="AH17" s="210"/>
      <c r="AI17" s="207"/>
      <c r="AJ17" s="207"/>
      <c r="AK17" s="210"/>
      <c r="AL17" s="207"/>
    </row>
    <row r="18" spans="1:38" ht="17.100000000000001" hidden="1" customHeight="1">
      <c r="A18" s="203">
        <v>38749</v>
      </c>
      <c r="B18" s="194">
        <v>2252.1387837399998</v>
      </c>
      <c r="C18" s="194">
        <v>8092.2151756751528</v>
      </c>
      <c r="D18" s="194">
        <v>2505.0295309899998</v>
      </c>
      <c r="E18" s="196">
        <v>12849.383490405151</v>
      </c>
      <c r="F18" s="194">
        <v>165153.8248474549</v>
      </c>
      <c r="G18" s="194">
        <v>2415.9080339599996</v>
      </c>
      <c r="H18" s="194">
        <v>13450.252800558426</v>
      </c>
      <c r="I18" s="194">
        <v>219.06443970835929</v>
      </c>
      <c r="J18" s="194">
        <v>87216.50841201414</v>
      </c>
      <c r="K18" s="196">
        <v>268455.55853369588</v>
      </c>
      <c r="L18" s="204">
        <v>33002.970195729999</v>
      </c>
      <c r="M18" s="194">
        <v>8707.7046634500002</v>
      </c>
      <c r="N18" s="194">
        <v>0</v>
      </c>
      <c r="O18" s="196">
        <v>41710.674859179999</v>
      </c>
      <c r="P18" s="194">
        <v>1100.9991600000001</v>
      </c>
      <c r="Q18" s="194">
        <v>2640.0586140100004</v>
      </c>
      <c r="R18" s="194">
        <v>104294.52666539834</v>
      </c>
      <c r="S18" s="194">
        <v>7339.2169396084591</v>
      </c>
      <c r="T18" s="205">
        <v>115374.8013790168</v>
      </c>
      <c r="U18" s="206">
        <v>7200.5380797475436</v>
      </c>
      <c r="V18" s="194">
        <v>423.12510398370335</v>
      </c>
      <c r="W18" s="199">
        <v>21634.279333711525</v>
      </c>
      <c r="X18" s="200">
        <v>467648.36077974056</v>
      </c>
      <c r="Y18" s="201">
        <v>35309.4</v>
      </c>
      <c r="Z18" s="207"/>
      <c r="AA18" s="208"/>
      <c r="AB18" s="209"/>
      <c r="AC18" s="210"/>
      <c r="AD18" s="207"/>
      <c r="AE18" s="207"/>
      <c r="AF18" s="207"/>
      <c r="AG18" s="207"/>
      <c r="AH18" s="210"/>
      <c r="AI18" s="207"/>
      <c r="AJ18" s="207"/>
      <c r="AK18" s="210"/>
      <c r="AL18" s="207"/>
    </row>
    <row r="19" spans="1:38" ht="17.100000000000001" hidden="1" customHeight="1">
      <c r="A19" s="203">
        <v>38777</v>
      </c>
      <c r="B19" s="194">
        <v>2081.6240740399999</v>
      </c>
      <c r="C19" s="194">
        <v>8270.0293390243696</v>
      </c>
      <c r="D19" s="194">
        <v>2682.1175181800004</v>
      </c>
      <c r="E19" s="196">
        <v>13033.770931244371</v>
      </c>
      <c r="F19" s="194">
        <v>171399.84189091963</v>
      </c>
      <c r="G19" s="194">
        <v>2254.3925486549997</v>
      </c>
      <c r="H19" s="194">
        <v>11717.867667511015</v>
      </c>
      <c r="I19" s="194">
        <v>161.25055004164199</v>
      </c>
      <c r="J19" s="194">
        <v>90013.443801400645</v>
      </c>
      <c r="K19" s="196">
        <v>275546.79645852797</v>
      </c>
      <c r="L19" s="204">
        <v>33098.899260500002</v>
      </c>
      <c r="M19" s="194">
        <v>9436.5372405100006</v>
      </c>
      <c r="N19" s="194">
        <v>0</v>
      </c>
      <c r="O19" s="196">
        <v>42535.436501010001</v>
      </c>
      <c r="P19" s="194">
        <v>1120.3172509999999</v>
      </c>
      <c r="Q19" s="194">
        <v>2481.0447944099997</v>
      </c>
      <c r="R19" s="194">
        <v>104103.73680890072</v>
      </c>
      <c r="S19" s="194">
        <v>7482.3336678182759</v>
      </c>
      <c r="T19" s="205">
        <v>115187.43252212901</v>
      </c>
      <c r="U19" s="206">
        <v>6845.9948785143124</v>
      </c>
      <c r="V19" s="194">
        <v>302.0573856692356</v>
      </c>
      <c r="W19" s="199">
        <v>21179.26149790686</v>
      </c>
      <c r="X19" s="200">
        <v>474630.7501750018</v>
      </c>
      <c r="Y19" s="201">
        <v>35490.6</v>
      </c>
      <c r="Z19" s="207"/>
      <c r="AA19" s="208"/>
      <c r="AB19" s="209"/>
      <c r="AC19" s="210"/>
      <c r="AD19" s="207"/>
      <c r="AE19" s="207"/>
      <c r="AF19" s="207"/>
      <c r="AG19" s="207"/>
      <c r="AH19" s="210"/>
      <c r="AI19" s="207"/>
      <c r="AJ19" s="207"/>
      <c r="AK19" s="210"/>
      <c r="AL19" s="207"/>
    </row>
    <row r="20" spans="1:38" ht="17.100000000000001" hidden="1" customHeight="1">
      <c r="A20" s="203">
        <v>38808</v>
      </c>
      <c r="B20" s="194">
        <v>2095.1863662300002</v>
      </c>
      <c r="C20" s="194">
        <v>7897.5823385438034</v>
      </c>
      <c r="D20" s="194">
        <v>2794.2032276</v>
      </c>
      <c r="E20" s="196">
        <v>12786.971932373803</v>
      </c>
      <c r="F20" s="194">
        <v>157516.93182815996</v>
      </c>
      <c r="G20" s="194">
        <v>2158.9802008124993</v>
      </c>
      <c r="H20" s="194">
        <v>8774.2584898367859</v>
      </c>
      <c r="I20" s="194">
        <v>230.56122725347973</v>
      </c>
      <c r="J20" s="194">
        <v>96038.493018348745</v>
      </c>
      <c r="K20" s="196">
        <v>264719.22476441151</v>
      </c>
      <c r="L20" s="204">
        <v>32176.16664784</v>
      </c>
      <c r="M20" s="194">
        <v>9773.8861174500016</v>
      </c>
      <c r="N20" s="194">
        <v>0</v>
      </c>
      <c r="O20" s="196">
        <v>41950.052765290005</v>
      </c>
      <c r="P20" s="194">
        <v>1082.3308818400001</v>
      </c>
      <c r="Q20" s="194">
        <v>2413.8414631400001</v>
      </c>
      <c r="R20" s="194">
        <v>106743.02829496887</v>
      </c>
      <c r="S20" s="194">
        <v>7570.2810992339346</v>
      </c>
      <c r="T20" s="205">
        <v>117809.48173918281</v>
      </c>
      <c r="U20" s="206">
        <v>7935.1336798474713</v>
      </c>
      <c r="V20" s="194">
        <v>118.76455065872383</v>
      </c>
      <c r="W20" s="199">
        <v>22076.794553791511</v>
      </c>
      <c r="X20" s="200">
        <v>467396.42398555577</v>
      </c>
      <c r="Y20" s="201">
        <v>35874.396131782443</v>
      </c>
      <c r="Z20" s="207"/>
      <c r="AA20" s="208"/>
      <c r="AB20" s="209"/>
      <c r="AC20" s="210"/>
      <c r="AD20" s="207"/>
      <c r="AE20" s="207"/>
      <c r="AF20" s="207"/>
      <c r="AG20" s="207"/>
      <c r="AH20" s="210"/>
      <c r="AI20" s="207"/>
      <c r="AJ20" s="207"/>
      <c r="AK20" s="210"/>
      <c r="AL20" s="207"/>
    </row>
    <row r="21" spans="1:38" ht="17.100000000000001" hidden="1" customHeight="1">
      <c r="A21" s="203">
        <v>38838</v>
      </c>
      <c r="B21" s="194">
        <v>1985.2538890300002</v>
      </c>
      <c r="C21" s="194">
        <v>7344.8499994176027</v>
      </c>
      <c r="D21" s="194">
        <v>3049.39452596</v>
      </c>
      <c r="E21" s="196">
        <v>12379.498414407604</v>
      </c>
      <c r="F21" s="194">
        <v>184300.19589145525</v>
      </c>
      <c r="G21" s="194">
        <v>2126.4444853499999</v>
      </c>
      <c r="H21" s="194">
        <v>8982.0539581761968</v>
      </c>
      <c r="I21" s="194">
        <v>215.8831748133762</v>
      </c>
      <c r="J21" s="194">
        <v>98353.389086602299</v>
      </c>
      <c r="K21" s="196">
        <v>293977.96659639711</v>
      </c>
      <c r="L21" s="204">
        <v>32810.932668200003</v>
      </c>
      <c r="M21" s="194">
        <v>10155.42716001</v>
      </c>
      <c r="N21" s="194">
        <v>0</v>
      </c>
      <c r="O21" s="196">
        <v>42966.359828209999</v>
      </c>
      <c r="P21" s="194">
        <v>1088.6062790000001</v>
      </c>
      <c r="Q21" s="194">
        <v>2316.5987149799998</v>
      </c>
      <c r="R21" s="194">
        <v>107501.42776152576</v>
      </c>
      <c r="S21" s="194">
        <v>7483.0098648244775</v>
      </c>
      <c r="T21" s="205">
        <v>118389.64262033024</v>
      </c>
      <c r="U21" s="206">
        <v>8482.3364656184967</v>
      </c>
      <c r="V21" s="194">
        <v>222.28086887724407</v>
      </c>
      <c r="W21" s="199">
        <v>22321.320009634943</v>
      </c>
      <c r="X21" s="200">
        <v>498739.40480347566</v>
      </c>
      <c r="Y21" s="201">
        <v>36509.806111381164</v>
      </c>
      <c r="Z21" s="207"/>
      <c r="AA21" s="208"/>
      <c r="AB21" s="209"/>
      <c r="AC21" s="210"/>
      <c r="AD21" s="207"/>
      <c r="AE21" s="207"/>
      <c r="AF21" s="207"/>
      <c r="AG21" s="207"/>
      <c r="AH21" s="210"/>
      <c r="AI21" s="207"/>
      <c r="AJ21" s="207"/>
      <c r="AK21" s="210"/>
      <c r="AL21" s="207"/>
    </row>
    <row r="22" spans="1:38" ht="17.100000000000001" hidden="1" customHeight="1">
      <c r="A22" s="203">
        <v>38869</v>
      </c>
      <c r="B22" s="194">
        <v>1815.8988274100002</v>
      </c>
      <c r="C22" s="194">
        <v>9046.8329878485292</v>
      </c>
      <c r="D22" s="194">
        <v>2552.4419674899996</v>
      </c>
      <c r="E22" s="196">
        <v>13415.173782748529</v>
      </c>
      <c r="F22" s="194">
        <v>174797.18126910381</v>
      </c>
      <c r="G22" s="194">
        <v>2612.9912649998523</v>
      </c>
      <c r="H22" s="194">
        <v>6878.5297952824349</v>
      </c>
      <c r="I22" s="194">
        <v>184.52600480943971</v>
      </c>
      <c r="J22" s="194">
        <v>96982.728589366408</v>
      </c>
      <c r="K22" s="196">
        <v>281455.95692356193</v>
      </c>
      <c r="L22" s="204">
        <v>34886.144281660003</v>
      </c>
      <c r="M22" s="194">
        <v>10506.655074876031</v>
      </c>
      <c r="N22" s="194">
        <v>0</v>
      </c>
      <c r="O22" s="196">
        <v>45392.799356536038</v>
      </c>
      <c r="P22" s="194">
        <v>1105.8289420000001</v>
      </c>
      <c r="Q22" s="194">
        <v>2352.58256205</v>
      </c>
      <c r="R22" s="194">
        <v>107966.47056874222</v>
      </c>
      <c r="S22" s="194">
        <v>8046.5671374670255</v>
      </c>
      <c r="T22" s="205">
        <v>119471.44921025925</v>
      </c>
      <c r="U22" s="206">
        <v>8907.0994827195409</v>
      </c>
      <c r="V22" s="194">
        <v>235.36751620336622</v>
      </c>
      <c r="W22" s="199">
        <v>22413.34311970248</v>
      </c>
      <c r="X22" s="200">
        <v>491291.18939173117</v>
      </c>
      <c r="Y22" s="201">
        <v>35292.62302713783</v>
      </c>
      <c r="Z22" s="207"/>
      <c r="AA22" s="208"/>
      <c r="AB22" s="209"/>
      <c r="AC22" s="210"/>
      <c r="AD22" s="207"/>
      <c r="AE22" s="207"/>
      <c r="AF22" s="207"/>
      <c r="AG22" s="207"/>
      <c r="AH22" s="210"/>
      <c r="AI22" s="207"/>
      <c r="AJ22" s="207"/>
      <c r="AK22" s="210"/>
      <c r="AL22" s="207"/>
    </row>
    <row r="23" spans="1:38" ht="17.100000000000001" hidden="1" customHeight="1">
      <c r="A23" s="203">
        <v>38899</v>
      </c>
      <c r="B23" s="194">
        <v>1950.48530966</v>
      </c>
      <c r="C23" s="194">
        <v>7931.5034352401208</v>
      </c>
      <c r="D23" s="194">
        <v>3191.2813256100003</v>
      </c>
      <c r="E23" s="196">
        <v>13073.270070510122</v>
      </c>
      <c r="F23" s="194">
        <v>187284.36806007076</v>
      </c>
      <c r="G23" s="194">
        <v>2767.24208477</v>
      </c>
      <c r="H23" s="194">
        <v>8023.7493317717226</v>
      </c>
      <c r="I23" s="194">
        <v>297.70733625568329</v>
      </c>
      <c r="J23" s="194">
        <v>100553.96158061695</v>
      </c>
      <c r="K23" s="196">
        <v>298927.02839348512</v>
      </c>
      <c r="L23" s="204">
        <v>34930.650997050005</v>
      </c>
      <c r="M23" s="194">
        <v>10504.02129948</v>
      </c>
      <c r="N23" s="194">
        <v>0</v>
      </c>
      <c r="O23" s="196">
        <v>45434.672296530007</v>
      </c>
      <c r="P23" s="194">
        <v>1107.0427609999999</v>
      </c>
      <c r="Q23" s="194">
        <v>2456.1347668400003</v>
      </c>
      <c r="R23" s="194">
        <v>110892.76220764808</v>
      </c>
      <c r="S23" s="194">
        <v>8033.7600748158566</v>
      </c>
      <c r="T23" s="205">
        <v>122489.69981030392</v>
      </c>
      <c r="U23" s="206">
        <v>7674.4347434444207</v>
      </c>
      <c r="V23" s="194">
        <v>441.39948618025528</v>
      </c>
      <c r="W23" s="199">
        <v>21741.710936061041</v>
      </c>
      <c r="X23" s="200">
        <v>509782.21573651489</v>
      </c>
      <c r="Y23" s="201">
        <v>34689.340472073476</v>
      </c>
      <c r="Z23" s="207"/>
      <c r="AA23" s="208"/>
      <c r="AB23" s="209"/>
      <c r="AC23" s="210"/>
      <c r="AD23" s="207"/>
      <c r="AE23" s="207"/>
      <c r="AF23" s="207"/>
      <c r="AG23" s="207"/>
      <c r="AH23" s="210"/>
      <c r="AI23" s="207"/>
      <c r="AJ23" s="207"/>
      <c r="AK23" s="210"/>
      <c r="AL23" s="207"/>
    </row>
    <row r="24" spans="1:38" ht="17.100000000000001" hidden="1" customHeight="1">
      <c r="A24" s="203">
        <v>38930</v>
      </c>
      <c r="B24" s="194">
        <v>2387.8872047</v>
      </c>
      <c r="C24" s="194">
        <v>6790.8747300999075</v>
      </c>
      <c r="D24" s="194">
        <v>3141.6905672399998</v>
      </c>
      <c r="E24" s="196">
        <v>12320.452502039909</v>
      </c>
      <c r="F24" s="194">
        <v>194052.40369667439</v>
      </c>
      <c r="G24" s="194">
        <v>2972.3376784899997</v>
      </c>
      <c r="H24" s="194">
        <v>7436.8821390129551</v>
      </c>
      <c r="I24" s="194">
        <v>223.36028357646668</v>
      </c>
      <c r="J24" s="194">
        <v>104621.03072211855</v>
      </c>
      <c r="K24" s="196">
        <v>309306.01451987238</v>
      </c>
      <c r="L24" s="204">
        <v>33990.530390559994</v>
      </c>
      <c r="M24" s="194">
        <v>10820.123690959999</v>
      </c>
      <c r="N24" s="194">
        <v>0</v>
      </c>
      <c r="O24" s="196">
        <v>44810.654081519991</v>
      </c>
      <c r="P24" s="194">
        <v>1104.3549949999999</v>
      </c>
      <c r="Q24" s="194">
        <v>2506.2908823400003</v>
      </c>
      <c r="R24" s="194">
        <v>112715.91859762072</v>
      </c>
      <c r="S24" s="194">
        <v>8147.1589311557182</v>
      </c>
      <c r="T24" s="205">
        <v>124473.72340611645</v>
      </c>
      <c r="U24" s="206">
        <v>7668.2701907859437</v>
      </c>
      <c r="V24" s="194">
        <v>254.75915136694312</v>
      </c>
      <c r="W24" s="199">
        <v>23415.738734225419</v>
      </c>
      <c r="X24" s="200">
        <v>522249.61258592707</v>
      </c>
      <c r="Y24" s="201">
        <v>36648.482637241075</v>
      </c>
      <c r="Z24" s="207"/>
      <c r="AA24" s="208"/>
      <c r="AB24" s="209"/>
      <c r="AC24" s="210"/>
      <c r="AD24" s="207"/>
      <c r="AE24" s="207"/>
      <c r="AF24" s="207"/>
      <c r="AG24" s="207"/>
      <c r="AH24" s="210"/>
      <c r="AI24" s="207"/>
      <c r="AJ24" s="207"/>
      <c r="AK24" s="210"/>
      <c r="AL24" s="207"/>
    </row>
    <row r="25" spans="1:38" ht="17.100000000000001" hidden="1" customHeight="1">
      <c r="A25" s="203">
        <v>38961</v>
      </c>
      <c r="B25" s="194">
        <v>1917.4352451</v>
      </c>
      <c r="C25" s="194">
        <v>8839.840139035563</v>
      </c>
      <c r="D25" s="194">
        <v>2648.6843897399999</v>
      </c>
      <c r="E25" s="196">
        <v>13405.959773875562</v>
      </c>
      <c r="F25" s="194">
        <v>217278.05033045693</v>
      </c>
      <c r="G25" s="194">
        <v>2905.08375015</v>
      </c>
      <c r="H25" s="194">
        <v>7482.4796439267011</v>
      </c>
      <c r="I25" s="194">
        <v>227.96490248440699</v>
      </c>
      <c r="J25" s="194">
        <v>106898.84727054389</v>
      </c>
      <c r="K25" s="196">
        <v>334792.42589756195</v>
      </c>
      <c r="L25" s="204">
        <v>30540.711378150001</v>
      </c>
      <c r="M25" s="194">
        <v>10820.03561268</v>
      </c>
      <c r="N25" s="194">
        <v>335.03197841150006</v>
      </c>
      <c r="O25" s="196">
        <v>41695.778969241495</v>
      </c>
      <c r="P25" s="194">
        <v>1109.789117</v>
      </c>
      <c r="Q25" s="194">
        <v>2451.2007821999996</v>
      </c>
      <c r="R25" s="194">
        <v>113711.63186690935</v>
      </c>
      <c r="S25" s="194">
        <v>8256.2922323632411</v>
      </c>
      <c r="T25" s="205">
        <v>125528.91399847259</v>
      </c>
      <c r="U25" s="206">
        <v>8508.1513695896629</v>
      </c>
      <c r="V25" s="194">
        <v>264.41726504195486</v>
      </c>
      <c r="W25" s="199">
        <v>23800.404927834639</v>
      </c>
      <c r="X25" s="200">
        <v>547996.05220161774</v>
      </c>
      <c r="Y25" s="201">
        <v>39072.778054220806</v>
      </c>
      <c r="Z25" s="207"/>
      <c r="AA25" s="208"/>
      <c r="AB25" s="209"/>
      <c r="AC25" s="210"/>
      <c r="AD25" s="207"/>
      <c r="AE25" s="207"/>
      <c r="AF25" s="207"/>
      <c r="AG25" s="207"/>
      <c r="AH25" s="210"/>
      <c r="AI25" s="207"/>
      <c r="AJ25" s="207"/>
      <c r="AK25" s="210"/>
      <c r="AL25" s="207"/>
    </row>
    <row r="26" spans="1:38" ht="17.100000000000001" hidden="1" customHeight="1">
      <c r="A26" s="203">
        <v>38991</v>
      </c>
      <c r="B26" s="194">
        <v>2196.8213237399996</v>
      </c>
      <c r="C26" s="194">
        <v>7297.352523042231</v>
      </c>
      <c r="D26" s="194">
        <v>1286.26126817</v>
      </c>
      <c r="E26" s="196">
        <v>10780.43511495223</v>
      </c>
      <c r="F26" s="194">
        <v>221086.59288619674</v>
      </c>
      <c r="G26" s="194">
        <v>2638.5369446700001</v>
      </c>
      <c r="H26" s="194">
        <v>7526.3819325544</v>
      </c>
      <c r="I26" s="194">
        <v>274.33078501170002</v>
      </c>
      <c r="J26" s="194">
        <v>109075.10279859723</v>
      </c>
      <c r="K26" s="196">
        <v>340600.94534703007</v>
      </c>
      <c r="L26" s="204">
        <v>29857.776498790001</v>
      </c>
      <c r="M26" s="194">
        <v>11034.522859049999</v>
      </c>
      <c r="N26" s="194">
        <v>414.48134621879996</v>
      </c>
      <c r="O26" s="196">
        <v>41306.780704058801</v>
      </c>
      <c r="P26" s="194">
        <v>1080.303242</v>
      </c>
      <c r="Q26" s="194">
        <v>2490.1641971399999</v>
      </c>
      <c r="R26" s="194">
        <v>115404.60567996529</v>
      </c>
      <c r="S26" s="194">
        <v>8547.6391383023383</v>
      </c>
      <c r="T26" s="205">
        <v>127522.71225740763</v>
      </c>
      <c r="U26" s="206">
        <v>8647.9885205006995</v>
      </c>
      <c r="V26" s="194">
        <v>238.78520371266455</v>
      </c>
      <c r="W26" s="199">
        <v>24584.318020053786</v>
      </c>
      <c r="X26" s="200">
        <v>553681.9651677158</v>
      </c>
      <c r="Y26" s="201">
        <v>41442.800618036963</v>
      </c>
      <c r="Z26" s="207"/>
      <c r="AA26" s="208"/>
      <c r="AB26" s="209"/>
      <c r="AC26" s="210"/>
      <c r="AD26" s="207"/>
      <c r="AE26" s="207"/>
      <c r="AF26" s="207"/>
      <c r="AG26" s="207"/>
      <c r="AH26" s="210"/>
      <c r="AI26" s="207"/>
      <c r="AJ26" s="207"/>
      <c r="AK26" s="210"/>
      <c r="AL26" s="207"/>
    </row>
    <row r="27" spans="1:38" ht="17.100000000000001" hidden="1" customHeight="1">
      <c r="A27" s="203">
        <v>39022</v>
      </c>
      <c r="B27" s="194">
        <v>2463.8257039800001</v>
      </c>
      <c r="C27" s="194">
        <v>6879.5283147995997</v>
      </c>
      <c r="D27" s="194">
        <v>902.27593045000003</v>
      </c>
      <c r="E27" s="196">
        <v>10245.629949229598</v>
      </c>
      <c r="F27" s="194">
        <v>239234.27996777685</v>
      </c>
      <c r="G27" s="194">
        <v>2997.0788100549998</v>
      </c>
      <c r="H27" s="194">
        <v>7507.6285572960014</v>
      </c>
      <c r="I27" s="194">
        <v>311.8470229006</v>
      </c>
      <c r="J27" s="194">
        <v>116058.20047292477</v>
      </c>
      <c r="K27" s="196">
        <v>366109.03483095323</v>
      </c>
      <c r="L27" s="204">
        <v>27978.27405955</v>
      </c>
      <c r="M27" s="194">
        <v>11440.4223284</v>
      </c>
      <c r="N27" s="194">
        <v>2111.956836927</v>
      </c>
      <c r="O27" s="196">
        <v>41530.653224876994</v>
      </c>
      <c r="P27" s="194">
        <v>1089.0257300000001</v>
      </c>
      <c r="Q27" s="194">
        <v>2904.55731646</v>
      </c>
      <c r="R27" s="194">
        <v>116003.42530642495</v>
      </c>
      <c r="S27" s="194">
        <v>9016.0410407728014</v>
      </c>
      <c r="T27" s="205">
        <v>129013.04939365775</v>
      </c>
      <c r="U27" s="206">
        <v>7537.1064833708524</v>
      </c>
      <c r="V27" s="194">
        <v>264.47455000556999</v>
      </c>
      <c r="W27" s="199">
        <v>25255.069085450054</v>
      </c>
      <c r="X27" s="200">
        <v>579955.01751754398</v>
      </c>
      <c r="Y27" s="201">
        <v>42102.873590325202</v>
      </c>
      <c r="Z27" s="207"/>
      <c r="AA27" s="208"/>
      <c r="AB27" s="209"/>
      <c r="AC27" s="210"/>
      <c r="AD27" s="207"/>
      <c r="AE27" s="207"/>
      <c r="AF27" s="207"/>
      <c r="AG27" s="207"/>
      <c r="AH27" s="210"/>
      <c r="AI27" s="207"/>
      <c r="AJ27" s="207"/>
      <c r="AK27" s="210"/>
      <c r="AL27" s="207"/>
    </row>
    <row r="28" spans="1:38" ht="17.100000000000001" hidden="1" customHeight="1">
      <c r="A28" s="203">
        <v>39052</v>
      </c>
      <c r="B28" s="194">
        <v>3322.1699084300003</v>
      </c>
      <c r="C28" s="194">
        <v>8087.3454520200003</v>
      </c>
      <c r="D28" s="194">
        <v>753.17265300999998</v>
      </c>
      <c r="E28" s="196">
        <v>12162.688013460001</v>
      </c>
      <c r="F28" s="194">
        <v>260408.99291418245</v>
      </c>
      <c r="G28" s="194">
        <v>3839.6829179349998</v>
      </c>
      <c r="H28" s="194">
        <v>7544.7366834527493</v>
      </c>
      <c r="I28" s="194">
        <v>411.22599549</v>
      </c>
      <c r="J28" s="194">
        <v>121864.79337401502</v>
      </c>
      <c r="K28" s="196">
        <v>394069.43188507517</v>
      </c>
      <c r="L28" s="204">
        <v>26725.891024925</v>
      </c>
      <c r="M28" s="194">
        <v>11842.53495917</v>
      </c>
      <c r="N28" s="194">
        <v>-8.0369999977847328E-5</v>
      </c>
      <c r="O28" s="196">
        <v>38568.425903724994</v>
      </c>
      <c r="P28" s="194">
        <v>1084.4074909999999</v>
      </c>
      <c r="Q28" s="194">
        <v>2819.1407391999996</v>
      </c>
      <c r="R28" s="194">
        <v>118515.29877739499</v>
      </c>
      <c r="S28" s="194">
        <v>8913.6834678313226</v>
      </c>
      <c r="T28" s="205">
        <v>131332.53047542632</v>
      </c>
      <c r="U28" s="206">
        <v>6819.801318715</v>
      </c>
      <c r="V28" s="194">
        <v>2081.7390948525249</v>
      </c>
      <c r="W28" s="199">
        <v>24240.174255596074</v>
      </c>
      <c r="X28" s="200">
        <v>609274.79094684997</v>
      </c>
      <c r="Y28" s="201">
        <v>42599.592504551256</v>
      </c>
      <c r="Z28" s="207"/>
      <c r="AA28" s="208"/>
      <c r="AB28" s="209"/>
      <c r="AC28" s="210"/>
      <c r="AD28" s="207"/>
      <c r="AE28" s="207"/>
      <c r="AF28" s="207"/>
      <c r="AG28" s="207"/>
      <c r="AH28" s="210"/>
      <c r="AI28" s="207"/>
      <c r="AJ28" s="207"/>
      <c r="AK28" s="210"/>
      <c r="AL28" s="207"/>
    </row>
    <row r="29" spans="1:38" ht="17.100000000000001" hidden="1" customHeight="1">
      <c r="A29" s="203">
        <v>39083</v>
      </c>
      <c r="B29" s="194">
        <v>2515.3464133100001</v>
      </c>
      <c r="C29" s="194">
        <v>7414.4585376428467</v>
      </c>
      <c r="D29" s="194">
        <v>676.60185935000004</v>
      </c>
      <c r="E29" s="196">
        <v>10606.406810302846</v>
      </c>
      <c r="F29" s="194">
        <v>230136.60145740758</v>
      </c>
      <c r="G29" s="194">
        <v>3724.7819607557499</v>
      </c>
      <c r="H29" s="194">
        <v>7327.66436744372</v>
      </c>
      <c r="I29" s="194">
        <v>252.97820390925</v>
      </c>
      <c r="J29" s="194">
        <v>125180.7345691118</v>
      </c>
      <c r="K29" s="196">
        <v>366622.76055862807</v>
      </c>
      <c r="L29" s="204">
        <v>25664.762182627001</v>
      </c>
      <c r="M29" s="194">
        <v>12028.993756299998</v>
      </c>
      <c r="N29" s="194">
        <v>-4.1354000001092572E-4</v>
      </c>
      <c r="O29" s="196">
        <v>37693.755525387001</v>
      </c>
      <c r="P29" s="194">
        <v>1072.9588510000001</v>
      </c>
      <c r="Q29" s="194">
        <v>2893.6342978899997</v>
      </c>
      <c r="R29" s="194">
        <v>118678.11048505992</v>
      </c>
      <c r="S29" s="194">
        <v>8772.9704113661664</v>
      </c>
      <c r="T29" s="205">
        <v>131417.67404531609</v>
      </c>
      <c r="U29" s="206">
        <v>7363.4912867653447</v>
      </c>
      <c r="V29" s="194">
        <v>398.52714633186253</v>
      </c>
      <c r="W29" s="199">
        <v>25075.740122407886</v>
      </c>
      <c r="X29" s="200">
        <v>579178.35549513903</v>
      </c>
      <c r="Y29" s="201">
        <v>48736.46711056654</v>
      </c>
      <c r="Z29" s="207"/>
      <c r="AA29" s="208"/>
      <c r="AB29" s="209"/>
      <c r="AC29" s="210"/>
      <c r="AD29" s="207"/>
      <c r="AE29" s="207"/>
      <c r="AF29" s="207"/>
      <c r="AG29" s="207"/>
      <c r="AH29" s="210"/>
      <c r="AI29" s="207"/>
      <c r="AJ29" s="207"/>
      <c r="AK29" s="210"/>
      <c r="AL29" s="207"/>
    </row>
    <row r="30" spans="1:38" ht="17.100000000000001" hidden="1" customHeight="1">
      <c r="A30" s="203">
        <v>39114</v>
      </c>
      <c r="B30" s="194">
        <v>2414.9337476700002</v>
      </c>
      <c r="C30" s="194">
        <v>7832.2335556766338</v>
      </c>
      <c r="D30" s="194">
        <v>612.57368073999999</v>
      </c>
      <c r="E30" s="196">
        <v>10859.740984086635</v>
      </c>
      <c r="F30" s="194">
        <v>227791.02271942954</v>
      </c>
      <c r="G30" s="194">
        <v>3601.2120139443336</v>
      </c>
      <c r="H30" s="194">
        <v>7334.3354544371141</v>
      </c>
      <c r="I30" s="194">
        <v>247.19983713568337</v>
      </c>
      <c r="J30" s="194">
        <v>130766.35077523388</v>
      </c>
      <c r="K30" s="196">
        <v>369740.12080018059</v>
      </c>
      <c r="L30" s="204">
        <v>26569.415282485865</v>
      </c>
      <c r="M30" s="194">
        <v>13063.85957493</v>
      </c>
      <c r="N30" s="194">
        <v>-1.8119999964483213E-5</v>
      </c>
      <c r="O30" s="196">
        <v>39633.27483929586</v>
      </c>
      <c r="P30" s="194">
        <v>1077.5142370000001</v>
      </c>
      <c r="Q30" s="194">
        <v>2494.6936243099999</v>
      </c>
      <c r="R30" s="194">
        <v>117889.33920970492</v>
      </c>
      <c r="S30" s="194">
        <v>8692.3294880369231</v>
      </c>
      <c r="T30" s="205">
        <v>130153.87655905186</v>
      </c>
      <c r="U30" s="206">
        <v>7094.0560488126694</v>
      </c>
      <c r="V30" s="194">
        <v>403.28780229192182</v>
      </c>
      <c r="W30" s="199">
        <v>24097.850198892575</v>
      </c>
      <c r="X30" s="200">
        <v>581982.20723261207</v>
      </c>
      <c r="Y30" s="201">
        <v>41472.545356895906</v>
      </c>
      <c r="Z30" s="207"/>
      <c r="AA30" s="208"/>
      <c r="AB30" s="209"/>
      <c r="AC30" s="210"/>
      <c r="AD30" s="207"/>
      <c r="AE30" s="207"/>
      <c r="AF30" s="207"/>
      <c r="AG30" s="207"/>
      <c r="AH30" s="210"/>
      <c r="AI30" s="207"/>
      <c r="AJ30" s="207"/>
      <c r="AK30" s="210"/>
      <c r="AL30" s="207"/>
    </row>
    <row r="31" spans="1:38" ht="17.100000000000001" hidden="1" customHeight="1">
      <c r="A31" s="203">
        <v>39142</v>
      </c>
      <c r="B31" s="194">
        <v>2208.3231896500001</v>
      </c>
      <c r="C31" s="194">
        <v>8904.3657820227272</v>
      </c>
      <c r="D31" s="194">
        <v>2105.5414529999998</v>
      </c>
      <c r="E31" s="196">
        <v>13218.230424672727</v>
      </c>
      <c r="F31" s="194">
        <v>225140.76979755628</v>
      </c>
      <c r="G31" s="194">
        <v>3630.5191048672</v>
      </c>
      <c r="H31" s="194">
        <v>7352.0210338474772</v>
      </c>
      <c r="I31" s="194">
        <v>235.5276032173</v>
      </c>
      <c r="J31" s="194">
        <v>144304.04291992958</v>
      </c>
      <c r="K31" s="196">
        <v>380662.88045941782</v>
      </c>
      <c r="L31" s="204">
        <v>24952.837351579001</v>
      </c>
      <c r="M31" s="194">
        <v>14092.84688375</v>
      </c>
      <c r="N31" s="194">
        <v>0</v>
      </c>
      <c r="O31" s="196">
        <v>39045.684235328998</v>
      </c>
      <c r="P31" s="194">
        <v>1075.812424</v>
      </c>
      <c r="Q31" s="194">
        <v>2257.97199946</v>
      </c>
      <c r="R31" s="194">
        <v>118137.90469128633</v>
      </c>
      <c r="S31" s="194">
        <v>8768.7419710967406</v>
      </c>
      <c r="T31" s="205">
        <v>130240.43108584307</v>
      </c>
      <c r="U31" s="206">
        <v>8165.0088607375055</v>
      </c>
      <c r="V31" s="194">
        <v>978.82724416072119</v>
      </c>
      <c r="W31" s="199">
        <v>25947.430952554627</v>
      </c>
      <c r="X31" s="200">
        <v>598258.49326271552</v>
      </c>
      <c r="Y31" s="201">
        <v>41381.45342137439</v>
      </c>
      <c r="Z31" s="207"/>
      <c r="AA31" s="208"/>
      <c r="AB31" s="209"/>
      <c r="AC31" s="210"/>
      <c r="AD31" s="207"/>
      <c r="AE31" s="207"/>
      <c r="AF31" s="207"/>
      <c r="AG31" s="207"/>
      <c r="AH31" s="210"/>
      <c r="AI31" s="207"/>
      <c r="AJ31" s="207"/>
      <c r="AK31" s="210"/>
      <c r="AL31" s="207"/>
    </row>
    <row r="32" spans="1:38" ht="17.100000000000001" hidden="1" customHeight="1">
      <c r="A32" s="203">
        <v>39173</v>
      </c>
      <c r="B32" s="194">
        <v>2125.5826604099998</v>
      </c>
      <c r="C32" s="194">
        <v>7847.8561931747163</v>
      </c>
      <c r="D32" s="194">
        <v>5257.0277167676331</v>
      </c>
      <c r="E32" s="196">
        <v>15230.46657035235</v>
      </c>
      <c r="F32" s="194">
        <v>215082.60306504028</v>
      </c>
      <c r="G32" s="194">
        <v>4334.9843284903</v>
      </c>
      <c r="H32" s="194">
        <v>7303.3037030172236</v>
      </c>
      <c r="I32" s="194">
        <v>322.76965492776668</v>
      </c>
      <c r="J32" s="194">
        <v>148055.78245203148</v>
      </c>
      <c r="K32" s="196">
        <v>375099.44320350705</v>
      </c>
      <c r="L32" s="204">
        <v>25293.477736169898</v>
      </c>
      <c r="M32" s="194">
        <v>15574.514234540002</v>
      </c>
      <c r="N32" s="194">
        <v>0</v>
      </c>
      <c r="O32" s="196">
        <v>40867.991970709903</v>
      </c>
      <c r="P32" s="194">
        <v>1078.1730700000001</v>
      </c>
      <c r="Q32" s="194">
        <v>2218.8029037699998</v>
      </c>
      <c r="R32" s="194">
        <v>118210.37517120109</v>
      </c>
      <c r="S32" s="194">
        <v>8660.3572854231279</v>
      </c>
      <c r="T32" s="205">
        <v>130167.70843039421</v>
      </c>
      <c r="U32" s="206">
        <v>8660.9238065104928</v>
      </c>
      <c r="V32" s="194">
        <v>1688.0475276701654</v>
      </c>
      <c r="W32" s="199">
        <v>25992.933192268578</v>
      </c>
      <c r="X32" s="200">
        <v>597707.51470141276</v>
      </c>
      <c r="Y32" s="201">
        <v>43027.069188998837</v>
      </c>
      <c r="Z32" s="207"/>
      <c r="AA32" s="208"/>
      <c r="AB32" s="209"/>
      <c r="AC32" s="210"/>
      <c r="AD32" s="207"/>
      <c r="AE32" s="207"/>
      <c r="AF32" s="207"/>
      <c r="AG32" s="207"/>
      <c r="AH32" s="210"/>
      <c r="AI32" s="207"/>
      <c r="AJ32" s="207"/>
      <c r="AK32" s="210"/>
      <c r="AL32" s="207"/>
    </row>
    <row r="33" spans="1:38" ht="17.100000000000001" hidden="1" customHeight="1">
      <c r="A33" s="203">
        <v>39203</v>
      </c>
      <c r="B33" s="194">
        <v>2132.2369624200001</v>
      </c>
      <c r="C33" s="194">
        <v>8213.7382512547811</v>
      </c>
      <c r="D33" s="194">
        <v>5194.0317928430004</v>
      </c>
      <c r="E33" s="196">
        <v>15540.007006517782</v>
      </c>
      <c r="F33" s="194">
        <v>210811.30682141753</v>
      </c>
      <c r="G33" s="194">
        <v>4849.4541941220996</v>
      </c>
      <c r="H33" s="194">
        <v>7608.925198039824</v>
      </c>
      <c r="I33" s="194">
        <v>217.83878093069998</v>
      </c>
      <c r="J33" s="194">
        <v>153617.53656456489</v>
      </c>
      <c r="K33" s="196">
        <v>377105.06155907502</v>
      </c>
      <c r="L33" s="204">
        <v>24445.060355806352</v>
      </c>
      <c r="M33" s="194">
        <v>16707.097049236538</v>
      </c>
      <c r="N33" s="194">
        <v>0</v>
      </c>
      <c r="O33" s="196">
        <v>41152.15740504289</v>
      </c>
      <c r="P33" s="194">
        <v>1089.939942</v>
      </c>
      <c r="Q33" s="194">
        <v>2118.7421031100002</v>
      </c>
      <c r="R33" s="194">
        <v>117500.46540026003</v>
      </c>
      <c r="S33" s="194">
        <v>8580.7756408828318</v>
      </c>
      <c r="T33" s="205">
        <v>129289.92308625285</v>
      </c>
      <c r="U33" s="206">
        <v>10905.860417076925</v>
      </c>
      <c r="V33" s="194">
        <v>3977.2725024767938</v>
      </c>
      <c r="W33" s="199">
        <v>26433.651059165473</v>
      </c>
      <c r="X33" s="200">
        <v>604403.93303560792</v>
      </c>
      <c r="Y33" s="201">
        <v>42355.84467817485</v>
      </c>
      <c r="Z33" s="207"/>
      <c r="AA33" s="208"/>
      <c r="AB33" s="209"/>
      <c r="AC33" s="210"/>
      <c r="AD33" s="207"/>
      <c r="AE33" s="207"/>
      <c r="AF33" s="207"/>
      <c r="AG33" s="207"/>
      <c r="AH33" s="210"/>
      <c r="AI33" s="207"/>
      <c r="AJ33" s="207"/>
      <c r="AK33" s="210"/>
      <c r="AL33" s="207"/>
    </row>
    <row r="34" spans="1:38" ht="17.100000000000001" hidden="1" customHeight="1">
      <c r="A34" s="203">
        <v>39234</v>
      </c>
      <c r="B34" s="194">
        <v>1914.3835437999999</v>
      </c>
      <c r="C34" s="194">
        <v>9480.1453692150008</v>
      </c>
      <c r="D34" s="194">
        <v>4691.9675605938</v>
      </c>
      <c r="E34" s="196">
        <v>16086.4964736088</v>
      </c>
      <c r="F34" s="194">
        <v>217616.93429659359</v>
      </c>
      <c r="G34" s="194">
        <v>5411.3473483185999</v>
      </c>
      <c r="H34" s="194">
        <v>7783.5589346520001</v>
      </c>
      <c r="I34" s="194">
        <v>265.45146247700001</v>
      </c>
      <c r="J34" s="194">
        <v>163878.31517461836</v>
      </c>
      <c r="K34" s="196">
        <v>394955.60721665958</v>
      </c>
      <c r="L34" s="204">
        <v>24396.883621944991</v>
      </c>
      <c r="M34" s="194">
        <v>16897.491593089999</v>
      </c>
      <c r="N34" s="194">
        <v>0</v>
      </c>
      <c r="O34" s="196">
        <v>41294.37521503499</v>
      </c>
      <c r="P34" s="194">
        <v>1099.76488079</v>
      </c>
      <c r="Q34" s="194">
        <v>2227.4444136100001</v>
      </c>
      <c r="R34" s="194">
        <v>119152.89904371851</v>
      </c>
      <c r="S34" s="194">
        <v>8900.9175206197997</v>
      </c>
      <c r="T34" s="205">
        <v>131381.02585873831</v>
      </c>
      <c r="U34" s="206">
        <v>10158.161028158476</v>
      </c>
      <c r="V34" s="194">
        <v>3244.5832823625142</v>
      </c>
      <c r="W34" s="199">
        <v>26778.654972009477</v>
      </c>
      <c r="X34" s="200">
        <v>623898.90404657216</v>
      </c>
      <c r="Y34" s="201">
        <v>44498.346003262959</v>
      </c>
      <c r="Z34" s="207"/>
      <c r="AA34" s="208"/>
      <c r="AB34" s="209"/>
      <c r="AC34" s="210"/>
      <c r="AD34" s="207"/>
      <c r="AE34" s="207"/>
      <c r="AF34" s="207"/>
      <c r="AG34" s="207"/>
      <c r="AH34" s="210"/>
      <c r="AI34" s="207"/>
      <c r="AJ34" s="207"/>
      <c r="AK34" s="210"/>
      <c r="AL34" s="207"/>
    </row>
    <row r="35" spans="1:38" ht="17.100000000000001" hidden="1" customHeight="1">
      <c r="A35" s="203">
        <v>39264</v>
      </c>
      <c r="B35" s="194">
        <v>2014.8065060399999</v>
      </c>
      <c r="C35" s="194">
        <v>9021.5165828757163</v>
      </c>
      <c r="D35" s="194">
        <v>4819.319127013533</v>
      </c>
      <c r="E35" s="196">
        <v>15855.642215929249</v>
      </c>
      <c r="F35" s="194">
        <v>246368.52680708843</v>
      </c>
      <c r="G35" s="194">
        <v>5462.061287730201</v>
      </c>
      <c r="H35" s="194">
        <v>7828.2780553821221</v>
      </c>
      <c r="I35" s="194">
        <v>416.10458528966672</v>
      </c>
      <c r="J35" s="194">
        <v>161104.63519252182</v>
      </c>
      <c r="K35" s="196">
        <v>421179.60592801229</v>
      </c>
      <c r="L35" s="204">
        <v>22283.833853537133</v>
      </c>
      <c r="M35" s="194">
        <v>17013.446356559998</v>
      </c>
      <c r="N35" s="194">
        <v>4.5999999986889861E-7</v>
      </c>
      <c r="O35" s="196">
        <v>39297.280210557132</v>
      </c>
      <c r="P35" s="194">
        <v>1068.3439860999999</v>
      </c>
      <c r="Q35" s="194">
        <v>2192.6113199599999</v>
      </c>
      <c r="R35" s="194">
        <v>119368.91926965519</v>
      </c>
      <c r="S35" s="194">
        <v>8717.0350228344687</v>
      </c>
      <c r="T35" s="205">
        <v>131346.90959854965</v>
      </c>
      <c r="U35" s="206">
        <v>9810.3960254848971</v>
      </c>
      <c r="V35" s="194">
        <v>880.42799964553251</v>
      </c>
      <c r="W35" s="199">
        <v>27132.725773042421</v>
      </c>
      <c r="X35" s="200">
        <v>645502.98775122128</v>
      </c>
      <c r="Y35" s="201">
        <v>43685.724462361926</v>
      </c>
      <c r="Z35" s="207"/>
      <c r="AA35" s="208"/>
      <c r="AB35" s="209"/>
      <c r="AC35" s="210"/>
      <c r="AD35" s="207"/>
      <c r="AE35" s="207"/>
      <c r="AF35" s="207"/>
      <c r="AG35" s="207"/>
      <c r="AH35" s="210"/>
      <c r="AI35" s="207"/>
      <c r="AJ35" s="207"/>
      <c r="AK35" s="210"/>
      <c r="AL35" s="207"/>
    </row>
    <row r="36" spans="1:38" ht="17.100000000000001" hidden="1" customHeight="1">
      <c r="A36" s="203">
        <v>39295</v>
      </c>
      <c r="B36" s="194">
        <v>2011.10480798</v>
      </c>
      <c r="C36" s="194">
        <v>8481.8115072663495</v>
      </c>
      <c r="D36" s="194">
        <v>5216.7296774125498</v>
      </c>
      <c r="E36" s="196">
        <v>15709.6459926589</v>
      </c>
      <c r="F36" s="194">
        <v>259388.24230521638</v>
      </c>
      <c r="G36" s="194">
        <v>6007.0261423409002</v>
      </c>
      <c r="H36" s="194">
        <v>7601.2171946560638</v>
      </c>
      <c r="I36" s="194">
        <v>261.76049446315</v>
      </c>
      <c r="J36" s="194">
        <v>159667.29979774318</v>
      </c>
      <c r="K36" s="196">
        <v>432925.54593441973</v>
      </c>
      <c r="L36" s="204">
        <v>22908.588889873197</v>
      </c>
      <c r="M36" s="194">
        <v>18499.399305909999</v>
      </c>
      <c r="N36" s="194">
        <v>2.2000000043931323E-7</v>
      </c>
      <c r="O36" s="196">
        <v>41407.9881960032</v>
      </c>
      <c r="P36" s="194">
        <v>1132.9250440000001</v>
      </c>
      <c r="Q36" s="194">
        <v>2160.6811183</v>
      </c>
      <c r="R36" s="194">
        <v>122829.11846436048</v>
      </c>
      <c r="S36" s="194">
        <v>8629.8742944286168</v>
      </c>
      <c r="T36" s="205">
        <v>134752.59892108911</v>
      </c>
      <c r="U36" s="206">
        <v>9212.4296975850866</v>
      </c>
      <c r="V36" s="194">
        <v>868.30367472517128</v>
      </c>
      <c r="W36" s="199">
        <v>27725.159713030804</v>
      </c>
      <c r="X36" s="200">
        <v>662601.67212951195</v>
      </c>
      <c r="Y36" s="201">
        <v>46193.440427783826</v>
      </c>
      <c r="Z36" s="207"/>
      <c r="AA36" s="208"/>
      <c r="AB36" s="209"/>
      <c r="AC36" s="210"/>
      <c r="AD36" s="207"/>
      <c r="AE36" s="207"/>
      <c r="AF36" s="207"/>
      <c r="AG36" s="207"/>
      <c r="AH36" s="210"/>
      <c r="AI36" s="207"/>
      <c r="AJ36" s="207"/>
      <c r="AK36" s="210"/>
      <c r="AL36" s="207"/>
    </row>
    <row r="37" spans="1:38" ht="17.100000000000001" hidden="1" customHeight="1">
      <c r="A37" s="203">
        <v>39326</v>
      </c>
      <c r="B37" s="194">
        <v>1960.2172360300003</v>
      </c>
      <c r="C37" s="194">
        <v>10752.856724423142</v>
      </c>
      <c r="D37" s="194">
        <v>4663.670147452267</v>
      </c>
      <c r="E37" s="196">
        <v>17376.744107905412</v>
      </c>
      <c r="F37" s="194">
        <v>260662.35806514396</v>
      </c>
      <c r="G37" s="194">
        <v>5343.910944753683</v>
      </c>
      <c r="H37" s="194">
        <v>7469.3276857146666</v>
      </c>
      <c r="I37" s="194">
        <v>276.64265776133328</v>
      </c>
      <c r="J37" s="194">
        <v>166839.87766627627</v>
      </c>
      <c r="K37" s="196">
        <v>440592.11701964994</v>
      </c>
      <c r="L37" s="204">
        <v>20612.010325687766</v>
      </c>
      <c r="M37" s="194">
        <v>19983.31721248</v>
      </c>
      <c r="N37" s="194">
        <v>7.5150000000689943E-5</v>
      </c>
      <c r="O37" s="196">
        <v>40595.327613317764</v>
      </c>
      <c r="P37" s="194">
        <v>1133.6218966399999</v>
      </c>
      <c r="Q37" s="194">
        <v>2027.9759141900001</v>
      </c>
      <c r="R37" s="194">
        <v>123705.25807635103</v>
      </c>
      <c r="S37" s="194">
        <v>8654.8850504650236</v>
      </c>
      <c r="T37" s="205">
        <v>135521.74093764607</v>
      </c>
      <c r="U37" s="206">
        <v>9457.1639098106734</v>
      </c>
      <c r="V37" s="194">
        <v>1019.1449508301178</v>
      </c>
      <c r="W37" s="199">
        <v>28104.131541509414</v>
      </c>
      <c r="X37" s="200">
        <v>672666.37008066941</v>
      </c>
      <c r="Y37" s="201">
        <v>48161.581159289839</v>
      </c>
      <c r="Z37" s="207"/>
      <c r="AA37" s="208"/>
      <c r="AB37" s="209"/>
      <c r="AC37" s="210"/>
      <c r="AD37" s="207"/>
      <c r="AE37" s="207"/>
      <c r="AF37" s="207"/>
      <c r="AG37" s="207"/>
      <c r="AH37" s="210"/>
      <c r="AI37" s="207"/>
      <c r="AJ37" s="207"/>
      <c r="AK37" s="210"/>
      <c r="AL37" s="207"/>
    </row>
    <row r="38" spans="1:38" ht="17.100000000000001" hidden="1" customHeight="1">
      <c r="A38" s="203">
        <v>39356</v>
      </c>
      <c r="B38" s="194">
        <v>2346.5860313099997</v>
      </c>
      <c r="C38" s="194">
        <v>10968.233673568699</v>
      </c>
      <c r="D38" s="194">
        <v>2997.9312813514666</v>
      </c>
      <c r="E38" s="196">
        <v>16312.750986230165</v>
      </c>
      <c r="F38" s="194">
        <v>248395.93669103415</v>
      </c>
      <c r="G38" s="194">
        <v>5088.1076727949676</v>
      </c>
      <c r="H38" s="194">
        <v>7479.3421063466667</v>
      </c>
      <c r="I38" s="194">
        <v>307.54111524266671</v>
      </c>
      <c r="J38" s="194">
        <v>174432.36334277573</v>
      </c>
      <c r="K38" s="196">
        <v>435703.29092819418</v>
      </c>
      <c r="L38" s="204">
        <v>19668.123301087442</v>
      </c>
      <c r="M38" s="194">
        <v>20873.125990680001</v>
      </c>
      <c r="N38" s="194">
        <v>1.092700000002722E-4</v>
      </c>
      <c r="O38" s="196">
        <v>40541.249401037436</v>
      </c>
      <c r="P38" s="194">
        <v>1131.3664725199999</v>
      </c>
      <c r="Q38" s="194">
        <v>2009.21994795</v>
      </c>
      <c r="R38" s="194">
        <v>126373.47756990437</v>
      </c>
      <c r="S38" s="194">
        <v>8737.2312516915008</v>
      </c>
      <c r="T38" s="205">
        <v>138251.29524206588</v>
      </c>
      <c r="U38" s="206">
        <v>10963.168767571573</v>
      </c>
      <c r="V38" s="194">
        <v>824.81357572699903</v>
      </c>
      <c r="W38" s="199">
        <v>27630.637751055678</v>
      </c>
      <c r="X38" s="200">
        <v>670227.20665188204</v>
      </c>
      <c r="Y38" s="201">
        <v>51121.216738404401</v>
      </c>
      <c r="Z38" s="207"/>
      <c r="AA38" s="208"/>
      <c r="AB38" s="209"/>
      <c r="AC38" s="210"/>
      <c r="AD38" s="207"/>
      <c r="AE38" s="207"/>
      <c r="AF38" s="207"/>
      <c r="AG38" s="207"/>
      <c r="AH38" s="210"/>
      <c r="AI38" s="207"/>
      <c r="AJ38" s="207"/>
      <c r="AK38" s="210"/>
      <c r="AL38" s="207"/>
    </row>
    <row r="39" spans="1:38" ht="17.100000000000001" hidden="1" customHeight="1">
      <c r="A39" s="203">
        <v>39387</v>
      </c>
      <c r="B39" s="194">
        <v>2335.0810954200001</v>
      </c>
      <c r="C39" s="194">
        <v>9072.5255402496496</v>
      </c>
      <c r="D39" s="194">
        <v>4049.1168429084669</v>
      </c>
      <c r="E39" s="196">
        <v>15456.723478578117</v>
      </c>
      <c r="F39" s="194">
        <v>280290.6856299573</v>
      </c>
      <c r="G39" s="194">
        <v>4676.7166330497994</v>
      </c>
      <c r="H39" s="194">
        <v>7232.2307066106669</v>
      </c>
      <c r="I39" s="194">
        <v>301.95758952616666</v>
      </c>
      <c r="J39" s="194">
        <v>182609.60810432321</v>
      </c>
      <c r="K39" s="196">
        <v>475111.19866346713</v>
      </c>
      <c r="L39" s="204">
        <v>21637.289586161154</v>
      </c>
      <c r="M39" s="194">
        <v>21735.456235169997</v>
      </c>
      <c r="N39" s="194">
        <v>-2.2800999999983418E-4</v>
      </c>
      <c r="O39" s="196">
        <v>43372.745593321146</v>
      </c>
      <c r="P39" s="194">
        <v>1089.59636252</v>
      </c>
      <c r="Q39" s="194">
        <v>2048.20135927</v>
      </c>
      <c r="R39" s="194">
        <v>128372.94160738832</v>
      </c>
      <c r="S39" s="194">
        <v>8650.377601534803</v>
      </c>
      <c r="T39" s="205">
        <v>140161.11693071312</v>
      </c>
      <c r="U39" s="206">
        <v>11087.178155837784</v>
      </c>
      <c r="V39" s="194">
        <v>680.45714326123436</v>
      </c>
      <c r="W39" s="199">
        <v>28640.954721062957</v>
      </c>
      <c r="X39" s="200">
        <v>714510.3746862415</v>
      </c>
      <c r="Y39" s="201">
        <v>48002.384289997499</v>
      </c>
      <c r="Z39" s="207"/>
      <c r="AA39" s="208"/>
      <c r="AB39" s="209"/>
      <c r="AC39" s="210"/>
      <c r="AD39" s="207"/>
      <c r="AE39" s="207"/>
      <c r="AF39" s="207"/>
      <c r="AG39" s="207"/>
      <c r="AH39" s="210"/>
      <c r="AI39" s="207"/>
      <c r="AJ39" s="207"/>
      <c r="AK39" s="210"/>
      <c r="AL39" s="207"/>
    </row>
    <row r="40" spans="1:38" ht="17.100000000000001" hidden="1" customHeight="1">
      <c r="A40" s="203">
        <v>39417</v>
      </c>
      <c r="B40" s="194">
        <v>3437.6939873999995</v>
      </c>
      <c r="C40" s="194">
        <v>9863.0216191368199</v>
      </c>
      <c r="D40" s="194">
        <v>3976.8479033787498</v>
      </c>
      <c r="E40" s="196">
        <v>17277.56350991557</v>
      </c>
      <c r="F40" s="194">
        <v>260511.6357855133</v>
      </c>
      <c r="G40" s="194">
        <v>4118.0492116762507</v>
      </c>
      <c r="H40" s="194">
        <v>6885.4501198575008</v>
      </c>
      <c r="I40" s="194">
        <v>641.13749332499708</v>
      </c>
      <c r="J40" s="194">
        <v>176635.38294263743</v>
      </c>
      <c r="K40" s="196">
        <v>448791.65555300948</v>
      </c>
      <c r="L40" s="204">
        <v>21664.27290035865</v>
      </c>
      <c r="M40" s="194">
        <v>22594.272678639998</v>
      </c>
      <c r="N40" s="194">
        <v>-2.9774999999965246E-4</v>
      </c>
      <c r="O40" s="196">
        <v>44258.545281248647</v>
      </c>
      <c r="P40" s="194">
        <v>1089.07226956</v>
      </c>
      <c r="Q40" s="194">
        <v>2270.71480092</v>
      </c>
      <c r="R40" s="194">
        <v>133682.22295601096</v>
      </c>
      <c r="S40" s="194">
        <v>8270.1528139521924</v>
      </c>
      <c r="T40" s="205">
        <v>145312.16284044314</v>
      </c>
      <c r="U40" s="206">
        <v>11746.750538212651</v>
      </c>
      <c r="V40" s="194">
        <v>598.51109833824785</v>
      </c>
      <c r="W40" s="199">
        <v>26773.146589845583</v>
      </c>
      <c r="X40" s="200">
        <v>694758.33541101334</v>
      </c>
      <c r="Y40" s="201">
        <v>47553.977614061354</v>
      </c>
      <c r="Z40" s="207"/>
      <c r="AA40" s="208"/>
      <c r="AB40" s="209"/>
      <c r="AC40" s="210"/>
      <c r="AD40" s="207"/>
      <c r="AE40" s="207"/>
      <c r="AF40" s="207"/>
      <c r="AG40" s="207"/>
      <c r="AH40" s="210"/>
      <c r="AI40" s="207"/>
      <c r="AJ40" s="207"/>
      <c r="AK40" s="210"/>
      <c r="AL40" s="207"/>
    </row>
    <row r="41" spans="1:38" ht="17.100000000000001" hidden="1" customHeight="1">
      <c r="A41" s="203">
        <v>39448</v>
      </c>
      <c r="B41" s="194">
        <v>2672.7012553899999</v>
      </c>
      <c r="C41" s="194">
        <v>9101.3633934848858</v>
      </c>
      <c r="D41" s="194">
        <v>4979.3602153649617</v>
      </c>
      <c r="E41" s="196">
        <v>16753.424864239849</v>
      </c>
      <c r="F41" s="194">
        <v>278083.12229679682</v>
      </c>
      <c r="G41" s="194">
        <v>2985.54288163</v>
      </c>
      <c r="H41" s="194">
        <v>7960.5022116748542</v>
      </c>
      <c r="I41" s="194">
        <v>511.39403093639197</v>
      </c>
      <c r="J41" s="194">
        <v>183812.49165768526</v>
      </c>
      <c r="K41" s="196">
        <v>473353.05307872337</v>
      </c>
      <c r="L41" s="204">
        <v>21097.350458134773</v>
      </c>
      <c r="M41" s="194">
        <v>23814.63066875</v>
      </c>
      <c r="N41" s="194">
        <v>-4.3875999999976045E-4</v>
      </c>
      <c r="O41" s="196">
        <v>44911.980688124771</v>
      </c>
      <c r="P41" s="194">
        <v>1069.47748028</v>
      </c>
      <c r="Q41" s="194">
        <v>2332.2654250700002</v>
      </c>
      <c r="R41" s="194">
        <v>135912.56850639411</v>
      </c>
      <c r="S41" s="194">
        <v>7998.2166152692434</v>
      </c>
      <c r="T41" s="205">
        <v>147312.52802701335</v>
      </c>
      <c r="U41" s="206">
        <v>12332.944233588576</v>
      </c>
      <c r="V41" s="194">
        <v>1526.7169042326746</v>
      </c>
      <c r="W41" s="199">
        <v>27278.246602030042</v>
      </c>
      <c r="X41" s="200">
        <v>723468.89439795259</v>
      </c>
      <c r="Y41" s="201">
        <v>50219.826724544429</v>
      </c>
      <c r="Z41" s="207"/>
      <c r="AA41" s="208"/>
      <c r="AB41" s="209"/>
      <c r="AC41" s="210"/>
      <c r="AD41" s="207"/>
      <c r="AE41" s="207"/>
      <c r="AF41" s="207"/>
      <c r="AG41" s="207"/>
      <c r="AH41" s="210"/>
      <c r="AI41" s="207"/>
      <c r="AJ41" s="207"/>
      <c r="AK41" s="210"/>
      <c r="AL41" s="207"/>
    </row>
    <row r="42" spans="1:38" ht="17.100000000000001" hidden="1" customHeight="1">
      <c r="A42" s="203">
        <v>39479</v>
      </c>
      <c r="B42" s="194">
        <v>2424.0370009200001</v>
      </c>
      <c r="C42" s="194">
        <v>10967.124580128238</v>
      </c>
      <c r="D42" s="194">
        <v>4933.2501050260325</v>
      </c>
      <c r="E42" s="196">
        <v>18324.411686074272</v>
      </c>
      <c r="F42" s="194">
        <v>251585.66700935026</v>
      </c>
      <c r="G42" s="194">
        <v>3285.1861993015</v>
      </c>
      <c r="H42" s="194">
        <v>7648.3108533562799</v>
      </c>
      <c r="I42" s="194">
        <v>254.20999625625194</v>
      </c>
      <c r="J42" s="194">
        <v>189341.47590797985</v>
      </c>
      <c r="K42" s="196">
        <v>452114.84996624419</v>
      </c>
      <c r="L42" s="204">
        <v>21906.339559148182</v>
      </c>
      <c r="M42" s="194">
        <v>24589.836544908958</v>
      </c>
      <c r="N42" s="194">
        <v>1.7836999999953917E-4</v>
      </c>
      <c r="O42" s="196">
        <v>46496.176282427143</v>
      </c>
      <c r="P42" s="194">
        <v>1056.3028387699999</v>
      </c>
      <c r="Q42" s="194">
        <v>2414.4564369200002</v>
      </c>
      <c r="R42" s="194">
        <v>136059.01663985953</v>
      </c>
      <c r="S42" s="194">
        <v>7626.1012571465171</v>
      </c>
      <c r="T42" s="205">
        <v>147155.87717269603</v>
      </c>
      <c r="U42" s="206">
        <v>11070.669779080248</v>
      </c>
      <c r="V42" s="194">
        <v>1520.2954186127527</v>
      </c>
      <c r="W42" s="199">
        <v>28151.00950580732</v>
      </c>
      <c r="X42" s="200">
        <v>704833.28981094202</v>
      </c>
      <c r="Y42" s="201">
        <v>47972.86983261953</v>
      </c>
      <c r="Z42" s="207"/>
      <c r="AA42" s="208"/>
      <c r="AB42" s="209"/>
      <c r="AC42" s="210"/>
      <c r="AD42" s="207"/>
      <c r="AE42" s="207"/>
      <c r="AF42" s="207"/>
      <c r="AG42" s="207"/>
      <c r="AH42" s="210"/>
      <c r="AI42" s="207"/>
      <c r="AJ42" s="207"/>
      <c r="AK42" s="210"/>
      <c r="AL42" s="207"/>
    </row>
    <row r="43" spans="1:38" ht="17.100000000000001" hidden="1" customHeight="1">
      <c r="A43" s="203">
        <v>39508</v>
      </c>
      <c r="B43" s="194">
        <v>2201.9510797799999</v>
      </c>
      <c r="C43" s="194">
        <v>14555.37568026287</v>
      </c>
      <c r="D43" s="194">
        <v>7073.177034695932</v>
      </c>
      <c r="E43" s="196">
        <v>23830.503794738801</v>
      </c>
      <c r="F43" s="194">
        <v>238858.28624454825</v>
      </c>
      <c r="G43" s="194">
        <v>4661.4297953231162</v>
      </c>
      <c r="H43" s="194">
        <v>7536.0658003864582</v>
      </c>
      <c r="I43" s="194">
        <v>269.08003209564436</v>
      </c>
      <c r="J43" s="194">
        <v>176601.72257507121</v>
      </c>
      <c r="K43" s="196">
        <v>427926.58444742463</v>
      </c>
      <c r="L43" s="204">
        <v>21673.967512363488</v>
      </c>
      <c r="M43" s="194">
        <v>25588.193436008445</v>
      </c>
      <c r="N43" s="194">
        <v>-1.5833999999959047E-4</v>
      </c>
      <c r="O43" s="196">
        <v>47262.160790031936</v>
      </c>
      <c r="P43" s="194">
        <v>1063.0708835800001</v>
      </c>
      <c r="Q43" s="194">
        <v>2389.9419238800001</v>
      </c>
      <c r="R43" s="194">
        <v>137084.01997187562</v>
      </c>
      <c r="S43" s="194">
        <v>7521.5893217049506</v>
      </c>
      <c r="T43" s="205">
        <v>148058.62210104059</v>
      </c>
      <c r="U43" s="206">
        <v>10935.915016716805</v>
      </c>
      <c r="V43" s="194">
        <v>1619.1119846285683</v>
      </c>
      <c r="W43" s="199">
        <v>33942.871550318763</v>
      </c>
      <c r="X43" s="200">
        <v>693575.76968490006</v>
      </c>
      <c r="Y43" s="201">
        <v>46960.889008693739</v>
      </c>
      <c r="Z43" s="207"/>
      <c r="AA43" s="208"/>
      <c r="AB43" s="209"/>
      <c r="AC43" s="210"/>
      <c r="AD43" s="207"/>
      <c r="AE43" s="207"/>
      <c r="AF43" s="207"/>
      <c r="AG43" s="207"/>
      <c r="AH43" s="210"/>
      <c r="AI43" s="207"/>
      <c r="AJ43" s="207"/>
      <c r="AK43" s="210"/>
      <c r="AL43" s="207"/>
    </row>
    <row r="44" spans="1:38" ht="17.100000000000001" hidden="1" customHeight="1">
      <c r="A44" s="203">
        <v>39539</v>
      </c>
      <c r="B44" s="194">
        <v>2358.4085955599999</v>
      </c>
      <c r="C44" s="194">
        <v>9964.8704470442699</v>
      </c>
      <c r="D44" s="194">
        <v>12244.675319002201</v>
      </c>
      <c r="E44" s="196">
        <v>24567.954361606469</v>
      </c>
      <c r="F44" s="194">
        <v>221764.32197804333</v>
      </c>
      <c r="G44" s="194">
        <v>5622.8709249567992</v>
      </c>
      <c r="H44" s="194">
        <v>8016.4115218397073</v>
      </c>
      <c r="I44" s="194">
        <v>251.92707597680001</v>
      </c>
      <c r="J44" s="194">
        <v>184214.10125262471</v>
      </c>
      <c r="K44" s="196">
        <v>419869.63275344134</v>
      </c>
      <c r="L44" s="204">
        <v>22228.460655816612</v>
      </c>
      <c r="M44" s="194">
        <v>26333.24978123049</v>
      </c>
      <c r="N44" s="194">
        <v>-1.4878999999989873E-4</v>
      </c>
      <c r="O44" s="196">
        <v>48561.710288257105</v>
      </c>
      <c r="P44" s="194">
        <v>1095.74375538</v>
      </c>
      <c r="Q44" s="194">
        <v>2340.88111798</v>
      </c>
      <c r="R44" s="194">
        <v>139454.69141706382</v>
      </c>
      <c r="S44" s="194">
        <v>7394.548411257917</v>
      </c>
      <c r="T44" s="205">
        <v>150285.86470168171</v>
      </c>
      <c r="U44" s="206">
        <v>10116.967438846819</v>
      </c>
      <c r="V44" s="194">
        <v>794.9471535303195</v>
      </c>
      <c r="W44" s="199">
        <v>26829.36222634044</v>
      </c>
      <c r="X44" s="200">
        <v>681026.43892370421</v>
      </c>
      <c r="Y44" s="201">
        <v>48043.421946344381</v>
      </c>
      <c r="Z44" s="207"/>
      <c r="AA44" s="208"/>
      <c r="AB44" s="209"/>
      <c r="AC44" s="210"/>
      <c r="AD44" s="207"/>
      <c r="AE44" s="207"/>
      <c r="AF44" s="207"/>
      <c r="AG44" s="207"/>
      <c r="AH44" s="210"/>
      <c r="AI44" s="207"/>
      <c r="AJ44" s="207"/>
      <c r="AK44" s="210"/>
      <c r="AL44" s="207"/>
    </row>
    <row r="45" spans="1:38" ht="17.100000000000001" hidden="1" customHeight="1">
      <c r="A45" s="203">
        <v>39569</v>
      </c>
      <c r="B45" s="194">
        <v>2269.0402082169207</v>
      </c>
      <c r="C45" s="194">
        <v>9256.6923596451925</v>
      </c>
      <c r="D45" s="194">
        <v>10349.277130566135</v>
      </c>
      <c r="E45" s="196">
        <v>21875.00969842825</v>
      </c>
      <c r="F45" s="194">
        <v>228933.02293828106</v>
      </c>
      <c r="G45" s="194">
        <v>5877.4702602167827</v>
      </c>
      <c r="H45" s="194">
        <v>15389.435257516521</v>
      </c>
      <c r="I45" s="194">
        <v>273.38995166077211</v>
      </c>
      <c r="J45" s="194">
        <v>199594.54282519111</v>
      </c>
      <c r="K45" s="196">
        <v>450067.86123286624</v>
      </c>
      <c r="L45" s="204">
        <v>24925.797162393166</v>
      </c>
      <c r="M45" s="194">
        <v>27350.790312355442</v>
      </c>
      <c r="N45" s="194">
        <v>6.1660000000074433E-5</v>
      </c>
      <c r="O45" s="196">
        <v>52276.58753640861</v>
      </c>
      <c r="P45" s="194">
        <v>1129.46102234</v>
      </c>
      <c r="Q45" s="194">
        <v>2571.1220143800001</v>
      </c>
      <c r="R45" s="194">
        <v>141685.22779280689</v>
      </c>
      <c r="S45" s="194">
        <v>7508.9594096469837</v>
      </c>
      <c r="T45" s="205">
        <v>152894.77023917387</v>
      </c>
      <c r="U45" s="206">
        <v>11784.059732644517</v>
      </c>
      <c r="V45" s="194">
        <v>800.19299686613954</v>
      </c>
      <c r="W45" s="199">
        <v>28222.322122595488</v>
      </c>
      <c r="X45" s="200">
        <v>717920.80355898314</v>
      </c>
      <c r="Y45" s="201">
        <v>52965.345273467399</v>
      </c>
      <c r="Z45" s="207"/>
      <c r="AA45" s="208"/>
      <c r="AB45" s="209"/>
      <c r="AC45" s="210"/>
      <c r="AD45" s="207"/>
      <c r="AE45" s="207"/>
      <c r="AF45" s="207"/>
      <c r="AG45" s="207"/>
      <c r="AH45" s="210"/>
      <c r="AI45" s="207"/>
      <c r="AJ45" s="207"/>
      <c r="AK45" s="210"/>
      <c r="AL45" s="207"/>
    </row>
    <row r="46" spans="1:38" ht="17.100000000000001" hidden="1" customHeight="1">
      <c r="A46" s="203">
        <v>39600</v>
      </c>
      <c r="B46" s="194">
        <v>2093.6949126229083</v>
      </c>
      <c r="C46" s="194">
        <v>11917.527635432281</v>
      </c>
      <c r="D46" s="194">
        <v>6028.3278035419671</v>
      </c>
      <c r="E46" s="196">
        <v>20039.550351597158</v>
      </c>
      <c r="F46" s="194">
        <v>238514.52868853731</v>
      </c>
      <c r="G46" s="194">
        <v>5679.6793979248996</v>
      </c>
      <c r="H46" s="194">
        <v>21876.520966455992</v>
      </c>
      <c r="I46" s="194">
        <v>324.72733536491711</v>
      </c>
      <c r="J46" s="194">
        <v>189585.33833895801</v>
      </c>
      <c r="K46" s="196">
        <v>455980.79472724115</v>
      </c>
      <c r="L46" s="204">
        <v>31615.389150853753</v>
      </c>
      <c r="M46" s="194">
        <v>24098.958682945289</v>
      </c>
      <c r="N46" s="194">
        <v>-2.8074999999994077E-4</v>
      </c>
      <c r="O46" s="196">
        <v>55714.34755304904</v>
      </c>
      <c r="P46" s="194">
        <v>1145.2529159800001</v>
      </c>
      <c r="Q46" s="194">
        <v>2776.4430720199998</v>
      </c>
      <c r="R46" s="194">
        <v>143939.97020545643</v>
      </c>
      <c r="S46" s="194">
        <v>7985.3756967621675</v>
      </c>
      <c r="T46" s="205">
        <v>155847.04189021862</v>
      </c>
      <c r="U46" s="206">
        <v>11264.00901455368</v>
      </c>
      <c r="V46" s="194">
        <v>1546.7104122140499</v>
      </c>
      <c r="W46" s="199">
        <v>28950.01467207012</v>
      </c>
      <c r="X46" s="200">
        <v>729342.46862094384</v>
      </c>
      <c r="Y46" s="201">
        <v>53777.498538158587</v>
      </c>
      <c r="Z46" s="207"/>
      <c r="AA46" s="208"/>
      <c r="AB46" s="209"/>
      <c r="AC46" s="210"/>
      <c r="AD46" s="207"/>
      <c r="AE46" s="207"/>
      <c r="AF46" s="207"/>
      <c r="AG46" s="207"/>
      <c r="AH46" s="210"/>
      <c r="AI46" s="207"/>
      <c r="AJ46" s="207"/>
      <c r="AK46" s="210"/>
      <c r="AL46" s="207"/>
    </row>
    <row r="47" spans="1:38" ht="17.100000000000001" hidden="1" customHeight="1">
      <c r="A47" s="203">
        <v>39630</v>
      </c>
      <c r="B47" s="194">
        <v>2540.0269665742103</v>
      </c>
      <c r="C47" s="194">
        <v>10422.370499647193</v>
      </c>
      <c r="D47" s="194">
        <v>6713.4462060155047</v>
      </c>
      <c r="E47" s="196">
        <v>19675.843672236908</v>
      </c>
      <c r="F47" s="194">
        <v>264159.23422725609</v>
      </c>
      <c r="G47" s="194">
        <v>5522.9706076592502</v>
      </c>
      <c r="H47" s="194">
        <v>7999.0178695369041</v>
      </c>
      <c r="I47" s="194">
        <v>287.55060331437738</v>
      </c>
      <c r="J47" s="194">
        <v>190533.11796317811</v>
      </c>
      <c r="K47" s="196">
        <v>468501.89127094473</v>
      </c>
      <c r="L47" s="204">
        <v>33273.304561080164</v>
      </c>
      <c r="M47" s="194">
        <v>24118.832183374077</v>
      </c>
      <c r="N47" s="194">
        <v>-3.6637999999999948E-4</v>
      </c>
      <c r="O47" s="196">
        <v>57392.136378074239</v>
      </c>
      <c r="P47" s="194">
        <v>1083.1352314100002</v>
      </c>
      <c r="Q47" s="194">
        <v>2862.4089365599998</v>
      </c>
      <c r="R47" s="194">
        <v>146939.09164869069</v>
      </c>
      <c r="S47" s="194">
        <v>8273.3994280029692</v>
      </c>
      <c r="T47" s="205">
        <v>159158.03524466365</v>
      </c>
      <c r="U47" s="206">
        <v>11572.967654640182</v>
      </c>
      <c r="V47" s="194">
        <v>623.58049228652715</v>
      </c>
      <c r="W47" s="199">
        <v>30516.084042990184</v>
      </c>
      <c r="X47" s="200">
        <v>747440.53875583643</v>
      </c>
      <c r="Y47" s="201">
        <v>54041.731312599033</v>
      </c>
      <c r="Z47" s="207"/>
      <c r="AA47" s="208"/>
      <c r="AB47" s="209"/>
      <c r="AC47" s="210"/>
      <c r="AD47" s="207"/>
      <c r="AE47" s="207"/>
      <c r="AF47" s="207"/>
      <c r="AG47" s="207"/>
      <c r="AH47" s="210"/>
      <c r="AI47" s="207"/>
      <c r="AJ47" s="207"/>
      <c r="AK47" s="210"/>
      <c r="AL47" s="207"/>
    </row>
    <row r="48" spans="1:38" ht="17.100000000000001" hidden="1" customHeight="1">
      <c r="A48" s="203">
        <v>39661</v>
      </c>
      <c r="B48" s="194">
        <v>2330.8301665273989</v>
      </c>
      <c r="C48" s="194">
        <v>13858.918584288294</v>
      </c>
      <c r="D48" s="194">
        <v>4688.5191478660145</v>
      </c>
      <c r="E48" s="196">
        <v>20878.267898681708</v>
      </c>
      <c r="F48" s="194">
        <v>237567.22583443843</v>
      </c>
      <c r="G48" s="194">
        <v>5688.8756878684317</v>
      </c>
      <c r="H48" s="194">
        <v>8179.3759853822385</v>
      </c>
      <c r="I48" s="194">
        <v>303.71493699407176</v>
      </c>
      <c r="J48" s="194">
        <v>205602.19688474454</v>
      </c>
      <c r="K48" s="196">
        <v>457341.38932942774</v>
      </c>
      <c r="L48" s="204">
        <v>32144.488714235267</v>
      </c>
      <c r="M48" s="194">
        <v>23848.262998669601</v>
      </c>
      <c r="N48" s="194">
        <v>-4.8785999999978458E-4</v>
      </c>
      <c r="O48" s="196">
        <v>55992.751225044864</v>
      </c>
      <c r="P48" s="194">
        <v>1086.0350964300001</v>
      </c>
      <c r="Q48" s="194">
        <v>3048.44142465</v>
      </c>
      <c r="R48" s="194">
        <v>147602.49727391874</v>
      </c>
      <c r="S48" s="194">
        <v>8224.9688931516685</v>
      </c>
      <c r="T48" s="205">
        <v>159961.94268815042</v>
      </c>
      <c r="U48" s="206">
        <v>12792.744413992465</v>
      </c>
      <c r="V48" s="194">
        <v>681.47702268810929</v>
      </c>
      <c r="W48" s="199">
        <v>30051.046868614994</v>
      </c>
      <c r="X48" s="200">
        <v>737699.61944660032</v>
      </c>
      <c r="Y48" s="201">
        <v>55378.727578099315</v>
      </c>
      <c r="Z48" s="207"/>
      <c r="AA48" s="208"/>
      <c r="AB48" s="209"/>
      <c r="AC48" s="210"/>
      <c r="AD48" s="207"/>
      <c r="AE48" s="207"/>
      <c r="AF48" s="207"/>
      <c r="AG48" s="207"/>
      <c r="AH48" s="210"/>
      <c r="AI48" s="207"/>
      <c r="AJ48" s="207"/>
      <c r="AK48" s="210"/>
      <c r="AL48" s="207"/>
    </row>
    <row r="49" spans="1:38" ht="17.100000000000001" hidden="1" customHeight="1">
      <c r="A49" s="203">
        <v>39692</v>
      </c>
      <c r="B49" s="194">
        <v>2165.4800203127957</v>
      </c>
      <c r="C49" s="194">
        <v>16172.88831085914</v>
      </c>
      <c r="D49" s="194">
        <v>2787.791941509769</v>
      </c>
      <c r="E49" s="196">
        <v>21126.160272681704</v>
      </c>
      <c r="F49" s="194">
        <v>213219.77804946093</v>
      </c>
      <c r="G49" s="194">
        <v>5304.6612177331008</v>
      </c>
      <c r="H49" s="194">
        <v>8062.8351972511973</v>
      </c>
      <c r="I49" s="194">
        <v>266.53875668510699</v>
      </c>
      <c r="J49" s="194">
        <v>209448.33783405254</v>
      </c>
      <c r="K49" s="196">
        <v>436302.15105518291</v>
      </c>
      <c r="L49" s="204">
        <v>31227.295692822572</v>
      </c>
      <c r="M49" s="194">
        <v>23781.468128684701</v>
      </c>
      <c r="N49" s="194">
        <v>2.4497000000023306E-4</v>
      </c>
      <c r="O49" s="196">
        <v>55008.76406647727</v>
      </c>
      <c r="P49" s="194">
        <v>1070.8965004300001</v>
      </c>
      <c r="Q49" s="194">
        <v>3136.7050023500001</v>
      </c>
      <c r="R49" s="194">
        <v>154317.00286401354</v>
      </c>
      <c r="S49" s="194">
        <v>8131.5334977911634</v>
      </c>
      <c r="T49" s="205">
        <v>166656.13786458471</v>
      </c>
      <c r="U49" s="206">
        <v>14425.78791244451</v>
      </c>
      <c r="V49" s="194">
        <v>312.0929967865585</v>
      </c>
      <c r="W49" s="199">
        <v>30967.81678563328</v>
      </c>
      <c r="X49" s="200">
        <v>724798.910953791</v>
      </c>
      <c r="Y49" s="201">
        <v>51651.726738731762</v>
      </c>
      <c r="Z49" s="207"/>
      <c r="AA49" s="208"/>
      <c r="AB49" s="209"/>
      <c r="AC49" s="210"/>
      <c r="AD49" s="207"/>
      <c r="AE49" s="207"/>
      <c r="AF49" s="207"/>
      <c r="AG49" s="207"/>
      <c r="AH49" s="210"/>
      <c r="AI49" s="207"/>
      <c r="AJ49" s="207"/>
      <c r="AK49" s="210"/>
      <c r="AL49" s="207"/>
    </row>
    <row r="50" spans="1:38" ht="17.100000000000001" hidden="1" customHeight="1">
      <c r="A50" s="203">
        <v>39722</v>
      </c>
      <c r="B50" s="194">
        <v>2379.3819424453268</v>
      </c>
      <c r="C50" s="194">
        <v>13792.778389704335</v>
      </c>
      <c r="D50" s="194">
        <v>2841.0368130070192</v>
      </c>
      <c r="E50" s="196">
        <v>19013.197145156682</v>
      </c>
      <c r="F50" s="194">
        <v>223825.06784749537</v>
      </c>
      <c r="G50" s="194">
        <v>4396.4388643791999</v>
      </c>
      <c r="H50" s="194">
        <v>8028.5299916077174</v>
      </c>
      <c r="I50" s="194">
        <v>346.56312498704125</v>
      </c>
      <c r="J50" s="194">
        <v>235943.9231158811</v>
      </c>
      <c r="K50" s="196">
        <v>472540.52294435038</v>
      </c>
      <c r="L50" s="204">
        <v>28713.383077025894</v>
      </c>
      <c r="M50" s="194">
        <v>23672.815762212838</v>
      </c>
      <c r="N50" s="194">
        <v>-4.4821999999999917E-4</v>
      </c>
      <c r="O50" s="196">
        <v>52386.198391018726</v>
      </c>
      <c r="P50" s="194">
        <v>1050.1244843500001</v>
      </c>
      <c r="Q50" s="194">
        <v>3446.5393478536002</v>
      </c>
      <c r="R50" s="194">
        <v>157480.31692227343</v>
      </c>
      <c r="S50" s="194">
        <v>8013.7406906213637</v>
      </c>
      <c r="T50" s="205">
        <v>169990.7214450984</v>
      </c>
      <c r="U50" s="206">
        <v>12741.019459554294</v>
      </c>
      <c r="V50" s="194">
        <v>714.71846404604003</v>
      </c>
      <c r="W50" s="199">
        <v>31561.204727308781</v>
      </c>
      <c r="X50" s="200">
        <v>758947.58257653331</v>
      </c>
      <c r="Y50" s="201">
        <v>48692.646656937119</v>
      </c>
      <c r="Z50" s="207"/>
      <c r="AA50" s="208"/>
      <c r="AB50" s="209"/>
      <c r="AC50" s="210"/>
      <c r="AD50" s="207"/>
      <c r="AE50" s="207"/>
      <c r="AF50" s="207"/>
      <c r="AG50" s="207"/>
      <c r="AH50" s="210"/>
      <c r="AI50" s="207"/>
      <c r="AJ50" s="207"/>
      <c r="AK50" s="210"/>
      <c r="AL50" s="207"/>
    </row>
    <row r="51" spans="1:38" ht="17.100000000000001" hidden="1" customHeight="1">
      <c r="A51" s="203">
        <v>39753</v>
      </c>
      <c r="B51" s="194">
        <v>2426.0069267817598</v>
      </c>
      <c r="C51" s="194">
        <v>11839.211663592405</v>
      </c>
      <c r="D51" s="194">
        <v>2526.2581809930002</v>
      </c>
      <c r="E51" s="196">
        <v>16791.476771367164</v>
      </c>
      <c r="F51" s="194">
        <v>226166.62212156894</v>
      </c>
      <c r="G51" s="194">
        <v>4749.7367745856</v>
      </c>
      <c r="H51" s="194">
        <v>7816.0557844121058</v>
      </c>
      <c r="I51" s="194">
        <v>309.81763434782636</v>
      </c>
      <c r="J51" s="194">
        <v>230550.74400361252</v>
      </c>
      <c r="K51" s="196">
        <v>469592.97631852701</v>
      </c>
      <c r="L51" s="204">
        <v>26493.599587561555</v>
      </c>
      <c r="M51" s="194">
        <v>24862.692887959987</v>
      </c>
      <c r="N51" s="194">
        <v>4.1674999999985474E-4</v>
      </c>
      <c r="O51" s="196">
        <v>51356.292892271544</v>
      </c>
      <c r="P51" s="194">
        <v>1065.3069274500001</v>
      </c>
      <c r="Q51" s="194">
        <v>3597.6496724499998</v>
      </c>
      <c r="R51" s="194">
        <v>161653.33032716202</v>
      </c>
      <c r="S51" s="194">
        <v>7910.8474440010632</v>
      </c>
      <c r="T51" s="205">
        <v>174227.13437106309</v>
      </c>
      <c r="U51" s="206">
        <v>16099.842255742053</v>
      </c>
      <c r="V51" s="194">
        <v>225.48798605749073</v>
      </c>
      <c r="W51" s="199">
        <v>29574.350188921951</v>
      </c>
      <c r="X51" s="200">
        <v>757867.56078395038</v>
      </c>
      <c r="Y51" s="201">
        <v>48322.9</v>
      </c>
      <c r="Z51" s="207"/>
      <c r="AA51" s="208"/>
      <c r="AB51" s="209"/>
      <c r="AC51" s="210"/>
      <c r="AD51" s="207"/>
      <c r="AE51" s="207"/>
      <c r="AF51" s="207"/>
      <c r="AG51" s="207"/>
      <c r="AH51" s="210"/>
      <c r="AI51" s="207"/>
      <c r="AJ51" s="207"/>
      <c r="AK51" s="210"/>
      <c r="AL51" s="207"/>
    </row>
    <row r="52" spans="1:38" ht="17.100000000000001" hidden="1" customHeight="1">
      <c r="A52" s="203">
        <v>39783</v>
      </c>
      <c r="B52" s="194">
        <v>3783.0592854020174</v>
      </c>
      <c r="C52" s="194">
        <v>10394.993497201907</v>
      </c>
      <c r="D52" s="194">
        <v>2541.0424579692003</v>
      </c>
      <c r="E52" s="196">
        <v>16719.095240573126</v>
      </c>
      <c r="F52" s="194">
        <v>203182.19218566112</v>
      </c>
      <c r="G52" s="194">
        <v>5310.6540325869255</v>
      </c>
      <c r="H52" s="194">
        <v>22688.764497200602</v>
      </c>
      <c r="I52" s="194">
        <v>1132.6000492887999</v>
      </c>
      <c r="J52" s="194">
        <v>228452.5511462024</v>
      </c>
      <c r="K52" s="196">
        <v>460766.76191093982</v>
      </c>
      <c r="L52" s="204">
        <v>23280.255137392684</v>
      </c>
      <c r="M52" s="194">
        <v>25751.112212908149</v>
      </c>
      <c r="N52" s="194">
        <v>4.7807999999882611E-4</v>
      </c>
      <c r="O52" s="196">
        <v>49031.367828380833</v>
      </c>
      <c r="P52" s="194">
        <v>1090.1521998399999</v>
      </c>
      <c r="Q52" s="194">
        <v>3656.7621346087999</v>
      </c>
      <c r="R52" s="194">
        <v>166182.04483788076</v>
      </c>
      <c r="S52" s="194">
        <v>7995.5971949037094</v>
      </c>
      <c r="T52" s="205">
        <v>178924.55636723328</v>
      </c>
      <c r="U52" s="206">
        <v>16653.694320612474</v>
      </c>
      <c r="V52" s="194">
        <v>2117.0507981807914</v>
      </c>
      <c r="W52" s="199">
        <v>30251.38394660729</v>
      </c>
      <c r="X52" s="200">
        <v>754463.9104125275</v>
      </c>
      <c r="Y52" s="201">
        <v>48878.898620351341</v>
      </c>
      <c r="Z52" s="207"/>
      <c r="AA52" s="208"/>
      <c r="AB52" s="209"/>
      <c r="AC52" s="210"/>
      <c r="AD52" s="207"/>
      <c r="AE52" s="207"/>
      <c r="AF52" s="207"/>
      <c r="AG52" s="207"/>
      <c r="AH52" s="210"/>
      <c r="AI52" s="207"/>
      <c r="AJ52" s="207"/>
      <c r="AK52" s="210"/>
      <c r="AL52" s="207"/>
    </row>
    <row r="53" spans="1:38" ht="17.100000000000001" hidden="1" customHeight="1">
      <c r="A53" s="203">
        <v>39814</v>
      </c>
      <c r="B53" s="194">
        <v>2675.7389597870447</v>
      </c>
      <c r="C53" s="194">
        <v>13379.207433003125</v>
      </c>
      <c r="D53" s="194">
        <v>380.77639803999995</v>
      </c>
      <c r="E53" s="196">
        <v>16435.722790830168</v>
      </c>
      <c r="F53" s="194">
        <v>225786.97255809806</v>
      </c>
      <c r="G53" s="194">
        <v>5190.6907075664994</v>
      </c>
      <c r="H53" s="194">
        <v>8078.9133931259994</v>
      </c>
      <c r="I53" s="194">
        <v>480.09728371768034</v>
      </c>
      <c r="J53" s="194">
        <v>227797.31664818362</v>
      </c>
      <c r="K53" s="196">
        <v>467333.99059069186</v>
      </c>
      <c r="L53" s="204">
        <v>23998.769675405998</v>
      </c>
      <c r="M53" s="194">
        <v>27017.695396631778</v>
      </c>
      <c r="N53" s="194">
        <v>-4.9128999999936696E-4</v>
      </c>
      <c r="O53" s="196">
        <v>51016.464580747779</v>
      </c>
      <c r="P53" s="194">
        <v>1061.28539701</v>
      </c>
      <c r="Q53" s="194">
        <v>3500.8257505799997</v>
      </c>
      <c r="R53" s="194">
        <v>165899.77785732009</v>
      </c>
      <c r="S53" s="194">
        <v>7951.1167554333133</v>
      </c>
      <c r="T53" s="205">
        <v>178413.0057603434</v>
      </c>
      <c r="U53" s="206">
        <v>17631.288317367616</v>
      </c>
      <c r="V53" s="194">
        <v>512.6855123126312</v>
      </c>
      <c r="W53" s="199">
        <v>28620.276546667668</v>
      </c>
      <c r="X53" s="200">
        <v>759963.43409896118</v>
      </c>
      <c r="Y53" s="201">
        <v>49759.327407828569</v>
      </c>
      <c r="Z53" s="207"/>
      <c r="AA53" s="208"/>
      <c r="AB53" s="209"/>
      <c r="AC53" s="210"/>
      <c r="AD53" s="207"/>
      <c r="AE53" s="207"/>
      <c r="AF53" s="207"/>
      <c r="AG53" s="207"/>
      <c r="AH53" s="210"/>
      <c r="AI53" s="207"/>
      <c r="AJ53" s="207"/>
      <c r="AK53" s="210"/>
      <c r="AL53" s="207"/>
    </row>
    <row r="54" spans="1:38" ht="17.100000000000001" hidden="1" customHeight="1">
      <c r="A54" s="203">
        <v>39845</v>
      </c>
      <c r="B54" s="194">
        <v>2497.5814256836143</v>
      </c>
      <c r="C54" s="194">
        <v>13867.034989832977</v>
      </c>
      <c r="D54" s="194">
        <v>282.00428603999995</v>
      </c>
      <c r="E54" s="196">
        <v>16646.620701556592</v>
      </c>
      <c r="F54" s="194">
        <v>232392.74545033125</v>
      </c>
      <c r="G54" s="194">
        <v>5070.0398237406007</v>
      </c>
      <c r="H54" s="194">
        <v>8279.3339173969216</v>
      </c>
      <c r="I54" s="194">
        <v>433.06136312867392</v>
      </c>
      <c r="J54" s="194">
        <v>226385.32490131841</v>
      </c>
      <c r="K54" s="196">
        <v>472560.50545591587</v>
      </c>
      <c r="L54" s="204">
        <v>24219.074579512748</v>
      </c>
      <c r="M54" s="194">
        <v>27646.859557035648</v>
      </c>
      <c r="N54" s="194">
        <v>-7.9700000004123694E-6</v>
      </c>
      <c r="O54" s="196">
        <v>51865.934128578403</v>
      </c>
      <c r="P54" s="194">
        <v>1057.94213595</v>
      </c>
      <c r="Q54" s="194">
        <v>3422.6618740120002</v>
      </c>
      <c r="R54" s="194">
        <v>166875.29295453912</v>
      </c>
      <c r="S54" s="194">
        <v>7659.1320728619648</v>
      </c>
      <c r="T54" s="205">
        <v>179015.0290373631</v>
      </c>
      <c r="U54" s="206">
        <v>20040.492262257463</v>
      </c>
      <c r="V54" s="194">
        <v>282.33236353717592</v>
      </c>
      <c r="W54" s="199">
        <v>29421.016526551521</v>
      </c>
      <c r="X54" s="200">
        <v>769831.93047576025</v>
      </c>
      <c r="Y54" s="201">
        <v>48867.042645488633</v>
      </c>
      <c r="Z54" s="207"/>
      <c r="AA54" s="208"/>
      <c r="AB54" s="209"/>
      <c r="AC54" s="210"/>
      <c r="AD54" s="207"/>
      <c r="AE54" s="207"/>
      <c r="AF54" s="207"/>
      <c r="AG54" s="207"/>
      <c r="AH54" s="210"/>
      <c r="AI54" s="207"/>
      <c r="AJ54" s="207"/>
      <c r="AK54" s="210"/>
      <c r="AL54" s="207"/>
    </row>
    <row r="55" spans="1:38" ht="17.100000000000001" hidden="1" customHeight="1">
      <c r="A55" s="203">
        <v>39873</v>
      </c>
      <c r="B55" s="194">
        <v>2264.4616649219997</v>
      </c>
      <c r="C55" s="194">
        <v>12747.319282000841</v>
      </c>
      <c r="D55" s="194">
        <v>4.0000000000000001E-8</v>
      </c>
      <c r="E55" s="196">
        <v>15011.780946962841</v>
      </c>
      <c r="F55" s="194">
        <v>237236.27037212986</v>
      </c>
      <c r="G55" s="194">
        <v>4856.2030848407003</v>
      </c>
      <c r="H55" s="194">
        <v>7876.1644982471453</v>
      </c>
      <c r="I55" s="194">
        <v>370.91701422731433</v>
      </c>
      <c r="J55" s="194">
        <v>210811.13141488214</v>
      </c>
      <c r="K55" s="196">
        <v>461150.68638432713</v>
      </c>
      <c r="L55" s="204">
        <v>26831.974253313623</v>
      </c>
      <c r="M55" s="194">
        <v>27111.490435063748</v>
      </c>
      <c r="N55" s="194">
        <v>-7.4789999999325119E-5</v>
      </c>
      <c r="O55" s="196">
        <v>53943.46461358737</v>
      </c>
      <c r="P55" s="194">
        <v>998.22311665999996</v>
      </c>
      <c r="Q55" s="194">
        <v>3159.8908053024002</v>
      </c>
      <c r="R55" s="194">
        <v>168301.965432039</v>
      </c>
      <c r="S55" s="194">
        <v>7770.7349989924351</v>
      </c>
      <c r="T55" s="205">
        <v>180230.81435299385</v>
      </c>
      <c r="U55" s="206">
        <v>19553.94470994316</v>
      </c>
      <c r="V55" s="194">
        <v>1805.0989710415895</v>
      </c>
      <c r="W55" s="199">
        <v>31078.724354309787</v>
      </c>
      <c r="X55" s="200">
        <v>762774.51433316572</v>
      </c>
      <c r="Y55" s="201">
        <v>48784.739912675665</v>
      </c>
      <c r="Z55" s="207"/>
      <c r="AA55" s="208"/>
      <c r="AB55" s="209"/>
      <c r="AC55" s="210"/>
      <c r="AD55" s="207"/>
      <c r="AE55" s="207"/>
      <c r="AF55" s="207"/>
      <c r="AG55" s="207"/>
      <c r="AH55" s="210"/>
      <c r="AI55" s="207"/>
      <c r="AJ55" s="207"/>
      <c r="AK55" s="210"/>
      <c r="AL55" s="207"/>
    </row>
    <row r="56" spans="1:38" ht="17.100000000000001" hidden="1" customHeight="1">
      <c r="A56" s="203">
        <v>39904</v>
      </c>
      <c r="B56" s="194">
        <v>2463.1134872777097</v>
      </c>
      <c r="C56" s="194">
        <v>11824.772782456308</v>
      </c>
      <c r="D56" s="194">
        <v>4.0000000000000001E-8</v>
      </c>
      <c r="E56" s="196">
        <v>14287.886269774017</v>
      </c>
      <c r="F56" s="194">
        <v>228482.2480247574</v>
      </c>
      <c r="G56" s="194">
        <v>5067.3277950452502</v>
      </c>
      <c r="H56" s="194">
        <v>8258.3054765771394</v>
      </c>
      <c r="I56" s="194">
        <v>338.99840662755787</v>
      </c>
      <c r="J56" s="194">
        <v>210655.14549361699</v>
      </c>
      <c r="K56" s="196">
        <v>452802.02519662434</v>
      </c>
      <c r="L56" s="204">
        <v>28072.351401838172</v>
      </c>
      <c r="M56" s="194">
        <v>26762.608963309631</v>
      </c>
      <c r="N56" s="194">
        <v>-8.4830000000479799E-5</v>
      </c>
      <c r="O56" s="196">
        <v>54834.960280317806</v>
      </c>
      <c r="P56" s="194">
        <v>991.61189808000006</v>
      </c>
      <c r="Q56" s="194">
        <v>3221.8510688430001</v>
      </c>
      <c r="R56" s="194">
        <v>168519.4823612709</v>
      </c>
      <c r="S56" s="194">
        <v>7826.246119297638</v>
      </c>
      <c r="T56" s="205">
        <v>180559.19144749152</v>
      </c>
      <c r="U56" s="206">
        <v>19389.474546375186</v>
      </c>
      <c r="V56" s="194">
        <v>314.58034841185736</v>
      </c>
      <c r="W56" s="199">
        <v>30306.392474187531</v>
      </c>
      <c r="X56" s="200">
        <v>752494.5105631823</v>
      </c>
      <c r="Y56" s="201">
        <v>49862.04350363397</v>
      </c>
      <c r="Z56" s="207"/>
      <c r="AA56" s="208"/>
      <c r="AB56" s="209"/>
      <c r="AC56" s="210"/>
      <c r="AD56" s="207"/>
      <c r="AE56" s="207"/>
      <c r="AF56" s="207"/>
      <c r="AG56" s="207"/>
      <c r="AH56" s="210"/>
      <c r="AI56" s="207"/>
      <c r="AJ56" s="207"/>
      <c r="AK56" s="210"/>
      <c r="AL56" s="207"/>
    </row>
    <row r="57" spans="1:38" ht="17.100000000000001" hidden="1" customHeight="1">
      <c r="A57" s="203">
        <v>39934</v>
      </c>
      <c r="B57" s="194">
        <v>2134.2768452576752</v>
      </c>
      <c r="C57" s="194">
        <v>12447.787419058641</v>
      </c>
      <c r="D57" s="194">
        <v>4.0000000000000001E-8</v>
      </c>
      <c r="E57" s="196">
        <v>14582.064264356315</v>
      </c>
      <c r="F57" s="194">
        <v>223617.89176332875</v>
      </c>
      <c r="G57" s="194">
        <v>4919.5237761268263</v>
      </c>
      <c r="H57" s="194">
        <v>8071.5132469356449</v>
      </c>
      <c r="I57" s="194">
        <v>366.52847937110874</v>
      </c>
      <c r="J57" s="194">
        <v>205761.98706390473</v>
      </c>
      <c r="K57" s="196">
        <v>442737.44432966702</v>
      </c>
      <c r="L57" s="204">
        <v>29247.743368734173</v>
      </c>
      <c r="M57" s="194">
        <v>27136.253292309444</v>
      </c>
      <c r="N57" s="194">
        <v>4.8944999999989136E-4</v>
      </c>
      <c r="O57" s="196">
        <v>56383.997150493618</v>
      </c>
      <c r="P57" s="194">
        <v>1010.94572082</v>
      </c>
      <c r="Q57" s="194">
        <v>3058.5106933265602</v>
      </c>
      <c r="R57" s="194">
        <v>168810.88039717983</v>
      </c>
      <c r="S57" s="194">
        <v>8042.5445242420328</v>
      </c>
      <c r="T57" s="205">
        <v>180922.88133556844</v>
      </c>
      <c r="U57" s="206">
        <v>19944.588779338719</v>
      </c>
      <c r="V57" s="194">
        <v>1528.2840473124318</v>
      </c>
      <c r="W57" s="199">
        <v>28214.629935298603</v>
      </c>
      <c r="X57" s="200">
        <v>744313.88984203513</v>
      </c>
      <c r="Y57" s="201">
        <v>47618.664987821256</v>
      </c>
      <c r="Z57" s="207"/>
      <c r="AA57" s="208"/>
      <c r="AB57" s="209"/>
      <c r="AC57" s="210"/>
      <c r="AD57" s="207"/>
      <c r="AE57" s="207"/>
      <c r="AF57" s="207"/>
      <c r="AG57" s="207"/>
      <c r="AH57" s="210"/>
      <c r="AI57" s="207"/>
      <c r="AJ57" s="207"/>
      <c r="AK57" s="210"/>
      <c r="AL57" s="207"/>
    </row>
    <row r="58" spans="1:38" ht="17.100000000000001" hidden="1" customHeight="1">
      <c r="A58" s="203">
        <v>39965</v>
      </c>
      <c r="B58" s="194">
        <v>2255.9685788402012</v>
      </c>
      <c r="C58" s="194">
        <v>12786.85931183191</v>
      </c>
      <c r="D58" s="194">
        <v>4.0000000000000001E-8</v>
      </c>
      <c r="E58" s="196">
        <v>15042.827890712109</v>
      </c>
      <c r="F58" s="194">
        <v>207502.74957028162</v>
      </c>
      <c r="G58" s="194">
        <v>5052.3078610472485</v>
      </c>
      <c r="H58" s="194">
        <v>7615.4593083677919</v>
      </c>
      <c r="I58" s="194">
        <v>383.15109864010952</v>
      </c>
      <c r="J58" s="194">
        <v>208546.10496076485</v>
      </c>
      <c r="K58" s="196">
        <v>429099.77279910166</v>
      </c>
      <c r="L58" s="204">
        <v>32168.969940872732</v>
      </c>
      <c r="M58" s="194">
        <v>26179.035048477239</v>
      </c>
      <c r="N58" s="194">
        <v>-4.4300999999968838E-4</v>
      </c>
      <c r="O58" s="196">
        <v>58348.004546339966</v>
      </c>
      <c r="P58" s="194">
        <v>1027.92067477</v>
      </c>
      <c r="Q58" s="194">
        <v>2943.699858404304</v>
      </c>
      <c r="R58" s="194">
        <v>170563.23934842905</v>
      </c>
      <c r="S58" s="194">
        <v>8146.5689852514415</v>
      </c>
      <c r="T58" s="205">
        <v>182681.42886685481</v>
      </c>
      <c r="U58" s="206">
        <v>18644.906622961866</v>
      </c>
      <c r="V58" s="194">
        <v>9612.7558061164764</v>
      </c>
      <c r="W58" s="199">
        <v>29924.710750678842</v>
      </c>
      <c r="X58" s="200">
        <v>743354.40728276572</v>
      </c>
      <c r="Y58" s="201">
        <v>52679.091929149792</v>
      </c>
      <c r="Z58" s="207"/>
      <c r="AA58" s="208"/>
      <c r="AB58" s="209"/>
      <c r="AC58" s="210"/>
      <c r="AD58" s="207"/>
      <c r="AE58" s="207"/>
      <c r="AF58" s="207"/>
      <c r="AG58" s="207"/>
      <c r="AH58" s="210"/>
      <c r="AI58" s="207"/>
      <c r="AJ58" s="207"/>
      <c r="AK58" s="210"/>
      <c r="AL58" s="207"/>
    </row>
    <row r="59" spans="1:38" ht="17.100000000000001" hidden="1" customHeight="1">
      <c r="A59" s="203">
        <v>39995</v>
      </c>
      <c r="B59" s="194">
        <v>2382.8695062672741</v>
      </c>
      <c r="C59" s="194">
        <v>13048.835097213314</v>
      </c>
      <c r="D59" s="194">
        <v>4.0000000000000001E-8</v>
      </c>
      <c r="E59" s="196">
        <v>15431.704603520588</v>
      </c>
      <c r="F59" s="194">
        <v>199585.28677568611</v>
      </c>
      <c r="G59" s="194">
        <v>5340.5929018179913</v>
      </c>
      <c r="H59" s="194">
        <v>7465.6337234712064</v>
      </c>
      <c r="I59" s="194">
        <v>379.55498977126678</v>
      </c>
      <c r="J59" s="194">
        <v>220170.1837117885</v>
      </c>
      <c r="K59" s="196">
        <v>432941.2521025351</v>
      </c>
      <c r="L59" s="204">
        <v>33229.447500481634</v>
      </c>
      <c r="M59" s="194">
        <v>26523.371390975357</v>
      </c>
      <c r="N59" s="194">
        <v>-4.4595000000047236E-4</v>
      </c>
      <c r="O59" s="196">
        <v>59752.818445506993</v>
      </c>
      <c r="P59" s="194">
        <v>1005.70229095</v>
      </c>
      <c r="Q59" s="194">
        <v>2848.741702572057</v>
      </c>
      <c r="R59" s="194">
        <v>171246.85957813429</v>
      </c>
      <c r="S59" s="194">
        <v>8239.6431219971782</v>
      </c>
      <c r="T59" s="205">
        <v>183340.9466936535</v>
      </c>
      <c r="U59" s="206">
        <v>17930.454582945833</v>
      </c>
      <c r="V59" s="194">
        <v>1007.347995254158</v>
      </c>
      <c r="W59" s="199">
        <v>28325.579542666805</v>
      </c>
      <c r="X59" s="200">
        <v>738730.10396608291</v>
      </c>
      <c r="Y59" s="201">
        <v>53516.95281016775</v>
      </c>
      <c r="Z59" s="207"/>
      <c r="AA59" s="208"/>
      <c r="AB59" s="209"/>
      <c r="AC59" s="210"/>
      <c r="AD59" s="207"/>
      <c r="AE59" s="207"/>
      <c r="AF59" s="207"/>
      <c r="AG59" s="207"/>
      <c r="AH59" s="210"/>
      <c r="AI59" s="207"/>
      <c r="AJ59" s="207"/>
      <c r="AK59" s="210"/>
      <c r="AL59" s="207"/>
    </row>
    <row r="60" spans="1:38" ht="17.100000000000001" hidden="1" customHeight="1">
      <c r="A60" s="203">
        <v>40026</v>
      </c>
      <c r="B60" s="194">
        <v>2372.0640500348227</v>
      </c>
      <c r="C60" s="194">
        <v>12911.904016429913</v>
      </c>
      <c r="D60" s="194">
        <v>4.0000000000000001E-8</v>
      </c>
      <c r="E60" s="196">
        <v>15283.968066504734</v>
      </c>
      <c r="F60" s="194">
        <v>186924.74211456391</v>
      </c>
      <c r="G60" s="194">
        <v>6197.6560840047568</v>
      </c>
      <c r="H60" s="194">
        <v>7537.4695722724546</v>
      </c>
      <c r="I60" s="194">
        <v>391.12560458193701</v>
      </c>
      <c r="J60" s="194">
        <v>227479.78483927526</v>
      </c>
      <c r="K60" s="196">
        <v>428530.77821469831</v>
      </c>
      <c r="L60" s="204">
        <v>32852.730225507803</v>
      </c>
      <c r="M60" s="194">
        <v>26467.544237391921</v>
      </c>
      <c r="N60" s="194">
        <v>-1.9421000000008348E-4</v>
      </c>
      <c r="O60" s="196">
        <v>59320.274268689725</v>
      </c>
      <c r="P60" s="194">
        <v>978.69550494000009</v>
      </c>
      <c r="Q60" s="194">
        <v>2676.6677089507698</v>
      </c>
      <c r="R60" s="194">
        <v>171377.22431020188</v>
      </c>
      <c r="S60" s="194">
        <v>8224.6596805202153</v>
      </c>
      <c r="T60" s="205">
        <v>183257.24720461285</v>
      </c>
      <c r="U60" s="206">
        <v>17577.421130833947</v>
      </c>
      <c r="V60" s="194">
        <v>3511.7865561100925</v>
      </c>
      <c r="W60" s="199">
        <v>28883.94029621116</v>
      </c>
      <c r="X60" s="200">
        <v>736365.41573766083</v>
      </c>
      <c r="Y60" s="201">
        <v>56770.427401974914</v>
      </c>
      <c r="Z60" s="207"/>
      <c r="AA60" s="208"/>
      <c r="AB60" s="209"/>
      <c r="AC60" s="210"/>
      <c r="AD60" s="207"/>
      <c r="AE60" s="207"/>
      <c r="AF60" s="207"/>
      <c r="AG60" s="207"/>
      <c r="AH60" s="210"/>
      <c r="AI60" s="207"/>
      <c r="AJ60" s="207"/>
      <c r="AK60" s="210"/>
      <c r="AL60" s="207"/>
    </row>
    <row r="61" spans="1:38" ht="17.100000000000001" hidden="1" customHeight="1">
      <c r="A61" s="203">
        <v>40057</v>
      </c>
      <c r="B61" s="194">
        <v>2270.9747407396544</v>
      </c>
      <c r="C61" s="194">
        <v>13777.350565277988</v>
      </c>
      <c r="D61" s="194">
        <v>-4.0000000000000001E-8</v>
      </c>
      <c r="E61" s="196">
        <v>16048.325305977643</v>
      </c>
      <c r="F61" s="194">
        <v>184838.73397185601</v>
      </c>
      <c r="G61" s="194">
        <v>6738.7880661553581</v>
      </c>
      <c r="H61" s="194">
        <v>7527.2274972112864</v>
      </c>
      <c r="I61" s="194">
        <v>316.60675063207026</v>
      </c>
      <c r="J61" s="194">
        <v>225519.13353736146</v>
      </c>
      <c r="K61" s="196">
        <v>424940.48982321622</v>
      </c>
      <c r="L61" s="204">
        <v>31410.713395976705</v>
      </c>
      <c r="M61" s="194">
        <v>25349.573196798981</v>
      </c>
      <c r="N61" s="194">
        <v>-3.0500999999993894E-4</v>
      </c>
      <c r="O61" s="196">
        <v>56760.286287765688</v>
      </c>
      <c r="P61" s="194">
        <v>1003.63630024</v>
      </c>
      <c r="Q61" s="194">
        <v>2666.1609599262438</v>
      </c>
      <c r="R61" s="194">
        <v>169781.51646839036</v>
      </c>
      <c r="S61" s="194">
        <v>8376.7548721581443</v>
      </c>
      <c r="T61" s="205">
        <v>181828.06860071473</v>
      </c>
      <c r="U61" s="206">
        <v>17626.810904858539</v>
      </c>
      <c r="V61" s="194">
        <v>12700.115883948552</v>
      </c>
      <c r="W61" s="199">
        <v>28715.308075073539</v>
      </c>
      <c r="X61" s="200">
        <v>738619.40488155489</v>
      </c>
      <c r="Y61" s="201">
        <v>54026.892020260661</v>
      </c>
      <c r="Z61" s="207"/>
      <c r="AA61" s="208"/>
      <c r="AB61" s="209"/>
      <c r="AC61" s="210"/>
      <c r="AD61" s="207"/>
      <c r="AE61" s="207"/>
      <c r="AF61" s="207"/>
      <c r="AG61" s="207"/>
      <c r="AH61" s="210"/>
      <c r="AI61" s="207"/>
      <c r="AJ61" s="207"/>
      <c r="AK61" s="210"/>
      <c r="AL61" s="207"/>
    </row>
    <row r="62" spans="1:38" ht="17.100000000000001" hidden="1" customHeight="1">
      <c r="A62" s="203">
        <v>40087</v>
      </c>
      <c r="B62" s="194">
        <v>2307.4481992813303</v>
      </c>
      <c r="C62" s="194">
        <v>12206.56754091081</v>
      </c>
      <c r="D62" s="194">
        <v>-4.0000000000000001E-8</v>
      </c>
      <c r="E62" s="196">
        <v>14514.015740152141</v>
      </c>
      <c r="F62" s="194">
        <v>202144.01002198004</v>
      </c>
      <c r="G62" s="194">
        <v>7192.2973099495439</v>
      </c>
      <c r="H62" s="194">
        <v>7117.570719177349</v>
      </c>
      <c r="I62" s="194">
        <v>308.52558731316196</v>
      </c>
      <c r="J62" s="194">
        <v>210244.65961331848</v>
      </c>
      <c r="K62" s="196">
        <v>427007.06325173855</v>
      </c>
      <c r="L62" s="204">
        <v>33837.09297920455</v>
      </c>
      <c r="M62" s="194">
        <v>25366.706530736421</v>
      </c>
      <c r="N62" s="194">
        <v>2.802200000000532E-4</v>
      </c>
      <c r="O62" s="196">
        <v>59203.799790160978</v>
      </c>
      <c r="P62" s="194">
        <v>985.16581940999993</v>
      </c>
      <c r="Q62" s="194">
        <v>2682.929596335558</v>
      </c>
      <c r="R62" s="194">
        <v>169967.0147723952</v>
      </c>
      <c r="S62" s="194">
        <v>8302.3558300640834</v>
      </c>
      <c r="T62" s="205">
        <v>181937.46601820481</v>
      </c>
      <c r="U62" s="206">
        <v>16983.12483957535</v>
      </c>
      <c r="V62" s="194">
        <v>5216.054096469702</v>
      </c>
      <c r="W62" s="199">
        <v>29008.10477487617</v>
      </c>
      <c r="X62" s="200">
        <v>733869.62851117773</v>
      </c>
      <c r="Y62" s="201">
        <v>50243.165164153106</v>
      </c>
      <c r="Z62" s="207"/>
      <c r="AA62" s="208"/>
      <c r="AB62" s="209"/>
      <c r="AC62" s="210"/>
      <c r="AD62" s="207"/>
      <c r="AE62" s="207"/>
      <c r="AF62" s="207"/>
      <c r="AG62" s="207"/>
      <c r="AH62" s="210"/>
      <c r="AI62" s="207"/>
      <c r="AJ62" s="207"/>
      <c r="AK62" s="210"/>
      <c r="AL62" s="207"/>
    </row>
    <row r="63" spans="1:38" ht="17.100000000000001" hidden="1" customHeight="1">
      <c r="A63" s="203">
        <v>40118</v>
      </c>
      <c r="B63" s="194">
        <v>2500.8570033545293</v>
      </c>
      <c r="C63" s="194">
        <v>11629.663041222699</v>
      </c>
      <c r="D63" s="194">
        <v>0</v>
      </c>
      <c r="E63" s="196">
        <v>14130.520044577228</v>
      </c>
      <c r="F63" s="194">
        <v>199170.51935747339</v>
      </c>
      <c r="G63" s="194">
        <v>7443.4449799937865</v>
      </c>
      <c r="H63" s="194">
        <v>7567.9710630006502</v>
      </c>
      <c r="I63" s="194">
        <v>405.0909730760464</v>
      </c>
      <c r="J63" s="194">
        <v>204768.65731873107</v>
      </c>
      <c r="K63" s="196">
        <v>419355.68369227491</v>
      </c>
      <c r="L63" s="204">
        <v>33739.09375096234</v>
      </c>
      <c r="M63" s="194">
        <v>26156.280986041489</v>
      </c>
      <c r="N63" s="194">
        <v>8.7879999999929126E-5</v>
      </c>
      <c r="O63" s="196">
        <v>59895.374824883831</v>
      </c>
      <c r="P63" s="194">
        <v>1054.47010301</v>
      </c>
      <c r="Q63" s="194">
        <v>2566.5865455100002</v>
      </c>
      <c r="R63" s="194">
        <v>170630.26088054583</v>
      </c>
      <c r="S63" s="194">
        <v>8224.0762259592466</v>
      </c>
      <c r="T63" s="205">
        <v>182475.39375502508</v>
      </c>
      <c r="U63" s="206">
        <v>17191.143801646955</v>
      </c>
      <c r="V63" s="194">
        <v>4432.900399316125</v>
      </c>
      <c r="W63" s="199">
        <v>28934.693953399681</v>
      </c>
      <c r="X63" s="200">
        <v>726415.71047112392</v>
      </c>
      <c r="Y63" s="201">
        <v>52485.028766634619</v>
      </c>
      <c r="Z63" s="207"/>
      <c r="AA63" s="208"/>
      <c r="AB63" s="209"/>
      <c r="AC63" s="210"/>
      <c r="AD63" s="207"/>
      <c r="AE63" s="207"/>
      <c r="AF63" s="207"/>
      <c r="AG63" s="207"/>
      <c r="AH63" s="210"/>
      <c r="AI63" s="207"/>
      <c r="AJ63" s="207"/>
      <c r="AK63" s="210"/>
      <c r="AL63" s="207"/>
    </row>
    <row r="64" spans="1:38" ht="17.100000000000001" hidden="1" customHeight="1">
      <c r="A64" s="203">
        <v>40148</v>
      </c>
      <c r="B64" s="194">
        <v>3915.8101919802457</v>
      </c>
      <c r="C64" s="194">
        <v>14707.723298127281</v>
      </c>
      <c r="D64" s="194">
        <v>0</v>
      </c>
      <c r="E64" s="196">
        <v>18623.533490107526</v>
      </c>
      <c r="F64" s="194">
        <v>212882.82959792399</v>
      </c>
      <c r="G64" s="194">
        <v>9093.3874310360261</v>
      </c>
      <c r="H64" s="194">
        <v>7498.5332594366319</v>
      </c>
      <c r="I64" s="194">
        <v>624.59062635668545</v>
      </c>
      <c r="J64" s="194">
        <v>207189.02804542537</v>
      </c>
      <c r="K64" s="196">
        <v>437288.36896017869</v>
      </c>
      <c r="L64" s="204">
        <v>31694.190140637886</v>
      </c>
      <c r="M64" s="194">
        <v>26919.051777879555</v>
      </c>
      <c r="N64" s="194">
        <v>-2.1651000000000309E-4</v>
      </c>
      <c r="O64" s="196">
        <v>58613.241702007435</v>
      </c>
      <c r="P64" s="194">
        <v>1177.93864641</v>
      </c>
      <c r="Q64" s="194">
        <v>2597.0991705868482</v>
      </c>
      <c r="R64" s="194">
        <v>172902.19421826309</v>
      </c>
      <c r="S64" s="194">
        <v>7972.4800924038027</v>
      </c>
      <c r="T64" s="205">
        <v>184649.71212766369</v>
      </c>
      <c r="U64" s="206">
        <v>16984.090662227558</v>
      </c>
      <c r="V64" s="194">
        <v>3287.5360248108141</v>
      </c>
      <c r="W64" s="199">
        <v>31811.096855997894</v>
      </c>
      <c r="X64" s="200">
        <v>751257.57982299372</v>
      </c>
      <c r="Y64" s="201">
        <v>54541.08962479265</v>
      </c>
      <c r="Z64" s="207"/>
      <c r="AA64" s="208"/>
      <c r="AB64" s="209"/>
      <c r="AC64" s="210"/>
      <c r="AD64" s="207"/>
      <c r="AE64" s="207"/>
      <c r="AF64" s="207"/>
      <c r="AG64" s="207"/>
      <c r="AH64" s="210"/>
      <c r="AI64" s="207"/>
      <c r="AJ64" s="207"/>
      <c r="AK64" s="210"/>
      <c r="AL64" s="207"/>
    </row>
    <row r="65" spans="1:38" ht="24" hidden="1" customHeight="1">
      <c r="A65" s="203">
        <v>40179</v>
      </c>
      <c r="B65" s="194">
        <v>2780.023530206854</v>
      </c>
      <c r="C65" s="194">
        <v>13099.832837444601</v>
      </c>
      <c r="D65" s="194">
        <v>0</v>
      </c>
      <c r="E65" s="196">
        <v>15879.8</v>
      </c>
      <c r="F65" s="194">
        <v>221541.48925304678</v>
      </c>
      <c r="G65" s="194">
        <v>8266.5488434896215</v>
      </c>
      <c r="H65" s="194">
        <v>7503.3040874088001</v>
      </c>
      <c r="I65" s="194">
        <v>413.23181624107394</v>
      </c>
      <c r="J65" s="194">
        <v>208179.88808915144</v>
      </c>
      <c r="K65" s="196">
        <v>445904.4</v>
      </c>
      <c r="L65" s="204">
        <v>31832.421237908544</v>
      </c>
      <c r="M65" s="194">
        <v>27560.216865669645</v>
      </c>
      <c r="N65" s="194">
        <v>-1.5917999999981447E-4</v>
      </c>
      <c r="O65" s="196">
        <v>59392.637944398186</v>
      </c>
      <c r="P65" s="194">
        <v>1212.2202783599998</v>
      </c>
      <c r="Q65" s="194">
        <v>2590.5182837234652</v>
      </c>
      <c r="R65" s="194">
        <v>173058.13845241221</v>
      </c>
      <c r="S65" s="194">
        <v>7977.7670005267792</v>
      </c>
      <c r="T65" s="205">
        <v>184838.64401502244</v>
      </c>
      <c r="U65" s="206">
        <v>15314.753493705786</v>
      </c>
      <c r="V65" s="194">
        <v>7187.1286817944583</v>
      </c>
      <c r="W65" s="199">
        <v>32297.178702546567</v>
      </c>
      <c r="X65" s="200">
        <v>760814.66129445657</v>
      </c>
      <c r="Y65" s="201">
        <v>55548.169799877942</v>
      </c>
      <c r="Z65" s="207"/>
      <c r="AA65" s="208"/>
      <c r="AB65" s="209"/>
      <c r="AC65" s="210"/>
      <c r="AD65" s="207"/>
      <c r="AE65" s="207"/>
      <c r="AF65" s="207"/>
      <c r="AG65" s="207"/>
      <c r="AH65" s="210"/>
      <c r="AI65" s="207"/>
      <c r="AJ65" s="207"/>
      <c r="AK65" s="210"/>
      <c r="AL65" s="207"/>
    </row>
    <row r="66" spans="1:38" ht="24" hidden="1" customHeight="1">
      <c r="A66" s="203">
        <v>40210</v>
      </c>
      <c r="B66" s="194">
        <v>2660.6673514488489</v>
      </c>
      <c r="C66" s="194">
        <v>15436.769076361817</v>
      </c>
      <c r="D66" s="194">
        <v>0</v>
      </c>
      <c r="E66" s="196">
        <v>18097.436427810666</v>
      </c>
      <c r="F66" s="194">
        <v>213703.5873042364</v>
      </c>
      <c r="G66" s="194">
        <v>8110.8323936700262</v>
      </c>
      <c r="H66" s="194">
        <v>7349.2890265812584</v>
      </c>
      <c r="I66" s="194">
        <v>349.26166424818439</v>
      </c>
      <c r="J66" s="194">
        <v>223495.03616576595</v>
      </c>
      <c r="K66" s="196">
        <v>453008.00655450183</v>
      </c>
      <c r="L66" s="204">
        <v>31567.891394918039</v>
      </c>
      <c r="M66" s="194">
        <v>27710.946615091565</v>
      </c>
      <c r="N66" s="194">
        <v>0</v>
      </c>
      <c r="O66" s="196">
        <v>59278.838010009604</v>
      </c>
      <c r="P66" s="194">
        <v>1288.46467721</v>
      </c>
      <c r="Q66" s="194">
        <v>2676.7205614137247</v>
      </c>
      <c r="R66" s="194">
        <v>174117.69026635069</v>
      </c>
      <c r="S66" s="194">
        <v>7635.6720307078194</v>
      </c>
      <c r="T66" s="205">
        <v>185718.54753568224</v>
      </c>
      <c r="U66" s="206">
        <v>16513.464361601295</v>
      </c>
      <c r="V66" s="194">
        <v>6180.9169583330468</v>
      </c>
      <c r="W66" s="199">
        <v>30253.935396580069</v>
      </c>
      <c r="X66" s="200">
        <v>769051.14524451864</v>
      </c>
      <c r="Y66" s="201">
        <v>61589.256488542735</v>
      </c>
      <c r="Z66" s="207"/>
      <c r="AA66" s="208"/>
      <c r="AB66" s="209"/>
      <c r="AC66" s="210"/>
      <c r="AD66" s="207"/>
      <c r="AE66" s="207"/>
      <c r="AF66" s="207"/>
      <c r="AG66" s="207"/>
      <c r="AH66" s="210"/>
      <c r="AI66" s="207"/>
      <c r="AJ66" s="207"/>
      <c r="AK66" s="210"/>
      <c r="AL66" s="207"/>
    </row>
    <row r="67" spans="1:38" ht="24" hidden="1" customHeight="1">
      <c r="A67" s="203">
        <v>40238</v>
      </c>
      <c r="B67" s="194">
        <v>2897.6108960383258</v>
      </c>
      <c r="C67" s="194">
        <v>19037.869672340148</v>
      </c>
      <c r="D67" s="194">
        <v>0</v>
      </c>
      <c r="E67" s="196">
        <v>21935.480568378473</v>
      </c>
      <c r="F67" s="194">
        <v>226059.96133473181</v>
      </c>
      <c r="G67" s="194">
        <v>6403.4290238830799</v>
      </c>
      <c r="H67" s="194">
        <v>7068.583263869994</v>
      </c>
      <c r="I67" s="194">
        <v>428.86692854623249</v>
      </c>
      <c r="J67" s="194">
        <v>222838.09629763025</v>
      </c>
      <c r="K67" s="196">
        <v>462798.9368486614</v>
      </c>
      <c r="L67" s="204">
        <v>29082.739201372719</v>
      </c>
      <c r="M67" s="194">
        <v>27109.517113115129</v>
      </c>
      <c r="N67" s="194">
        <v>0</v>
      </c>
      <c r="O67" s="196">
        <v>56192.256314487851</v>
      </c>
      <c r="P67" s="194">
        <v>1341.65357657</v>
      </c>
      <c r="Q67" s="194">
        <v>2917.25126198</v>
      </c>
      <c r="R67" s="194">
        <v>176575.92054715083</v>
      </c>
      <c r="S67" s="194">
        <v>7692.3967565473622</v>
      </c>
      <c r="T67" s="205">
        <v>188527.22214224821</v>
      </c>
      <c r="U67" s="206">
        <v>16240.204882827016</v>
      </c>
      <c r="V67" s="194">
        <v>1368.2558203355959</v>
      </c>
      <c r="W67" s="199">
        <v>29527.425442278138</v>
      </c>
      <c r="X67" s="200">
        <v>776589.78201921657</v>
      </c>
      <c r="Y67" s="201">
        <v>60393.458922994294</v>
      </c>
      <c r="Z67" s="207"/>
      <c r="AA67" s="208"/>
      <c r="AB67" s="209"/>
      <c r="AC67" s="210"/>
      <c r="AD67" s="207"/>
      <c r="AE67" s="207"/>
      <c r="AF67" s="207"/>
      <c r="AG67" s="207"/>
      <c r="AH67" s="210"/>
      <c r="AI67" s="207"/>
      <c r="AJ67" s="207"/>
      <c r="AK67" s="210"/>
      <c r="AL67" s="207"/>
    </row>
    <row r="68" spans="1:38" ht="24" hidden="1" customHeight="1">
      <c r="A68" s="203">
        <v>40269</v>
      </c>
      <c r="B68" s="194">
        <v>2714.8940145849865</v>
      </c>
      <c r="C68" s="194">
        <v>16776.253461564178</v>
      </c>
      <c r="D68" s="194">
        <v>0</v>
      </c>
      <c r="E68" s="196">
        <v>19491.147476149163</v>
      </c>
      <c r="F68" s="194">
        <v>206888.80822615509</v>
      </c>
      <c r="G68" s="194">
        <v>6795.7797851839096</v>
      </c>
      <c r="H68" s="194">
        <v>7033.1904892048169</v>
      </c>
      <c r="I68" s="194">
        <v>319.51106514733038</v>
      </c>
      <c r="J68" s="194">
        <v>233229.12170045351</v>
      </c>
      <c r="K68" s="196">
        <v>454266.4112661446</v>
      </c>
      <c r="L68" s="204">
        <v>31919.457578443678</v>
      </c>
      <c r="M68" s="194">
        <v>26313.524998848003</v>
      </c>
      <c r="N68" s="194">
        <v>0</v>
      </c>
      <c r="O68" s="196">
        <v>58232.982577291681</v>
      </c>
      <c r="P68" s="194">
        <v>1403.4770519399999</v>
      </c>
      <c r="Q68" s="194">
        <v>2865.0513356261176</v>
      </c>
      <c r="R68" s="194">
        <v>176768.23369493458</v>
      </c>
      <c r="S68" s="194">
        <v>7710.5905080774355</v>
      </c>
      <c r="T68" s="205">
        <v>188747.35259057814</v>
      </c>
      <c r="U68" s="206">
        <v>15217.195867773229</v>
      </c>
      <c r="V68" s="194">
        <v>3428.5726745660982</v>
      </c>
      <c r="W68" s="199">
        <v>32298.11377464384</v>
      </c>
      <c r="X68" s="200">
        <v>771681.77622714674</v>
      </c>
      <c r="Y68" s="201">
        <v>61398.084538984862</v>
      </c>
      <c r="Z68" s="207"/>
      <c r="AA68" s="208"/>
      <c r="AB68" s="209"/>
      <c r="AC68" s="210"/>
      <c r="AD68" s="207"/>
      <c r="AE68" s="207"/>
      <c r="AF68" s="207"/>
      <c r="AG68" s="207"/>
      <c r="AH68" s="210"/>
      <c r="AI68" s="207"/>
      <c r="AJ68" s="207"/>
      <c r="AK68" s="210"/>
      <c r="AL68" s="207"/>
    </row>
    <row r="69" spans="1:38" ht="24" hidden="1" customHeight="1">
      <c r="A69" s="203">
        <v>40299</v>
      </c>
      <c r="B69" s="194">
        <v>2683.557411916996</v>
      </c>
      <c r="C69" s="194">
        <v>15996.911171375739</v>
      </c>
      <c r="D69" s="194">
        <v>694.88758855869241</v>
      </c>
      <c r="E69" s="196">
        <v>19375.356171851428</v>
      </c>
      <c r="F69" s="194">
        <v>239446.130810979</v>
      </c>
      <c r="G69" s="194">
        <v>7512.3100360126364</v>
      </c>
      <c r="H69" s="194">
        <v>7497.6233504556176</v>
      </c>
      <c r="I69" s="194">
        <v>374.43364939408548</v>
      </c>
      <c r="J69" s="194">
        <v>268250.38378702919</v>
      </c>
      <c r="K69" s="196">
        <v>523080.88163387054</v>
      </c>
      <c r="L69" s="204">
        <v>32634.839654149891</v>
      </c>
      <c r="M69" s="194">
        <v>26152.909695297556</v>
      </c>
      <c r="N69" s="194">
        <v>0</v>
      </c>
      <c r="O69" s="196">
        <v>58787.749349447447</v>
      </c>
      <c r="P69" s="194">
        <v>1729.6492064599997</v>
      </c>
      <c r="Q69" s="194">
        <v>2997.6987194799999</v>
      </c>
      <c r="R69" s="194">
        <v>180200.70065512098</v>
      </c>
      <c r="S69" s="194">
        <v>7754.2647558558556</v>
      </c>
      <c r="T69" s="205">
        <v>192682.31333691682</v>
      </c>
      <c r="U69" s="206">
        <v>18727.052802755963</v>
      </c>
      <c r="V69" s="194">
        <v>5689.7084206375794</v>
      </c>
      <c r="W69" s="199">
        <v>30700.71833679163</v>
      </c>
      <c r="X69" s="200">
        <v>849043.78005227132</v>
      </c>
      <c r="Y69" s="201">
        <v>64053.956464669158</v>
      </c>
      <c r="Z69" s="207"/>
      <c r="AA69" s="208"/>
      <c r="AB69" s="209"/>
      <c r="AC69" s="210"/>
      <c r="AD69" s="207"/>
      <c r="AE69" s="207"/>
      <c r="AF69" s="207"/>
      <c r="AG69" s="207"/>
      <c r="AH69" s="210"/>
      <c r="AI69" s="207"/>
      <c r="AJ69" s="207"/>
      <c r="AK69" s="210"/>
      <c r="AL69" s="207"/>
    </row>
    <row r="70" spans="1:38" ht="15.75" hidden="1" customHeight="1">
      <c r="A70" s="203">
        <v>40330</v>
      </c>
      <c r="B70" s="194">
        <v>2744.4322192199897</v>
      </c>
      <c r="C70" s="194">
        <v>18819.32531309249</v>
      </c>
      <c r="D70" s="194">
        <v>0</v>
      </c>
      <c r="E70" s="196">
        <v>21563.75753231248</v>
      </c>
      <c r="F70" s="194">
        <v>225780.34421533521</v>
      </c>
      <c r="G70" s="194">
        <v>7740.0328000802938</v>
      </c>
      <c r="H70" s="194">
        <v>7296.8860074548129</v>
      </c>
      <c r="I70" s="194">
        <v>299.83977082985507</v>
      </c>
      <c r="J70" s="194">
        <v>269521.53249850444</v>
      </c>
      <c r="K70" s="196">
        <v>510638.63529220456</v>
      </c>
      <c r="L70" s="204">
        <v>31299.058851508038</v>
      </c>
      <c r="M70" s="194">
        <v>28297.081063237601</v>
      </c>
      <c r="N70" s="194">
        <v>0</v>
      </c>
      <c r="O70" s="196">
        <v>59596.13991474564</v>
      </c>
      <c r="P70" s="194">
        <v>1638.1805952499997</v>
      </c>
      <c r="Q70" s="194">
        <v>2930.1236476899949</v>
      </c>
      <c r="R70" s="194">
        <v>185296.70625810683</v>
      </c>
      <c r="S70" s="194">
        <v>7951.4446825652349</v>
      </c>
      <c r="T70" s="205">
        <v>197816.45518361207</v>
      </c>
      <c r="U70" s="206">
        <v>19242.166486380072</v>
      </c>
      <c r="V70" s="194">
        <v>2101.1977220421031</v>
      </c>
      <c r="W70" s="199">
        <v>32215.365324832113</v>
      </c>
      <c r="X70" s="200">
        <v>843173.71745612903</v>
      </c>
      <c r="Y70" s="201">
        <v>79090.043422740055</v>
      </c>
      <c r="Z70" s="207"/>
      <c r="AA70" s="208"/>
      <c r="AB70" s="209"/>
      <c r="AC70" s="210"/>
      <c r="AD70" s="207"/>
      <c r="AE70" s="207"/>
      <c r="AF70" s="207"/>
      <c r="AG70" s="207"/>
      <c r="AH70" s="210"/>
      <c r="AI70" s="207"/>
      <c r="AJ70" s="207"/>
      <c r="AK70" s="210"/>
      <c r="AL70" s="207"/>
    </row>
    <row r="71" spans="1:38" ht="15.75" hidden="1" customHeight="1">
      <c r="A71" s="203">
        <v>40360</v>
      </c>
      <c r="B71" s="194">
        <v>2586.1947508917551</v>
      </c>
      <c r="C71" s="194">
        <v>19039.82427787803</v>
      </c>
      <c r="D71" s="194">
        <v>0</v>
      </c>
      <c r="E71" s="196">
        <v>21626.019028769784</v>
      </c>
      <c r="F71" s="194">
        <v>178358.0784495954</v>
      </c>
      <c r="G71" s="194">
        <v>7177.1045137878791</v>
      </c>
      <c r="H71" s="194">
        <v>6919.373129896745</v>
      </c>
      <c r="I71" s="194">
        <v>324.09124885355664</v>
      </c>
      <c r="J71" s="194">
        <v>267099.02299618517</v>
      </c>
      <c r="K71" s="196">
        <v>459877.67033831874</v>
      </c>
      <c r="L71" s="204">
        <v>27408.656196896474</v>
      </c>
      <c r="M71" s="194">
        <v>29185.711126587135</v>
      </c>
      <c r="N71" s="194">
        <v>0</v>
      </c>
      <c r="O71" s="196">
        <v>56594.36732348361</v>
      </c>
      <c r="P71" s="194">
        <v>1696.5683253899999</v>
      </c>
      <c r="Q71" s="194">
        <v>2760.0300645921998</v>
      </c>
      <c r="R71" s="194">
        <v>184840.44994928729</v>
      </c>
      <c r="S71" s="194">
        <v>7948.273948986317</v>
      </c>
      <c r="T71" s="205">
        <v>197245.32228825579</v>
      </c>
      <c r="U71" s="206">
        <v>19176.608494810571</v>
      </c>
      <c r="V71" s="194">
        <v>5512.6420233722811</v>
      </c>
      <c r="W71" s="199">
        <v>36423.195411560788</v>
      </c>
      <c r="X71" s="200">
        <v>796455.82490857143</v>
      </c>
      <c r="Y71" s="201">
        <v>73033.526870446163</v>
      </c>
      <c r="Z71" s="207"/>
      <c r="AA71" s="208"/>
      <c r="AB71" s="209"/>
      <c r="AC71" s="210"/>
      <c r="AD71" s="207"/>
      <c r="AE71" s="207"/>
      <c r="AF71" s="207"/>
      <c r="AG71" s="207"/>
      <c r="AH71" s="210"/>
      <c r="AI71" s="207"/>
      <c r="AJ71" s="207"/>
      <c r="AK71" s="210"/>
      <c r="AL71" s="207"/>
    </row>
    <row r="72" spans="1:38" ht="15.75" hidden="1" customHeight="1">
      <c r="A72" s="203">
        <v>40391</v>
      </c>
      <c r="B72" s="194">
        <v>2818.0228882735619</v>
      </c>
      <c r="C72" s="194">
        <v>17178.780995102978</v>
      </c>
      <c r="D72" s="194">
        <v>1340.6746463657</v>
      </c>
      <c r="E72" s="196">
        <v>21337.478529742239</v>
      </c>
      <c r="F72" s="194">
        <v>206491.15862294834</v>
      </c>
      <c r="G72" s="194">
        <v>6795.2903854451206</v>
      </c>
      <c r="H72" s="194">
        <v>7199.5084492770966</v>
      </c>
      <c r="I72" s="194">
        <v>364.75861413030168</v>
      </c>
      <c r="J72" s="194">
        <v>274294.24598348816</v>
      </c>
      <c r="K72" s="196">
        <v>495144.96205528895</v>
      </c>
      <c r="L72" s="204">
        <v>25078.936098629147</v>
      </c>
      <c r="M72" s="194">
        <v>30057.419785408423</v>
      </c>
      <c r="N72" s="194">
        <v>0</v>
      </c>
      <c r="O72" s="196">
        <v>55136.35588403757</v>
      </c>
      <c r="P72" s="194">
        <v>1736.5770820400001</v>
      </c>
      <c r="Q72" s="194">
        <v>2919.1129399535139</v>
      </c>
      <c r="R72" s="194">
        <v>187172.31890265777</v>
      </c>
      <c r="S72" s="194">
        <v>7867.7877123153821</v>
      </c>
      <c r="T72" s="205">
        <v>199695.7966369667</v>
      </c>
      <c r="U72" s="206">
        <v>20414.573636164874</v>
      </c>
      <c r="V72" s="194">
        <v>6516.7847087439322</v>
      </c>
      <c r="W72" s="199">
        <v>32748.89822999324</v>
      </c>
      <c r="X72" s="200">
        <v>830994.84968093759</v>
      </c>
      <c r="Y72" s="201">
        <v>69579.8</v>
      </c>
      <c r="Z72" s="207"/>
      <c r="AA72" s="208"/>
      <c r="AB72" s="209"/>
      <c r="AC72" s="210"/>
      <c r="AD72" s="207"/>
      <c r="AE72" s="207"/>
      <c r="AF72" s="207"/>
      <c r="AG72" s="207"/>
      <c r="AH72" s="210"/>
      <c r="AI72" s="207"/>
      <c r="AJ72" s="207"/>
      <c r="AK72" s="210"/>
      <c r="AL72" s="207"/>
    </row>
    <row r="73" spans="1:38" ht="15.75" hidden="1" customHeight="1">
      <c r="A73" s="203">
        <v>40422</v>
      </c>
      <c r="B73" s="194">
        <v>2853.6926894947119</v>
      </c>
      <c r="C73" s="194">
        <v>17079.637266333291</v>
      </c>
      <c r="D73" s="194">
        <v>5124.3595836402001</v>
      </c>
      <c r="E73" s="196">
        <v>25057.689539468207</v>
      </c>
      <c r="F73" s="194">
        <v>209122.50444762688</v>
      </c>
      <c r="G73" s="194">
        <v>7502.5940707455266</v>
      </c>
      <c r="H73" s="194">
        <v>7062.799988615755</v>
      </c>
      <c r="I73" s="194">
        <v>403.02794922846999</v>
      </c>
      <c r="J73" s="194">
        <v>271407.28915970615</v>
      </c>
      <c r="K73" s="196">
        <v>495498.21561592282</v>
      </c>
      <c r="L73" s="204">
        <v>22793.818513925999</v>
      </c>
      <c r="M73" s="194">
        <v>30724.429712491798</v>
      </c>
      <c r="N73" s="194">
        <v>0</v>
      </c>
      <c r="O73" s="196">
        <v>53518.248226417796</v>
      </c>
      <c r="P73" s="194">
        <v>1742.1712046199998</v>
      </c>
      <c r="Q73" s="194">
        <v>2782.5529474936498</v>
      </c>
      <c r="R73" s="194">
        <v>188808.57599211409</v>
      </c>
      <c r="S73" s="194">
        <v>7995.4577349340834</v>
      </c>
      <c r="T73" s="205">
        <v>201328.7578791618</v>
      </c>
      <c r="U73" s="206">
        <v>19903.424060649515</v>
      </c>
      <c r="V73" s="194">
        <v>6503.7721792329221</v>
      </c>
      <c r="W73" s="199">
        <v>35718.252639442195</v>
      </c>
      <c r="X73" s="200">
        <v>837528.36014029512</v>
      </c>
      <c r="Y73" s="201">
        <v>68111.565201371603</v>
      </c>
      <c r="Z73" s="207"/>
      <c r="AA73" s="208"/>
      <c r="AB73" s="209"/>
      <c r="AC73" s="210"/>
      <c r="AD73" s="207"/>
      <c r="AE73" s="207"/>
      <c r="AF73" s="207"/>
      <c r="AG73" s="207"/>
      <c r="AH73" s="210"/>
      <c r="AI73" s="207"/>
      <c r="AJ73" s="207"/>
      <c r="AK73" s="210"/>
      <c r="AL73" s="207"/>
    </row>
    <row r="74" spans="1:38" ht="15.75" hidden="1" customHeight="1">
      <c r="A74" s="211" t="s">
        <v>356</v>
      </c>
      <c r="B74" s="194">
        <v>2652.2680539120252</v>
      </c>
      <c r="C74" s="194">
        <v>19591.282364363669</v>
      </c>
      <c r="D74" s="194">
        <v>5132.4733828159997</v>
      </c>
      <c r="E74" s="196">
        <v>27376.023801091695</v>
      </c>
      <c r="F74" s="194">
        <v>212395.64738014841</v>
      </c>
      <c r="G74" s="194">
        <v>6459.3742641344843</v>
      </c>
      <c r="H74" s="194">
        <v>7617.1923113906796</v>
      </c>
      <c r="I74" s="194">
        <v>504.61739530451769</v>
      </c>
      <c r="J74" s="194">
        <v>266537.07394599478</v>
      </c>
      <c r="K74" s="196">
        <v>493513.90529697284</v>
      </c>
      <c r="L74" s="204">
        <v>21656.409726817394</v>
      </c>
      <c r="M74" s="194">
        <v>30699.32103295661</v>
      </c>
      <c r="N74" s="194">
        <v>0</v>
      </c>
      <c r="O74" s="196">
        <v>52355.730759774</v>
      </c>
      <c r="P74" s="194">
        <v>1780.2244891124328</v>
      </c>
      <c r="Q74" s="194">
        <v>2923.0782221668715</v>
      </c>
      <c r="R74" s="194">
        <v>190550.03250973506</v>
      </c>
      <c r="S74" s="194">
        <v>8019.9183582533242</v>
      </c>
      <c r="T74" s="205">
        <v>203273.25357926768</v>
      </c>
      <c r="U74" s="206">
        <v>19535.955546566296</v>
      </c>
      <c r="V74" s="194">
        <v>7507.0259352029034</v>
      </c>
      <c r="W74" s="199">
        <v>38316.494944674312</v>
      </c>
      <c r="X74" s="200">
        <v>841878.38986354973</v>
      </c>
      <c r="Y74" s="201">
        <v>70730.430464873731</v>
      </c>
      <c r="Z74" s="207"/>
      <c r="AA74" s="208"/>
      <c r="AB74" s="209"/>
      <c r="AC74" s="210"/>
      <c r="AD74" s="207"/>
      <c r="AE74" s="207"/>
      <c r="AF74" s="207"/>
      <c r="AG74" s="207"/>
      <c r="AH74" s="210"/>
      <c r="AI74" s="207"/>
      <c r="AJ74" s="207"/>
      <c r="AK74" s="210"/>
      <c r="AL74" s="207"/>
    </row>
    <row r="75" spans="1:38" ht="15.75" hidden="1" customHeight="1">
      <c r="A75" s="203">
        <v>40483</v>
      </c>
      <c r="B75" s="194">
        <v>2792.2492223402805</v>
      </c>
      <c r="C75" s="194">
        <v>20371.657220595825</v>
      </c>
      <c r="D75" s="194">
        <v>5120.6615816106296</v>
      </c>
      <c r="E75" s="196">
        <v>28284.568024546737</v>
      </c>
      <c r="F75" s="194">
        <v>215222.78794147616</v>
      </c>
      <c r="G75" s="194">
        <v>6208.1048063073995</v>
      </c>
      <c r="H75" s="194">
        <v>7359.4560861646387</v>
      </c>
      <c r="I75" s="194">
        <v>443.02881424329303</v>
      </c>
      <c r="J75" s="194">
        <v>266309.39584555058</v>
      </c>
      <c r="K75" s="196">
        <v>495542.7734937421</v>
      </c>
      <c r="L75" s="204">
        <v>22677.553178399787</v>
      </c>
      <c r="M75" s="194">
        <v>30623.326830519174</v>
      </c>
      <c r="N75" s="194">
        <v>0</v>
      </c>
      <c r="O75" s="196">
        <v>53300.880008918961</v>
      </c>
      <c r="P75" s="194">
        <v>1826.9919332100001</v>
      </c>
      <c r="Q75" s="194">
        <v>3117.7225766264401</v>
      </c>
      <c r="R75" s="194">
        <v>191939.86733791602</v>
      </c>
      <c r="S75" s="194">
        <v>8222.609143867845</v>
      </c>
      <c r="T75" s="205">
        <v>205107.1909916203</v>
      </c>
      <c r="U75" s="206">
        <v>19692.23394572805</v>
      </c>
      <c r="V75" s="194">
        <v>8676.5384254040127</v>
      </c>
      <c r="W75" s="199">
        <v>44400.893902674143</v>
      </c>
      <c r="X75" s="200">
        <v>855005.0787926343</v>
      </c>
      <c r="Y75" s="201">
        <v>61026.755245199034</v>
      </c>
      <c r="Z75" s="207"/>
      <c r="AA75" s="208"/>
      <c r="AB75" s="209"/>
      <c r="AC75" s="210"/>
      <c r="AD75" s="207"/>
      <c r="AE75" s="207"/>
      <c r="AF75" s="207"/>
      <c r="AG75" s="207"/>
      <c r="AH75" s="210"/>
      <c r="AI75" s="207"/>
      <c r="AJ75" s="207"/>
      <c r="AK75" s="210"/>
      <c r="AL75" s="207"/>
    </row>
    <row r="76" spans="1:38" ht="15.75" hidden="1" customHeight="1">
      <c r="A76" s="203">
        <v>40513</v>
      </c>
      <c r="B76" s="194">
        <v>3616.2577962918376</v>
      </c>
      <c r="C76" s="194">
        <v>22158.044021089943</v>
      </c>
      <c r="D76" s="194">
        <v>3644.6352118236568</v>
      </c>
      <c r="E76" s="196">
        <v>29418.937029205437</v>
      </c>
      <c r="F76" s="194">
        <v>213379.96359807596</v>
      </c>
      <c r="G76" s="194">
        <v>6338.8620633331029</v>
      </c>
      <c r="H76" s="194">
        <v>7607.0238474533262</v>
      </c>
      <c r="I76" s="194">
        <v>589.66209495500061</v>
      </c>
      <c r="J76" s="194">
        <v>270841.96615080861</v>
      </c>
      <c r="K76" s="196">
        <v>498757.47775462602</v>
      </c>
      <c r="L76" s="204">
        <v>24209.625501544244</v>
      </c>
      <c r="M76" s="194">
        <v>31153.374765343011</v>
      </c>
      <c r="N76" s="194">
        <v>0</v>
      </c>
      <c r="O76" s="196">
        <v>55363.000266887255</v>
      </c>
      <c r="P76" s="194">
        <v>1876.4468153099999</v>
      </c>
      <c r="Q76" s="194">
        <v>3241.766021875625</v>
      </c>
      <c r="R76" s="194">
        <v>195702.54394124955</v>
      </c>
      <c r="S76" s="194">
        <v>8748.7655749084061</v>
      </c>
      <c r="T76" s="205">
        <v>209569.52235334358</v>
      </c>
      <c r="U76" s="206">
        <v>20427.685689689079</v>
      </c>
      <c r="V76" s="194">
        <v>4536.1935280835087</v>
      </c>
      <c r="W76" s="199">
        <v>45394.63205186202</v>
      </c>
      <c r="X76" s="200">
        <v>863467.44867369696</v>
      </c>
      <c r="Y76" s="201">
        <v>72453.813803695622</v>
      </c>
      <c r="Z76" s="207"/>
      <c r="AA76" s="208"/>
      <c r="AB76" s="209"/>
      <c r="AC76" s="210"/>
      <c r="AD76" s="207"/>
      <c r="AE76" s="207"/>
      <c r="AF76" s="207"/>
      <c r="AG76" s="207"/>
      <c r="AH76" s="210"/>
      <c r="AI76" s="207"/>
      <c r="AJ76" s="207"/>
      <c r="AK76" s="210"/>
      <c r="AL76" s="207"/>
    </row>
    <row r="77" spans="1:38" ht="15.75" hidden="1" customHeight="1">
      <c r="A77" s="203">
        <v>40544</v>
      </c>
      <c r="B77" s="194">
        <v>3225.5843576301813</v>
      </c>
      <c r="C77" s="194">
        <v>22865.728545631078</v>
      </c>
      <c r="D77" s="194">
        <v>4286.3040422811182</v>
      </c>
      <c r="E77" s="196">
        <v>30377.616945542377</v>
      </c>
      <c r="F77" s="194">
        <v>212736.01270389627</v>
      </c>
      <c r="G77" s="194">
        <v>5098.1118903319548</v>
      </c>
      <c r="H77" s="194">
        <v>7488.9835415830075</v>
      </c>
      <c r="I77" s="194">
        <v>635.53063199232338</v>
      </c>
      <c r="J77" s="194">
        <v>262326.09663083911</v>
      </c>
      <c r="K77" s="196">
        <v>488284.73539864266</v>
      </c>
      <c r="L77" s="204">
        <v>23458.773238433878</v>
      </c>
      <c r="M77" s="194">
        <v>29604.37239004151</v>
      </c>
      <c r="N77" s="194">
        <v>-3.7999999988824127E-7</v>
      </c>
      <c r="O77" s="196">
        <v>53063.145628095386</v>
      </c>
      <c r="P77" s="194">
        <v>1828.02485572</v>
      </c>
      <c r="Q77" s="194">
        <v>3160.7625865800965</v>
      </c>
      <c r="R77" s="194">
        <v>193931.31380575561</v>
      </c>
      <c r="S77" s="194">
        <v>8648.8833144157834</v>
      </c>
      <c r="T77" s="205">
        <v>207568.98456247148</v>
      </c>
      <c r="U77" s="206">
        <v>20451.283387642052</v>
      </c>
      <c r="V77" s="194">
        <v>7453.2866069876854</v>
      </c>
      <c r="W77" s="199">
        <v>42879.796657467159</v>
      </c>
      <c r="X77" s="200">
        <v>850078.84918684885</v>
      </c>
      <c r="Y77" s="201">
        <v>70234.770978216868</v>
      </c>
      <c r="Z77" s="207"/>
      <c r="AA77" s="208"/>
      <c r="AB77" s="209"/>
      <c r="AC77" s="210"/>
      <c r="AD77" s="207"/>
      <c r="AE77" s="207"/>
      <c r="AF77" s="207"/>
      <c r="AG77" s="207"/>
      <c r="AH77" s="210"/>
      <c r="AI77" s="207"/>
      <c r="AJ77" s="207"/>
      <c r="AK77" s="210"/>
      <c r="AL77" s="207"/>
    </row>
    <row r="78" spans="1:38" ht="15.75" hidden="1" customHeight="1">
      <c r="A78" s="203">
        <v>40575</v>
      </c>
      <c r="B78" s="194">
        <v>2789.0219851159918</v>
      </c>
      <c r="C78" s="194">
        <v>22793.221585526288</v>
      </c>
      <c r="D78" s="194">
        <v>5484.737176855755</v>
      </c>
      <c r="E78" s="196">
        <v>31066.980747498033</v>
      </c>
      <c r="F78" s="194">
        <v>216046.12511097974</v>
      </c>
      <c r="G78" s="194">
        <v>4689.7670654446274</v>
      </c>
      <c r="H78" s="194">
        <v>7569.884346578644</v>
      </c>
      <c r="I78" s="194">
        <v>458.82486672154221</v>
      </c>
      <c r="J78" s="194">
        <v>263587.37333366123</v>
      </c>
      <c r="K78" s="196">
        <v>492351.97472338582</v>
      </c>
      <c r="L78" s="204">
        <v>23364.63550813137</v>
      </c>
      <c r="M78" s="194">
        <v>28384.956497972027</v>
      </c>
      <c r="N78" s="194">
        <v>0</v>
      </c>
      <c r="O78" s="196">
        <v>51749.592006103398</v>
      </c>
      <c r="P78" s="194">
        <v>1791.5602022099999</v>
      </c>
      <c r="Q78" s="194">
        <v>3225.7377535037813</v>
      </c>
      <c r="R78" s="194">
        <v>195732.6338296523</v>
      </c>
      <c r="S78" s="194">
        <v>8799.1596146674347</v>
      </c>
      <c r="T78" s="205">
        <v>209549.0914000335</v>
      </c>
      <c r="U78" s="206">
        <v>20691.085174811651</v>
      </c>
      <c r="V78" s="194">
        <v>5609.3739375352425</v>
      </c>
      <c r="W78" s="199">
        <v>44302.194425451475</v>
      </c>
      <c r="X78" s="200">
        <v>855320.29241481901</v>
      </c>
      <c r="Y78" s="201">
        <v>74332.888893920986</v>
      </c>
      <c r="Z78" s="207"/>
      <c r="AA78" s="208"/>
      <c r="AB78" s="209"/>
      <c r="AC78" s="210"/>
      <c r="AD78" s="207"/>
      <c r="AE78" s="207"/>
      <c r="AF78" s="207"/>
      <c r="AG78" s="207"/>
      <c r="AH78" s="210"/>
      <c r="AI78" s="207"/>
      <c r="AJ78" s="207"/>
      <c r="AK78" s="210"/>
      <c r="AL78" s="207"/>
    </row>
    <row r="79" spans="1:38" ht="15.75" hidden="1" customHeight="1">
      <c r="A79" s="203">
        <v>40603</v>
      </c>
      <c r="B79" s="194">
        <v>3063.9193258381529</v>
      </c>
      <c r="C79" s="194">
        <v>21929.962441261283</v>
      </c>
      <c r="D79" s="194">
        <v>5089.9681918370989</v>
      </c>
      <c r="E79" s="196">
        <v>30083.849958936535</v>
      </c>
      <c r="F79" s="194">
        <v>177639.23883035607</v>
      </c>
      <c r="G79" s="194">
        <v>4901.585761290361</v>
      </c>
      <c r="H79" s="194">
        <v>7328.9037064704817</v>
      </c>
      <c r="I79" s="194">
        <v>337.53798993913193</v>
      </c>
      <c r="J79" s="194">
        <v>268490.42036553135</v>
      </c>
      <c r="K79" s="196">
        <v>458697.68665358739</v>
      </c>
      <c r="L79" s="204">
        <v>23770.001544924096</v>
      </c>
      <c r="M79" s="194">
        <v>27862.283991310411</v>
      </c>
      <c r="N79" s="194">
        <v>0</v>
      </c>
      <c r="O79" s="196">
        <v>51632.285536234507</v>
      </c>
      <c r="P79" s="194">
        <v>2021.0745067100002</v>
      </c>
      <c r="Q79" s="194">
        <v>2911.3008551143203</v>
      </c>
      <c r="R79" s="194">
        <v>196056.09690503727</v>
      </c>
      <c r="S79" s="194">
        <v>8900.1375993667207</v>
      </c>
      <c r="T79" s="205">
        <v>209888.6098662283</v>
      </c>
      <c r="U79" s="206">
        <v>21549.573097771052</v>
      </c>
      <c r="V79" s="194">
        <v>3777.4874615691347</v>
      </c>
      <c r="W79" s="199">
        <v>49542.515383962127</v>
      </c>
      <c r="X79" s="200">
        <v>825172.007958289</v>
      </c>
      <c r="Y79" s="201">
        <v>75589.158320363349</v>
      </c>
      <c r="Z79" s="207"/>
      <c r="AA79" s="208"/>
      <c r="AB79" s="209"/>
      <c r="AC79" s="210"/>
      <c r="AD79" s="207"/>
      <c r="AE79" s="207"/>
      <c r="AF79" s="207"/>
      <c r="AG79" s="207"/>
      <c r="AH79" s="210"/>
      <c r="AI79" s="207"/>
      <c r="AJ79" s="207"/>
      <c r="AK79" s="210"/>
      <c r="AL79" s="207"/>
    </row>
    <row r="80" spans="1:38" ht="15.75" hidden="1" customHeight="1">
      <c r="A80" s="203">
        <v>40634</v>
      </c>
      <c r="B80" s="194">
        <v>2705.8164150554585</v>
      </c>
      <c r="C80" s="194">
        <v>22959.214333860637</v>
      </c>
      <c r="D80" s="194">
        <v>5292.9957092716177</v>
      </c>
      <c r="E80" s="196">
        <v>30958.026458187713</v>
      </c>
      <c r="F80" s="194">
        <v>214205.9173297674</v>
      </c>
      <c r="G80" s="194">
        <v>4532.9920135676648</v>
      </c>
      <c r="H80" s="194">
        <v>6944.0728612010171</v>
      </c>
      <c r="I80" s="194">
        <v>437.21727384792217</v>
      </c>
      <c r="J80" s="194">
        <v>263041.8904447247</v>
      </c>
      <c r="K80" s="196">
        <v>489162.0899231087</v>
      </c>
      <c r="L80" s="204">
        <v>23741.459320154816</v>
      </c>
      <c r="M80" s="194">
        <v>28593.697072701903</v>
      </c>
      <c r="N80" s="194">
        <v>1.4625000000023647E-4</v>
      </c>
      <c r="O80" s="196">
        <v>52335.15653910672</v>
      </c>
      <c r="P80" s="194">
        <v>2073.7466184099999</v>
      </c>
      <c r="Q80" s="194">
        <v>3005.6227395250662</v>
      </c>
      <c r="R80" s="194">
        <v>197709.00641826532</v>
      </c>
      <c r="S80" s="194">
        <v>9012.0854666104715</v>
      </c>
      <c r="T80" s="205">
        <v>211800.46124281085</v>
      </c>
      <c r="U80" s="206">
        <v>20818.192582347841</v>
      </c>
      <c r="V80" s="194">
        <v>3199.6368082277017</v>
      </c>
      <c r="W80" s="199">
        <v>48366.347275845961</v>
      </c>
      <c r="X80" s="200">
        <v>856639.91082963557</v>
      </c>
      <c r="Y80" s="201">
        <v>74222.737103658146</v>
      </c>
      <c r="Z80" s="207"/>
      <c r="AA80" s="208"/>
      <c r="AB80" s="209"/>
      <c r="AC80" s="210"/>
      <c r="AD80" s="207"/>
      <c r="AE80" s="207"/>
      <c r="AF80" s="207"/>
      <c r="AG80" s="207"/>
      <c r="AH80" s="210"/>
      <c r="AI80" s="207"/>
      <c r="AJ80" s="207"/>
      <c r="AK80" s="210"/>
      <c r="AL80" s="207"/>
    </row>
    <row r="81" spans="1:38" ht="15.75" hidden="1" customHeight="1">
      <c r="A81" s="203">
        <v>40664</v>
      </c>
      <c r="B81" s="194">
        <v>3000.0062699328291</v>
      </c>
      <c r="C81" s="194">
        <v>20852.072573058114</v>
      </c>
      <c r="D81" s="194">
        <v>6155.7071333131389</v>
      </c>
      <c r="E81" s="196">
        <v>30007.785976304083</v>
      </c>
      <c r="F81" s="194">
        <v>175045.0754913305</v>
      </c>
      <c r="G81" s="194">
        <v>4344.8813409041904</v>
      </c>
      <c r="H81" s="194">
        <v>8059.9749926756294</v>
      </c>
      <c r="I81" s="194">
        <v>347.67298356067403</v>
      </c>
      <c r="J81" s="194">
        <v>267856.61801254831</v>
      </c>
      <c r="K81" s="196">
        <v>455654.2228210193</v>
      </c>
      <c r="L81" s="204">
        <v>24577.810442849099</v>
      </c>
      <c r="M81" s="194">
        <v>27460.832777376123</v>
      </c>
      <c r="N81" s="194">
        <v>0</v>
      </c>
      <c r="O81" s="196">
        <v>52038.643220225218</v>
      </c>
      <c r="P81" s="194">
        <v>2106.0621074900005</v>
      </c>
      <c r="Q81" s="194">
        <v>2899.2770230959554</v>
      </c>
      <c r="R81" s="194">
        <v>198688.98156546062</v>
      </c>
      <c r="S81" s="194">
        <v>9074.0540482481611</v>
      </c>
      <c r="T81" s="205">
        <v>212768.37474429474</v>
      </c>
      <c r="U81" s="206">
        <v>21804.283013493809</v>
      </c>
      <c r="V81" s="194">
        <v>3691.377350635229</v>
      </c>
      <c r="W81" s="199">
        <v>50331.705088058763</v>
      </c>
      <c r="X81" s="200">
        <v>826296.39221403108</v>
      </c>
      <c r="Y81" s="201">
        <v>76957.781246871265</v>
      </c>
      <c r="Z81" s="207"/>
      <c r="AA81" s="208"/>
      <c r="AB81" s="209"/>
      <c r="AC81" s="210"/>
      <c r="AD81" s="207"/>
      <c r="AE81" s="207"/>
      <c r="AF81" s="207"/>
      <c r="AG81" s="207"/>
      <c r="AH81" s="210"/>
      <c r="AI81" s="207"/>
      <c r="AJ81" s="207"/>
      <c r="AK81" s="210"/>
      <c r="AL81" s="207"/>
    </row>
    <row r="82" spans="1:38" ht="15.75" hidden="1" customHeight="1">
      <c r="A82" s="203">
        <v>40695</v>
      </c>
      <c r="B82" s="194">
        <v>2936.6751681768264</v>
      </c>
      <c r="C82" s="194">
        <v>21543.726431744282</v>
      </c>
      <c r="D82" s="194">
        <v>7354.6553030121568</v>
      </c>
      <c r="E82" s="196">
        <v>31835.056902933266</v>
      </c>
      <c r="F82" s="194">
        <v>199741.0461100158</v>
      </c>
      <c r="G82" s="194">
        <v>5568.9404552623573</v>
      </c>
      <c r="H82" s="194">
        <v>8800.2736034388272</v>
      </c>
      <c r="I82" s="194">
        <v>258.79348738965939</v>
      </c>
      <c r="J82" s="194">
        <v>282419.11159923853</v>
      </c>
      <c r="K82" s="196">
        <v>496788.16525534517</v>
      </c>
      <c r="L82" s="204">
        <v>24144.934497290309</v>
      </c>
      <c r="M82" s="194">
        <v>27352.174444878925</v>
      </c>
      <c r="N82" s="194">
        <v>0</v>
      </c>
      <c r="O82" s="196">
        <v>51497.10894216923</v>
      </c>
      <c r="P82" s="194">
        <v>2156.5839423800003</v>
      </c>
      <c r="Q82" s="194">
        <v>3146.1639456446578</v>
      </c>
      <c r="R82" s="194">
        <v>202016.91875500561</v>
      </c>
      <c r="S82" s="194">
        <v>9255.5049622427105</v>
      </c>
      <c r="T82" s="205">
        <v>216575.17160527298</v>
      </c>
      <c r="U82" s="206">
        <v>21697.245580654038</v>
      </c>
      <c r="V82" s="194">
        <v>3776.313118616732</v>
      </c>
      <c r="W82" s="199">
        <v>52908.002071598756</v>
      </c>
      <c r="X82" s="200">
        <v>875077.06347659009</v>
      </c>
      <c r="Y82" s="201">
        <v>78346.26749010841</v>
      </c>
      <c r="Z82" s="207"/>
      <c r="AA82" s="208"/>
      <c r="AB82" s="209"/>
      <c r="AC82" s="210"/>
      <c r="AD82" s="207"/>
      <c r="AE82" s="207"/>
      <c r="AF82" s="207"/>
      <c r="AG82" s="207"/>
      <c r="AH82" s="210"/>
      <c r="AI82" s="207"/>
      <c r="AJ82" s="207"/>
      <c r="AK82" s="210"/>
      <c r="AL82" s="207"/>
    </row>
    <row r="83" spans="1:38" ht="15.75" hidden="1" customHeight="1">
      <c r="A83" s="203">
        <v>40725</v>
      </c>
      <c r="B83" s="194">
        <v>2859.8503637397707</v>
      </c>
      <c r="C83" s="194">
        <v>21040.443483399824</v>
      </c>
      <c r="D83" s="194">
        <v>7954.8583207552874</v>
      </c>
      <c r="E83" s="196">
        <v>31855.152167894881</v>
      </c>
      <c r="F83" s="194">
        <v>179502.18365970708</v>
      </c>
      <c r="G83" s="194">
        <v>6218.9539309351749</v>
      </c>
      <c r="H83" s="194">
        <v>8672.7557852685568</v>
      </c>
      <c r="I83" s="194">
        <v>410.66970653098201</v>
      </c>
      <c r="J83" s="194">
        <v>286196.02315934189</v>
      </c>
      <c r="K83" s="196">
        <v>481000.58624178369</v>
      </c>
      <c r="L83" s="204">
        <v>24841.530352050224</v>
      </c>
      <c r="M83" s="194">
        <v>27423.323500567094</v>
      </c>
      <c r="N83" s="194">
        <v>0</v>
      </c>
      <c r="O83" s="196">
        <v>52264.853852617322</v>
      </c>
      <c r="P83" s="194">
        <v>2189.6837342899998</v>
      </c>
      <c r="Q83" s="194">
        <v>2998.1004229363793</v>
      </c>
      <c r="R83" s="194">
        <v>204220.26709719573</v>
      </c>
      <c r="S83" s="194">
        <v>9115.5414143006383</v>
      </c>
      <c r="T83" s="205">
        <v>218523.59266872273</v>
      </c>
      <c r="U83" s="206">
        <v>22125.953862983071</v>
      </c>
      <c r="V83" s="194">
        <v>677.75062408921565</v>
      </c>
      <c r="W83" s="199">
        <v>47497.857586786413</v>
      </c>
      <c r="X83" s="200">
        <v>853945.74700487731</v>
      </c>
      <c r="Y83" s="201">
        <v>78224.745723918531</v>
      </c>
      <c r="Z83" s="207"/>
      <c r="AA83" s="208"/>
      <c r="AB83" s="209"/>
      <c r="AC83" s="210"/>
      <c r="AD83" s="207"/>
      <c r="AE83" s="207"/>
      <c r="AF83" s="207"/>
      <c r="AG83" s="207"/>
      <c r="AH83" s="210"/>
      <c r="AI83" s="207"/>
      <c r="AJ83" s="207"/>
      <c r="AK83" s="210"/>
      <c r="AL83" s="207"/>
    </row>
    <row r="84" spans="1:38" ht="15.75" hidden="1" customHeight="1">
      <c r="A84" s="203">
        <v>40756</v>
      </c>
      <c r="B84" s="194">
        <v>3375.3384309329995</v>
      </c>
      <c r="C84" s="194">
        <v>22392.698689076999</v>
      </c>
      <c r="D84" s="194">
        <v>7682.1327746235002</v>
      </c>
      <c r="E84" s="196">
        <v>33450.169894633495</v>
      </c>
      <c r="F84" s="194">
        <v>166230.86015341053</v>
      </c>
      <c r="G84" s="194">
        <v>7042.4914972244997</v>
      </c>
      <c r="H84" s="194">
        <v>12469.731554830501</v>
      </c>
      <c r="I84" s="194">
        <v>347.47321022869482</v>
      </c>
      <c r="J84" s="194">
        <v>291404.4771116653</v>
      </c>
      <c r="K84" s="196">
        <v>477495.03352735948</v>
      </c>
      <c r="L84" s="204">
        <v>23308.359653477502</v>
      </c>
      <c r="M84" s="194">
        <v>27298.333473545503</v>
      </c>
      <c r="N84" s="194">
        <v>0</v>
      </c>
      <c r="O84" s="196">
        <v>50606.693127023005</v>
      </c>
      <c r="P84" s="194">
        <v>2133.1364882500002</v>
      </c>
      <c r="Q84" s="194">
        <v>3083.261600522143</v>
      </c>
      <c r="R84" s="194">
        <v>206399.69239687311</v>
      </c>
      <c r="S84" s="194">
        <v>8932.7667650755011</v>
      </c>
      <c r="T84" s="205">
        <v>220548.85725072076</v>
      </c>
      <c r="U84" s="206">
        <v>21644.789536806504</v>
      </c>
      <c r="V84" s="194">
        <v>3376.6940116475998</v>
      </c>
      <c r="W84" s="199">
        <v>35563.74454400465</v>
      </c>
      <c r="X84" s="200">
        <v>842685.98189219553</v>
      </c>
      <c r="Y84" s="201">
        <v>78201.485125693944</v>
      </c>
      <c r="Z84" s="207"/>
      <c r="AA84" s="208"/>
      <c r="AB84" s="209"/>
      <c r="AC84" s="210"/>
      <c r="AD84" s="207"/>
      <c r="AE84" s="207"/>
      <c r="AF84" s="207"/>
      <c r="AG84" s="207"/>
      <c r="AH84" s="210"/>
      <c r="AI84" s="207"/>
      <c r="AJ84" s="207"/>
      <c r="AK84" s="210"/>
      <c r="AL84" s="207"/>
    </row>
    <row r="85" spans="1:38" ht="15.75" hidden="1" customHeight="1">
      <c r="A85" s="203">
        <v>40787</v>
      </c>
      <c r="B85" s="212">
        <v>3198.3239795405002</v>
      </c>
      <c r="C85" s="212">
        <v>20954.786082438801</v>
      </c>
      <c r="D85" s="212">
        <v>6795.9140200788997</v>
      </c>
      <c r="E85" s="213">
        <v>30949.0240820582</v>
      </c>
      <c r="F85" s="212">
        <v>178059.91321855754</v>
      </c>
      <c r="G85" s="212">
        <v>8787.0884687589005</v>
      </c>
      <c r="H85" s="212">
        <v>13882.909634781699</v>
      </c>
      <c r="I85" s="212">
        <v>324.11229653161985</v>
      </c>
      <c r="J85" s="212">
        <v>291918.39331768663</v>
      </c>
      <c r="K85" s="213">
        <v>492972.41693631641</v>
      </c>
      <c r="L85" s="214">
        <v>22209.637730357696</v>
      </c>
      <c r="M85" s="212">
        <v>27885.488088108701</v>
      </c>
      <c r="N85" s="212">
        <v>0</v>
      </c>
      <c r="O85" s="213">
        <v>50095.125818466397</v>
      </c>
      <c r="P85" s="212">
        <v>2234.5835929999998</v>
      </c>
      <c r="Q85" s="212">
        <v>2990.3539351994</v>
      </c>
      <c r="R85" s="212">
        <v>208826.63667584871</v>
      </c>
      <c r="S85" s="212">
        <v>8920.8796536114314</v>
      </c>
      <c r="T85" s="215">
        <v>222972.45385765954</v>
      </c>
      <c r="U85" s="216">
        <v>22114.8215742795</v>
      </c>
      <c r="V85" s="212">
        <v>4156.3375820420224</v>
      </c>
      <c r="W85" s="217">
        <v>47548.1586484539</v>
      </c>
      <c r="X85" s="218">
        <v>870808.33849927585</v>
      </c>
      <c r="Y85" s="219">
        <v>77780.808069186402</v>
      </c>
      <c r="Z85" s="207"/>
      <c r="AA85" s="208"/>
      <c r="AB85" s="209"/>
      <c r="AC85" s="210"/>
      <c r="AD85" s="207"/>
      <c r="AE85" s="207"/>
      <c r="AF85" s="207"/>
      <c r="AG85" s="207"/>
      <c r="AH85" s="210"/>
      <c r="AI85" s="207"/>
      <c r="AJ85" s="207"/>
      <c r="AK85" s="210"/>
      <c r="AL85" s="207"/>
    </row>
    <row r="86" spans="1:38" ht="15.75" hidden="1" customHeight="1">
      <c r="A86" s="203">
        <v>40817</v>
      </c>
      <c r="B86" s="212">
        <v>3543.2</v>
      </c>
      <c r="C86" s="212">
        <v>20388.8</v>
      </c>
      <c r="D86" s="212">
        <v>6810.7</v>
      </c>
      <c r="E86" s="213">
        <v>30742.7</v>
      </c>
      <c r="F86" s="212">
        <v>178987.9</v>
      </c>
      <c r="G86" s="212">
        <v>6414.7</v>
      </c>
      <c r="H86" s="212">
        <v>13661.1</v>
      </c>
      <c r="I86" s="212">
        <v>409.1</v>
      </c>
      <c r="J86" s="212">
        <v>293219.09999999998</v>
      </c>
      <c r="K86" s="213">
        <v>492691.9</v>
      </c>
      <c r="L86" s="214">
        <v>23068.400000000001</v>
      </c>
      <c r="M86" s="212">
        <v>28737.8</v>
      </c>
      <c r="N86" s="212">
        <v>0</v>
      </c>
      <c r="O86" s="213">
        <v>51806.2</v>
      </c>
      <c r="P86" s="212">
        <v>2175.9</v>
      </c>
      <c r="Q86" s="212">
        <v>3060.6</v>
      </c>
      <c r="R86" s="212">
        <v>210613.6</v>
      </c>
      <c r="S86" s="212">
        <v>8962.6</v>
      </c>
      <c r="T86" s="215">
        <v>224812.79999999999</v>
      </c>
      <c r="U86" s="216">
        <v>23066</v>
      </c>
      <c r="V86" s="212">
        <v>4218.2</v>
      </c>
      <c r="W86" s="217">
        <v>46834.400000000001</v>
      </c>
      <c r="X86" s="218">
        <v>874172.2</v>
      </c>
      <c r="Y86" s="219">
        <v>76972.433192168188</v>
      </c>
      <c r="Z86" s="207"/>
      <c r="AA86" s="208"/>
      <c r="AB86" s="209"/>
      <c r="AC86" s="210"/>
      <c r="AD86" s="207"/>
      <c r="AE86" s="207"/>
      <c r="AF86" s="207"/>
      <c r="AG86" s="207"/>
      <c r="AH86" s="210"/>
      <c r="AI86" s="207"/>
      <c r="AJ86" s="207"/>
      <c r="AK86" s="210"/>
      <c r="AL86" s="207"/>
    </row>
    <row r="87" spans="1:38" ht="15.75" hidden="1" customHeight="1">
      <c r="A87" s="203">
        <v>40848</v>
      </c>
      <c r="B87" s="212">
        <v>3528.7870211434019</v>
      </c>
      <c r="C87" s="212">
        <v>20286.5075946332</v>
      </c>
      <c r="D87" s="212">
        <v>6807.2422332584683</v>
      </c>
      <c r="E87" s="213">
        <v>30622.53684903507</v>
      </c>
      <c r="F87" s="212">
        <v>225502.1599820547</v>
      </c>
      <c r="G87" s="212">
        <v>5403.2641804745026</v>
      </c>
      <c r="H87" s="212">
        <v>13875.289969407406</v>
      </c>
      <c r="I87" s="212">
        <v>466.91467365863764</v>
      </c>
      <c r="J87" s="212">
        <v>296007.52189673163</v>
      </c>
      <c r="K87" s="213">
        <v>541255.15070232691</v>
      </c>
      <c r="L87" s="214">
        <v>21950.139617520377</v>
      </c>
      <c r="M87" s="212">
        <v>28415.982532359067</v>
      </c>
      <c r="N87" s="212">
        <v>0</v>
      </c>
      <c r="O87" s="213">
        <v>50366.122149879448</v>
      </c>
      <c r="P87" s="212">
        <v>2159.2118388099998</v>
      </c>
      <c r="Q87" s="212">
        <v>3114.7926491511566</v>
      </c>
      <c r="R87" s="212">
        <v>213001.6115340812</v>
      </c>
      <c r="S87" s="212">
        <v>8815.6814621638987</v>
      </c>
      <c r="T87" s="215">
        <v>227091.29748420627</v>
      </c>
      <c r="U87" s="216">
        <v>21712.15426137509</v>
      </c>
      <c r="V87" s="212">
        <v>5157.3365843991069</v>
      </c>
      <c r="W87" s="217">
        <v>48019.937514440222</v>
      </c>
      <c r="X87" s="218">
        <v>924224.53554566216</v>
      </c>
      <c r="Y87" s="219">
        <v>82656.617079239164</v>
      </c>
      <c r="Z87" s="207"/>
      <c r="AA87" s="208"/>
      <c r="AB87" s="209"/>
      <c r="AC87" s="210"/>
      <c r="AD87" s="207"/>
      <c r="AE87" s="207"/>
      <c r="AF87" s="207"/>
      <c r="AG87" s="207"/>
      <c r="AH87" s="210"/>
      <c r="AI87" s="207"/>
      <c r="AJ87" s="207"/>
      <c r="AK87" s="210"/>
      <c r="AL87" s="207"/>
    </row>
    <row r="88" spans="1:38" ht="15.75" hidden="1" customHeight="1">
      <c r="A88" s="203">
        <v>40878</v>
      </c>
      <c r="B88" s="212">
        <v>4161.3058933593975</v>
      </c>
      <c r="C88" s="212">
        <v>23666.015403390866</v>
      </c>
      <c r="D88" s="212">
        <v>5530.7222544847891</v>
      </c>
      <c r="E88" s="213">
        <v>33358.043551235052</v>
      </c>
      <c r="F88" s="212">
        <v>169559.63251429689</v>
      </c>
      <c r="G88" s="212">
        <v>5256.2560837023948</v>
      </c>
      <c r="H88" s="212">
        <v>14215.849824108576</v>
      </c>
      <c r="I88" s="212">
        <v>578.94824093098407</v>
      </c>
      <c r="J88" s="212">
        <v>304525.95358682761</v>
      </c>
      <c r="K88" s="213">
        <v>494136.64024986647</v>
      </c>
      <c r="L88" s="214">
        <v>22359.262628340559</v>
      </c>
      <c r="M88" s="212">
        <v>27610.718725664014</v>
      </c>
      <c r="N88" s="212">
        <v>0</v>
      </c>
      <c r="O88" s="213">
        <v>49969.981354004572</v>
      </c>
      <c r="P88" s="212">
        <v>2267.3750127500002</v>
      </c>
      <c r="Q88" s="212">
        <v>3367.0263419879279</v>
      </c>
      <c r="R88" s="212">
        <v>215502.7567929512</v>
      </c>
      <c r="S88" s="212">
        <v>5906.699644370342</v>
      </c>
      <c r="T88" s="215">
        <v>227043.85779205948</v>
      </c>
      <c r="U88" s="216">
        <v>21696.255118983932</v>
      </c>
      <c r="V88" s="212">
        <v>5539.7199611784636</v>
      </c>
      <c r="W88" s="217">
        <v>51217.418348084189</v>
      </c>
      <c r="X88" s="218">
        <v>882961.91637541214</v>
      </c>
      <c r="Y88" s="219">
        <v>82921.153734625128</v>
      </c>
      <c r="Z88" s="207"/>
      <c r="AA88" s="208"/>
      <c r="AB88" s="209"/>
      <c r="AC88" s="210"/>
      <c r="AD88" s="207"/>
      <c r="AE88" s="207"/>
      <c r="AF88" s="207"/>
      <c r="AG88" s="207"/>
      <c r="AH88" s="210"/>
      <c r="AI88" s="207"/>
      <c r="AJ88" s="207"/>
      <c r="AK88" s="210"/>
      <c r="AL88" s="207"/>
    </row>
    <row r="89" spans="1:38" ht="15.75" customHeight="1">
      <c r="A89" s="203">
        <v>40909</v>
      </c>
      <c r="B89" s="212">
        <v>3377.8577229181574</v>
      </c>
      <c r="C89" s="212">
        <v>21141.943766675478</v>
      </c>
      <c r="D89" s="212">
        <v>5970.5931081138569</v>
      </c>
      <c r="E89" s="213">
        <v>30490.394597707491</v>
      </c>
      <c r="F89" s="212">
        <v>137049.49255194288</v>
      </c>
      <c r="G89" s="212">
        <v>5794.927933896126</v>
      </c>
      <c r="H89" s="212">
        <v>14366.909559920852</v>
      </c>
      <c r="I89" s="212">
        <v>397.71367002277361</v>
      </c>
      <c r="J89" s="212">
        <v>317520.01417282637</v>
      </c>
      <c r="K89" s="213">
        <v>475129.05788860901</v>
      </c>
      <c r="L89" s="214">
        <v>23274.470704213691</v>
      </c>
      <c r="M89" s="212">
        <v>27470.682987923836</v>
      </c>
      <c r="N89" s="212">
        <v>0</v>
      </c>
      <c r="O89" s="213">
        <v>50745.153692137523</v>
      </c>
      <c r="P89" s="212">
        <v>2179.4598121100003</v>
      </c>
      <c r="Q89" s="212">
        <v>3376.4400918290557</v>
      </c>
      <c r="R89" s="212">
        <v>216216.57323338234</v>
      </c>
      <c r="S89" s="212">
        <v>5213.3593300410193</v>
      </c>
      <c r="T89" s="215">
        <v>226985.8324673624</v>
      </c>
      <c r="U89" s="216">
        <v>21860.66818401829</v>
      </c>
      <c r="V89" s="212">
        <v>3537.278033084031</v>
      </c>
      <c r="W89" s="217">
        <v>47435.948723034679</v>
      </c>
      <c r="X89" s="218">
        <v>856184.33358595346</v>
      </c>
      <c r="Y89" s="219">
        <v>81550.897167730524</v>
      </c>
      <c r="Z89" s="207"/>
      <c r="AA89" s="208"/>
      <c r="AB89" s="209"/>
      <c r="AC89" s="210"/>
      <c r="AD89" s="207"/>
      <c r="AE89" s="207"/>
      <c r="AF89" s="207"/>
      <c r="AG89" s="207"/>
      <c r="AH89" s="210"/>
      <c r="AI89" s="207"/>
      <c r="AJ89" s="207"/>
      <c r="AK89" s="210"/>
      <c r="AL89" s="207"/>
    </row>
    <row r="90" spans="1:38" ht="15.75" customHeight="1">
      <c r="A90" s="203">
        <v>40940</v>
      </c>
      <c r="B90" s="212">
        <v>3247.5483847620671</v>
      </c>
      <c r="C90" s="212">
        <v>22594.063526663413</v>
      </c>
      <c r="D90" s="212">
        <v>5969.3324446488286</v>
      </c>
      <c r="E90" s="213">
        <v>31810.944356074309</v>
      </c>
      <c r="F90" s="212">
        <v>158801.00354184365</v>
      </c>
      <c r="G90" s="212">
        <v>5420.9639458060328</v>
      </c>
      <c r="H90" s="212">
        <v>14624.484856336006</v>
      </c>
      <c r="I90" s="212">
        <v>392.39835692719828</v>
      </c>
      <c r="J90" s="212">
        <v>303132.90251555695</v>
      </c>
      <c r="K90" s="213">
        <v>482371.75321646984</v>
      </c>
      <c r="L90" s="214">
        <v>22638.77102865322</v>
      </c>
      <c r="M90" s="212">
        <v>27054.463399570774</v>
      </c>
      <c r="N90" s="212">
        <v>0</v>
      </c>
      <c r="O90" s="213">
        <v>49693.234428223994</v>
      </c>
      <c r="P90" s="212">
        <v>2169.36700866</v>
      </c>
      <c r="Q90" s="212">
        <v>3291.9655209218181</v>
      </c>
      <c r="R90" s="212">
        <v>216656.83916802227</v>
      </c>
      <c r="S90" s="212">
        <v>5080.7606061628576</v>
      </c>
      <c r="T90" s="215">
        <v>227198.93230376695</v>
      </c>
      <c r="U90" s="216">
        <v>21590.509142442963</v>
      </c>
      <c r="V90" s="212">
        <v>917.06412928932218</v>
      </c>
      <c r="W90" s="217">
        <v>46864.893579726588</v>
      </c>
      <c r="X90" s="218">
        <v>860447.33115599398</v>
      </c>
      <c r="Y90" s="219">
        <v>81373.939486907533</v>
      </c>
      <c r="Z90" s="207"/>
      <c r="AA90" s="208"/>
      <c r="AB90" s="209"/>
      <c r="AC90" s="210"/>
      <c r="AD90" s="207"/>
      <c r="AE90" s="207"/>
      <c r="AF90" s="207"/>
      <c r="AG90" s="207"/>
      <c r="AH90" s="210"/>
      <c r="AI90" s="207"/>
      <c r="AJ90" s="207"/>
      <c r="AK90" s="210"/>
      <c r="AL90" s="207"/>
    </row>
    <row r="91" spans="1:38" ht="15.75" customHeight="1">
      <c r="A91" s="203">
        <v>40969</v>
      </c>
      <c r="B91" s="212">
        <v>2882.7408640878157</v>
      </c>
      <c r="C91" s="212">
        <v>22641.169606127009</v>
      </c>
      <c r="D91" s="212">
        <v>5870.4795776286392</v>
      </c>
      <c r="E91" s="213">
        <v>31394.390047843466</v>
      </c>
      <c r="F91" s="212">
        <v>205042.19268547531</v>
      </c>
      <c r="G91" s="212">
        <v>6066.1011481882742</v>
      </c>
      <c r="H91" s="212">
        <v>14657.901986392124</v>
      </c>
      <c r="I91" s="212">
        <v>428.69531279547692</v>
      </c>
      <c r="J91" s="212">
        <v>301873.03399931861</v>
      </c>
      <c r="K91" s="213">
        <v>528067.92513216985</v>
      </c>
      <c r="L91" s="214">
        <v>23268.36474161423</v>
      </c>
      <c r="M91" s="212">
        <v>28247.482431714627</v>
      </c>
      <c r="N91" s="212">
        <v>0</v>
      </c>
      <c r="O91" s="213">
        <v>51515.847173328861</v>
      </c>
      <c r="P91" s="212">
        <v>2403.1448821400004</v>
      </c>
      <c r="Q91" s="212">
        <v>3257.4345401909009</v>
      </c>
      <c r="R91" s="212">
        <v>217096.22724605363</v>
      </c>
      <c r="S91" s="212">
        <v>5044.5155523813146</v>
      </c>
      <c r="T91" s="215">
        <v>227801.32222076584</v>
      </c>
      <c r="U91" s="216">
        <v>24633.307281702608</v>
      </c>
      <c r="V91" s="212">
        <v>1816.4239201337509</v>
      </c>
      <c r="W91" s="217">
        <v>49132.555337492049</v>
      </c>
      <c r="X91" s="218">
        <v>914361.77111343644</v>
      </c>
      <c r="Y91" s="219">
        <v>74544.44820685919</v>
      </c>
      <c r="Z91" s="207"/>
      <c r="AA91" s="208"/>
      <c r="AB91" s="209"/>
      <c r="AC91" s="210"/>
      <c r="AD91" s="207"/>
      <c r="AE91" s="207"/>
      <c r="AF91" s="207"/>
      <c r="AG91" s="207"/>
      <c r="AH91" s="210"/>
      <c r="AI91" s="207"/>
      <c r="AJ91" s="207"/>
      <c r="AK91" s="210"/>
      <c r="AL91" s="207"/>
    </row>
    <row r="92" spans="1:38" ht="15.75" customHeight="1">
      <c r="A92" s="203">
        <v>41000</v>
      </c>
      <c r="B92" s="212">
        <v>2977.1581511389591</v>
      </c>
      <c r="C92" s="212">
        <v>22436.676579636103</v>
      </c>
      <c r="D92" s="212">
        <v>5614.029617527437</v>
      </c>
      <c r="E92" s="213">
        <v>31027.864348302501</v>
      </c>
      <c r="F92" s="212">
        <v>203118.85343870491</v>
      </c>
      <c r="G92" s="212">
        <v>12264.459541750135</v>
      </c>
      <c r="H92" s="212">
        <v>16288.21412787103</v>
      </c>
      <c r="I92" s="212">
        <v>416.86687836259568</v>
      </c>
      <c r="J92" s="212">
        <v>297238.87085867958</v>
      </c>
      <c r="K92" s="213">
        <v>529327.26484536822</v>
      </c>
      <c r="L92" s="214">
        <v>21512.482986064988</v>
      </c>
      <c r="M92" s="212">
        <v>28792.887020003527</v>
      </c>
      <c r="N92" s="212">
        <v>0</v>
      </c>
      <c r="O92" s="213">
        <v>50305.370006068515</v>
      </c>
      <c r="P92" s="212">
        <v>2349.4463478000002</v>
      </c>
      <c r="Q92" s="212">
        <v>3137.7763356302967</v>
      </c>
      <c r="R92" s="212">
        <v>218740.46690582077</v>
      </c>
      <c r="S92" s="212">
        <v>5042.5205945498255</v>
      </c>
      <c r="T92" s="215">
        <v>229270.2101838009</v>
      </c>
      <c r="U92" s="216">
        <v>25617.146470715572</v>
      </c>
      <c r="V92" s="212">
        <v>2538.8054058670537</v>
      </c>
      <c r="W92" s="217">
        <v>49954.81970859108</v>
      </c>
      <c r="X92" s="218">
        <v>918041.48096871376</v>
      </c>
      <c r="Y92" s="219">
        <v>73035.197989719571</v>
      </c>
      <c r="Z92" s="207"/>
      <c r="AA92" s="208"/>
      <c r="AB92" s="209"/>
      <c r="AC92" s="210"/>
      <c r="AD92" s="207"/>
      <c r="AE92" s="207"/>
      <c r="AF92" s="207"/>
      <c r="AG92" s="207"/>
      <c r="AH92" s="210"/>
      <c r="AI92" s="207"/>
      <c r="AJ92" s="207"/>
      <c r="AK92" s="210"/>
      <c r="AL92" s="207"/>
    </row>
    <row r="93" spans="1:38" ht="15.75" customHeight="1">
      <c r="A93" s="203">
        <v>41030</v>
      </c>
      <c r="B93" s="212">
        <v>3403.2816521788723</v>
      </c>
      <c r="C93" s="212">
        <v>22469.61414010738</v>
      </c>
      <c r="D93" s="212">
        <v>4992.590669825955</v>
      </c>
      <c r="E93" s="213">
        <v>30865.486462112211</v>
      </c>
      <c r="F93" s="212">
        <v>211692.68722091772</v>
      </c>
      <c r="G93" s="212">
        <v>8727.8956672498425</v>
      </c>
      <c r="H93" s="212">
        <v>16236.615435390586</v>
      </c>
      <c r="I93" s="212">
        <v>265.62382705664709</v>
      </c>
      <c r="J93" s="212">
        <v>303646.20910962846</v>
      </c>
      <c r="K93" s="213">
        <v>540569.03126024327</v>
      </c>
      <c r="L93" s="214">
        <v>22129.940814470876</v>
      </c>
      <c r="M93" s="212">
        <v>29284.299435042747</v>
      </c>
      <c r="N93" s="212">
        <v>0</v>
      </c>
      <c r="O93" s="213">
        <v>51414.240249513619</v>
      </c>
      <c r="P93" s="212">
        <v>2264.5195456799997</v>
      </c>
      <c r="Q93" s="212">
        <v>3434.0187590331684</v>
      </c>
      <c r="R93" s="212">
        <v>222519.84833212622</v>
      </c>
      <c r="S93" s="212">
        <v>5440.3567334665586</v>
      </c>
      <c r="T93" s="215">
        <v>233658.74337030592</v>
      </c>
      <c r="U93" s="216">
        <v>25871.304967811051</v>
      </c>
      <c r="V93" s="212">
        <v>2174.0060830678635</v>
      </c>
      <c r="W93" s="217">
        <v>54803.370092568781</v>
      </c>
      <c r="X93" s="218">
        <v>939356.1824856227</v>
      </c>
      <c r="Y93" s="219">
        <v>78916.17595602537</v>
      </c>
      <c r="Z93" s="207"/>
      <c r="AA93" s="208"/>
      <c r="AB93" s="209"/>
      <c r="AC93" s="210"/>
      <c r="AD93" s="207"/>
      <c r="AE93" s="207"/>
      <c r="AF93" s="207"/>
      <c r="AG93" s="207"/>
      <c r="AH93" s="210"/>
      <c r="AI93" s="207"/>
      <c r="AJ93" s="207"/>
      <c r="AK93" s="210"/>
      <c r="AL93" s="207"/>
    </row>
    <row r="94" spans="1:38" ht="15.75" customHeight="1">
      <c r="A94" s="203">
        <v>41061</v>
      </c>
      <c r="B94" s="212">
        <v>2731.1107226587774</v>
      </c>
      <c r="C94" s="212">
        <v>23950.041637013281</v>
      </c>
      <c r="D94" s="212">
        <v>4904.0601349360959</v>
      </c>
      <c r="E94" s="213">
        <v>31585.212494608153</v>
      </c>
      <c r="F94" s="212">
        <v>151528.96451311992</v>
      </c>
      <c r="G94" s="212">
        <v>15388.823455999925</v>
      </c>
      <c r="H94" s="212">
        <v>17100.604029549966</v>
      </c>
      <c r="I94" s="212">
        <v>339.75802811770177</v>
      </c>
      <c r="J94" s="212">
        <v>318500.15766009828</v>
      </c>
      <c r="K94" s="213">
        <v>502858.30768688582</v>
      </c>
      <c r="L94" s="214">
        <v>22202.084318121986</v>
      </c>
      <c r="M94" s="212">
        <v>29901.408042010324</v>
      </c>
      <c r="N94" s="212">
        <v>0</v>
      </c>
      <c r="O94" s="213">
        <v>52103.49236013231</v>
      </c>
      <c r="P94" s="212">
        <v>2263.8692802900009</v>
      </c>
      <c r="Q94" s="212">
        <v>3577.8578079299991</v>
      </c>
      <c r="R94" s="212">
        <v>228453.35532406234</v>
      </c>
      <c r="S94" s="212">
        <v>5465.2015017986141</v>
      </c>
      <c r="T94" s="215">
        <v>239760.28391408097</v>
      </c>
      <c r="U94" s="216">
        <v>27463.113710590642</v>
      </c>
      <c r="V94" s="212">
        <v>2926.7806992231053</v>
      </c>
      <c r="W94" s="217">
        <v>53602.674955190458</v>
      </c>
      <c r="X94" s="218">
        <v>910299.86582071136</v>
      </c>
      <c r="Y94" s="219">
        <v>77117.232420134213</v>
      </c>
      <c r="Z94" s="207"/>
      <c r="AA94" s="208"/>
      <c r="AB94" s="209"/>
      <c r="AC94" s="210"/>
      <c r="AD94" s="207"/>
      <c r="AE94" s="207"/>
      <c r="AF94" s="207"/>
      <c r="AG94" s="207"/>
      <c r="AH94" s="210"/>
      <c r="AI94" s="207"/>
      <c r="AJ94" s="207"/>
      <c r="AK94" s="210"/>
      <c r="AL94" s="207"/>
    </row>
    <row r="95" spans="1:38" ht="15.75" customHeight="1">
      <c r="A95" s="203">
        <v>41091</v>
      </c>
      <c r="B95" s="212">
        <v>2921.0103157083176</v>
      </c>
      <c r="C95" s="212">
        <v>23713.508129245078</v>
      </c>
      <c r="D95" s="212">
        <v>4780.6728805872081</v>
      </c>
      <c r="E95" s="213">
        <v>31415.191325540603</v>
      </c>
      <c r="F95" s="212">
        <v>194436.1491565741</v>
      </c>
      <c r="G95" s="212">
        <v>6610.5813201246274</v>
      </c>
      <c r="H95" s="212">
        <v>17177.378447944815</v>
      </c>
      <c r="I95" s="212">
        <v>404.22224966960994</v>
      </c>
      <c r="J95" s="212">
        <v>312712.25437268877</v>
      </c>
      <c r="K95" s="213">
        <v>531340.58554700192</v>
      </c>
      <c r="L95" s="214">
        <v>20322.818580521896</v>
      </c>
      <c r="M95" s="212">
        <v>29867.604892200838</v>
      </c>
      <c r="N95" s="212">
        <v>0</v>
      </c>
      <c r="O95" s="213">
        <v>50190.42347272273</v>
      </c>
      <c r="P95" s="212">
        <v>2216.59188593</v>
      </c>
      <c r="Q95" s="212">
        <v>3718.2181354924633</v>
      </c>
      <c r="R95" s="212">
        <v>230251.53480015229</v>
      </c>
      <c r="S95" s="212">
        <v>5051.7902635482924</v>
      </c>
      <c r="T95" s="215">
        <v>241238.13508512304</v>
      </c>
      <c r="U95" s="216">
        <v>25789.873753587151</v>
      </c>
      <c r="V95" s="212">
        <v>2865.3593143427711</v>
      </c>
      <c r="W95" s="217">
        <v>50916.962320157028</v>
      </c>
      <c r="X95" s="218">
        <v>933756.53081847518</v>
      </c>
      <c r="Y95" s="219">
        <v>76661.289627980936</v>
      </c>
      <c r="Z95" s="207"/>
      <c r="AA95" s="208"/>
      <c r="AB95" s="209"/>
      <c r="AC95" s="210"/>
      <c r="AD95" s="207"/>
      <c r="AE95" s="207"/>
      <c r="AF95" s="207"/>
      <c r="AG95" s="207"/>
      <c r="AH95" s="210"/>
      <c r="AI95" s="207"/>
      <c r="AJ95" s="207"/>
      <c r="AK95" s="210"/>
      <c r="AL95" s="207"/>
    </row>
    <row r="96" spans="1:38" ht="15.75" customHeight="1">
      <c r="A96" s="203">
        <v>41122</v>
      </c>
      <c r="B96" s="212">
        <v>3284.4810359086955</v>
      </c>
      <c r="C96" s="212">
        <v>23523.554012584336</v>
      </c>
      <c r="D96" s="212">
        <v>4061.6556221765641</v>
      </c>
      <c r="E96" s="213">
        <v>30869.690670669595</v>
      </c>
      <c r="F96" s="212">
        <v>162741.38229825956</v>
      </c>
      <c r="G96" s="212">
        <v>9851.2425503996456</v>
      </c>
      <c r="H96" s="212">
        <v>17435.091239850364</v>
      </c>
      <c r="I96" s="212">
        <v>306.7691450936004</v>
      </c>
      <c r="J96" s="212">
        <v>303070.00273284176</v>
      </c>
      <c r="K96" s="213">
        <v>493404.48796644493</v>
      </c>
      <c r="L96" s="214">
        <v>20643.316118093797</v>
      </c>
      <c r="M96" s="212">
        <v>31012.597817991547</v>
      </c>
      <c r="N96" s="212">
        <v>0</v>
      </c>
      <c r="O96" s="213">
        <v>51655.913936085344</v>
      </c>
      <c r="P96" s="212">
        <v>2176.5146290299972</v>
      </c>
      <c r="Q96" s="212">
        <v>3495.0830790664813</v>
      </c>
      <c r="R96" s="212">
        <v>232869.04253645663</v>
      </c>
      <c r="S96" s="212">
        <v>5206.2745493063485</v>
      </c>
      <c r="T96" s="215">
        <v>243746.91479385947</v>
      </c>
      <c r="U96" s="216">
        <v>26319.768176589088</v>
      </c>
      <c r="V96" s="212">
        <v>4859.412819033736</v>
      </c>
      <c r="W96" s="217">
        <v>48714.162755731348</v>
      </c>
      <c r="X96" s="218">
        <v>899570.35111841338</v>
      </c>
      <c r="Y96" s="219">
        <v>73975.667162467682</v>
      </c>
      <c r="Z96" s="207"/>
      <c r="AA96" s="208"/>
      <c r="AB96" s="209"/>
      <c r="AC96" s="210"/>
      <c r="AD96" s="207"/>
      <c r="AE96" s="207"/>
      <c r="AF96" s="207"/>
      <c r="AG96" s="207"/>
      <c r="AH96" s="210"/>
      <c r="AI96" s="207"/>
      <c r="AJ96" s="207"/>
      <c r="AK96" s="210"/>
      <c r="AL96" s="207"/>
    </row>
    <row r="97" spans="1:57" ht="15.75" customHeight="1">
      <c r="A97" s="203">
        <v>41153</v>
      </c>
      <c r="B97" s="212">
        <v>3218.2288786296672</v>
      </c>
      <c r="C97" s="212">
        <v>24567.280498543936</v>
      </c>
      <c r="D97" s="212">
        <v>4098.1801504752711</v>
      </c>
      <c r="E97" s="213">
        <v>31883.689527648872</v>
      </c>
      <c r="F97" s="212">
        <v>170705.50366254535</v>
      </c>
      <c r="G97" s="212">
        <v>5542.377223081432</v>
      </c>
      <c r="H97" s="212">
        <v>74403.369127877566</v>
      </c>
      <c r="I97" s="212">
        <v>357.04215440172322</v>
      </c>
      <c r="J97" s="212">
        <v>255989.53546947165</v>
      </c>
      <c r="K97" s="213">
        <v>506997.82763737772</v>
      </c>
      <c r="L97" s="214">
        <v>19790.847510056385</v>
      </c>
      <c r="M97" s="212">
        <v>31857.256550132257</v>
      </c>
      <c r="N97" s="212">
        <v>0</v>
      </c>
      <c r="O97" s="213">
        <v>51648.104060188642</v>
      </c>
      <c r="P97" s="212">
        <v>2166.0323224699996</v>
      </c>
      <c r="Q97" s="212">
        <v>3597.3311136899993</v>
      </c>
      <c r="R97" s="212">
        <v>234385.18802095356</v>
      </c>
      <c r="S97" s="212">
        <v>5200.3828885887542</v>
      </c>
      <c r="T97" s="215">
        <v>245348.93434570232</v>
      </c>
      <c r="U97" s="216">
        <v>24825.458582824092</v>
      </c>
      <c r="V97" s="212">
        <v>3228.9814879340802</v>
      </c>
      <c r="W97" s="217">
        <v>51266.297694450324</v>
      </c>
      <c r="X97" s="218">
        <v>915199.29333612614</v>
      </c>
      <c r="Y97" s="219">
        <v>75662.066773687082</v>
      </c>
      <c r="Z97" s="207"/>
      <c r="AA97" s="208"/>
      <c r="AB97" s="209"/>
      <c r="AC97" s="210"/>
      <c r="AD97" s="207"/>
      <c r="AE97" s="207"/>
      <c r="AF97" s="207"/>
      <c r="AG97" s="207"/>
      <c r="AH97" s="210"/>
      <c r="AI97" s="207"/>
      <c r="AJ97" s="207"/>
      <c r="AK97" s="210"/>
      <c r="AL97" s="207"/>
    </row>
    <row r="98" spans="1:57" ht="15.75" customHeight="1">
      <c r="A98" s="203">
        <v>41183</v>
      </c>
      <c r="B98" s="212">
        <v>3774.5899837413481</v>
      </c>
      <c r="C98" s="212">
        <v>23306.248333443531</v>
      </c>
      <c r="D98" s="212">
        <v>3735.0619519924121</v>
      </c>
      <c r="E98" s="213">
        <v>30815.900269177291</v>
      </c>
      <c r="F98" s="212">
        <v>180452.16199523627</v>
      </c>
      <c r="G98" s="212">
        <v>5773.055153109498</v>
      </c>
      <c r="H98" s="212">
        <v>74175.837945345731</v>
      </c>
      <c r="I98" s="212">
        <v>453.56446622043683</v>
      </c>
      <c r="J98" s="212">
        <v>267400.68326330849</v>
      </c>
      <c r="K98" s="213">
        <v>528255.30282322038</v>
      </c>
      <c r="L98" s="214">
        <v>20951.76090043164</v>
      </c>
      <c r="M98" s="212">
        <v>32775.04618245233</v>
      </c>
      <c r="N98" s="212">
        <v>0</v>
      </c>
      <c r="O98" s="213">
        <v>53726.80708288397</v>
      </c>
      <c r="P98" s="212">
        <v>2152.3988804899996</v>
      </c>
      <c r="Q98" s="212">
        <v>3608.6489464346573</v>
      </c>
      <c r="R98" s="212">
        <v>237642.99863015331</v>
      </c>
      <c r="S98" s="212">
        <v>5193.0040613247984</v>
      </c>
      <c r="T98" s="215">
        <v>248597.05051840277</v>
      </c>
      <c r="U98" s="216">
        <v>24639.436049841115</v>
      </c>
      <c r="V98" s="212">
        <v>2445.1176567562434</v>
      </c>
      <c r="W98" s="217">
        <v>50717.96188035018</v>
      </c>
      <c r="X98" s="218">
        <v>939197.57628063182</v>
      </c>
      <c r="Y98" s="219">
        <v>82600.739648435498</v>
      </c>
      <c r="Z98" s="207"/>
      <c r="AA98" s="208"/>
      <c r="AB98" s="209"/>
      <c r="AC98" s="210"/>
      <c r="AD98" s="207"/>
      <c r="AE98" s="207"/>
      <c r="AF98" s="207"/>
      <c r="AG98" s="207"/>
      <c r="AH98" s="210"/>
      <c r="AI98" s="207"/>
      <c r="AJ98" s="207"/>
      <c r="AK98" s="210"/>
      <c r="AL98" s="207"/>
    </row>
    <row r="99" spans="1:57" ht="15.75" customHeight="1">
      <c r="A99" s="203">
        <v>41214</v>
      </c>
      <c r="B99" s="212">
        <v>3585.7834358731334</v>
      </c>
      <c r="C99" s="212">
        <v>22118.502086285411</v>
      </c>
      <c r="D99" s="212">
        <v>3924.7981016869289</v>
      </c>
      <c r="E99" s="213">
        <v>29629.083623845472</v>
      </c>
      <c r="F99" s="212">
        <v>180946.66637666876</v>
      </c>
      <c r="G99" s="212">
        <v>10427.826476748913</v>
      </c>
      <c r="H99" s="212">
        <v>76520.990202872854</v>
      </c>
      <c r="I99" s="212">
        <v>394.01705846880384</v>
      </c>
      <c r="J99" s="212">
        <v>270565.96483887202</v>
      </c>
      <c r="K99" s="213">
        <v>538855.4649536314</v>
      </c>
      <c r="L99" s="214">
        <v>22618.050443832763</v>
      </c>
      <c r="M99" s="212">
        <v>32754.743679875355</v>
      </c>
      <c r="N99" s="212">
        <v>0</v>
      </c>
      <c r="O99" s="213">
        <v>55372.794123708118</v>
      </c>
      <c r="P99" s="212">
        <v>2146.4969997899998</v>
      </c>
      <c r="Q99" s="212">
        <v>4025.1186350762955</v>
      </c>
      <c r="R99" s="212">
        <v>240003.17928584196</v>
      </c>
      <c r="S99" s="212">
        <v>5222.3287444529587</v>
      </c>
      <c r="T99" s="215">
        <v>251397.12366516123</v>
      </c>
      <c r="U99" s="216">
        <v>25261.940211193039</v>
      </c>
      <c r="V99" s="212">
        <v>3812.701609465566</v>
      </c>
      <c r="W99" s="217">
        <v>51651.65056377367</v>
      </c>
      <c r="X99" s="218">
        <v>955980.75875077839</v>
      </c>
      <c r="Y99" s="219">
        <v>84546.226308585712</v>
      </c>
      <c r="Z99" s="207"/>
      <c r="AA99" s="208"/>
      <c r="AB99" s="209"/>
      <c r="AC99" s="210"/>
      <c r="AD99" s="207"/>
      <c r="AE99" s="207"/>
      <c r="AF99" s="207"/>
      <c r="AG99" s="207"/>
      <c r="AH99" s="210"/>
      <c r="AI99" s="207"/>
      <c r="AJ99" s="207"/>
      <c r="AK99" s="210"/>
      <c r="AL99" s="207"/>
    </row>
    <row r="100" spans="1:57" ht="15.75" customHeight="1">
      <c r="A100" s="203">
        <v>41244</v>
      </c>
      <c r="B100" s="212">
        <v>4790.6840856975523</v>
      </c>
      <c r="C100" s="212">
        <v>25339.780584248743</v>
      </c>
      <c r="D100" s="212">
        <v>3905.92799421463</v>
      </c>
      <c r="E100" s="213">
        <v>34036.392664160929</v>
      </c>
      <c r="F100" s="212">
        <v>199260.7330669355</v>
      </c>
      <c r="G100" s="212">
        <v>9097.6390664785158</v>
      </c>
      <c r="H100" s="212">
        <v>59733.1076888928</v>
      </c>
      <c r="I100" s="212">
        <v>840.52055735902934</v>
      </c>
      <c r="J100" s="212">
        <v>267568.86667540995</v>
      </c>
      <c r="K100" s="213">
        <v>536500.86705507583</v>
      </c>
      <c r="L100" s="214">
        <v>22866.860033246521</v>
      </c>
      <c r="M100" s="212">
        <v>32475.39564267586</v>
      </c>
      <c r="N100" s="212">
        <v>0</v>
      </c>
      <c r="O100" s="213">
        <v>55342.255675922381</v>
      </c>
      <c r="P100" s="212">
        <v>2161.7332296599998</v>
      </c>
      <c r="Q100" s="212">
        <v>3941.2395126400002</v>
      </c>
      <c r="R100" s="212">
        <v>244689.29471564887</v>
      </c>
      <c r="S100" s="212">
        <v>5232.8626867983548</v>
      </c>
      <c r="T100" s="215">
        <v>256025.13014474724</v>
      </c>
      <c r="U100" s="216">
        <v>24522.991983031116</v>
      </c>
      <c r="V100" s="212">
        <v>3465.9404415139197</v>
      </c>
      <c r="W100" s="217">
        <v>58226.614831499624</v>
      </c>
      <c r="X100" s="218">
        <v>968120.19279595104</v>
      </c>
      <c r="Y100" s="219">
        <v>97199.698506452565</v>
      </c>
      <c r="Z100" s="207"/>
      <c r="AA100" s="208"/>
      <c r="AB100" s="209"/>
      <c r="AC100" s="210"/>
      <c r="AD100" s="207"/>
      <c r="AE100" s="207"/>
      <c r="AF100" s="207"/>
      <c r="AG100" s="207"/>
      <c r="AH100" s="210"/>
      <c r="AI100" s="207"/>
      <c r="AJ100" s="207"/>
      <c r="AK100" s="210"/>
      <c r="AL100" s="207"/>
    </row>
    <row r="101" spans="1:57" ht="15.75" customHeight="1">
      <c r="A101" s="203">
        <v>41275</v>
      </c>
      <c r="B101" s="212">
        <v>4197.9410828299788</v>
      </c>
      <c r="C101" s="212">
        <v>24811.495700873409</v>
      </c>
      <c r="D101" s="212">
        <v>6127.1671396705433</v>
      </c>
      <c r="E101" s="213">
        <v>35136.603923373928</v>
      </c>
      <c r="F101" s="212">
        <v>214992.23385839554</v>
      </c>
      <c r="G101" s="212">
        <v>7854.3039085798318</v>
      </c>
      <c r="H101" s="212">
        <v>59660.071731718002</v>
      </c>
      <c r="I101" s="212">
        <v>542.6002541327581</v>
      </c>
      <c r="J101" s="212">
        <v>266977.69319286681</v>
      </c>
      <c r="K101" s="213">
        <v>550026.90294569288</v>
      </c>
      <c r="L101" s="214">
        <v>21868.924538016981</v>
      </c>
      <c r="M101" s="212">
        <v>32305.609157436753</v>
      </c>
      <c r="N101" s="212">
        <v>0</v>
      </c>
      <c r="O101" s="213">
        <v>54174.533695453734</v>
      </c>
      <c r="P101" s="212">
        <v>2055.31211196</v>
      </c>
      <c r="Q101" s="212">
        <v>4080.2196987469401</v>
      </c>
      <c r="R101" s="212">
        <v>243699.34253958875</v>
      </c>
      <c r="S101" s="212">
        <v>5166.7593326383421</v>
      </c>
      <c r="T101" s="215">
        <v>255001.63368293401</v>
      </c>
      <c r="U101" s="216">
        <v>24587.881833676674</v>
      </c>
      <c r="V101" s="212">
        <v>3548.4109893249556</v>
      </c>
      <c r="W101" s="217">
        <v>57809.348672554406</v>
      </c>
      <c r="X101" s="218">
        <v>980285.31574301061</v>
      </c>
      <c r="Y101" s="219">
        <v>97486.770289453445</v>
      </c>
      <c r="Z101" s="207"/>
      <c r="AA101" s="208"/>
      <c r="AB101" s="209"/>
      <c r="AC101" s="210"/>
      <c r="AD101" s="207"/>
      <c r="AE101" s="207"/>
      <c r="AF101" s="207"/>
      <c r="AG101" s="207"/>
      <c r="AH101" s="210"/>
      <c r="AI101" s="207"/>
      <c r="AJ101" s="207"/>
      <c r="AK101" s="210"/>
      <c r="AL101" s="207"/>
    </row>
    <row r="102" spans="1:57" ht="6.75" customHeight="1" thickBot="1">
      <c r="A102" s="220"/>
      <c r="B102" s="221"/>
      <c r="C102" s="222"/>
      <c r="D102" s="222"/>
      <c r="E102" s="223"/>
      <c r="F102" s="224"/>
      <c r="G102" s="222"/>
      <c r="H102" s="222"/>
      <c r="I102" s="222"/>
      <c r="J102" s="222"/>
      <c r="K102" s="223"/>
      <c r="L102" s="224"/>
      <c r="M102" s="222"/>
      <c r="N102" s="222"/>
      <c r="O102" s="223"/>
      <c r="P102" s="225"/>
      <c r="Q102" s="226"/>
      <c r="R102" s="226"/>
      <c r="S102" s="226"/>
      <c r="T102" s="227"/>
      <c r="U102" s="228"/>
      <c r="V102" s="221"/>
      <c r="W102" s="229"/>
      <c r="X102" s="230"/>
      <c r="Y102" s="231"/>
      <c r="AA102" s="232"/>
      <c r="AB102" s="232"/>
    </row>
    <row r="103" spans="1:57" ht="17.100000000000001" customHeight="1" thickTop="1">
      <c r="A103" s="233" t="s">
        <v>357</v>
      </c>
      <c r="K103" s="234" t="s">
        <v>358</v>
      </c>
      <c r="L103" s="235"/>
      <c r="N103" s="202"/>
      <c r="O103" s="235"/>
      <c r="R103" s="233" t="s">
        <v>359</v>
      </c>
      <c r="S103" s="202"/>
      <c r="U103" s="202"/>
      <c r="V103" s="202"/>
      <c r="W103" s="236"/>
      <c r="X103" s="202"/>
    </row>
    <row r="104" spans="1:57" ht="17.100000000000001" customHeight="1">
      <c r="A104" s="233" t="s">
        <v>360</v>
      </c>
      <c r="K104" s="237" t="s">
        <v>361</v>
      </c>
      <c r="L104" s="235"/>
      <c r="N104" s="202"/>
      <c r="O104" s="235"/>
      <c r="R104" s="233"/>
      <c r="S104" s="202"/>
      <c r="U104" s="202"/>
      <c r="V104" s="202"/>
      <c r="W104" s="236"/>
      <c r="X104" s="202"/>
    </row>
    <row r="105" spans="1:57" ht="17.100000000000001" customHeight="1">
      <c r="A105" s="141" t="s">
        <v>303</v>
      </c>
      <c r="B105" s="202"/>
      <c r="C105" s="202"/>
      <c r="D105" s="202"/>
      <c r="E105" s="202"/>
      <c r="F105" s="202"/>
      <c r="G105" s="202"/>
      <c r="H105" s="202"/>
      <c r="I105" s="202"/>
      <c r="J105" s="202"/>
      <c r="K105" s="202"/>
      <c r="L105" s="202"/>
      <c r="M105" s="238"/>
      <c r="N105" s="202"/>
      <c r="O105" s="202"/>
      <c r="P105" s="239"/>
      <c r="Q105" s="202"/>
      <c r="R105" s="202"/>
      <c r="S105" s="202"/>
      <c r="T105" s="202"/>
      <c r="U105" s="202"/>
      <c r="V105" s="202"/>
      <c r="W105" s="202"/>
      <c r="X105" s="202"/>
      <c r="Y105" s="202"/>
      <c r="Z105" s="202"/>
      <c r="AA105" s="202"/>
      <c r="AB105" s="202"/>
      <c r="AC105" s="202"/>
      <c r="AD105" s="202"/>
      <c r="AE105" s="202"/>
    </row>
    <row r="106" spans="1:57" ht="17.100000000000001" customHeight="1">
      <c r="A106" s="240"/>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row>
    <row r="107" spans="1:57" ht="17.100000000000001" customHeight="1">
      <c r="A107" s="164" t="s">
        <v>362</v>
      </c>
      <c r="B107" s="242"/>
      <c r="C107" s="242"/>
      <c r="D107" s="242"/>
      <c r="E107" s="242"/>
      <c r="F107" s="242"/>
      <c r="G107" s="242"/>
      <c r="H107" s="242"/>
      <c r="I107" s="242"/>
      <c r="J107" s="242"/>
      <c r="K107" s="242"/>
      <c r="L107" s="242"/>
      <c r="M107" s="242"/>
      <c r="N107" s="242"/>
      <c r="O107" s="242"/>
      <c r="P107" s="242"/>
      <c r="Q107" s="242"/>
      <c r="R107" s="242"/>
      <c r="S107" s="238"/>
      <c r="T107" s="202"/>
      <c r="U107" s="202"/>
      <c r="V107" s="202"/>
      <c r="W107" s="202"/>
      <c r="X107" s="202"/>
      <c r="Y107" s="202"/>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row>
    <row r="108" spans="1:57" ht="17.100000000000001" customHeight="1" thickBot="1">
      <c r="R108" s="243" t="s">
        <v>12</v>
      </c>
      <c r="Y108" s="241"/>
    </row>
    <row r="109" spans="1:57" ht="17.100000000000001" customHeight="1" thickTop="1" thickBot="1">
      <c r="A109" s="168" t="s">
        <v>305</v>
      </c>
      <c r="B109" s="244" t="s">
        <v>363</v>
      </c>
      <c r="C109" s="170" t="s">
        <v>364</v>
      </c>
      <c r="D109" s="170"/>
      <c r="E109" s="170"/>
      <c r="F109" s="170"/>
      <c r="G109" s="171"/>
      <c r="H109" s="245" t="s">
        <v>365</v>
      </c>
      <c r="I109" s="245" t="s">
        <v>366</v>
      </c>
      <c r="J109" s="245" t="s">
        <v>174</v>
      </c>
      <c r="K109" s="3260" t="s">
        <v>367</v>
      </c>
      <c r="L109" s="3261"/>
      <c r="M109" s="245" t="s">
        <v>327</v>
      </c>
      <c r="N109" s="245" t="s">
        <v>368</v>
      </c>
      <c r="O109" s="246" t="s">
        <v>369</v>
      </c>
      <c r="P109" s="244" t="s">
        <v>314</v>
      </c>
      <c r="Q109" s="245" t="s">
        <v>332</v>
      </c>
      <c r="R109" s="246" t="s">
        <v>370</v>
      </c>
      <c r="S109" s="202"/>
      <c r="T109" s="202"/>
      <c r="U109" s="202"/>
      <c r="V109" s="202"/>
      <c r="W109" s="202"/>
      <c r="X109" s="202"/>
      <c r="Y109" s="202"/>
      <c r="Z109" s="202"/>
      <c r="AA109" s="202"/>
      <c r="AB109" s="202"/>
      <c r="AC109" s="202"/>
      <c r="AD109" s="202"/>
      <c r="AE109" s="202"/>
    </row>
    <row r="110" spans="1:57" ht="17.100000000000001" customHeight="1">
      <c r="A110" s="176" t="s">
        <v>315</v>
      </c>
      <c r="B110" s="247" t="s">
        <v>342</v>
      </c>
      <c r="C110" s="180" t="s">
        <v>371</v>
      </c>
      <c r="D110" s="178" t="s">
        <v>372</v>
      </c>
      <c r="E110" s="178" t="s">
        <v>373</v>
      </c>
      <c r="F110" s="178" t="s">
        <v>321</v>
      </c>
      <c r="G110" s="179" t="s">
        <v>319</v>
      </c>
      <c r="H110" s="248" t="s">
        <v>374</v>
      </c>
      <c r="I110" s="248" t="s">
        <v>174</v>
      </c>
      <c r="J110" s="248" t="s">
        <v>375</v>
      </c>
      <c r="K110" s="180" t="s">
        <v>345</v>
      </c>
      <c r="L110" s="178" t="s">
        <v>345</v>
      </c>
      <c r="M110" s="248" t="s">
        <v>376</v>
      </c>
      <c r="N110" s="248" t="s">
        <v>377</v>
      </c>
      <c r="O110" s="249" t="s">
        <v>138</v>
      </c>
      <c r="P110" s="247" t="s">
        <v>378</v>
      </c>
      <c r="Q110" s="248" t="s">
        <v>379</v>
      </c>
      <c r="R110" s="249" t="s">
        <v>148</v>
      </c>
    </row>
    <row r="111" spans="1:57" ht="17.100000000000001" customHeight="1">
      <c r="A111" s="176" t="s">
        <v>1</v>
      </c>
      <c r="B111" s="247" t="s">
        <v>380</v>
      </c>
      <c r="C111" s="189"/>
      <c r="D111" s="187"/>
      <c r="E111" s="187"/>
      <c r="F111" s="187" t="s">
        <v>381</v>
      </c>
      <c r="G111" s="190"/>
      <c r="H111" s="248" t="s">
        <v>324</v>
      </c>
      <c r="I111" s="248"/>
      <c r="J111" s="248" t="s">
        <v>318</v>
      </c>
      <c r="K111" s="189" t="s">
        <v>333</v>
      </c>
      <c r="L111" s="187" t="s">
        <v>352</v>
      </c>
      <c r="M111" s="248"/>
      <c r="N111" s="248"/>
      <c r="O111" s="249"/>
      <c r="P111" s="247" t="s">
        <v>382</v>
      </c>
      <c r="Q111" s="248"/>
      <c r="R111" s="249"/>
    </row>
    <row r="112" spans="1:57" ht="17.100000000000001" customHeight="1">
      <c r="A112" s="176" t="s">
        <v>148</v>
      </c>
      <c r="B112" s="247"/>
      <c r="C112" s="186"/>
      <c r="D112" s="187"/>
      <c r="E112" s="187"/>
      <c r="F112" s="187" t="s">
        <v>169</v>
      </c>
      <c r="G112" s="190"/>
      <c r="H112" s="248" t="s">
        <v>169</v>
      </c>
      <c r="I112" s="248"/>
      <c r="J112" s="248" t="s">
        <v>335</v>
      </c>
      <c r="K112" s="189" t="s">
        <v>335</v>
      </c>
      <c r="L112" s="186"/>
      <c r="M112" s="248"/>
      <c r="N112" s="248"/>
      <c r="O112" s="249"/>
      <c r="P112" s="247"/>
      <c r="Q112" s="248"/>
      <c r="R112" s="249"/>
    </row>
    <row r="113" spans="1:18" ht="17.100000000000001" customHeight="1">
      <c r="A113" s="250"/>
      <c r="B113" s="251"/>
      <c r="C113" s="252"/>
      <c r="D113" s="253"/>
      <c r="E113" s="253"/>
      <c r="F113" s="253"/>
      <c r="G113" s="254"/>
      <c r="H113" s="255"/>
      <c r="I113" s="255"/>
      <c r="J113" s="255"/>
      <c r="K113" s="256"/>
      <c r="L113" s="253"/>
      <c r="M113" s="255"/>
      <c r="N113" s="255"/>
      <c r="O113" s="257"/>
      <c r="P113" s="251"/>
      <c r="Q113" s="255"/>
      <c r="R113" s="257"/>
    </row>
    <row r="114" spans="1:18" ht="17.100000000000001" hidden="1" customHeight="1">
      <c r="A114" s="258"/>
      <c r="B114" s="259"/>
      <c r="C114" s="194"/>
      <c r="D114" s="195"/>
      <c r="E114" s="195"/>
      <c r="F114" s="195"/>
      <c r="G114" s="196"/>
      <c r="H114" s="260"/>
      <c r="I114" s="260"/>
      <c r="J114" s="260"/>
      <c r="K114" s="197"/>
      <c r="L114" s="195"/>
      <c r="M114" s="260"/>
      <c r="N114" s="260"/>
      <c r="O114" s="261"/>
      <c r="P114" s="259"/>
      <c r="Q114" s="260"/>
      <c r="R114" s="262"/>
    </row>
    <row r="115" spans="1:18" ht="17.100000000000001" hidden="1" customHeight="1">
      <c r="A115" s="263">
        <v>38507</v>
      </c>
      <c r="B115" s="196">
        <v>33314.3296652313</v>
      </c>
      <c r="C115" s="194">
        <v>12541.5371621657</v>
      </c>
      <c r="D115" s="194">
        <v>64689.800611589897</v>
      </c>
      <c r="E115" s="195">
        <v>46947.676121296201</v>
      </c>
      <c r="F115" s="194">
        <v>185530.59383451584</v>
      </c>
      <c r="G115" s="196">
        <v>309709.60772956762</v>
      </c>
      <c r="H115" s="259">
        <v>294.13099999999997</v>
      </c>
      <c r="I115" s="259">
        <v>176.06079</v>
      </c>
      <c r="J115" s="264">
        <v>1824.9484996299898</v>
      </c>
      <c r="K115" s="197">
        <v>534.96565491799993</v>
      </c>
      <c r="L115" s="195">
        <v>44451.889366543561</v>
      </c>
      <c r="M115" s="260">
        <v>233.75249338</v>
      </c>
      <c r="N115" s="202">
        <v>26172.337258578093</v>
      </c>
      <c r="O115" s="265">
        <v>416712.02245784854</v>
      </c>
      <c r="P115" s="259">
        <v>1386.595668385</v>
      </c>
      <c r="Q115" s="260">
        <v>7129.5542757148251</v>
      </c>
      <c r="R115" s="262">
        <v>23605.773775925765</v>
      </c>
    </row>
    <row r="116" spans="1:18" ht="17.100000000000001" hidden="1" customHeight="1">
      <c r="A116" s="263">
        <v>38537</v>
      </c>
      <c r="B116" s="196">
        <v>35655.840129182223</v>
      </c>
      <c r="C116" s="194">
        <v>12524.0998402061</v>
      </c>
      <c r="D116" s="194">
        <v>64700.631896389998</v>
      </c>
      <c r="E116" s="195">
        <v>43475.352707129998</v>
      </c>
      <c r="F116" s="194">
        <v>172578.70953205152</v>
      </c>
      <c r="G116" s="196">
        <v>293278.79397577757</v>
      </c>
      <c r="H116" s="259">
        <v>439.52199999999999</v>
      </c>
      <c r="I116" s="259">
        <v>256.65156100000002</v>
      </c>
      <c r="J116" s="264">
        <v>1965.37868288</v>
      </c>
      <c r="K116" s="197">
        <v>543.55635719600002</v>
      </c>
      <c r="L116" s="195">
        <v>43598.200048683779</v>
      </c>
      <c r="M116" s="260">
        <v>197.56938764999998</v>
      </c>
      <c r="N116" s="202">
        <v>24349.856048317906</v>
      </c>
      <c r="O116" s="265">
        <v>400285.3681906875</v>
      </c>
      <c r="P116" s="259">
        <v>1212.9483919088393</v>
      </c>
      <c r="Q116" s="260">
        <v>6586.7872792642711</v>
      </c>
      <c r="R116" s="262">
        <v>24238.623600216506</v>
      </c>
    </row>
    <row r="117" spans="1:18" ht="17.100000000000001" hidden="1" customHeight="1">
      <c r="A117" s="263">
        <v>38568</v>
      </c>
      <c r="B117" s="196">
        <v>34807.926521993882</v>
      </c>
      <c r="C117" s="194">
        <v>12270.817540330001</v>
      </c>
      <c r="D117" s="194">
        <v>65173.569934319996</v>
      </c>
      <c r="E117" s="195">
        <v>44538.826833970001</v>
      </c>
      <c r="F117" s="194">
        <v>174702.33705945779</v>
      </c>
      <c r="G117" s="196">
        <v>296685.55136807775</v>
      </c>
      <c r="H117" s="259">
        <v>443.97899999999998</v>
      </c>
      <c r="I117" s="259">
        <v>207.467126107642</v>
      </c>
      <c r="J117" s="264">
        <v>2024.9421581700001</v>
      </c>
      <c r="K117" s="197">
        <v>767.93342603415795</v>
      </c>
      <c r="L117" s="195">
        <v>47846.490397179819</v>
      </c>
      <c r="M117" s="260">
        <v>187.29691399999999</v>
      </c>
      <c r="N117" s="202">
        <v>30819.523098918944</v>
      </c>
      <c r="O117" s="265">
        <v>413791.1100104822</v>
      </c>
      <c r="P117" s="259">
        <v>618.3953475774</v>
      </c>
      <c r="Q117" s="260">
        <v>7438.0409352728529</v>
      </c>
      <c r="R117" s="262">
        <v>24823.17850991038</v>
      </c>
    </row>
    <row r="118" spans="1:18" ht="17.100000000000001" hidden="1" customHeight="1">
      <c r="A118" s="263">
        <v>38599</v>
      </c>
      <c r="B118" s="196">
        <v>34679.337280858068</v>
      </c>
      <c r="C118" s="194">
        <v>13133.051838309999</v>
      </c>
      <c r="D118" s="194">
        <v>65814.825229919996</v>
      </c>
      <c r="E118" s="195">
        <v>45604.084845470003</v>
      </c>
      <c r="F118" s="194">
        <v>168539.09622266487</v>
      </c>
      <c r="G118" s="196">
        <v>293091.05813636485</v>
      </c>
      <c r="H118" s="259">
        <v>471.721</v>
      </c>
      <c r="I118" s="259">
        <v>498.23988800000001</v>
      </c>
      <c r="J118" s="264">
        <v>1941.948607</v>
      </c>
      <c r="K118" s="197">
        <v>376.61374038959997</v>
      </c>
      <c r="L118" s="195">
        <v>70186.567670441116</v>
      </c>
      <c r="M118" s="260">
        <v>299.35067511</v>
      </c>
      <c r="N118" s="202">
        <v>29807.131427826018</v>
      </c>
      <c r="O118" s="265">
        <v>431351.96842598967</v>
      </c>
      <c r="P118" s="259">
        <v>831.60307686940007</v>
      </c>
      <c r="Q118" s="260">
        <v>8289.9490468058011</v>
      </c>
      <c r="R118" s="262">
        <v>24860.211941645201</v>
      </c>
    </row>
    <row r="119" spans="1:18" ht="17.100000000000001" hidden="1" customHeight="1">
      <c r="A119" s="263">
        <v>38629</v>
      </c>
      <c r="B119" s="196">
        <v>34949.918854685537</v>
      </c>
      <c r="C119" s="194">
        <v>13177.965172479997</v>
      </c>
      <c r="D119" s="194">
        <v>65220.554194400014</v>
      </c>
      <c r="E119" s="195">
        <v>46809.53954939</v>
      </c>
      <c r="F119" s="194">
        <v>169555.64450865064</v>
      </c>
      <c r="G119" s="196">
        <v>294763.70342492068</v>
      </c>
      <c r="H119" s="259">
        <v>410.94436300000001</v>
      </c>
      <c r="I119" s="259">
        <v>637.72974366666665</v>
      </c>
      <c r="J119" s="264">
        <v>1919.1523198299999</v>
      </c>
      <c r="K119" s="197">
        <v>345.63559025706667</v>
      </c>
      <c r="L119" s="195">
        <v>68994.12984421193</v>
      </c>
      <c r="M119" s="260">
        <v>188.41700259999999</v>
      </c>
      <c r="N119" s="202">
        <v>28956.235910349227</v>
      </c>
      <c r="O119" s="265">
        <v>431165.8670535211</v>
      </c>
      <c r="P119" s="259">
        <v>827.45719163144372</v>
      </c>
      <c r="Q119" s="260">
        <v>7338.4225083410975</v>
      </c>
      <c r="R119" s="262">
        <v>26421.413142311201</v>
      </c>
    </row>
    <row r="120" spans="1:18" ht="17.100000000000001" hidden="1" customHeight="1">
      <c r="A120" s="263">
        <v>38660</v>
      </c>
      <c r="B120" s="196">
        <v>34569.799230259065</v>
      </c>
      <c r="C120" s="194">
        <v>13508.101885370001</v>
      </c>
      <c r="D120" s="194">
        <v>65724.891629670004</v>
      </c>
      <c r="E120" s="195">
        <v>48167.1976122958</v>
      </c>
      <c r="F120" s="194">
        <v>187200.09959854669</v>
      </c>
      <c r="G120" s="196">
        <v>314600.29072588251</v>
      </c>
      <c r="H120" s="259">
        <v>574.05638999999996</v>
      </c>
      <c r="I120" s="259">
        <v>797.50450000000001</v>
      </c>
      <c r="J120" s="264">
        <v>1909.2033610999999</v>
      </c>
      <c r="K120" s="197">
        <v>979.66696502100001</v>
      </c>
      <c r="L120" s="195">
        <v>64551.397934147477</v>
      </c>
      <c r="M120" s="260">
        <v>171.91533527000001</v>
      </c>
      <c r="N120" s="202">
        <v>32647.344193514655</v>
      </c>
      <c r="O120" s="265">
        <v>450801.17863519466</v>
      </c>
      <c r="P120" s="259">
        <v>856.7</v>
      </c>
      <c r="Q120" s="260">
        <v>7216.3</v>
      </c>
      <c r="R120" s="262">
        <v>27579.4</v>
      </c>
    </row>
    <row r="121" spans="1:18" ht="17.100000000000001" hidden="1" customHeight="1">
      <c r="A121" s="263">
        <v>38690</v>
      </c>
      <c r="B121" s="196">
        <v>34574.420254218647</v>
      </c>
      <c r="C121" s="194">
        <v>14110.53589809</v>
      </c>
      <c r="D121" s="194">
        <v>67501.420431265593</v>
      </c>
      <c r="E121" s="195">
        <v>47244.470643932567</v>
      </c>
      <c r="F121" s="194">
        <v>174181.71096754924</v>
      </c>
      <c r="G121" s="196">
        <v>303038.13794083742</v>
      </c>
      <c r="H121" s="259">
        <v>1010.2077939825701</v>
      </c>
      <c r="I121" s="259">
        <v>1437.3346373766665</v>
      </c>
      <c r="J121" s="264">
        <v>1987.4868184100001</v>
      </c>
      <c r="K121" s="197">
        <v>1076.5130019999999</v>
      </c>
      <c r="L121" s="195">
        <v>64852.58950334743</v>
      </c>
      <c r="M121" s="260">
        <v>166.07655534</v>
      </c>
      <c r="N121" s="202">
        <v>31652.435671702529</v>
      </c>
      <c r="O121" s="265">
        <v>439795.20217721525</v>
      </c>
      <c r="P121" s="259">
        <v>928.4</v>
      </c>
      <c r="Q121" s="260">
        <v>7948.1</v>
      </c>
      <c r="R121" s="262">
        <v>28045.599999999999</v>
      </c>
    </row>
    <row r="122" spans="1:18" ht="17.100000000000001" hidden="1" customHeight="1">
      <c r="A122" s="263">
        <v>38721</v>
      </c>
      <c r="B122" s="196">
        <v>36924.35446157265</v>
      </c>
      <c r="C122" s="194">
        <v>13983.074644281842</v>
      </c>
      <c r="D122" s="194">
        <v>68332.636517339997</v>
      </c>
      <c r="E122" s="195">
        <v>47491.847798671755</v>
      </c>
      <c r="F122" s="194">
        <v>176916.80491587555</v>
      </c>
      <c r="G122" s="196">
        <v>306724.36387616914</v>
      </c>
      <c r="H122" s="259">
        <v>503.04685326176002</v>
      </c>
      <c r="I122" s="259">
        <v>2070.0501545390002</v>
      </c>
      <c r="J122" s="264">
        <v>1888.4039616300001</v>
      </c>
      <c r="K122" s="197">
        <v>158.27166600000001</v>
      </c>
      <c r="L122" s="195">
        <v>60758.515065852342</v>
      </c>
      <c r="M122" s="260">
        <v>183.78642453000001</v>
      </c>
      <c r="N122" s="202">
        <v>31387.622715742345</v>
      </c>
      <c r="O122" s="265">
        <v>440598.41517929721</v>
      </c>
      <c r="P122" s="259">
        <v>1077.9000000000001</v>
      </c>
      <c r="Q122" s="260">
        <v>6275.4</v>
      </c>
      <c r="R122" s="262">
        <v>27917.4</v>
      </c>
    </row>
    <row r="123" spans="1:18" ht="17.100000000000001" hidden="1" customHeight="1">
      <c r="A123" s="263">
        <v>38752</v>
      </c>
      <c r="B123" s="196">
        <v>36627.104248475021</v>
      </c>
      <c r="C123" s="194">
        <v>12790.41216901</v>
      </c>
      <c r="D123" s="194">
        <v>70087.675198149984</v>
      </c>
      <c r="E123" s="195">
        <v>48122.885505840008</v>
      </c>
      <c r="F123" s="194">
        <v>203185.96320741251</v>
      </c>
      <c r="G123" s="196">
        <v>334186.93608041247</v>
      </c>
      <c r="H123" s="259">
        <v>497.67116764000002</v>
      </c>
      <c r="I123" s="259">
        <v>1036.3906663333332</v>
      </c>
      <c r="J123" s="264">
        <v>1878.2635167999999</v>
      </c>
      <c r="K123" s="197">
        <v>123.572222</v>
      </c>
      <c r="L123" s="195">
        <v>61300.669975414079</v>
      </c>
      <c r="M123" s="260">
        <v>237.19258668999998</v>
      </c>
      <c r="N123" s="202">
        <v>31760.560316088995</v>
      </c>
      <c r="O123" s="265">
        <v>467648.36077985395</v>
      </c>
      <c r="P123" s="259">
        <v>1099.9000000000001</v>
      </c>
      <c r="Q123" s="260">
        <v>6848.2</v>
      </c>
      <c r="R123" s="262">
        <v>27361.3</v>
      </c>
    </row>
    <row r="124" spans="1:18" ht="17.100000000000001" hidden="1" customHeight="1">
      <c r="A124" s="263">
        <v>38780</v>
      </c>
      <c r="B124" s="196">
        <v>36958.36487863915</v>
      </c>
      <c r="C124" s="194">
        <v>12805.844599700002</v>
      </c>
      <c r="D124" s="194">
        <v>69688.856829174372</v>
      </c>
      <c r="E124" s="195">
        <v>49522.178670157497</v>
      </c>
      <c r="F124" s="194">
        <v>205318.67478298573</v>
      </c>
      <c r="G124" s="196">
        <v>337335.5548820176</v>
      </c>
      <c r="H124" s="259">
        <v>666.22069099999999</v>
      </c>
      <c r="I124" s="259">
        <v>1191.648193</v>
      </c>
      <c r="J124" s="264">
        <v>1783.6481996399998</v>
      </c>
      <c r="K124" s="197">
        <v>119.6611312463</v>
      </c>
      <c r="L124" s="195">
        <v>64140.453085788766</v>
      </c>
      <c r="M124" s="260">
        <v>180.36242061000002</v>
      </c>
      <c r="N124" s="202">
        <v>32254.836692658588</v>
      </c>
      <c r="O124" s="265">
        <v>474630.7501746004</v>
      </c>
      <c r="P124" s="259">
        <v>844.1</v>
      </c>
      <c r="Q124" s="260">
        <v>7712.3</v>
      </c>
      <c r="R124" s="262">
        <v>26934.2</v>
      </c>
    </row>
    <row r="125" spans="1:18" ht="17.100000000000001" hidden="1" customHeight="1">
      <c r="A125" s="263">
        <v>38811</v>
      </c>
      <c r="B125" s="196">
        <v>37789.083059867386</v>
      </c>
      <c r="C125" s="194">
        <v>12339.17701003</v>
      </c>
      <c r="D125" s="194">
        <v>69908.187465793453</v>
      </c>
      <c r="E125" s="195">
        <v>48888.403495937499</v>
      </c>
      <c r="F125" s="194">
        <v>191542.68850449726</v>
      </c>
      <c r="G125" s="196">
        <v>322678.45647625823</v>
      </c>
      <c r="H125" s="259">
        <v>675.66790700000001</v>
      </c>
      <c r="I125" s="259">
        <v>1506.6770185</v>
      </c>
      <c r="J125" s="264">
        <v>1766.0030543200003</v>
      </c>
      <c r="K125" s="197">
        <v>115.39687499999999</v>
      </c>
      <c r="L125" s="195">
        <v>69075.346047901214</v>
      </c>
      <c r="M125" s="260">
        <v>171.32919222999999</v>
      </c>
      <c r="N125" s="202">
        <v>33618.464355409305</v>
      </c>
      <c r="O125" s="265">
        <v>467396.4239864861</v>
      </c>
      <c r="P125" s="259">
        <v>859.50071336691997</v>
      </c>
      <c r="Q125" s="260">
        <v>8681.2519002012414</v>
      </c>
      <c r="R125" s="262">
        <v>26333.643518534278</v>
      </c>
    </row>
    <row r="126" spans="1:18" ht="17.100000000000001" hidden="1" customHeight="1">
      <c r="A126" s="263">
        <v>38841</v>
      </c>
      <c r="B126" s="196">
        <v>36328.548670672157</v>
      </c>
      <c r="C126" s="194">
        <v>12456.594394139998</v>
      </c>
      <c r="D126" s="194">
        <v>69281.615019550009</v>
      </c>
      <c r="E126" s="195">
        <v>49475.622163072505</v>
      </c>
      <c r="F126" s="194">
        <v>208622.99470665227</v>
      </c>
      <c r="G126" s="196">
        <v>339836.82628341479</v>
      </c>
      <c r="H126" s="259">
        <v>608.93604400000004</v>
      </c>
      <c r="I126" s="259">
        <v>920.86022607929999</v>
      </c>
      <c r="J126" s="264">
        <v>1776.53939898</v>
      </c>
      <c r="K126" s="197">
        <v>111.3600499197</v>
      </c>
      <c r="L126" s="195">
        <v>83185.643189479306</v>
      </c>
      <c r="M126" s="260">
        <v>146.50138437999999</v>
      </c>
      <c r="N126" s="202">
        <v>35824.189557003177</v>
      </c>
      <c r="O126" s="265">
        <v>498739.40480392834</v>
      </c>
      <c r="P126" s="259">
        <v>759.54695717229401</v>
      </c>
      <c r="Q126" s="260">
        <v>9110.7840926324461</v>
      </c>
      <c r="R126" s="262">
        <v>26639.475061536417</v>
      </c>
    </row>
    <row r="127" spans="1:18" ht="17.100000000000001" hidden="1" customHeight="1">
      <c r="A127" s="263">
        <v>38872</v>
      </c>
      <c r="B127" s="196">
        <v>35945.678492865554</v>
      </c>
      <c r="C127" s="194">
        <v>14240.402501648103</v>
      </c>
      <c r="D127" s="194">
        <v>70504.164355250003</v>
      </c>
      <c r="E127" s="195">
        <v>50414.439548219998</v>
      </c>
      <c r="F127" s="194">
        <v>208440.57626165368</v>
      </c>
      <c r="G127" s="196">
        <v>343599.58266677184</v>
      </c>
      <c r="H127" s="259">
        <v>841.06467599999996</v>
      </c>
      <c r="I127" s="259">
        <v>1393.282193342762</v>
      </c>
      <c r="J127" s="264">
        <v>1680.85943479</v>
      </c>
      <c r="K127" s="197">
        <v>106.961805</v>
      </c>
      <c r="L127" s="195">
        <v>73413.897162165798</v>
      </c>
      <c r="M127" s="260">
        <v>268.34537397999998</v>
      </c>
      <c r="N127" s="202">
        <v>34041.51757578503</v>
      </c>
      <c r="O127" s="265">
        <v>491291.18938070093</v>
      </c>
      <c r="P127" s="259">
        <v>884.22912759779695</v>
      </c>
      <c r="Q127" s="260">
        <v>9224.5234574953029</v>
      </c>
      <c r="R127" s="262">
        <v>25183.870442024734</v>
      </c>
    </row>
    <row r="128" spans="1:18" ht="17.100000000000001" hidden="1" customHeight="1">
      <c r="A128" s="263">
        <v>38902</v>
      </c>
      <c r="B128" s="196">
        <v>38856.715565693012</v>
      </c>
      <c r="C128" s="194">
        <v>13651.915797934758</v>
      </c>
      <c r="D128" s="194">
        <v>70665.480435509991</v>
      </c>
      <c r="E128" s="195">
        <v>51500.670103259996</v>
      </c>
      <c r="F128" s="194">
        <v>217617.05176535808</v>
      </c>
      <c r="G128" s="196">
        <v>353435.11810206284</v>
      </c>
      <c r="H128" s="259">
        <v>1017.480589</v>
      </c>
      <c r="I128" s="259">
        <v>789.3799865574</v>
      </c>
      <c r="J128" s="264">
        <v>1663.21851984</v>
      </c>
      <c r="K128" s="197">
        <v>103.833333</v>
      </c>
      <c r="L128" s="195">
        <v>80259.341724990096</v>
      </c>
      <c r="M128" s="260">
        <v>184.77071556000001</v>
      </c>
      <c r="N128" s="202">
        <v>33472.357200486753</v>
      </c>
      <c r="O128" s="265">
        <v>509782.2157371901</v>
      </c>
      <c r="P128" s="259">
        <v>811.86053165465</v>
      </c>
      <c r="Q128" s="260">
        <v>9500.8478939076012</v>
      </c>
      <c r="R128" s="262">
        <v>24376.632046391231</v>
      </c>
    </row>
    <row r="129" spans="1:18" ht="17.100000000000001" hidden="1" customHeight="1">
      <c r="A129" s="263">
        <v>38933</v>
      </c>
      <c r="B129" s="196">
        <v>39538.894083582309</v>
      </c>
      <c r="C129" s="194">
        <v>14606.158464992388</v>
      </c>
      <c r="D129" s="194">
        <v>71360.13975301999</v>
      </c>
      <c r="E129" s="195">
        <v>52029.152807316896</v>
      </c>
      <c r="F129" s="194">
        <v>222634.03862917353</v>
      </c>
      <c r="G129" s="196">
        <v>360629.48965450283</v>
      </c>
      <c r="H129" s="259">
        <v>763.323081</v>
      </c>
      <c r="I129" s="259">
        <v>1007.0960447402</v>
      </c>
      <c r="J129" s="264">
        <v>2103.03426756</v>
      </c>
      <c r="K129" s="197">
        <v>103.34861594253333</v>
      </c>
      <c r="L129" s="195">
        <v>83111.495058473738</v>
      </c>
      <c r="M129" s="260">
        <v>185.93523019999998</v>
      </c>
      <c r="N129" s="202">
        <v>34806.996549945376</v>
      </c>
      <c r="O129" s="265">
        <v>522249.61258594698</v>
      </c>
      <c r="P129" s="259">
        <v>909.05931357014083</v>
      </c>
      <c r="Q129" s="260">
        <v>11204.916419407582</v>
      </c>
      <c r="R129" s="262">
        <v>24534.506904093349</v>
      </c>
    </row>
    <row r="130" spans="1:18" ht="17.100000000000001" hidden="1" customHeight="1">
      <c r="A130" s="263">
        <v>38964</v>
      </c>
      <c r="B130" s="196">
        <v>38415.680143325524</v>
      </c>
      <c r="C130" s="194">
        <v>14755.339781037763</v>
      </c>
      <c r="D130" s="194">
        <v>70865.407833656151</v>
      </c>
      <c r="E130" s="195">
        <v>52258.20919070152</v>
      </c>
      <c r="F130" s="194">
        <v>246474.22319282172</v>
      </c>
      <c r="G130" s="196">
        <v>384353.17999821715</v>
      </c>
      <c r="H130" s="259">
        <v>576.47537799999998</v>
      </c>
      <c r="I130" s="259">
        <v>1542.863464</v>
      </c>
      <c r="J130" s="264">
        <v>1645.1564350599999</v>
      </c>
      <c r="K130" s="197">
        <v>99.100597968799988</v>
      </c>
      <c r="L130" s="195">
        <v>82272.749120402979</v>
      </c>
      <c r="M130" s="260">
        <v>409.62573135000002</v>
      </c>
      <c r="N130" s="202">
        <v>38681.221334301532</v>
      </c>
      <c r="O130" s="265">
        <v>547996.0522026259</v>
      </c>
      <c r="P130" s="259">
        <v>784.88532452712388</v>
      </c>
      <c r="Q130" s="260">
        <v>13396.544971753299</v>
      </c>
      <c r="R130" s="262">
        <v>24891.347758025375</v>
      </c>
    </row>
    <row r="131" spans="1:18" ht="17.100000000000001" hidden="1" customHeight="1">
      <c r="A131" s="263">
        <v>38994</v>
      </c>
      <c r="B131" s="196">
        <v>39183.210187195349</v>
      </c>
      <c r="C131" s="194">
        <v>13763.312606333302</v>
      </c>
      <c r="D131" s="194">
        <v>70353.759731990474</v>
      </c>
      <c r="E131" s="195">
        <v>52952.367946641803</v>
      </c>
      <c r="F131" s="194">
        <v>247893.75165553577</v>
      </c>
      <c r="G131" s="196">
        <v>384963.19194050133</v>
      </c>
      <c r="H131" s="259">
        <v>1942.4446660000001</v>
      </c>
      <c r="I131" s="259">
        <v>1525.3531800000001</v>
      </c>
      <c r="J131" s="264">
        <v>1544.2456067999999</v>
      </c>
      <c r="K131" s="197">
        <v>99.152777</v>
      </c>
      <c r="L131" s="195">
        <v>85273.871437792142</v>
      </c>
      <c r="M131" s="260">
        <v>181.78692365000001</v>
      </c>
      <c r="N131" s="202">
        <v>38968.708448031422</v>
      </c>
      <c r="O131" s="265">
        <v>553681.96516697027</v>
      </c>
      <c r="P131" s="259">
        <v>948.10002470860195</v>
      </c>
      <c r="Q131" s="260">
        <v>14847.023643733521</v>
      </c>
      <c r="R131" s="262">
        <v>25647.676949284843</v>
      </c>
    </row>
    <row r="132" spans="1:18" ht="17.100000000000001" hidden="1" customHeight="1">
      <c r="A132" s="263">
        <v>39025</v>
      </c>
      <c r="B132" s="196">
        <v>39628.254322696332</v>
      </c>
      <c r="C132" s="194">
        <v>14530.925454881601</v>
      </c>
      <c r="D132" s="194">
        <v>70805.037313051493</v>
      </c>
      <c r="E132" s="195">
        <v>52101.017588882773</v>
      </c>
      <c r="F132" s="194">
        <v>272561.67765062919</v>
      </c>
      <c r="G132" s="196">
        <v>409998.65800744505</v>
      </c>
      <c r="H132" s="259">
        <v>1735.303161</v>
      </c>
      <c r="I132" s="259">
        <v>1552.3153500000001</v>
      </c>
      <c r="J132" s="264">
        <v>1541.1359628</v>
      </c>
      <c r="K132" s="197">
        <v>90.284722000000002</v>
      </c>
      <c r="L132" s="195">
        <v>83848.779267479214</v>
      </c>
      <c r="M132" s="260">
        <v>195.18050628</v>
      </c>
      <c r="N132" s="202">
        <v>41365.106218092849</v>
      </c>
      <c r="O132" s="265">
        <v>579955.01751779357</v>
      </c>
      <c r="P132" s="259">
        <v>920.66912907108997</v>
      </c>
      <c r="Q132" s="260">
        <v>14385.066447959533</v>
      </c>
      <c r="R132" s="262">
        <v>26797.138012394582</v>
      </c>
    </row>
    <row r="133" spans="1:18" ht="17.100000000000001" hidden="1" customHeight="1">
      <c r="A133" s="263">
        <v>39055</v>
      </c>
      <c r="B133" s="196">
        <v>38264.265274796315</v>
      </c>
      <c r="C133" s="194">
        <v>15094.59161351</v>
      </c>
      <c r="D133" s="194">
        <v>72630.524212953576</v>
      </c>
      <c r="E133" s="195">
        <v>52007.626654745</v>
      </c>
      <c r="F133" s="194">
        <v>299459.55919592892</v>
      </c>
      <c r="G133" s="196">
        <v>439192.3016771375</v>
      </c>
      <c r="H133" s="259">
        <v>1942.5017720000001</v>
      </c>
      <c r="I133" s="259">
        <v>922.40969308000001</v>
      </c>
      <c r="J133" s="264">
        <v>1535.6781856100001</v>
      </c>
      <c r="K133" s="197">
        <v>1710.8034720000001</v>
      </c>
      <c r="L133" s="195">
        <v>85821.266988164993</v>
      </c>
      <c r="M133" s="260">
        <v>188.93912783999997</v>
      </c>
      <c r="N133" s="202">
        <v>39696.624835439325</v>
      </c>
      <c r="O133" s="265">
        <v>609274.79102606804</v>
      </c>
      <c r="P133" s="259">
        <v>1036.9925128875</v>
      </c>
      <c r="Q133" s="260">
        <v>14817.26762307225</v>
      </c>
      <c r="R133" s="262">
        <v>26745.332369011503</v>
      </c>
    </row>
    <row r="134" spans="1:18" ht="17.100000000000001" hidden="1" customHeight="1">
      <c r="A134" s="263">
        <v>39086</v>
      </c>
      <c r="B134" s="196">
        <v>41237.896880329274</v>
      </c>
      <c r="C134" s="194">
        <v>14926.672092806451</v>
      </c>
      <c r="D134" s="194">
        <v>72075.320443250006</v>
      </c>
      <c r="E134" s="195">
        <v>52383.656059624169</v>
      </c>
      <c r="F134" s="194">
        <v>273912.26782859705</v>
      </c>
      <c r="G134" s="196">
        <v>413297.9164242777</v>
      </c>
      <c r="H134" s="259">
        <v>495.6</v>
      </c>
      <c r="I134" s="259">
        <v>2034.7150406097501</v>
      </c>
      <c r="J134" s="264">
        <v>1439.55187161</v>
      </c>
      <c r="K134" s="197">
        <v>84.233287000000004</v>
      </c>
      <c r="L134" s="195">
        <v>82434.071374812906</v>
      </c>
      <c r="M134" s="260">
        <v>394.68905271000006</v>
      </c>
      <c r="N134" s="202">
        <v>37759.681166899434</v>
      </c>
      <c r="O134" s="265">
        <v>579178.35509824904</v>
      </c>
      <c r="P134" s="259">
        <v>894.8075234487676</v>
      </c>
      <c r="Q134" s="260">
        <v>20719.872950271463</v>
      </c>
      <c r="R134" s="262">
        <v>27121.786636066317</v>
      </c>
    </row>
    <row r="135" spans="1:18" ht="17.100000000000001" hidden="1" customHeight="1">
      <c r="A135" s="263">
        <v>39117</v>
      </c>
      <c r="B135" s="196">
        <v>39361.552037328802</v>
      </c>
      <c r="C135" s="194">
        <v>15969.821559922933</v>
      </c>
      <c r="D135" s="194">
        <v>73475.119023290012</v>
      </c>
      <c r="E135" s="195">
        <v>52703.943840727508</v>
      </c>
      <c r="F135" s="194">
        <v>275346.52046434314</v>
      </c>
      <c r="G135" s="196">
        <v>417495.40488828358</v>
      </c>
      <c r="H135" s="259">
        <v>1432.41155</v>
      </c>
      <c r="I135" s="259">
        <v>596.00466031999997</v>
      </c>
      <c r="J135" s="264">
        <v>1437.4964736100001</v>
      </c>
      <c r="K135" s="197">
        <v>87.513453148183331</v>
      </c>
      <c r="L135" s="195">
        <v>82689.254730108049</v>
      </c>
      <c r="M135" s="260">
        <v>202.66117700000001</v>
      </c>
      <c r="N135" s="202">
        <v>38679.908281309705</v>
      </c>
      <c r="O135" s="265">
        <v>581982.20725110837</v>
      </c>
      <c r="P135" s="259">
        <v>634.22318991004317</v>
      </c>
      <c r="Q135" s="260">
        <v>13048.87204747268</v>
      </c>
      <c r="R135" s="262">
        <v>27789.450119973182</v>
      </c>
    </row>
    <row r="136" spans="1:18" ht="17.100000000000001" hidden="1" customHeight="1">
      <c r="A136" s="263">
        <v>39145</v>
      </c>
      <c r="B136" s="196">
        <v>39093.285654012958</v>
      </c>
      <c r="C136" s="194">
        <v>15971.881930221802</v>
      </c>
      <c r="D136" s="194">
        <v>73118.177204579988</v>
      </c>
      <c r="E136" s="195">
        <v>54628.388704122393</v>
      </c>
      <c r="F136" s="194">
        <v>283611.89338598202</v>
      </c>
      <c r="G136" s="196">
        <v>427330.34122490621</v>
      </c>
      <c r="H136" s="259">
        <v>1260.2740650000001</v>
      </c>
      <c r="I136" s="259">
        <v>1166.8732867342976</v>
      </c>
      <c r="J136" s="264">
        <v>1435.15478981</v>
      </c>
      <c r="K136" s="197">
        <v>71.990440748531313</v>
      </c>
      <c r="L136" s="195">
        <v>87663.059775620422</v>
      </c>
      <c r="M136" s="260">
        <v>194.75647052000002</v>
      </c>
      <c r="N136" s="202">
        <v>40042.757555454584</v>
      </c>
      <c r="O136" s="265">
        <v>598258.49326280702</v>
      </c>
      <c r="P136" s="259">
        <v>668.99630235338998</v>
      </c>
      <c r="Q136" s="260">
        <v>13823.225738575306</v>
      </c>
      <c r="R136" s="262">
        <v>26889.231380395693</v>
      </c>
    </row>
    <row r="137" spans="1:18" ht="17.100000000000001" hidden="1" customHeight="1">
      <c r="A137" s="263">
        <v>39176</v>
      </c>
      <c r="B137" s="196">
        <v>40016.14276302675</v>
      </c>
      <c r="C137" s="194">
        <v>16421.777443627736</v>
      </c>
      <c r="D137" s="194">
        <v>73037.387095263563</v>
      </c>
      <c r="E137" s="195">
        <v>54999.42761372737</v>
      </c>
      <c r="F137" s="194">
        <v>282141.28529764002</v>
      </c>
      <c r="G137" s="196">
        <v>426599.8774502587</v>
      </c>
      <c r="H137" s="259">
        <v>1176.9680900000001</v>
      </c>
      <c r="I137" s="259">
        <v>1435.8381945547274</v>
      </c>
      <c r="J137" s="264">
        <v>1340.0286288099999</v>
      </c>
      <c r="K137" s="197">
        <v>856.250001</v>
      </c>
      <c r="L137" s="195">
        <v>86063.911275163235</v>
      </c>
      <c r="M137" s="260">
        <v>172.40133334999999</v>
      </c>
      <c r="N137" s="202">
        <v>40046.096965503864</v>
      </c>
      <c r="O137" s="265">
        <v>597707.51470166724</v>
      </c>
      <c r="P137" s="259">
        <v>616.82661953017669</v>
      </c>
      <c r="Q137" s="260">
        <v>14862.392229500863</v>
      </c>
      <c r="R137" s="262">
        <v>27547.850340083387</v>
      </c>
    </row>
    <row r="138" spans="1:18" ht="17.100000000000001" hidden="1" customHeight="1">
      <c r="A138" s="263">
        <v>39206</v>
      </c>
      <c r="B138" s="196">
        <v>39592.090761160915</v>
      </c>
      <c r="C138" s="194">
        <v>17439.220281897567</v>
      </c>
      <c r="D138" s="194">
        <v>72496.842956805354</v>
      </c>
      <c r="E138" s="195">
        <v>55883.906478431891</v>
      </c>
      <c r="F138" s="194">
        <v>275617.64896454872</v>
      </c>
      <c r="G138" s="196">
        <v>421437.61868168355</v>
      </c>
      <c r="H138" s="259">
        <v>2068.7641610000001</v>
      </c>
      <c r="I138" s="259">
        <v>570.24548286940001</v>
      </c>
      <c r="J138" s="264">
        <v>1339.9668938099999</v>
      </c>
      <c r="K138" s="197">
        <v>3166.3652769999999</v>
      </c>
      <c r="L138" s="195">
        <v>92525.658885445999</v>
      </c>
      <c r="M138" s="260">
        <v>198.01183466999998</v>
      </c>
      <c r="N138" s="202">
        <v>43505.211066319098</v>
      </c>
      <c r="O138" s="265">
        <v>604403.93304395897</v>
      </c>
      <c r="P138" s="259">
        <v>1570.99340514</v>
      </c>
      <c r="Q138" s="260">
        <v>12298.885359942966</v>
      </c>
      <c r="R138" s="262">
        <v>28485.965913041888</v>
      </c>
    </row>
    <row r="139" spans="1:18" ht="17.100000000000001" hidden="1" customHeight="1">
      <c r="A139" s="263">
        <v>39237</v>
      </c>
      <c r="B139" s="196">
        <v>39761.497566172409</v>
      </c>
      <c r="C139" s="194">
        <v>16218.650150268439</v>
      </c>
      <c r="D139" s="194">
        <v>75083.559045704606</v>
      </c>
      <c r="E139" s="195">
        <v>56171.337685987099</v>
      </c>
      <c r="F139" s="194">
        <v>286940.21505947877</v>
      </c>
      <c r="G139" s="196">
        <v>434413.76194143889</v>
      </c>
      <c r="H139" s="259">
        <v>740.66122600000006</v>
      </c>
      <c r="I139" s="259">
        <v>1095.6070701645601</v>
      </c>
      <c r="J139" s="264">
        <v>1337.4968465999998</v>
      </c>
      <c r="K139" s="197">
        <v>2388.9479135000001</v>
      </c>
      <c r="L139" s="195">
        <v>101448.19552319779</v>
      </c>
      <c r="M139" s="260">
        <v>179.19547094999999</v>
      </c>
      <c r="N139" s="202">
        <v>42533.540475688707</v>
      </c>
      <c r="O139" s="265">
        <v>623898.90403371223</v>
      </c>
      <c r="P139" s="259">
        <v>754.09366899313</v>
      </c>
      <c r="Q139" s="260">
        <v>14636.019580593207</v>
      </c>
      <c r="R139" s="262">
        <v>29108.232753626628</v>
      </c>
    </row>
    <row r="140" spans="1:18" ht="17.100000000000001" hidden="1" customHeight="1">
      <c r="A140" s="263">
        <v>39267</v>
      </c>
      <c r="B140" s="196">
        <v>42815.13521403545</v>
      </c>
      <c r="C140" s="194">
        <v>14882.622112465391</v>
      </c>
      <c r="D140" s="194">
        <v>74439.564063894199</v>
      </c>
      <c r="E140" s="195">
        <v>57338.248666217769</v>
      </c>
      <c r="F140" s="194">
        <v>321345.06791420595</v>
      </c>
      <c r="G140" s="196">
        <v>468005.50275678333</v>
      </c>
      <c r="H140" s="259">
        <v>793.87748399999998</v>
      </c>
      <c r="I140" s="259">
        <v>1331.0079938677331</v>
      </c>
      <c r="J140" s="264">
        <v>1240.68604329</v>
      </c>
      <c r="K140" s="197">
        <v>51.508333</v>
      </c>
      <c r="L140" s="195">
        <v>91349.802510185749</v>
      </c>
      <c r="M140" s="260">
        <v>204.43575978000001</v>
      </c>
      <c r="N140" s="202">
        <v>39711.031656833256</v>
      </c>
      <c r="O140" s="265">
        <v>645502.98775177554</v>
      </c>
      <c r="P140" s="259">
        <v>660.59865343611864</v>
      </c>
      <c r="Q140" s="260">
        <v>14579.387111143475</v>
      </c>
      <c r="R140" s="262">
        <v>28445.738697732326</v>
      </c>
    </row>
    <row r="141" spans="1:18" ht="17.100000000000001" hidden="1" customHeight="1">
      <c r="A141" s="263">
        <v>39298</v>
      </c>
      <c r="B141" s="196">
        <v>42107.660789130772</v>
      </c>
      <c r="C141" s="194">
        <v>15038.221269937188</v>
      </c>
      <c r="D141" s="194">
        <v>74510.392492476822</v>
      </c>
      <c r="E141" s="195">
        <v>59252.264913179082</v>
      </c>
      <c r="F141" s="194">
        <v>327309.68400544632</v>
      </c>
      <c r="G141" s="196">
        <v>476110.56268103939</v>
      </c>
      <c r="H141" s="259">
        <v>1200.041553</v>
      </c>
      <c r="I141" s="259">
        <v>2090.1869199770999</v>
      </c>
      <c r="J141" s="264">
        <v>1240.57743891</v>
      </c>
      <c r="K141" s="197">
        <v>47.124304999999993</v>
      </c>
      <c r="L141" s="195">
        <v>97019.453372070886</v>
      </c>
      <c r="M141" s="260">
        <v>262.66118234999999</v>
      </c>
      <c r="N141" s="202">
        <v>42523.403885241409</v>
      </c>
      <c r="O141" s="265">
        <v>662601.6721267195</v>
      </c>
      <c r="P141" s="259">
        <v>1871.4671275974499</v>
      </c>
      <c r="Q141" s="260">
        <v>14424.54493593898</v>
      </c>
      <c r="R141" s="262">
        <v>29897.428364197403</v>
      </c>
    </row>
    <row r="142" spans="1:18" ht="17.100000000000001" hidden="1" customHeight="1">
      <c r="A142" s="263">
        <v>39329</v>
      </c>
      <c r="B142" s="196">
        <v>41351.253952710242</v>
      </c>
      <c r="C142" s="194">
        <v>17698.460957907664</v>
      </c>
      <c r="D142" s="194">
        <v>74643.907522941721</v>
      </c>
      <c r="E142" s="195">
        <v>59005.12241185984</v>
      </c>
      <c r="F142" s="194">
        <v>332024.35019516654</v>
      </c>
      <c r="G142" s="196">
        <v>483371.84108787577</v>
      </c>
      <c r="H142" s="259">
        <v>598.56087500000001</v>
      </c>
      <c r="I142" s="259">
        <v>2428.8150328634665</v>
      </c>
      <c r="J142" s="264">
        <v>1238.2822980000001</v>
      </c>
      <c r="K142" s="197">
        <v>157.33760255819118</v>
      </c>
      <c r="L142" s="195">
        <v>101282.39344934023</v>
      </c>
      <c r="M142" s="260">
        <v>223.00376259999999</v>
      </c>
      <c r="N142" s="202">
        <v>42014.882050474902</v>
      </c>
      <c r="O142" s="265">
        <v>672666.37011142273</v>
      </c>
      <c r="P142" s="259">
        <v>1760.2558156549348</v>
      </c>
      <c r="Q142" s="260">
        <v>15610.524431525258</v>
      </c>
      <c r="R142" s="262">
        <v>30790.800912059651</v>
      </c>
    </row>
    <row r="143" spans="1:18" ht="17.100000000000001" hidden="1" customHeight="1">
      <c r="A143" s="263">
        <v>39359</v>
      </c>
      <c r="B143" s="196">
        <v>41761.875019543375</v>
      </c>
      <c r="C143" s="194">
        <v>17484.290051539319</v>
      </c>
      <c r="D143" s="194">
        <v>74176.35885617754</v>
      </c>
      <c r="E143" s="195">
        <v>60562.157653942711</v>
      </c>
      <c r="F143" s="194">
        <v>334505.25595951884</v>
      </c>
      <c r="G143" s="196">
        <v>486728.06252117839</v>
      </c>
      <c r="H143" s="259">
        <v>550.20000000000005</v>
      </c>
      <c r="I143" s="259">
        <v>1167.161942</v>
      </c>
      <c r="J143" s="264">
        <v>1138.8180956800002</v>
      </c>
      <c r="K143" s="197">
        <v>127.737499</v>
      </c>
      <c r="L143" s="195">
        <v>93162.695088233537</v>
      </c>
      <c r="M143" s="260">
        <v>176.05114791999998</v>
      </c>
      <c r="N143" s="202">
        <v>45414.605347294979</v>
      </c>
      <c r="O143" s="265">
        <v>670227.20666085021</v>
      </c>
      <c r="P143" s="259">
        <v>742.39100515989878</v>
      </c>
      <c r="Q143" s="260">
        <v>18279.364566641376</v>
      </c>
      <c r="R143" s="262">
        <v>32099.461166553127</v>
      </c>
    </row>
    <row r="144" spans="1:18" ht="17.100000000000001" hidden="1" customHeight="1">
      <c r="A144" s="263">
        <v>39390</v>
      </c>
      <c r="B144" s="196">
        <v>41349.790478749084</v>
      </c>
      <c r="C144" s="194">
        <v>17581.012513052476</v>
      </c>
      <c r="D144" s="194">
        <v>75478.222469530127</v>
      </c>
      <c r="E144" s="195">
        <v>62086.77497899274</v>
      </c>
      <c r="F144" s="194">
        <v>369659.41182994132</v>
      </c>
      <c r="G144" s="196">
        <v>524805.42179151671</v>
      </c>
      <c r="H144" s="259">
        <v>1580.2014790000001</v>
      </c>
      <c r="I144" s="259">
        <v>1699.1791639999999</v>
      </c>
      <c r="J144" s="264">
        <v>1138.8181356800001</v>
      </c>
      <c r="K144" s="197">
        <v>122.185832</v>
      </c>
      <c r="L144" s="195">
        <v>97693.564260183644</v>
      </c>
      <c r="M144" s="260">
        <v>194.71733823000002</v>
      </c>
      <c r="N144" s="202">
        <v>45926.496207031982</v>
      </c>
      <c r="O144" s="265">
        <v>714510.37468639144</v>
      </c>
      <c r="P144" s="259">
        <v>1846.1546069188505</v>
      </c>
      <c r="Q144" s="260">
        <v>14067.362827346911</v>
      </c>
      <c r="R144" s="262">
        <v>32088.866855681736</v>
      </c>
    </row>
    <row r="145" spans="1:18" ht="17.100000000000001" hidden="1" customHeight="1">
      <c r="A145" s="263">
        <v>39420</v>
      </c>
      <c r="B145" s="196">
        <v>40608.749888339378</v>
      </c>
      <c r="C145" s="194">
        <v>20988.844513389162</v>
      </c>
      <c r="D145" s="194">
        <v>80058.047623434672</v>
      </c>
      <c r="E145" s="195">
        <v>60979.576944237982</v>
      </c>
      <c r="F145" s="194">
        <v>341766.62186746439</v>
      </c>
      <c r="G145" s="196">
        <v>503793.09094852622</v>
      </c>
      <c r="H145" s="259">
        <v>1688.2</v>
      </c>
      <c r="I145" s="259">
        <v>1179.985846</v>
      </c>
      <c r="J145" s="264">
        <v>1039.8980081</v>
      </c>
      <c r="K145" s="197">
        <v>27.756944000000001</v>
      </c>
      <c r="L145" s="195">
        <v>98714.051315161196</v>
      </c>
      <c r="M145" s="260">
        <v>156.28003122999999</v>
      </c>
      <c r="N145" s="202">
        <v>47550.322329328767</v>
      </c>
      <c r="O145" s="265">
        <v>694758.33531068545</v>
      </c>
      <c r="P145" s="259">
        <v>1915.9548169166123</v>
      </c>
      <c r="Q145" s="260">
        <v>20762.554697381362</v>
      </c>
      <c r="R145" s="262">
        <v>24875.468099713384</v>
      </c>
    </row>
    <row r="146" spans="1:18" ht="17.100000000000001" hidden="1" customHeight="1">
      <c r="A146" s="263">
        <v>39451</v>
      </c>
      <c r="B146" s="196">
        <v>45219.733712550544</v>
      </c>
      <c r="C146" s="194">
        <v>18534.134153139501</v>
      </c>
      <c r="D146" s="194">
        <v>81207.245343740928</v>
      </c>
      <c r="E146" s="195">
        <v>63277.397415653177</v>
      </c>
      <c r="F146" s="194">
        <v>371821.6633845421</v>
      </c>
      <c r="G146" s="196">
        <v>534840.44029707578</v>
      </c>
      <c r="H146" s="259">
        <v>528.68053399999997</v>
      </c>
      <c r="I146" s="259">
        <v>1391.4727522820558</v>
      </c>
      <c r="J146" s="264">
        <v>1031.7192833500001</v>
      </c>
      <c r="K146" s="197">
        <v>663.72923800000001</v>
      </c>
      <c r="L146" s="195">
        <v>94578.328081936867</v>
      </c>
      <c r="M146" s="260">
        <v>258.47888306999999</v>
      </c>
      <c r="N146" s="202">
        <v>44956.311655903381</v>
      </c>
      <c r="O146" s="265">
        <v>723468.89443816862</v>
      </c>
      <c r="P146" s="259">
        <v>797.35901141019599</v>
      </c>
      <c r="Q146" s="260">
        <v>15835.307889879743</v>
      </c>
      <c r="R146" s="262">
        <v>33587.159823334492</v>
      </c>
    </row>
    <row r="147" spans="1:18" ht="17.100000000000001" hidden="1" customHeight="1">
      <c r="A147" s="263">
        <v>39482</v>
      </c>
      <c r="B147" s="196">
        <v>44157.010248564169</v>
      </c>
      <c r="C147" s="194">
        <v>18412.574908160284</v>
      </c>
      <c r="D147" s="194">
        <v>83938.260442163475</v>
      </c>
      <c r="E147" s="195">
        <v>63170.641707209703</v>
      </c>
      <c r="F147" s="194">
        <v>349702.87977487751</v>
      </c>
      <c r="G147" s="196">
        <v>515224.35683241097</v>
      </c>
      <c r="H147" s="259">
        <v>619.20630000000006</v>
      </c>
      <c r="I147" s="259">
        <v>2392.6345342760801</v>
      </c>
      <c r="J147" s="264">
        <v>1031.7117390999999</v>
      </c>
      <c r="K147" s="197">
        <v>673.01901154910229</v>
      </c>
      <c r="L147" s="195">
        <v>96548.267291048774</v>
      </c>
      <c r="M147" s="260">
        <v>251.84620692999999</v>
      </c>
      <c r="N147" s="202">
        <v>43935.237624523965</v>
      </c>
      <c r="O147" s="265">
        <v>704833.28978840297</v>
      </c>
      <c r="P147" s="259">
        <v>683.9946615662401</v>
      </c>
      <c r="Q147" s="260">
        <v>13923.390133913685</v>
      </c>
      <c r="R147" s="262">
        <v>33365.485037089602</v>
      </c>
    </row>
    <row r="148" spans="1:18" ht="17.100000000000001" hidden="1" customHeight="1">
      <c r="A148" s="263">
        <v>39511</v>
      </c>
      <c r="B148" s="196">
        <v>44910.173476965756</v>
      </c>
      <c r="C148" s="194">
        <v>19724.030662492001</v>
      </c>
      <c r="D148" s="194">
        <v>84561.29692060352</v>
      </c>
      <c r="E148" s="195">
        <v>63780.792761205383</v>
      </c>
      <c r="F148" s="194">
        <v>333992.21119524055</v>
      </c>
      <c r="G148" s="196">
        <v>502058.33153954148</v>
      </c>
      <c r="H148" s="259">
        <v>522.72570900000005</v>
      </c>
      <c r="I148" s="259">
        <v>1708.8411643392001</v>
      </c>
      <c r="J148" s="264">
        <v>948.38940024999999</v>
      </c>
      <c r="K148" s="197">
        <v>1448.8523960578514</v>
      </c>
      <c r="L148" s="195">
        <v>99935.646526357232</v>
      </c>
      <c r="M148" s="260">
        <v>212.59675449000002</v>
      </c>
      <c r="N148" s="202">
        <v>41830.212677692951</v>
      </c>
      <c r="O148" s="265">
        <v>693575.76964469452</v>
      </c>
      <c r="P148" s="259">
        <v>679.58188638586478</v>
      </c>
      <c r="Q148" s="260">
        <v>13558.901720736643</v>
      </c>
      <c r="R148" s="262">
        <v>32722.405401442564</v>
      </c>
    </row>
    <row r="149" spans="1:18" ht="17.100000000000001" hidden="1" customHeight="1">
      <c r="A149" s="263">
        <v>39542</v>
      </c>
      <c r="B149" s="196">
        <v>45848.841611171447</v>
      </c>
      <c r="C149" s="194">
        <v>19734.298720471084</v>
      </c>
      <c r="D149" s="194">
        <v>84690.78256286215</v>
      </c>
      <c r="E149" s="195">
        <v>65010.498764904842</v>
      </c>
      <c r="F149" s="194">
        <v>324774.01394262968</v>
      </c>
      <c r="G149" s="196">
        <v>494209.59399086778</v>
      </c>
      <c r="H149" s="259">
        <v>802.36300000000006</v>
      </c>
      <c r="I149" s="259">
        <v>2093.9754046900002</v>
      </c>
      <c r="J149" s="264">
        <v>920.78114125000002</v>
      </c>
      <c r="K149" s="197">
        <v>576.63443815050289</v>
      </c>
      <c r="L149" s="195">
        <v>94274.512404133231</v>
      </c>
      <c r="M149" s="260">
        <v>222.74640398000003</v>
      </c>
      <c r="N149" s="202">
        <v>42076.990137140856</v>
      </c>
      <c r="O149" s="265">
        <v>681026.43853138376</v>
      </c>
      <c r="P149" s="259">
        <v>578.80602092979598</v>
      </c>
      <c r="Q149" s="260">
        <v>14802.094783983917</v>
      </c>
      <c r="R149" s="262">
        <v>32662.521141380668</v>
      </c>
    </row>
    <row r="150" spans="1:18" ht="17.100000000000001" hidden="1" customHeight="1">
      <c r="A150" s="263">
        <v>39572</v>
      </c>
      <c r="B150" s="196">
        <v>47177.779339516645</v>
      </c>
      <c r="C150" s="194">
        <v>19685.681642919943</v>
      </c>
      <c r="D150" s="194">
        <v>85463.976679167085</v>
      </c>
      <c r="E150" s="195">
        <v>65817.924610309477</v>
      </c>
      <c r="F150" s="194">
        <v>360244.46664578613</v>
      </c>
      <c r="G150" s="196">
        <v>531212.04957818263</v>
      </c>
      <c r="H150" s="259">
        <v>1003.659224</v>
      </c>
      <c r="I150" s="259">
        <v>2641.5220657513678</v>
      </c>
      <c r="J150" s="264">
        <v>920.78114225000002</v>
      </c>
      <c r="K150" s="197">
        <v>603.82880214461977</v>
      </c>
      <c r="L150" s="195">
        <v>88488.464074485993</v>
      </c>
      <c r="M150" s="260">
        <v>414.39452836000004</v>
      </c>
      <c r="N150" s="202">
        <v>45458.324808682773</v>
      </c>
      <c r="O150" s="265">
        <v>717920.80356337398</v>
      </c>
      <c r="P150" s="259">
        <v>546.942120975889</v>
      </c>
      <c r="Q150" s="260">
        <v>15101.476187212389</v>
      </c>
      <c r="R150" s="262">
        <v>37316.926964848237</v>
      </c>
    </row>
    <row r="151" spans="1:18" hidden="1">
      <c r="A151" s="263">
        <v>39603</v>
      </c>
      <c r="B151" s="196">
        <v>47360.804633645967</v>
      </c>
      <c r="C151" s="194">
        <v>21507.384456406235</v>
      </c>
      <c r="D151" s="194">
        <v>88942.767253905346</v>
      </c>
      <c r="E151" s="195">
        <v>63879.467641770272</v>
      </c>
      <c r="F151" s="194">
        <v>361915.3205144697</v>
      </c>
      <c r="G151" s="196">
        <v>536244.93986655155</v>
      </c>
      <c r="H151" s="259">
        <v>832.39395200000001</v>
      </c>
      <c r="I151" s="259">
        <v>1134.3030817885001</v>
      </c>
      <c r="J151" s="264">
        <v>836.01806525999996</v>
      </c>
      <c r="K151" s="197">
        <v>1441.3874209032226</v>
      </c>
      <c r="L151" s="195">
        <v>95825.776374097186</v>
      </c>
      <c r="M151" s="260">
        <v>296.52655923000003</v>
      </c>
      <c r="N151" s="202">
        <v>45370.31866591471</v>
      </c>
      <c r="O151" s="265">
        <v>729342.46861939097</v>
      </c>
      <c r="P151" s="259">
        <v>556.66365399074368</v>
      </c>
      <c r="Q151" s="260">
        <v>16837.667766306666</v>
      </c>
      <c r="R151" s="262">
        <v>36383.167117811172</v>
      </c>
    </row>
    <row r="152" spans="1:18" hidden="1">
      <c r="A152" s="263">
        <v>39633</v>
      </c>
      <c r="B152" s="196">
        <v>49144.686777378432</v>
      </c>
      <c r="C152" s="194">
        <v>21475.655013545398</v>
      </c>
      <c r="D152" s="194">
        <v>88717.012885069897</v>
      </c>
      <c r="E152" s="195">
        <v>66791.014981336702</v>
      </c>
      <c r="F152" s="194">
        <v>378284.92903650901</v>
      </c>
      <c r="G152" s="196">
        <v>555268.61191646103</v>
      </c>
      <c r="H152" s="259">
        <v>1425.744909</v>
      </c>
      <c r="I152" s="259">
        <v>3194.8850221512498</v>
      </c>
      <c r="J152" s="264">
        <v>806.85000100000002</v>
      </c>
      <c r="K152" s="197">
        <v>483.66829337891187</v>
      </c>
      <c r="L152" s="195">
        <v>93151.564762463036</v>
      </c>
      <c r="M152" s="260">
        <v>172.64354832999999</v>
      </c>
      <c r="N152" s="202">
        <v>43791.883484629529</v>
      </c>
      <c r="O152" s="265">
        <v>747440.53871479211</v>
      </c>
      <c r="P152" s="259">
        <v>571.37464843946839</v>
      </c>
      <c r="Q152" s="260">
        <v>20302.100770603825</v>
      </c>
      <c r="R152" s="262">
        <v>33168.255893505731</v>
      </c>
    </row>
    <row r="153" spans="1:18" hidden="1">
      <c r="A153" s="263">
        <v>39664</v>
      </c>
      <c r="B153" s="196">
        <v>51340.932441332523</v>
      </c>
      <c r="C153" s="194">
        <v>21134.872596868096</v>
      </c>
      <c r="D153" s="194">
        <v>90539.478492278417</v>
      </c>
      <c r="E153" s="195">
        <v>67987.345907546434</v>
      </c>
      <c r="F153" s="194">
        <v>361505.7955692744</v>
      </c>
      <c r="G153" s="196">
        <v>541167.49256596738</v>
      </c>
      <c r="H153" s="259">
        <v>496.41699999999997</v>
      </c>
      <c r="I153" s="259">
        <v>2912.2194842146</v>
      </c>
      <c r="J153" s="264">
        <v>806.85000026</v>
      </c>
      <c r="K153" s="197">
        <v>428.9992502465808</v>
      </c>
      <c r="L153" s="195">
        <v>95045.208723996795</v>
      </c>
      <c r="M153" s="260">
        <v>197.95109120999999</v>
      </c>
      <c r="N153" s="202">
        <v>45303.54849054887</v>
      </c>
      <c r="O153" s="265">
        <v>737699.61904777668</v>
      </c>
      <c r="P153" s="259">
        <v>593.14658540923926</v>
      </c>
      <c r="Q153" s="260">
        <v>21393.544766134102</v>
      </c>
      <c r="R153" s="262">
        <v>33392.036226588069</v>
      </c>
    </row>
    <row r="154" spans="1:18" hidden="1">
      <c r="A154" s="263">
        <v>39695</v>
      </c>
      <c r="B154" s="196">
        <v>50216.105079680594</v>
      </c>
      <c r="C154" s="194">
        <v>22304.164342481843</v>
      </c>
      <c r="D154" s="194">
        <v>89344.572167662031</v>
      </c>
      <c r="E154" s="195">
        <v>68170.122612989639</v>
      </c>
      <c r="F154" s="194">
        <v>348498.6935376653</v>
      </c>
      <c r="G154" s="196">
        <v>528317.55266079889</v>
      </c>
      <c r="H154" s="259">
        <v>487.24700000000001</v>
      </c>
      <c r="I154" s="259">
        <v>3292.5991291874998</v>
      </c>
      <c r="J154" s="264">
        <v>4113.2387461899998</v>
      </c>
      <c r="K154" s="197">
        <v>157.03017788684411</v>
      </c>
      <c r="L154" s="195">
        <v>89352.648733748138</v>
      </c>
      <c r="M154" s="260">
        <v>222.63850665999996</v>
      </c>
      <c r="N154" s="202">
        <v>48639.851340202571</v>
      </c>
      <c r="O154" s="265">
        <v>724798.9113743545</v>
      </c>
      <c r="P154" s="259">
        <v>594.39894971594413</v>
      </c>
      <c r="Q154" s="260">
        <v>17244.768851782479</v>
      </c>
      <c r="R154" s="262">
        <v>33812.558937183348</v>
      </c>
    </row>
    <row r="155" spans="1:18" hidden="1">
      <c r="A155" s="263">
        <v>39725</v>
      </c>
      <c r="B155" s="196">
        <v>51729.080520453237</v>
      </c>
      <c r="C155" s="194">
        <v>20511.657671893747</v>
      </c>
      <c r="D155" s="194">
        <v>88694.685949735169</v>
      </c>
      <c r="E155" s="195">
        <v>68678.174452889565</v>
      </c>
      <c r="F155" s="194">
        <v>373608.02982834564</v>
      </c>
      <c r="G155" s="196">
        <v>551492.54790286417</v>
      </c>
      <c r="H155" s="259">
        <v>526.87300000000005</v>
      </c>
      <c r="I155" s="259">
        <v>2147.0628055925999</v>
      </c>
      <c r="J155" s="264">
        <v>3333.8130922747</v>
      </c>
      <c r="K155" s="197">
        <v>610.7525222577367</v>
      </c>
      <c r="L155" s="195">
        <v>97682.110377361721</v>
      </c>
      <c r="M155" s="260">
        <v>206.12754294760001</v>
      </c>
      <c r="N155" s="202">
        <v>51219.215057716414</v>
      </c>
      <c r="O155" s="265">
        <v>758947.58282146824</v>
      </c>
      <c r="P155" s="259">
        <v>786.25701884270302</v>
      </c>
      <c r="Q155" s="260">
        <v>14122.024991602661</v>
      </c>
      <c r="R155" s="262">
        <v>33784.364646441754</v>
      </c>
    </row>
    <row r="156" spans="1:18" hidden="1">
      <c r="A156" s="263">
        <v>39756</v>
      </c>
      <c r="B156" s="196">
        <v>52853.248062491599</v>
      </c>
      <c r="C156" s="194">
        <v>20841.055160320411</v>
      </c>
      <c r="D156" s="194">
        <v>89034.257963490003</v>
      </c>
      <c r="E156" s="195">
        <v>69351.55656582168</v>
      </c>
      <c r="F156" s="194">
        <v>372210.63852001436</v>
      </c>
      <c r="G156" s="196">
        <v>551437.50820964645</v>
      </c>
      <c r="H156" s="259">
        <v>1348.5377089999999</v>
      </c>
      <c r="I156" s="259">
        <v>1222.2685451919999</v>
      </c>
      <c r="J156" s="264">
        <v>1943.3734891232</v>
      </c>
      <c r="K156" s="197">
        <v>108.30803224993818</v>
      </c>
      <c r="L156" s="195">
        <v>96953.76987736435</v>
      </c>
      <c r="M156" s="260">
        <v>259.99400323280003</v>
      </c>
      <c r="N156" s="202">
        <v>51740.552854688089</v>
      </c>
      <c r="O156" s="265">
        <v>757867.56078298844</v>
      </c>
      <c r="P156" s="259">
        <v>874.13585125856923</v>
      </c>
      <c r="Q156" s="260">
        <v>13784.792607661788</v>
      </c>
      <c r="R156" s="262">
        <v>33663.999416034982</v>
      </c>
    </row>
    <row r="157" spans="1:18" hidden="1">
      <c r="A157" s="263">
        <v>39786</v>
      </c>
      <c r="B157" s="196">
        <v>54700.343137394317</v>
      </c>
      <c r="C157" s="194">
        <v>22844.721323428636</v>
      </c>
      <c r="D157" s="194">
        <v>92669.709372234051</v>
      </c>
      <c r="E157" s="195">
        <v>69807.812998389098</v>
      </c>
      <c r="F157" s="194">
        <v>362019.32611493685</v>
      </c>
      <c r="G157" s="196">
        <v>547341.5698089886</v>
      </c>
      <c r="H157" s="259">
        <v>802.36400000000003</v>
      </c>
      <c r="I157" s="259">
        <v>2052.5273361</v>
      </c>
      <c r="J157" s="264">
        <v>1046.4665269899999</v>
      </c>
      <c r="K157" s="197">
        <v>1894.7161161956001</v>
      </c>
      <c r="L157" s="195">
        <v>95617.851318108107</v>
      </c>
      <c r="M157" s="260">
        <v>221.77706874840001</v>
      </c>
      <c r="N157" s="202">
        <v>50786.295439785128</v>
      </c>
      <c r="O157" s="265">
        <v>754463.91075231007</v>
      </c>
      <c r="P157" s="259">
        <v>860.23191000476345</v>
      </c>
      <c r="Q157" s="260">
        <v>13595.05324248684</v>
      </c>
      <c r="R157" s="262">
        <v>34423.613467809737</v>
      </c>
    </row>
    <row r="158" spans="1:18" hidden="1">
      <c r="A158" s="263">
        <v>39817</v>
      </c>
      <c r="B158" s="196">
        <v>58857.989894412516</v>
      </c>
      <c r="C158" s="194">
        <v>21162.444175694542</v>
      </c>
      <c r="D158" s="194">
        <v>93319.282377482974</v>
      </c>
      <c r="E158" s="195">
        <v>71270.215750839605</v>
      </c>
      <c r="F158" s="194">
        <v>366897.56039632543</v>
      </c>
      <c r="G158" s="196">
        <v>552649.50270034256</v>
      </c>
      <c r="H158" s="259">
        <v>1545.654442</v>
      </c>
      <c r="I158" s="259">
        <v>1935.5991266999999</v>
      </c>
      <c r="J158" s="264">
        <v>708.50234898999997</v>
      </c>
      <c r="K158" s="197">
        <v>305.550929</v>
      </c>
      <c r="L158" s="195">
        <v>95114.735272365855</v>
      </c>
      <c r="M158" s="260">
        <v>292.67397846000006</v>
      </c>
      <c r="N158" s="202">
        <v>48553.225396595313</v>
      </c>
      <c r="O158" s="265">
        <v>759963.43408886623</v>
      </c>
      <c r="P158" s="259">
        <v>747.78617163979743</v>
      </c>
      <c r="Q158" s="260">
        <v>15630.616656338127</v>
      </c>
      <c r="R158" s="262">
        <v>33380.924579800638</v>
      </c>
    </row>
    <row r="159" spans="1:18" hidden="1">
      <c r="A159" s="263">
        <v>39848</v>
      </c>
      <c r="B159" s="196">
        <v>60166.100554600511</v>
      </c>
      <c r="C159" s="194">
        <v>21787.346253175554</v>
      </c>
      <c r="D159" s="194">
        <v>97048.745818822383</v>
      </c>
      <c r="E159" s="195">
        <v>69140.669554318418</v>
      </c>
      <c r="F159" s="194">
        <v>371794.90896761115</v>
      </c>
      <c r="G159" s="196">
        <v>559771.6705939275</v>
      </c>
      <c r="H159" s="259">
        <v>1041.838</v>
      </c>
      <c r="I159" s="259">
        <v>1784.46137275</v>
      </c>
      <c r="J159" s="264">
        <v>743.81295198999999</v>
      </c>
      <c r="K159" s="197">
        <v>36.565853641600015</v>
      </c>
      <c r="L159" s="195">
        <v>99738.3217176951</v>
      </c>
      <c r="M159" s="260">
        <v>257.89429102720004</v>
      </c>
      <c r="N159" s="202">
        <v>46291.264199137979</v>
      </c>
      <c r="O159" s="265">
        <v>769831.92953476985</v>
      </c>
      <c r="P159" s="259">
        <v>688.32938447617107</v>
      </c>
      <c r="Q159" s="260">
        <v>15048.786912847008</v>
      </c>
      <c r="R159" s="262">
        <v>33129.926348115448</v>
      </c>
    </row>
    <row r="160" spans="1:18" hidden="1">
      <c r="A160" s="263">
        <v>39873</v>
      </c>
      <c r="B160" s="196">
        <v>62953.644872439858</v>
      </c>
      <c r="C160" s="194">
        <v>21385.308853695024</v>
      </c>
      <c r="D160" s="194">
        <v>97652.100510577875</v>
      </c>
      <c r="E160" s="195">
        <v>70456.998155416484</v>
      </c>
      <c r="F160" s="194">
        <v>366535.51354843064</v>
      </c>
      <c r="G160" s="196">
        <v>556029.92106812005</v>
      </c>
      <c r="H160" s="259">
        <v>767.279</v>
      </c>
      <c r="I160" s="259">
        <v>2604.8436032179998</v>
      </c>
      <c r="J160" s="264">
        <v>487.72308737999998</v>
      </c>
      <c r="K160" s="197">
        <v>1694.3440419999999</v>
      </c>
      <c r="L160" s="195">
        <v>93470.135853915897</v>
      </c>
      <c r="M160" s="260">
        <v>228.20029296520002</v>
      </c>
      <c r="N160" s="202">
        <v>44538.422700314746</v>
      </c>
      <c r="O160" s="265">
        <v>762774.51452035375</v>
      </c>
      <c r="P160" s="259">
        <v>599.85100501955935</v>
      </c>
      <c r="Q160" s="260">
        <v>14537.89662064004</v>
      </c>
      <c r="R160" s="262">
        <v>33646.992286966066</v>
      </c>
    </row>
    <row r="161" spans="1:18" hidden="1">
      <c r="A161" s="263">
        <v>39907</v>
      </c>
      <c r="B161" s="196">
        <v>61599.155955257971</v>
      </c>
      <c r="C161" s="194">
        <v>22643.723497651659</v>
      </c>
      <c r="D161" s="194">
        <v>96213.609601596501</v>
      </c>
      <c r="E161" s="195">
        <v>70501.880388499543</v>
      </c>
      <c r="F161" s="194">
        <v>364065.51867827045</v>
      </c>
      <c r="G161" s="196">
        <v>553424.7321660181</v>
      </c>
      <c r="H161" s="259">
        <v>990.61699999999996</v>
      </c>
      <c r="I161" s="259">
        <v>2345.1108859069996</v>
      </c>
      <c r="J161" s="264">
        <v>460.46300437999997</v>
      </c>
      <c r="K161" s="197">
        <v>0</v>
      </c>
      <c r="L161" s="195">
        <v>85439.550612757273</v>
      </c>
      <c r="M161" s="260">
        <v>189.77917418000001</v>
      </c>
      <c r="N161" s="202">
        <v>48045.101579254704</v>
      </c>
      <c r="O161" s="265">
        <v>752494.51037775492</v>
      </c>
      <c r="P161" s="259">
        <v>587.85364539409352</v>
      </c>
      <c r="Q161" s="260">
        <v>14430.403990702565</v>
      </c>
      <c r="R161" s="262">
        <v>34843.785867487306</v>
      </c>
    </row>
    <row r="162" spans="1:18" hidden="1">
      <c r="A162" s="263">
        <v>39937</v>
      </c>
      <c r="B162" s="196">
        <v>60137.435609038781</v>
      </c>
      <c r="C162" s="194">
        <v>22969.437891841248</v>
      </c>
      <c r="D162" s="194">
        <v>97012.589999816802</v>
      </c>
      <c r="E162" s="195">
        <v>71313.036934640142</v>
      </c>
      <c r="F162" s="194">
        <v>364263.76003305835</v>
      </c>
      <c r="G162" s="196">
        <v>555558.82485935651</v>
      </c>
      <c r="H162" s="259">
        <v>639.61599999999999</v>
      </c>
      <c r="I162" s="259">
        <v>1171.7315468959998</v>
      </c>
      <c r="J162" s="264">
        <v>457.09956438</v>
      </c>
      <c r="K162" s="197">
        <v>1052.40977709</v>
      </c>
      <c r="L162" s="195">
        <v>77984.557781941199</v>
      </c>
      <c r="M162" s="260">
        <v>200.94665505695201</v>
      </c>
      <c r="N162" s="202">
        <v>47111.267697345</v>
      </c>
      <c r="O162" s="265">
        <v>744313.88949110452</v>
      </c>
      <c r="P162" s="259">
        <v>695.16017213884834</v>
      </c>
      <c r="Q162" s="260">
        <v>13298.053462980382</v>
      </c>
      <c r="R162" s="262">
        <v>33625.451352652024</v>
      </c>
    </row>
    <row r="163" spans="1:18" hidden="1">
      <c r="A163" s="263">
        <v>39968</v>
      </c>
      <c r="B163" s="196">
        <v>60638.934105374392</v>
      </c>
      <c r="C163" s="194">
        <v>24660.848066690891</v>
      </c>
      <c r="D163" s="194">
        <v>99170.970640773055</v>
      </c>
      <c r="E163" s="195">
        <v>71892.474309693629</v>
      </c>
      <c r="F163" s="194">
        <v>351092.8373943466</v>
      </c>
      <c r="G163" s="196">
        <v>546817.13041150419</v>
      </c>
      <c r="H163" s="259">
        <v>945.46699999999998</v>
      </c>
      <c r="I163" s="259">
        <v>2621.4465825488001</v>
      </c>
      <c r="J163" s="264">
        <v>452.69533885000004</v>
      </c>
      <c r="K163" s="197">
        <v>9096.6384214655991</v>
      </c>
      <c r="L163" s="195">
        <v>75381.104810002726</v>
      </c>
      <c r="M163" s="260">
        <v>217.88154949246402</v>
      </c>
      <c r="N163" s="202">
        <v>47183.109431425612</v>
      </c>
      <c r="O163" s="265">
        <v>743354.40765066363</v>
      </c>
      <c r="P163" s="259">
        <v>683.94380281842825</v>
      </c>
      <c r="Q163" s="260">
        <v>15800.262109073437</v>
      </c>
      <c r="R163" s="262">
        <v>36194.886017207922</v>
      </c>
    </row>
    <row r="164" spans="1:18" hidden="1">
      <c r="A164" s="263">
        <v>39998</v>
      </c>
      <c r="B164" s="196">
        <v>63310.04966833441</v>
      </c>
      <c r="C164" s="194">
        <v>24383.715771260006</v>
      </c>
      <c r="D164" s="194">
        <v>99304.822027424074</v>
      </c>
      <c r="E164" s="195">
        <v>73341.416255129268</v>
      </c>
      <c r="F164" s="194">
        <v>347319.40878746758</v>
      </c>
      <c r="G164" s="196">
        <v>544349.36284128088</v>
      </c>
      <c r="H164" s="259">
        <v>1319.0889999999999</v>
      </c>
      <c r="I164" s="259">
        <v>1405.4850506135999</v>
      </c>
      <c r="J164" s="264">
        <v>462.58009242000003</v>
      </c>
      <c r="K164" s="197">
        <v>772.20568403800007</v>
      </c>
      <c r="L164" s="195">
        <v>84025.869412232176</v>
      </c>
      <c r="M164" s="260">
        <v>243.824599229097</v>
      </c>
      <c r="N164" s="202">
        <v>42841.637353917242</v>
      </c>
      <c r="O164" s="265">
        <v>738730.10370206553</v>
      </c>
      <c r="P164" s="259">
        <v>705.88179097797536</v>
      </c>
      <c r="Q164" s="260">
        <v>14378.144842656218</v>
      </c>
      <c r="R164" s="262">
        <v>38432.926176483554</v>
      </c>
    </row>
    <row r="165" spans="1:18" hidden="1">
      <c r="A165" s="263">
        <v>40029</v>
      </c>
      <c r="B165" s="196">
        <v>63117.091124944825</v>
      </c>
      <c r="C165" s="194">
        <v>24701.374362548806</v>
      </c>
      <c r="D165" s="194">
        <v>100572.77282245575</v>
      </c>
      <c r="E165" s="195">
        <v>72956.364376813319</v>
      </c>
      <c r="F165" s="194">
        <v>338901.28668538213</v>
      </c>
      <c r="G165" s="196">
        <v>537131.79824719997</v>
      </c>
      <c r="H165" s="259">
        <v>597.60299999999995</v>
      </c>
      <c r="I165" s="259">
        <v>811.08419085909998</v>
      </c>
      <c r="J165" s="264">
        <v>462.18009241999999</v>
      </c>
      <c r="K165" s="197">
        <v>3216.3249145012996</v>
      </c>
      <c r="L165" s="195">
        <v>84605.003176492697</v>
      </c>
      <c r="M165" s="260">
        <v>222.29705368637897</v>
      </c>
      <c r="N165" s="202">
        <v>46202.034381075879</v>
      </c>
      <c r="O165" s="265">
        <v>736365.41618118028</v>
      </c>
      <c r="P165" s="259">
        <v>841.77812490621181</v>
      </c>
      <c r="Q165" s="260">
        <v>16199.676937812368</v>
      </c>
      <c r="R165" s="262">
        <v>39728.972339206332</v>
      </c>
    </row>
    <row r="166" spans="1:18" hidden="1">
      <c r="A166" s="263">
        <v>40060</v>
      </c>
      <c r="B166" s="196">
        <v>60270.263501462847</v>
      </c>
      <c r="C166" s="194">
        <v>25408.006177711872</v>
      </c>
      <c r="D166" s="194">
        <v>101205.02584365846</v>
      </c>
      <c r="E166" s="195">
        <v>70772.101154821808</v>
      </c>
      <c r="F166" s="194">
        <v>338202.52197144518</v>
      </c>
      <c r="G166" s="196">
        <v>535587.65514763724</v>
      </c>
      <c r="H166" s="259">
        <v>590.00010199999997</v>
      </c>
      <c r="I166" s="259">
        <v>1754.6526391672</v>
      </c>
      <c r="J166" s="264">
        <v>413.25054242000004</v>
      </c>
      <c r="K166" s="197">
        <v>12501.32108602</v>
      </c>
      <c r="L166" s="195">
        <v>83323.615262644555</v>
      </c>
      <c r="M166" s="260">
        <v>279.96912524733995</v>
      </c>
      <c r="N166" s="202">
        <v>43898.677469838753</v>
      </c>
      <c r="O166" s="265">
        <v>738619.40487643797</v>
      </c>
      <c r="P166" s="259">
        <v>696.35762966758557</v>
      </c>
      <c r="Q166" s="260">
        <v>15754.287299319312</v>
      </c>
      <c r="R166" s="262">
        <v>37576.247091223755</v>
      </c>
    </row>
    <row r="167" spans="1:18" hidden="1">
      <c r="A167" s="263">
        <v>40090</v>
      </c>
      <c r="B167" s="196">
        <v>58614.921235808266</v>
      </c>
      <c r="C167" s="194">
        <v>25541.324838773071</v>
      </c>
      <c r="D167" s="194">
        <v>101682.3562799466</v>
      </c>
      <c r="E167" s="195">
        <v>71257.78200145025</v>
      </c>
      <c r="F167" s="194">
        <v>344703.39074290846</v>
      </c>
      <c r="G167" s="196">
        <v>543184.8538630784</v>
      </c>
      <c r="H167" s="259">
        <v>574.73800000000006</v>
      </c>
      <c r="I167" s="259">
        <v>1869.1356212365499</v>
      </c>
      <c r="J167" s="264">
        <v>365.42098736000003</v>
      </c>
      <c r="K167" s="197">
        <v>4886.9200119999996</v>
      </c>
      <c r="L167" s="195">
        <v>80699.100584355561</v>
      </c>
      <c r="M167" s="260">
        <v>219.93677501367003</v>
      </c>
      <c r="N167" s="202">
        <v>43454.601246132122</v>
      </c>
      <c r="O167" s="265">
        <v>733869.62832498457</v>
      </c>
      <c r="P167" s="259">
        <v>804.64957255244565</v>
      </c>
      <c r="Q167" s="260">
        <v>13315.379064818513</v>
      </c>
      <c r="R167" s="262">
        <v>36123.136526732145</v>
      </c>
    </row>
    <row r="168" spans="1:18" hidden="1">
      <c r="A168" s="263">
        <v>40121</v>
      </c>
      <c r="B168" s="196">
        <v>57720.947676280644</v>
      </c>
      <c r="C168" s="194">
        <v>26396.26670676767</v>
      </c>
      <c r="D168" s="194">
        <v>101932.73453164015</v>
      </c>
      <c r="E168" s="195">
        <v>71392.822813875347</v>
      </c>
      <c r="F168" s="194">
        <v>335529.00979733584</v>
      </c>
      <c r="G168" s="196">
        <v>535250.83384961903</v>
      </c>
      <c r="H168" s="259">
        <v>539.995</v>
      </c>
      <c r="I168" s="259">
        <v>938.23169517168003</v>
      </c>
      <c r="J168" s="264">
        <v>365.42098736000003</v>
      </c>
      <c r="K168" s="197">
        <v>4047.6405648699997</v>
      </c>
      <c r="L168" s="195">
        <v>81192.308700342226</v>
      </c>
      <c r="M168" s="260">
        <v>242.558543944848</v>
      </c>
      <c r="N168" s="202">
        <v>46117.773024352355</v>
      </c>
      <c r="O168" s="265">
        <v>726415.71004194068</v>
      </c>
      <c r="P168" s="259">
        <v>812.32342899062257</v>
      </c>
      <c r="Q168" s="260">
        <v>13939.539499181197</v>
      </c>
      <c r="R168" s="262">
        <v>37733.165838412795</v>
      </c>
    </row>
    <row r="169" spans="1:18" hidden="1">
      <c r="A169" s="263">
        <v>40151</v>
      </c>
      <c r="B169" s="196">
        <v>59648.150701442661</v>
      </c>
      <c r="C169" s="194">
        <v>27901.590387446253</v>
      </c>
      <c r="D169" s="194">
        <v>105915.75618267751</v>
      </c>
      <c r="E169" s="195">
        <v>73072.342645833138</v>
      </c>
      <c r="F169" s="194">
        <v>352095.89741475391</v>
      </c>
      <c r="G169" s="196">
        <v>558985.58663071087</v>
      </c>
      <c r="H169" s="259">
        <v>845.947</v>
      </c>
      <c r="I169" s="259">
        <v>1830.5481243183203</v>
      </c>
      <c r="J169" s="264">
        <v>1430.0372753600002</v>
      </c>
      <c r="K169" s="197">
        <v>2896.7726990400001</v>
      </c>
      <c r="L169" s="195">
        <v>81732.602769156903</v>
      </c>
      <c r="M169" s="260">
        <v>195.25768278197202</v>
      </c>
      <c r="N169" s="202">
        <v>43692.676524058392</v>
      </c>
      <c r="O169" s="265">
        <v>751257.57940686925</v>
      </c>
      <c r="P169" s="259">
        <v>899.89029019846896</v>
      </c>
      <c r="Q169" s="260">
        <v>9142.3687734577506</v>
      </c>
      <c r="R169" s="262">
        <v>44498.830561086426</v>
      </c>
    </row>
    <row r="170" spans="1:18" hidden="1">
      <c r="A170" s="263">
        <v>40182</v>
      </c>
      <c r="B170" s="196">
        <v>63088.254963484345</v>
      </c>
      <c r="C170" s="194">
        <v>25771.048575719818</v>
      </c>
      <c r="D170" s="194">
        <v>107634.71024283554</v>
      </c>
      <c r="E170" s="195">
        <v>71754.820625917258</v>
      </c>
      <c r="F170" s="194">
        <v>363452.46963566192</v>
      </c>
      <c r="G170" s="196">
        <v>568613.0490801346</v>
      </c>
      <c r="H170" s="259">
        <v>657.73299999999995</v>
      </c>
      <c r="I170" s="259">
        <v>2379.4219479885996</v>
      </c>
      <c r="J170" s="264">
        <v>333.21099047000001</v>
      </c>
      <c r="K170" s="197">
        <v>6641.7400369000006</v>
      </c>
      <c r="L170" s="195">
        <v>78540.627635632729</v>
      </c>
      <c r="M170" s="260">
        <v>275.35400546631399</v>
      </c>
      <c r="N170" s="202">
        <v>40285.269598589002</v>
      </c>
      <c r="O170" s="265">
        <v>760814.66125866561</v>
      </c>
      <c r="P170" s="259">
        <v>839.42731636216206</v>
      </c>
      <c r="Q170" s="260">
        <v>15412.779712187546</v>
      </c>
      <c r="R170" s="262">
        <v>39295.962771278239</v>
      </c>
    </row>
    <row r="171" spans="1:18" hidden="1">
      <c r="A171" s="263">
        <v>40213</v>
      </c>
      <c r="B171" s="196">
        <v>63536.374062793846</v>
      </c>
      <c r="C171" s="194">
        <v>25545.988949335038</v>
      </c>
      <c r="D171" s="194">
        <v>109078.69935259863</v>
      </c>
      <c r="E171" s="195">
        <v>72240.931718022883</v>
      </c>
      <c r="F171" s="194">
        <v>367483.3846103804</v>
      </c>
      <c r="G171" s="196">
        <v>574349.004630337</v>
      </c>
      <c r="H171" s="259">
        <v>669.02501500000005</v>
      </c>
      <c r="I171" s="259">
        <v>1313.4365986536998</v>
      </c>
      <c r="J171" s="264">
        <v>363.92599050999996</v>
      </c>
      <c r="K171" s="197">
        <v>6068.6632345840007</v>
      </c>
      <c r="L171" s="195">
        <v>80973.788461741671</v>
      </c>
      <c r="M171" s="260">
        <v>288.75883642715002</v>
      </c>
      <c r="N171" s="202">
        <v>41488.168410227459</v>
      </c>
      <c r="O171" s="265">
        <v>769051.14524027484</v>
      </c>
      <c r="P171" s="259">
        <v>939.29816982476905</v>
      </c>
      <c r="Q171" s="260">
        <v>16530.551057188768</v>
      </c>
      <c r="R171" s="262">
        <v>44119.407261529195</v>
      </c>
    </row>
    <row r="172" spans="1:18" hidden="1">
      <c r="A172" s="263">
        <v>40241</v>
      </c>
      <c r="B172" s="196">
        <v>63685.445589822688</v>
      </c>
      <c r="C172" s="194">
        <v>26766.646982739643</v>
      </c>
      <c r="D172" s="194">
        <v>109194.86743656197</v>
      </c>
      <c r="E172" s="195">
        <v>72647.718333594152</v>
      </c>
      <c r="F172" s="194">
        <v>376848.3720023185</v>
      </c>
      <c r="G172" s="196">
        <v>585457.6047552143</v>
      </c>
      <c r="H172" s="259">
        <v>766.63499999999999</v>
      </c>
      <c r="I172" s="259">
        <v>1893.776658864</v>
      </c>
      <c r="J172" s="264">
        <v>348.39862247000002</v>
      </c>
      <c r="K172" s="197">
        <v>1005.37250264</v>
      </c>
      <c r="L172" s="195">
        <v>80709.760527384336</v>
      </c>
      <c r="M172" s="260">
        <v>245.53002126599998</v>
      </c>
      <c r="N172" s="202">
        <v>42477.258020842986</v>
      </c>
      <c r="O172" s="265">
        <v>776589.78169850435</v>
      </c>
      <c r="P172" s="259">
        <v>1006.6991333039598</v>
      </c>
      <c r="Q172" s="260">
        <v>15921.337542578091</v>
      </c>
      <c r="R172" s="262">
        <v>43465.422247112241</v>
      </c>
    </row>
    <row r="173" spans="1:18" hidden="1">
      <c r="A173" s="263">
        <v>40272</v>
      </c>
      <c r="B173" s="196">
        <v>64155.037333835753</v>
      </c>
      <c r="C173" s="194">
        <v>25424.543586466887</v>
      </c>
      <c r="D173" s="194">
        <v>111529.21988229034</v>
      </c>
      <c r="E173" s="195">
        <v>70829.486090551378</v>
      </c>
      <c r="F173" s="194">
        <v>359078.4299898615</v>
      </c>
      <c r="G173" s="196">
        <v>566861.67954917008</v>
      </c>
      <c r="H173" s="259">
        <v>728.07500000000005</v>
      </c>
      <c r="I173" s="259">
        <v>2997.5087838333816</v>
      </c>
      <c r="J173" s="264">
        <v>362.14667774000003</v>
      </c>
      <c r="K173" s="197">
        <v>3169.3483500700004</v>
      </c>
      <c r="L173" s="195">
        <v>92725.45034858596</v>
      </c>
      <c r="M173" s="260">
        <v>243.22210433356304</v>
      </c>
      <c r="N173" s="202">
        <v>40439.307847336931</v>
      </c>
      <c r="O173" s="265">
        <v>771681.77599490562</v>
      </c>
      <c r="P173" s="259">
        <v>1103.5665607132212</v>
      </c>
      <c r="Q173" s="260">
        <v>16350.244152235589</v>
      </c>
      <c r="R173" s="262">
        <v>43944.273826036057</v>
      </c>
    </row>
    <row r="174" spans="1:18" hidden="1">
      <c r="A174" s="263">
        <v>40302</v>
      </c>
      <c r="B174" s="196">
        <v>66502.903105371413</v>
      </c>
      <c r="C174" s="194">
        <v>27591.654213031969</v>
      </c>
      <c r="D174" s="194">
        <v>111167.86030812196</v>
      </c>
      <c r="E174" s="195">
        <v>70632.556758248131</v>
      </c>
      <c r="F174" s="194">
        <v>412386.00942964578</v>
      </c>
      <c r="G174" s="196">
        <v>621778.08070904785</v>
      </c>
      <c r="H174" s="259">
        <v>653.27200000000005</v>
      </c>
      <c r="I174" s="259">
        <v>1450.7473077499997</v>
      </c>
      <c r="J174" s="264">
        <v>334.18167774</v>
      </c>
      <c r="K174" s="197">
        <v>5566.8358775196621</v>
      </c>
      <c r="L174" s="195">
        <v>104327.30432343241</v>
      </c>
      <c r="M174" s="260">
        <v>278.622239245081</v>
      </c>
      <c r="N174" s="202">
        <v>48151.832603799216</v>
      </c>
      <c r="O174" s="265">
        <v>849043.77984390559</v>
      </c>
      <c r="P174" s="259">
        <v>1095.8451834909629</v>
      </c>
      <c r="Q174" s="260">
        <v>18030.516394027152</v>
      </c>
      <c r="R174" s="262">
        <v>44927.594887161038</v>
      </c>
    </row>
    <row r="175" spans="1:18" ht="15.75" hidden="1" customHeight="1">
      <c r="A175" s="263">
        <v>40333</v>
      </c>
      <c r="B175" s="196">
        <v>68275.818700393953</v>
      </c>
      <c r="C175" s="194">
        <v>27921.061733068374</v>
      </c>
      <c r="D175" s="194">
        <v>112552.85981934627</v>
      </c>
      <c r="E175" s="195">
        <v>75464.248917661142</v>
      </c>
      <c r="F175" s="194">
        <v>403825.21422575816</v>
      </c>
      <c r="G175" s="196">
        <v>619763.3846958339</v>
      </c>
      <c r="H175" s="259">
        <v>780.17200000000003</v>
      </c>
      <c r="I175" s="259">
        <v>2204.0221570507001</v>
      </c>
      <c r="J175" s="264">
        <v>373.5310801</v>
      </c>
      <c r="K175" s="197">
        <v>1463.8916393789</v>
      </c>
      <c r="L175" s="195">
        <v>103522.78615831111</v>
      </c>
      <c r="M175" s="260">
        <v>292.49951222285603</v>
      </c>
      <c r="N175" s="202">
        <v>46497.611193766192</v>
      </c>
      <c r="O175" s="265">
        <v>843173.71713705768</v>
      </c>
      <c r="P175" s="259">
        <v>2464.8077281573505</v>
      </c>
      <c r="Q175" s="260">
        <v>32572.595280409791</v>
      </c>
      <c r="R175" s="262">
        <v>44052.640414172922</v>
      </c>
    </row>
    <row r="176" spans="1:18" ht="15.75" hidden="1" customHeight="1">
      <c r="A176" s="263">
        <v>40363</v>
      </c>
      <c r="B176" s="196">
        <v>71227.077879063654</v>
      </c>
      <c r="C176" s="194">
        <v>26836.789889825268</v>
      </c>
      <c r="D176" s="194">
        <v>113362.1409121715</v>
      </c>
      <c r="E176" s="195">
        <v>74981.814501889821</v>
      </c>
      <c r="F176" s="194">
        <v>364273.46238650411</v>
      </c>
      <c r="G176" s="196">
        <v>579454.20769039076</v>
      </c>
      <c r="H176" s="259">
        <v>717.21</v>
      </c>
      <c r="I176" s="259">
        <v>766.21901896999998</v>
      </c>
      <c r="J176" s="264">
        <v>328.68392384000003</v>
      </c>
      <c r="K176" s="197">
        <v>4466.5441746214274</v>
      </c>
      <c r="L176" s="195">
        <v>97405.679435756538</v>
      </c>
      <c r="M176" s="260">
        <v>263.951469272883</v>
      </c>
      <c r="N176" s="202">
        <v>41826.251316656526</v>
      </c>
      <c r="O176" s="265">
        <v>796455.82490857178</v>
      </c>
      <c r="P176" s="259">
        <v>2390.2858265569771</v>
      </c>
      <c r="Q176" s="260">
        <v>30590.023338938641</v>
      </c>
      <c r="R176" s="262">
        <v>40053.217704810544</v>
      </c>
    </row>
    <row r="177" spans="1:19" ht="15.75" hidden="1" customHeight="1">
      <c r="A177" s="263">
        <v>40394</v>
      </c>
      <c r="B177" s="196">
        <v>71143.551478769718</v>
      </c>
      <c r="C177" s="194">
        <v>27617.747624458225</v>
      </c>
      <c r="D177" s="194">
        <v>114336.55092844734</v>
      </c>
      <c r="E177" s="195">
        <v>72254.534627499917</v>
      </c>
      <c r="F177" s="194">
        <v>390803.05053912569</v>
      </c>
      <c r="G177" s="196">
        <v>605011.88371953112</v>
      </c>
      <c r="H177" s="259">
        <v>650.89344400000004</v>
      </c>
      <c r="I177" s="259">
        <v>1555.9278199600001</v>
      </c>
      <c r="J177" s="264">
        <v>360.44601583999997</v>
      </c>
      <c r="K177" s="197">
        <v>5969.537134231</v>
      </c>
      <c r="L177" s="195">
        <v>105313.20449475345</v>
      </c>
      <c r="M177" s="260">
        <v>250.99309935346901</v>
      </c>
      <c r="N177" s="202">
        <v>40738.41247306166</v>
      </c>
      <c r="O177" s="265">
        <v>830994.84967950056</v>
      </c>
      <c r="P177" s="259">
        <v>2647.8517933424091</v>
      </c>
      <c r="Q177" s="260">
        <v>26835.493648603526</v>
      </c>
      <c r="R177" s="262">
        <v>40096.466051720912</v>
      </c>
    </row>
    <row r="178" spans="1:19" ht="15.75" hidden="1" customHeight="1">
      <c r="A178" s="263">
        <v>40425</v>
      </c>
      <c r="B178" s="196">
        <v>69708.82198647123</v>
      </c>
      <c r="C178" s="194">
        <v>28158.5908656826</v>
      </c>
      <c r="D178" s="194">
        <v>115806.69826929308</v>
      </c>
      <c r="E178" s="195">
        <v>71850.427301611518</v>
      </c>
      <c r="F178" s="194">
        <v>394936.08643463557</v>
      </c>
      <c r="G178" s="196">
        <v>610751.80287122272</v>
      </c>
      <c r="H178" s="259">
        <v>658.91700000000003</v>
      </c>
      <c r="I178" s="259">
        <v>2669.8709598399996</v>
      </c>
      <c r="J178" s="264">
        <v>544.81786240999998</v>
      </c>
      <c r="K178" s="197">
        <v>5846.0067053005996</v>
      </c>
      <c r="L178" s="195">
        <v>101666.27468922634</v>
      </c>
      <c r="M178" s="260">
        <v>258.90709036369998</v>
      </c>
      <c r="N178" s="202">
        <v>45422.94097523349</v>
      </c>
      <c r="O178" s="265">
        <v>837528.36014006799</v>
      </c>
      <c r="P178" s="259">
        <v>2715.5322607255866</v>
      </c>
      <c r="Q178" s="260">
        <v>24938.611197876184</v>
      </c>
      <c r="R178" s="262">
        <v>40457.421742769839</v>
      </c>
    </row>
    <row r="179" spans="1:19" ht="15.75" hidden="1" customHeight="1">
      <c r="A179" s="266" t="s">
        <v>356</v>
      </c>
      <c r="B179" s="196">
        <v>69811.232807923821</v>
      </c>
      <c r="C179" s="194">
        <v>28069.971441576639</v>
      </c>
      <c r="D179" s="194">
        <v>116689.99198776182</v>
      </c>
      <c r="E179" s="195">
        <v>72775.969485212001</v>
      </c>
      <c r="F179" s="194">
        <v>395447.09165531205</v>
      </c>
      <c r="G179" s="196">
        <v>612983.02456986252</v>
      </c>
      <c r="H179" s="259">
        <v>664.99199999999996</v>
      </c>
      <c r="I179" s="259">
        <v>1876.6600001796</v>
      </c>
      <c r="J179" s="264">
        <v>596.49269889000004</v>
      </c>
      <c r="K179" s="197">
        <v>7062.0755323124395</v>
      </c>
      <c r="L179" s="195">
        <v>94597.841468001847</v>
      </c>
      <c r="M179" s="260">
        <v>261.33919234705996</v>
      </c>
      <c r="N179" s="202">
        <v>54024.731617983125</v>
      </c>
      <c r="O179" s="265">
        <v>841878.38988750032</v>
      </c>
      <c r="P179" s="259">
        <v>2698.9364488039237</v>
      </c>
      <c r="Q179" s="260">
        <v>26535.341211770436</v>
      </c>
      <c r="R179" s="262">
        <v>41496.152804299374</v>
      </c>
    </row>
    <row r="180" spans="1:19" ht="15.75" hidden="1" customHeight="1">
      <c r="A180" s="263">
        <v>40483</v>
      </c>
      <c r="B180" s="196">
        <v>71819.55398807906</v>
      </c>
      <c r="C180" s="194">
        <v>29345.241082260334</v>
      </c>
      <c r="D180" s="194">
        <v>116312.2510405466</v>
      </c>
      <c r="E180" s="195">
        <v>74901.84571583246</v>
      </c>
      <c r="F180" s="194">
        <v>398861.89993510942</v>
      </c>
      <c r="G180" s="196">
        <v>619421.23777374881</v>
      </c>
      <c r="H180" s="259">
        <v>658.99199999999996</v>
      </c>
      <c r="I180" s="259">
        <v>4308.4024994402798</v>
      </c>
      <c r="J180" s="264">
        <v>991.04507108999996</v>
      </c>
      <c r="K180" s="197">
        <v>8280.4925598495392</v>
      </c>
      <c r="L180" s="195">
        <v>92509.907109523716</v>
      </c>
      <c r="M180" s="260">
        <v>296.15530191341998</v>
      </c>
      <c r="N180" s="202">
        <v>56719.292914647733</v>
      </c>
      <c r="O180" s="265">
        <v>855005.07921829249</v>
      </c>
      <c r="P180" s="259">
        <v>2750.5133399917759</v>
      </c>
      <c r="Q180" s="260">
        <v>26772.55397464706</v>
      </c>
      <c r="R180" s="262">
        <v>41911.244149020196</v>
      </c>
    </row>
    <row r="181" spans="1:19" ht="15.75" hidden="1" customHeight="1">
      <c r="A181" s="263">
        <v>40516</v>
      </c>
      <c r="B181" s="196">
        <v>71958.184168184671</v>
      </c>
      <c r="C181" s="194">
        <v>32673.637819172611</v>
      </c>
      <c r="D181" s="194">
        <v>121023.3822818949</v>
      </c>
      <c r="E181" s="195">
        <v>73718.453441072648</v>
      </c>
      <c r="F181" s="194">
        <v>405381.70867787389</v>
      </c>
      <c r="G181" s="196">
        <v>632797.18222001405</v>
      </c>
      <c r="H181" s="259">
        <v>843.41600000000005</v>
      </c>
      <c r="I181" s="259">
        <v>5232.7412640064977</v>
      </c>
      <c r="J181" s="264">
        <v>975.03363002999993</v>
      </c>
      <c r="K181" s="197">
        <v>4269.4683195600001</v>
      </c>
      <c r="L181" s="195">
        <v>85682.043937697104</v>
      </c>
      <c r="M181" s="260">
        <v>198.71203370812003</v>
      </c>
      <c r="N181" s="202">
        <v>61510.666985200674</v>
      </c>
      <c r="O181" s="265">
        <v>863467.44855840108</v>
      </c>
      <c r="P181" s="259">
        <v>2859.652860248671</v>
      </c>
      <c r="Q181" s="260">
        <v>26960.933966428613</v>
      </c>
      <c r="R181" s="262">
        <v>42633.226976758349</v>
      </c>
    </row>
    <row r="182" spans="1:19" ht="15.75" hidden="1" customHeight="1">
      <c r="A182" s="263">
        <v>40547</v>
      </c>
      <c r="B182" s="196">
        <v>74047.987046456576</v>
      </c>
      <c r="C182" s="194">
        <v>31288.605026666588</v>
      </c>
      <c r="D182" s="194">
        <v>122498.978109989</v>
      </c>
      <c r="E182" s="195">
        <v>72211.759921383491</v>
      </c>
      <c r="F182" s="194">
        <v>401444.17940840899</v>
      </c>
      <c r="G182" s="196">
        <v>627443.52246644802</v>
      </c>
      <c r="H182" s="259">
        <v>717.59400000000005</v>
      </c>
      <c r="I182" s="259">
        <v>3357.6084247100002</v>
      </c>
      <c r="J182" s="264">
        <v>964.52194749</v>
      </c>
      <c r="K182" s="197">
        <v>6602.1330069706819</v>
      </c>
      <c r="L182" s="195">
        <v>79903.781870258084</v>
      </c>
      <c r="M182" s="260">
        <v>260.22613338603406</v>
      </c>
      <c r="N182" s="202">
        <v>56781.474286654178</v>
      </c>
      <c r="O182" s="265">
        <v>850078.84918237349</v>
      </c>
      <c r="P182" s="259">
        <v>2829.0815550333891</v>
      </c>
      <c r="Q182" s="260">
        <v>24828.466673689371</v>
      </c>
      <c r="R182" s="262">
        <v>42577.222749494111</v>
      </c>
    </row>
    <row r="183" spans="1:19" ht="15.75" hidden="1" customHeight="1">
      <c r="A183" s="263">
        <v>40578</v>
      </c>
      <c r="B183" s="196">
        <v>74853.636671657572</v>
      </c>
      <c r="C183" s="194">
        <v>30362.404696405716</v>
      </c>
      <c r="D183" s="194">
        <v>125350.91506899617</v>
      </c>
      <c r="E183" s="195">
        <v>69858.125045171881</v>
      </c>
      <c r="F183" s="194">
        <v>402591.59376523638</v>
      </c>
      <c r="G183" s="196">
        <v>628163.03857581015</v>
      </c>
      <c r="H183" s="259">
        <v>952.37</v>
      </c>
      <c r="I183" s="259">
        <v>4986.6584145321995</v>
      </c>
      <c r="J183" s="264">
        <v>964.26194749000001</v>
      </c>
      <c r="K183" s="197">
        <v>5400.817612978899</v>
      </c>
      <c r="L183" s="195">
        <v>81804.495652096724</v>
      </c>
      <c r="M183" s="260">
        <v>282.56577364748892</v>
      </c>
      <c r="N183" s="202">
        <v>57912.447611142008</v>
      </c>
      <c r="O183" s="265">
        <v>855320.29225935496</v>
      </c>
      <c r="P183" s="259">
        <v>2646.7960228920742</v>
      </c>
      <c r="Q183" s="260">
        <v>27818.897027598854</v>
      </c>
      <c r="R183" s="262">
        <v>43867.195843430054</v>
      </c>
    </row>
    <row r="184" spans="1:19" ht="15.75" hidden="1" customHeight="1">
      <c r="A184" s="263">
        <v>40606</v>
      </c>
      <c r="B184" s="196">
        <v>76789.355354269515</v>
      </c>
      <c r="C184" s="194">
        <v>30110.77207123808</v>
      </c>
      <c r="D184" s="194">
        <v>125789.94411874903</v>
      </c>
      <c r="E184" s="195">
        <v>69454.516815334442</v>
      </c>
      <c r="F184" s="194">
        <v>372193.8817414756</v>
      </c>
      <c r="G184" s="196">
        <v>597549.11474679713</v>
      </c>
      <c r="H184" s="259">
        <v>1120.8430000000001</v>
      </c>
      <c r="I184" s="259">
        <v>3662.2113458216004</v>
      </c>
      <c r="J184" s="264">
        <v>206.23537719999999</v>
      </c>
      <c r="K184" s="197">
        <v>3501.8580761788139</v>
      </c>
      <c r="L184" s="195">
        <v>80573.079040452387</v>
      </c>
      <c r="M184" s="260">
        <v>275.55106499726401</v>
      </c>
      <c r="N184" s="202">
        <v>61493.759920640921</v>
      </c>
      <c r="O184" s="265">
        <v>825172.00792635768</v>
      </c>
      <c r="P184" s="259">
        <v>2646.6184642214239</v>
      </c>
      <c r="Q184" s="260">
        <v>28354.504783170109</v>
      </c>
      <c r="R184" s="262">
        <v>44588.035072971819</v>
      </c>
    </row>
    <row r="185" spans="1:19" ht="15.75" hidden="1" customHeight="1">
      <c r="A185" s="263">
        <v>40637</v>
      </c>
      <c r="B185" s="196">
        <v>76456.287781692372</v>
      </c>
      <c r="C185" s="194">
        <v>30195.506958344908</v>
      </c>
      <c r="D185" s="194">
        <v>127277.36113852791</v>
      </c>
      <c r="E185" s="195">
        <v>69103.301405043414</v>
      </c>
      <c r="F185" s="194">
        <v>402319.98389230797</v>
      </c>
      <c r="G185" s="196">
        <v>628896.15339422412</v>
      </c>
      <c r="H185" s="259">
        <v>1335.222</v>
      </c>
      <c r="I185" s="259">
        <v>3628.0564652045</v>
      </c>
      <c r="J185" s="264">
        <v>194.97344360999998</v>
      </c>
      <c r="K185" s="197">
        <v>2932.404509</v>
      </c>
      <c r="L185" s="195">
        <v>92964.283602078969</v>
      </c>
      <c r="M185" s="260">
        <v>299.16057685304497</v>
      </c>
      <c r="N185" s="202">
        <v>49933.369513303514</v>
      </c>
      <c r="O185" s="265">
        <v>856639.91128596652</v>
      </c>
      <c r="P185" s="259">
        <v>2665.9516886849851</v>
      </c>
      <c r="Q185" s="260">
        <v>24509.200000000001</v>
      </c>
      <c r="R185" s="262">
        <v>47047.520488739028</v>
      </c>
    </row>
    <row r="186" spans="1:19" ht="15.75" hidden="1" customHeight="1">
      <c r="A186" s="263">
        <v>40667</v>
      </c>
      <c r="B186" s="196">
        <v>75743.364788620805</v>
      </c>
      <c r="C186" s="194">
        <v>30702.244648725151</v>
      </c>
      <c r="D186" s="194">
        <v>124162.58745766095</v>
      </c>
      <c r="E186" s="195">
        <v>69671.653472228849</v>
      </c>
      <c r="F186" s="194">
        <v>380544.03353076626</v>
      </c>
      <c r="G186" s="196">
        <v>605080.51910938125</v>
      </c>
      <c r="H186" s="259">
        <v>1103.53</v>
      </c>
      <c r="I186" s="259">
        <v>4062.3501496975314</v>
      </c>
      <c r="J186" s="264">
        <v>595.30344361000004</v>
      </c>
      <c r="K186" s="197">
        <v>3258.8127845355566</v>
      </c>
      <c r="L186" s="195">
        <v>72877.70659559971</v>
      </c>
      <c r="M186" s="260">
        <v>360.21468015017592</v>
      </c>
      <c r="N186" s="202">
        <v>63214.590903155535</v>
      </c>
      <c r="O186" s="265">
        <v>826296.3924547506</v>
      </c>
      <c r="P186" s="259">
        <v>2633.1786993020978</v>
      </c>
      <c r="Q186" s="260">
        <v>26977.951248752091</v>
      </c>
      <c r="R186" s="262">
        <v>47346.651298817073</v>
      </c>
    </row>
    <row r="187" spans="1:19" ht="15.75" hidden="1" customHeight="1">
      <c r="A187" s="263">
        <v>40698</v>
      </c>
      <c r="B187" s="196">
        <v>75418.780908623216</v>
      </c>
      <c r="C187" s="194">
        <v>32314.753671814229</v>
      </c>
      <c r="D187" s="194">
        <v>126316.97466999752</v>
      </c>
      <c r="E187" s="195">
        <v>70253.61582255215</v>
      </c>
      <c r="F187" s="194">
        <v>411103.27486864943</v>
      </c>
      <c r="G187" s="196">
        <v>639988.61903301335</v>
      </c>
      <c r="H187" s="259">
        <v>1113.778</v>
      </c>
      <c r="I187" s="259">
        <v>8807.9412896494414</v>
      </c>
      <c r="J187" s="264">
        <v>179.43377349000002</v>
      </c>
      <c r="K187" s="197">
        <v>3354.4412090664</v>
      </c>
      <c r="L187" s="195">
        <v>83245.746823911497</v>
      </c>
      <c r="M187" s="260">
        <v>333.593312587078</v>
      </c>
      <c r="N187" s="202">
        <v>62634.729257178449</v>
      </c>
      <c r="O187" s="265">
        <v>875077.06360751949</v>
      </c>
      <c r="P187" s="259">
        <v>2603.3067927765378</v>
      </c>
      <c r="Q187" s="260">
        <v>26632.993703269691</v>
      </c>
      <c r="R187" s="262">
        <v>49109.966994062182</v>
      </c>
    </row>
    <row r="188" spans="1:19" ht="15.75" hidden="1" customHeight="1">
      <c r="A188" s="263">
        <v>40728</v>
      </c>
      <c r="B188" s="196">
        <v>78585.051613898977</v>
      </c>
      <c r="C188" s="194">
        <v>31720.918188238265</v>
      </c>
      <c r="D188" s="194">
        <v>126653.07644592701</v>
      </c>
      <c r="E188" s="195">
        <v>70247.93777623566</v>
      </c>
      <c r="F188" s="194">
        <v>389723.32285252446</v>
      </c>
      <c r="G188" s="196">
        <v>618345.25526292541</v>
      </c>
      <c r="H188" s="259">
        <v>1262.942</v>
      </c>
      <c r="I188" s="259">
        <v>7933.1365532320006</v>
      </c>
      <c r="J188" s="264">
        <v>1751.7216656400001</v>
      </c>
      <c r="K188" s="197">
        <v>305.82475157700003</v>
      </c>
      <c r="L188" s="195">
        <v>90804.137829566462</v>
      </c>
      <c r="M188" s="260">
        <v>348.38155762139502</v>
      </c>
      <c r="N188" s="202">
        <v>54609.295382354954</v>
      </c>
      <c r="O188" s="265">
        <v>853945.74661681615</v>
      </c>
      <c r="P188" s="259">
        <v>2462.0230517719156</v>
      </c>
      <c r="Q188" s="260">
        <v>26767.340365850243</v>
      </c>
      <c r="R188" s="262">
        <v>48995.382306296371</v>
      </c>
      <c r="S188" s="202"/>
    </row>
    <row r="189" spans="1:19" ht="15.75" hidden="1" customHeight="1">
      <c r="A189" s="263">
        <v>40759</v>
      </c>
      <c r="B189" s="196">
        <v>83513.63737184956</v>
      </c>
      <c r="C189" s="194">
        <v>32649.066461258</v>
      </c>
      <c r="D189" s="194">
        <v>126916.60251138601</v>
      </c>
      <c r="E189" s="195">
        <v>70622.341774945497</v>
      </c>
      <c r="F189" s="194">
        <v>376917.27474054921</v>
      </c>
      <c r="G189" s="196">
        <v>607105.28548813867</v>
      </c>
      <c r="H189" s="259">
        <v>1525.6179669999999</v>
      </c>
      <c r="I189" s="259">
        <v>3772.7239561060001</v>
      </c>
      <c r="J189" s="264">
        <v>1030.6016440000001</v>
      </c>
      <c r="K189" s="197">
        <v>3069.0622507974999</v>
      </c>
      <c r="L189" s="195">
        <v>94995.251343593016</v>
      </c>
      <c r="M189" s="260">
        <v>315.24851019800002</v>
      </c>
      <c r="N189" s="202">
        <v>47358.553310397372</v>
      </c>
      <c r="O189" s="265">
        <v>842685.98184208001</v>
      </c>
      <c r="P189" s="259">
        <v>2535.9199841785003</v>
      </c>
      <c r="Q189" s="260">
        <v>26014.205287048499</v>
      </c>
      <c r="R189" s="262">
        <v>49651.359854466937</v>
      </c>
      <c r="S189" s="202"/>
    </row>
    <row r="190" spans="1:19" ht="15.75" hidden="1" customHeight="1">
      <c r="A190" s="263">
        <v>40790</v>
      </c>
      <c r="B190" s="196">
        <v>85113.952867349668</v>
      </c>
      <c r="C190" s="194">
        <v>33515.651613825801</v>
      </c>
      <c r="D190" s="194">
        <v>126974.66010586319</v>
      </c>
      <c r="E190" s="195">
        <v>71003.748970558998</v>
      </c>
      <c r="F190" s="194">
        <v>381492.103888679</v>
      </c>
      <c r="G190" s="196">
        <v>612986.16457892698</v>
      </c>
      <c r="H190" s="259">
        <v>1119.211</v>
      </c>
      <c r="I190" s="259">
        <v>5476.6288919655999</v>
      </c>
      <c r="J190" s="264">
        <v>724.05278499999997</v>
      </c>
      <c r="K190" s="197">
        <v>3922.798037</v>
      </c>
      <c r="L190" s="195">
        <v>104003.16297190395</v>
      </c>
      <c r="M190" s="260">
        <v>308.32020056019996</v>
      </c>
      <c r="N190" s="202">
        <v>57154.047460545866</v>
      </c>
      <c r="O190" s="265">
        <v>870808.33879325213</v>
      </c>
      <c r="P190" s="259">
        <v>2597.2604368578</v>
      </c>
      <c r="Q190" s="260">
        <v>27323.143967645599</v>
      </c>
      <c r="R190" s="262">
        <v>47860.403664682999</v>
      </c>
      <c r="S190" s="202"/>
    </row>
    <row r="191" spans="1:19" ht="15.75" hidden="1" customHeight="1">
      <c r="A191" s="263">
        <v>40820</v>
      </c>
      <c r="B191" s="196">
        <v>83604.5</v>
      </c>
      <c r="C191" s="194">
        <v>32843.699999999997</v>
      </c>
      <c r="D191" s="194">
        <v>127213.2</v>
      </c>
      <c r="E191" s="195">
        <v>71351.100000000006</v>
      </c>
      <c r="F191" s="194">
        <v>377609</v>
      </c>
      <c r="G191" s="196">
        <v>609017.1</v>
      </c>
      <c r="H191" s="259">
        <v>2084.1</v>
      </c>
      <c r="I191" s="259">
        <v>4607</v>
      </c>
      <c r="J191" s="264">
        <v>911.3</v>
      </c>
      <c r="K191" s="197">
        <v>3910.4</v>
      </c>
      <c r="L191" s="195">
        <v>109553.3</v>
      </c>
      <c r="M191" s="260">
        <v>318.89999999999998</v>
      </c>
      <c r="N191" s="202">
        <v>60165.599999999999</v>
      </c>
      <c r="O191" s="265">
        <v>874172.2</v>
      </c>
      <c r="P191" s="259">
        <v>2738.358101460447</v>
      </c>
      <c r="Q191" s="260">
        <v>28017.652141925264</v>
      </c>
      <c r="R191" s="262">
        <v>46216.42294878247</v>
      </c>
      <c r="S191" s="202"/>
    </row>
    <row r="192" spans="1:19" ht="15.75" hidden="1" customHeight="1">
      <c r="A192" s="263">
        <v>40851</v>
      </c>
      <c r="B192" s="196">
        <v>85341.287007083054</v>
      </c>
      <c r="C192" s="194">
        <v>33745.1397557608</v>
      </c>
      <c r="D192" s="194">
        <v>127172.70092677772</v>
      </c>
      <c r="E192" s="195">
        <v>71453.389077017811</v>
      </c>
      <c r="F192" s="194">
        <v>430756.73283985478</v>
      </c>
      <c r="G192" s="196">
        <v>663127.96259941114</v>
      </c>
      <c r="H192" s="259">
        <v>1071.5450000000001</v>
      </c>
      <c r="I192" s="259">
        <v>3956.188830539917</v>
      </c>
      <c r="J192" s="264">
        <v>1067.5176299799998</v>
      </c>
      <c r="K192" s="197">
        <v>4928.5981398961239</v>
      </c>
      <c r="L192" s="195">
        <v>99983.950569355657</v>
      </c>
      <c r="M192" s="260">
        <v>608.77041252340791</v>
      </c>
      <c r="N192" s="202">
        <v>64138.715578088493</v>
      </c>
      <c r="O192" s="265">
        <v>924224.53576687793</v>
      </c>
      <c r="P192" s="259">
        <v>2755.7193201143809</v>
      </c>
      <c r="Q192" s="260">
        <v>29792.334706412927</v>
      </c>
      <c r="R192" s="262">
        <v>50108.563052711856</v>
      </c>
      <c r="S192" s="202"/>
    </row>
    <row r="193" spans="1:19" ht="15.75" hidden="1" customHeight="1">
      <c r="A193" s="263">
        <v>40881</v>
      </c>
      <c r="B193" s="196">
        <v>83809.825626176127</v>
      </c>
      <c r="C193" s="194">
        <v>36033.443504546158</v>
      </c>
      <c r="D193" s="194">
        <v>132425.0388905812</v>
      </c>
      <c r="E193" s="195">
        <v>72181.618174025338</v>
      </c>
      <c r="F193" s="194">
        <v>372016.90833563538</v>
      </c>
      <c r="G193" s="196">
        <v>612657.00890478806</v>
      </c>
      <c r="H193" s="259">
        <v>1042.915</v>
      </c>
      <c r="I193" s="259">
        <v>6005.4004488969003</v>
      </c>
      <c r="J193" s="264">
        <v>1114.8821868599998</v>
      </c>
      <c r="K193" s="197">
        <v>5193.1934919624</v>
      </c>
      <c r="L193" s="195">
        <v>109465.72838847182</v>
      </c>
      <c r="M193" s="260">
        <v>368.97363175252798</v>
      </c>
      <c r="N193" s="202">
        <v>63303.988222508458</v>
      </c>
      <c r="O193" s="265">
        <v>882961.91590141621</v>
      </c>
      <c r="P193" s="259">
        <v>2884.7155837824475</v>
      </c>
      <c r="Q193" s="260">
        <v>28366.883551936127</v>
      </c>
      <c r="R193" s="262">
        <v>51669.554598906543</v>
      </c>
      <c r="S193" s="202"/>
    </row>
    <row r="194" spans="1:19" ht="15.75" customHeight="1">
      <c r="A194" s="263">
        <v>40912</v>
      </c>
      <c r="B194" s="196">
        <v>84758.099934525875</v>
      </c>
      <c r="C194" s="194">
        <v>35994.433152732134</v>
      </c>
      <c r="D194" s="194">
        <v>132814.2099145664</v>
      </c>
      <c r="E194" s="195">
        <v>70973.653296346049</v>
      </c>
      <c r="F194" s="194">
        <v>346577.08356266248</v>
      </c>
      <c r="G194" s="196">
        <v>586359.37992630713</v>
      </c>
      <c r="H194" s="259">
        <v>1481.6949999999999</v>
      </c>
      <c r="I194" s="259">
        <v>3766.7715452600423</v>
      </c>
      <c r="J194" s="264">
        <v>1091.41321634</v>
      </c>
      <c r="K194" s="197">
        <v>3185.3655339797301</v>
      </c>
      <c r="L194" s="195">
        <v>115355.29027617861</v>
      </c>
      <c r="M194" s="260">
        <v>434.13260952365994</v>
      </c>
      <c r="N194" s="202">
        <v>59752.185234568191</v>
      </c>
      <c r="O194" s="265">
        <v>856184.33327668335</v>
      </c>
      <c r="P194" s="259">
        <v>2821.7123677397631</v>
      </c>
      <c r="Q194" s="260">
        <v>28813.052995399325</v>
      </c>
      <c r="R194" s="262">
        <v>49916.131804591445</v>
      </c>
      <c r="S194" s="202"/>
    </row>
    <row r="195" spans="1:19" ht="15.75" customHeight="1">
      <c r="A195" s="263">
        <v>40943</v>
      </c>
      <c r="B195" s="196">
        <v>84859.899867073589</v>
      </c>
      <c r="C195" s="194">
        <v>35068.282943368475</v>
      </c>
      <c r="D195" s="194">
        <v>134939.53384215693</v>
      </c>
      <c r="E195" s="195">
        <v>69704.701686358734</v>
      </c>
      <c r="F195" s="194">
        <v>355238.7194571257</v>
      </c>
      <c r="G195" s="196">
        <v>594951.23792900983</v>
      </c>
      <c r="H195" s="259">
        <v>1515.202</v>
      </c>
      <c r="I195" s="259">
        <v>3103.0469215846401</v>
      </c>
      <c r="J195" s="264">
        <v>1099.7932091700002</v>
      </c>
      <c r="K195" s="197">
        <v>701.66408002906599</v>
      </c>
      <c r="L195" s="195">
        <v>111905.48699807325</v>
      </c>
      <c r="M195" s="260">
        <v>427.30459541964598</v>
      </c>
      <c r="N195" s="202">
        <v>61883.695068951522</v>
      </c>
      <c r="O195" s="265">
        <v>860447.33066931169</v>
      </c>
      <c r="P195" s="259">
        <v>2759.411751148617</v>
      </c>
      <c r="Q195" s="260">
        <v>29158.089065161621</v>
      </c>
      <c r="R195" s="262">
        <v>49456.438670597287</v>
      </c>
      <c r="S195" s="202"/>
    </row>
    <row r="196" spans="1:19" ht="15.75" customHeight="1">
      <c r="A196" s="263">
        <v>40972</v>
      </c>
      <c r="B196" s="196">
        <v>87766.875483462922</v>
      </c>
      <c r="C196" s="194">
        <v>34553.902894812614</v>
      </c>
      <c r="D196" s="194">
        <v>135882.10005695315</v>
      </c>
      <c r="E196" s="195">
        <v>70872.015047895955</v>
      </c>
      <c r="F196" s="194">
        <v>411038.85604893375</v>
      </c>
      <c r="G196" s="196">
        <v>652346.87404859543</v>
      </c>
      <c r="H196" s="259">
        <v>1478.809</v>
      </c>
      <c r="I196" s="259">
        <v>6344.8398908775007</v>
      </c>
      <c r="J196" s="264">
        <v>1099.0506297099998</v>
      </c>
      <c r="K196" s="197">
        <v>1554.7469978331999</v>
      </c>
      <c r="L196" s="195">
        <v>105675.52312420629</v>
      </c>
      <c r="M196" s="260">
        <v>460.90758538229551</v>
      </c>
      <c r="N196" s="202">
        <v>57634.144197996582</v>
      </c>
      <c r="O196" s="265">
        <v>914361.77095806436</v>
      </c>
      <c r="P196" s="259">
        <v>2885.45057107393</v>
      </c>
      <c r="Q196" s="260">
        <v>22976.781313039559</v>
      </c>
      <c r="R196" s="262">
        <v>48682.216322745699</v>
      </c>
      <c r="S196" s="202"/>
    </row>
    <row r="197" spans="1:19" ht="15.75" customHeight="1">
      <c r="A197" s="263">
        <v>41003</v>
      </c>
      <c r="B197" s="196">
        <v>89176.489317551852</v>
      </c>
      <c r="C197" s="194">
        <v>35025.171655382081</v>
      </c>
      <c r="D197" s="194">
        <v>134899.50693514047</v>
      </c>
      <c r="E197" s="195">
        <v>70776.944392959427</v>
      </c>
      <c r="F197" s="194">
        <v>413604.75025362393</v>
      </c>
      <c r="G197" s="196">
        <v>654306.3732371059</v>
      </c>
      <c r="H197" s="259">
        <v>1556.537</v>
      </c>
      <c r="I197" s="259">
        <v>5801.6094873497896</v>
      </c>
      <c r="J197" s="264">
        <v>1080.7483627700001</v>
      </c>
      <c r="K197" s="197">
        <v>1167.9430645350139</v>
      </c>
      <c r="L197" s="195">
        <v>106091.22996343728</v>
      </c>
      <c r="M197" s="260">
        <v>406.22929911051796</v>
      </c>
      <c r="N197" s="202">
        <v>58454.321538450604</v>
      </c>
      <c r="O197" s="265">
        <v>918041.48127031082</v>
      </c>
      <c r="P197" s="259">
        <v>2790.1429762011853</v>
      </c>
      <c r="Q197" s="260">
        <v>22428.198355347962</v>
      </c>
      <c r="R197" s="262">
        <v>47816.856658170429</v>
      </c>
      <c r="S197" s="202"/>
    </row>
    <row r="198" spans="1:19" ht="15.75" customHeight="1">
      <c r="A198" s="263">
        <v>41033</v>
      </c>
      <c r="B198" s="196">
        <v>91156.019585703049</v>
      </c>
      <c r="C198" s="194">
        <v>34945.694702214802</v>
      </c>
      <c r="D198" s="194">
        <v>134116.2918903417</v>
      </c>
      <c r="E198" s="195">
        <v>75286.2817948374</v>
      </c>
      <c r="F198" s="194">
        <v>425156.63291932363</v>
      </c>
      <c r="G198" s="196">
        <v>669504.90130671754</v>
      </c>
      <c r="H198" s="259">
        <v>1632.962</v>
      </c>
      <c r="I198" s="259">
        <v>3586.473140854333</v>
      </c>
      <c r="J198" s="264">
        <v>49.19253057000001</v>
      </c>
      <c r="K198" s="197">
        <v>2052.9093821399997</v>
      </c>
      <c r="L198" s="195">
        <v>103244.94422507088</v>
      </c>
      <c r="M198" s="260">
        <v>404.15151633362996</v>
      </c>
      <c r="N198" s="202">
        <v>67724.628858044613</v>
      </c>
      <c r="O198" s="265">
        <v>939356.18254543422</v>
      </c>
      <c r="P198" s="259">
        <v>2887.5245964966307</v>
      </c>
      <c r="Q198" s="260">
        <v>26897.386207970292</v>
      </c>
      <c r="R198" s="262">
        <v>49131.265151558451</v>
      </c>
      <c r="S198" s="202"/>
    </row>
    <row r="199" spans="1:19" ht="15.75" customHeight="1">
      <c r="A199" s="263">
        <v>41064</v>
      </c>
      <c r="B199" s="196">
        <v>91384.349566698365</v>
      </c>
      <c r="C199" s="194">
        <v>36269.300144301204</v>
      </c>
      <c r="D199" s="194">
        <v>136714.59807530811</v>
      </c>
      <c r="E199" s="195">
        <v>75783.123382673628</v>
      </c>
      <c r="F199" s="194">
        <v>369930.90738595295</v>
      </c>
      <c r="G199" s="196">
        <v>618697.92898823589</v>
      </c>
      <c r="H199" s="259">
        <v>1876.806</v>
      </c>
      <c r="I199" s="259">
        <v>3925.9665552144957</v>
      </c>
      <c r="J199" s="264">
        <v>412.99217190999997</v>
      </c>
      <c r="K199" s="197">
        <v>2728.6366338249836</v>
      </c>
      <c r="L199" s="195">
        <v>122329.52647481611</v>
      </c>
      <c r="M199" s="260">
        <v>487.65999416487853</v>
      </c>
      <c r="N199" s="202">
        <v>68455.999422508961</v>
      </c>
      <c r="O199" s="265">
        <v>910299.86580737366</v>
      </c>
      <c r="P199" s="259">
        <v>3083.6774514934064</v>
      </c>
      <c r="Q199" s="260">
        <v>24242.75302641427</v>
      </c>
      <c r="R199" s="262">
        <v>49790.801942226535</v>
      </c>
      <c r="S199" s="202"/>
    </row>
    <row r="200" spans="1:19" ht="15.75" customHeight="1">
      <c r="A200" s="263">
        <v>41094</v>
      </c>
      <c r="B200" s="196">
        <v>98382.627742234064</v>
      </c>
      <c r="C200" s="194">
        <v>35496.121872483913</v>
      </c>
      <c r="D200" s="194">
        <v>136630.76520391487</v>
      </c>
      <c r="E200" s="195">
        <v>77682.339250770237</v>
      </c>
      <c r="F200" s="194">
        <v>395364.27094781742</v>
      </c>
      <c r="G200" s="196">
        <v>645173.49727498647</v>
      </c>
      <c r="H200" s="259">
        <v>2072.1239999999998</v>
      </c>
      <c r="I200" s="259">
        <v>3249.7536127762878</v>
      </c>
      <c r="J200" s="264">
        <v>146.05067693000001</v>
      </c>
      <c r="K200" s="197">
        <v>2751.2126752029826</v>
      </c>
      <c r="L200" s="195">
        <v>124101.68618888553</v>
      </c>
      <c r="M200" s="260">
        <v>395.43364768092817</v>
      </c>
      <c r="N200" s="202">
        <v>57484.145346347701</v>
      </c>
      <c r="O200" s="265">
        <v>933756.53116504382</v>
      </c>
      <c r="P200" s="259">
        <v>2970.4374520983065</v>
      </c>
      <c r="Q200" s="260">
        <v>24868.537926476474</v>
      </c>
      <c r="R200" s="262">
        <v>48822.314249406161</v>
      </c>
      <c r="S200" s="202"/>
    </row>
    <row r="201" spans="1:19" ht="15.75" customHeight="1">
      <c r="A201" s="263">
        <v>41125</v>
      </c>
      <c r="B201" s="196">
        <v>97907.611665978606</v>
      </c>
      <c r="C201" s="194">
        <v>35754.208645643441</v>
      </c>
      <c r="D201" s="194">
        <v>135650.61588188368</v>
      </c>
      <c r="E201" s="195">
        <v>77987.019456369351</v>
      </c>
      <c r="F201" s="194">
        <v>367616.12938914134</v>
      </c>
      <c r="G201" s="196">
        <v>617007.97337303776</v>
      </c>
      <c r="H201" s="259">
        <v>1955.866</v>
      </c>
      <c r="I201" s="259">
        <v>2357.4808087414003</v>
      </c>
      <c r="J201" s="264">
        <v>393.41489346000003</v>
      </c>
      <c r="K201" s="197">
        <v>4657.7173166195998</v>
      </c>
      <c r="L201" s="195">
        <v>114482.75394695339</v>
      </c>
      <c r="M201" s="260">
        <v>454.96120877411801</v>
      </c>
      <c r="N201" s="202">
        <v>60352.571566303937</v>
      </c>
      <c r="O201" s="265">
        <v>899570.35077986878</v>
      </c>
      <c r="P201" s="259">
        <v>1702.9001914878536</v>
      </c>
      <c r="Q201" s="260">
        <v>23146.837936082269</v>
      </c>
      <c r="R201" s="262">
        <v>49125.929034897556</v>
      </c>
      <c r="S201" s="202"/>
    </row>
    <row r="202" spans="1:19" ht="15.75" customHeight="1">
      <c r="A202" s="263">
        <v>41156</v>
      </c>
      <c r="B202" s="196">
        <v>96881.462614304997</v>
      </c>
      <c r="C202" s="194">
        <v>37030.468995217656</v>
      </c>
      <c r="D202" s="194">
        <v>136326.92188617151</v>
      </c>
      <c r="E202" s="195">
        <v>77467.350737829867</v>
      </c>
      <c r="F202" s="194">
        <v>385672.81742309337</v>
      </c>
      <c r="G202" s="196">
        <v>636497.55904231244</v>
      </c>
      <c r="H202" s="259">
        <v>2602.277</v>
      </c>
      <c r="I202" s="259">
        <v>5054.3314289325999</v>
      </c>
      <c r="J202" s="264">
        <v>733.80487335999999</v>
      </c>
      <c r="K202" s="197">
        <v>2917.7640274945998</v>
      </c>
      <c r="L202" s="195">
        <v>109620.85304694989</v>
      </c>
      <c r="M202" s="260">
        <v>521.980057976117</v>
      </c>
      <c r="N202" s="202">
        <v>60369.260861811767</v>
      </c>
      <c r="O202" s="265">
        <v>915199.29295314243</v>
      </c>
      <c r="P202" s="259">
        <v>1894.7533679080273</v>
      </c>
      <c r="Q202" s="260">
        <v>24988.138734956254</v>
      </c>
      <c r="R202" s="262">
        <v>48779.174670822809</v>
      </c>
      <c r="S202" s="202"/>
    </row>
    <row r="203" spans="1:19" ht="15.75" customHeight="1">
      <c r="A203" s="263">
        <v>41186</v>
      </c>
      <c r="B203" s="196">
        <v>97076.172045706786</v>
      </c>
      <c r="C203" s="194">
        <v>37064.39128620577</v>
      </c>
      <c r="D203" s="194">
        <v>136773.42095758097</v>
      </c>
      <c r="E203" s="195">
        <v>79028.251180180247</v>
      </c>
      <c r="F203" s="194">
        <v>407842.70777050621</v>
      </c>
      <c r="G203" s="196">
        <v>660708.77119447314</v>
      </c>
      <c r="H203" s="259">
        <v>2485.9369999999999</v>
      </c>
      <c r="I203" s="259">
        <v>5773.0419858782661</v>
      </c>
      <c r="J203" s="264">
        <v>1136.9511042399999</v>
      </c>
      <c r="K203" s="197">
        <v>2362.9800911197667</v>
      </c>
      <c r="L203" s="195">
        <v>107730.51994653618</v>
      </c>
      <c r="M203" s="260">
        <v>605.87070970520733</v>
      </c>
      <c r="N203" s="202">
        <v>61317.331878739889</v>
      </c>
      <c r="O203" s="265">
        <v>939197.5759563992</v>
      </c>
      <c r="P203" s="259">
        <v>2199.5915504234122</v>
      </c>
      <c r="Q203" s="260">
        <v>25512.491195062394</v>
      </c>
      <c r="R203" s="262">
        <v>54888.656902949697</v>
      </c>
      <c r="S203" s="202"/>
    </row>
    <row r="204" spans="1:19" ht="15.75" customHeight="1">
      <c r="A204" s="263">
        <v>41217</v>
      </c>
      <c r="B204" s="196">
        <v>97482.070865125366</v>
      </c>
      <c r="C204" s="194">
        <v>39064.807807585894</v>
      </c>
      <c r="D204" s="194">
        <v>138489.48924704039</v>
      </c>
      <c r="E204" s="195">
        <v>78044.768641169256</v>
      </c>
      <c r="F204" s="194">
        <v>410271.21637331153</v>
      </c>
      <c r="G204" s="196">
        <v>665870.28206910705</v>
      </c>
      <c r="H204" s="259">
        <v>2953.7240000000002</v>
      </c>
      <c r="I204" s="259">
        <v>6887.7218985971003</v>
      </c>
      <c r="J204" s="264">
        <v>1303.6555494700001</v>
      </c>
      <c r="K204" s="197">
        <v>3646.1320080641003</v>
      </c>
      <c r="L204" s="195">
        <v>117066.49395234675</v>
      </c>
      <c r="M204" s="260">
        <v>427.34712131923999</v>
      </c>
      <c r="N204" s="202">
        <v>60343.331037252436</v>
      </c>
      <c r="O204" s="265">
        <v>955980.75850128208</v>
      </c>
      <c r="P204" s="259">
        <v>1540.1135014479787</v>
      </c>
      <c r="Q204" s="260">
        <v>28097.316402587625</v>
      </c>
      <c r="R204" s="262">
        <v>54908.796404550099</v>
      </c>
      <c r="S204" s="202"/>
    </row>
    <row r="205" spans="1:19" ht="15.75" customHeight="1">
      <c r="A205" s="263">
        <v>41247</v>
      </c>
      <c r="B205" s="196">
        <v>101361.58656761546</v>
      </c>
      <c r="C205" s="194">
        <v>41808.676887730289</v>
      </c>
      <c r="D205" s="194">
        <v>143888.01180297983</v>
      </c>
      <c r="E205" s="195">
        <v>80502.059675700715</v>
      </c>
      <c r="F205" s="194">
        <v>425858.106576722</v>
      </c>
      <c r="G205" s="196">
        <v>692056.85494313273</v>
      </c>
      <c r="H205" s="259">
        <v>2645.3780000000002</v>
      </c>
      <c r="I205" s="259">
        <v>5655.3527691017334</v>
      </c>
      <c r="J205" s="264">
        <v>1683.54041646</v>
      </c>
      <c r="K205" s="197">
        <v>3240.2310300600002</v>
      </c>
      <c r="L205" s="195">
        <v>94514.342478617182</v>
      </c>
      <c r="M205" s="260">
        <v>387.41557493874535</v>
      </c>
      <c r="N205" s="202">
        <v>66575.490621872072</v>
      </c>
      <c r="O205" s="265">
        <v>968120.19240179798</v>
      </c>
      <c r="P205" s="259">
        <v>1208.2960913727682</v>
      </c>
      <c r="Q205" s="260">
        <v>31067.654204137452</v>
      </c>
      <c r="R205" s="262">
        <v>64923.748210942336</v>
      </c>
      <c r="S205" s="202"/>
    </row>
    <row r="206" spans="1:19" ht="15.75" customHeight="1">
      <c r="A206" s="263">
        <v>41278</v>
      </c>
      <c r="B206" s="196">
        <v>103641.42483111612</v>
      </c>
      <c r="C206" s="194">
        <v>38751.752792921485</v>
      </c>
      <c r="D206" s="194">
        <v>146025.27074579359</v>
      </c>
      <c r="E206" s="195">
        <v>77722.963236239171</v>
      </c>
      <c r="F206" s="194">
        <v>452468.23856931919</v>
      </c>
      <c r="G206" s="196">
        <v>714968.22534427349</v>
      </c>
      <c r="H206" s="259">
        <v>2554.8195999999998</v>
      </c>
      <c r="I206" s="259">
        <v>5743.2109549015995</v>
      </c>
      <c r="J206" s="264">
        <v>2005.1633440000001</v>
      </c>
      <c r="K206" s="197">
        <v>3375.5633542003002</v>
      </c>
      <c r="L206" s="195">
        <v>84045.245613034524</v>
      </c>
      <c r="M206" s="260">
        <v>754.16461722296003</v>
      </c>
      <c r="N206" s="202">
        <v>63197.498067439679</v>
      </c>
      <c r="O206" s="265">
        <v>980285.31572618883</v>
      </c>
      <c r="P206" s="259">
        <v>990.13897649769535</v>
      </c>
      <c r="Q206" s="260">
        <v>31565.876404111816</v>
      </c>
      <c r="R206" s="262">
        <v>64930.754908843934</v>
      </c>
      <c r="S206" s="202"/>
    </row>
    <row r="207" spans="1:19" ht="6" customHeight="1" thickBot="1">
      <c r="A207" s="267"/>
      <c r="B207" s="268"/>
      <c r="C207" s="221"/>
      <c r="D207" s="222"/>
      <c r="E207" s="222"/>
      <c r="F207" s="222"/>
      <c r="G207" s="268"/>
      <c r="H207" s="269"/>
      <c r="I207" s="269"/>
      <c r="J207" s="269"/>
      <c r="K207" s="224"/>
      <c r="L207" s="222"/>
      <c r="M207" s="269"/>
      <c r="N207" s="269"/>
      <c r="O207" s="270"/>
      <c r="P207" s="223"/>
      <c r="Q207" s="269"/>
      <c r="R207" s="271"/>
    </row>
    <row r="208" spans="1:19" ht="8.25" customHeight="1" thickTop="1">
      <c r="A208" s="272"/>
      <c r="B208" s="272"/>
      <c r="C208" s="272"/>
      <c r="D208" s="272"/>
      <c r="E208" s="272"/>
      <c r="F208" s="272"/>
      <c r="G208" s="207"/>
      <c r="H208" s="272"/>
      <c r="I208" s="272"/>
      <c r="J208" s="272"/>
      <c r="K208" s="272"/>
      <c r="L208" s="272"/>
      <c r="M208" s="272"/>
      <c r="N208" s="272"/>
      <c r="O208" s="272"/>
      <c r="P208" s="272"/>
      <c r="Q208" s="272"/>
      <c r="R208" s="272"/>
    </row>
    <row r="209" spans="1:18" ht="13.5">
      <c r="A209" s="233" t="s">
        <v>383</v>
      </c>
      <c r="B209" s="141"/>
      <c r="C209" s="141"/>
      <c r="D209" s="141"/>
      <c r="E209" s="141"/>
      <c r="F209" s="141"/>
      <c r="K209" s="141" t="s">
        <v>361</v>
      </c>
      <c r="Q209" s="202"/>
      <c r="R209" s="141"/>
    </row>
    <row r="210" spans="1:18" ht="13.5">
      <c r="A210" s="233" t="s">
        <v>384</v>
      </c>
      <c r="B210" s="141"/>
      <c r="C210" s="141"/>
      <c r="D210" s="141"/>
      <c r="E210" s="141"/>
      <c r="F210" s="141"/>
      <c r="G210" s="238"/>
      <c r="H210" s="141"/>
      <c r="L210" s="141"/>
      <c r="M210" s="141"/>
      <c r="N210" s="273"/>
      <c r="O210" s="238"/>
      <c r="P210" s="141"/>
      <c r="Q210" s="238"/>
      <c r="R210" s="238"/>
    </row>
    <row r="211" spans="1:18" ht="13.5">
      <c r="A211" s="233" t="s">
        <v>360</v>
      </c>
      <c r="B211" s="141"/>
      <c r="C211" s="141"/>
      <c r="D211" s="141"/>
      <c r="E211" s="238"/>
      <c r="F211" s="141"/>
      <c r="G211" s="238"/>
      <c r="H211" s="202"/>
      <c r="I211" s="141"/>
      <c r="J211" s="141"/>
      <c r="K211" s="141"/>
      <c r="L211" s="141"/>
      <c r="M211" s="141"/>
      <c r="N211" s="274"/>
      <c r="O211" s="275"/>
      <c r="P211" s="238"/>
      <c r="Q211" s="141"/>
      <c r="R211" s="141"/>
    </row>
    <row r="212" spans="1:18">
      <c r="A212" s="141" t="s">
        <v>303</v>
      </c>
      <c r="B212" s="141"/>
      <c r="C212" s="141"/>
      <c r="D212" s="141"/>
      <c r="E212" s="141"/>
      <c r="F212" s="141"/>
      <c r="G212" s="238"/>
      <c r="H212" s="141"/>
      <c r="I212" s="141"/>
      <c r="J212" s="276"/>
      <c r="K212" s="141"/>
      <c r="L212" s="141"/>
      <c r="M212" s="277"/>
      <c r="N212" s="238"/>
      <c r="O212" s="141"/>
      <c r="P212" s="141"/>
      <c r="Q212" s="141"/>
      <c r="R212" s="141"/>
    </row>
  </sheetData>
  <mergeCells count="1">
    <mergeCell ref="K109:L109"/>
  </mergeCells>
  <printOptions horizontalCentered="1" verticalCentered="1"/>
  <pageMargins left="0" right="0" top="0.25" bottom="0" header="0" footer="0"/>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M17" sqref="M17"/>
    </sheetView>
  </sheetViews>
  <sheetFormatPr defaultRowHeight="12.75"/>
  <cols>
    <col min="1" max="1" width="42.140625" style="280" customWidth="1"/>
    <col min="2" max="2" width="13.85546875" style="280" bestFit="1" customWidth="1"/>
    <col min="3" max="3" width="11.140625" style="280" bestFit="1" customWidth="1"/>
    <col min="4" max="4" width="13.28515625" style="280" customWidth="1"/>
    <col min="5" max="5" width="11.7109375" style="280" bestFit="1" customWidth="1"/>
    <col min="6" max="6" width="9.85546875" style="280" customWidth="1"/>
    <col min="7" max="7" width="14.28515625" style="280" bestFit="1" customWidth="1"/>
    <col min="8" max="8" width="10.5703125" style="280" bestFit="1" customWidth="1"/>
    <col min="9" max="9" width="17" style="280" hidden="1" customWidth="1"/>
    <col min="10" max="10" width="0" style="280" hidden="1" customWidth="1"/>
    <col min="11" max="256" width="9.140625" style="280"/>
    <col min="257" max="257" width="42.140625" style="280" customWidth="1"/>
    <col min="258" max="258" width="13.85546875" style="280" bestFit="1" customWidth="1"/>
    <col min="259" max="259" width="11.140625" style="280" bestFit="1" customWidth="1"/>
    <col min="260" max="260" width="13.28515625" style="280" customWidth="1"/>
    <col min="261" max="261" width="11.7109375" style="280" bestFit="1" customWidth="1"/>
    <col min="262" max="262" width="9.85546875" style="280" customWidth="1"/>
    <col min="263" max="263" width="14.28515625" style="280" bestFit="1" customWidth="1"/>
    <col min="264" max="264" width="10.5703125" style="280" bestFit="1" customWidth="1"/>
    <col min="265" max="266" width="0" style="280" hidden="1" customWidth="1"/>
    <col min="267" max="512" width="9.140625" style="280"/>
    <col min="513" max="513" width="42.140625" style="280" customWidth="1"/>
    <col min="514" max="514" width="13.85546875" style="280" bestFit="1" customWidth="1"/>
    <col min="515" max="515" width="11.140625" style="280" bestFit="1" customWidth="1"/>
    <col min="516" max="516" width="13.28515625" style="280" customWidth="1"/>
    <col min="517" max="517" width="11.7109375" style="280" bestFit="1" customWidth="1"/>
    <col min="518" max="518" width="9.85546875" style="280" customWidth="1"/>
    <col min="519" max="519" width="14.28515625" style="280" bestFit="1" customWidth="1"/>
    <col min="520" max="520" width="10.5703125" style="280" bestFit="1" customWidth="1"/>
    <col min="521" max="522" width="0" style="280" hidden="1" customWidth="1"/>
    <col min="523" max="768" width="9.140625" style="280"/>
    <col min="769" max="769" width="42.140625" style="280" customWidth="1"/>
    <col min="770" max="770" width="13.85546875" style="280" bestFit="1" customWidth="1"/>
    <col min="771" max="771" width="11.140625" style="280" bestFit="1" customWidth="1"/>
    <col min="772" max="772" width="13.28515625" style="280" customWidth="1"/>
    <col min="773" max="773" width="11.7109375" style="280" bestFit="1" customWidth="1"/>
    <col min="774" max="774" width="9.85546875" style="280" customWidth="1"/>
    <col min="775" max="775" width="14.28515625" style="280" bestFit="1" customWidth="1"/>
    <col min="776" max="776" width="10.5703125" style="280" bestFit="1" customWidth="1"/>
    <col min="777" max="778" width="0" style="280" hidden="1" customWidth="1"/>
    <col min="779" max="1024" width="9.140625" style="280"/>
    <col min="1025" max="1025" width="42.140625" style="280" customWidth="1"/>
    <col min="1026" max="1026" width="13.85546875" style="280" bestFit="1" customWidth="1"/>
    <col min="1027" max="1027" width="11.140625" style="280" bestFit="1" customWidth="1"/>
    <col min="1028" max="1028" width="13.28515625" style="280" customWidth="1"/>
    <col min="1029" max="1029" width="11.7109375" style="280" bestFit="1" customWidth="1"/>
    <col min="1030" max="1030" width="9.85546875" style="280" customWidth="1"/>
    <col min="1031" max="1031" width="14.28515625" style="280" bestFit="1" customWidth="1"/>
    <col min="1032" max="1032" width="10.5703125" style="280" bestFit="1" customWidth="1"/>
    <col min="1033" max="1034" width="0" style="280" hidden="1" customWidth="1"/>
    <col min="1035" max="1280" width="9.140625" style="280"/>
    <col min="1281" max="1281" width="42.140625" style="280" customWidth="1"/>
    <col min="1282" max="1282" width="13.85546875" style="280" bestFit="1" customWidth="1"/>
    <col min="1283" max="1283" width="11.140625" style="280" bestFit="1" customWidth="1"/>
    <col min="1284" max="1284" width="13.28515625" style="280" customWidth="1"/>
    <col min="1285" max="1285" width="11.7109375" style="280" bestFit="1" customWidth="1"/>
    <col min="1286" max="1286" width="9.85546875" style="280" customWidth="1"/>
    <col min="1287" max="1287" width="14.28515625" style="280" bestFit="1" customWidth="1"/>
    <col min="1288" max="1288" width="10.5703125" style="280" bestFit="1" customWidth="1"/>
    <col min="1289" max="1290" width="0" style="280" hidden="1" customWidth="1"/>
    <col min="1291" max="1536" width="9.140625" style="280"/>
    <col min="1537" max="1537" width="42.140625" style="280" customWidth="1"/>
    <col min="1538" max="1538" width="13.85546875" style="280" bestFit="1" customWidth="1"/>
    <col min="1539" max="1539" width="11.140625" style="280" bestFit="1" customWidth="1"/>
    <col min="1540" max="1540" width="13.28515625" style="280" customWidth="1"/>
    <col min="1541" max="1541" width="11.7109375" style="280" bestFit="1" customWidth="1"/>
    <col min="1542" max="1542" width="9.85546875" style="280" customWidth="1"/>
    <col min="1543" max="1543" width="14.28515625" style="280" bestFit="1" customWidth="1"/>
    <col min="1544" max="1544" width="10.5703125" style="280" bestFit="1" customWidth="1"/>
    <col min="1545" max="1546" width="0" style="280" hidden="1" customWidth="1"/>
    <col min="1547" max="1792" width="9.140625" style="280"/>
    <col min="1793" max="1793" width="42.140625" style="280" customWidth="1"/>
    <col min="1794" max="1794" width="13.85546875" style="280" bestFit="1" customWidth="1"/>
    <col min="1795" max="1795" width="11.140625" style="280" bestFit="1" customWidth="1"/>
    <col min="1796" max="1796" width="13.28515625" style="280" customWidth="1"/>
    <col min="1797" max="1797" width="11.7109375" style="280" bestFit="1" customWidth="1"/>
    <col min="1798" max="1798" width="9.85546875" style="280" customWidth="1"/>
    <col min="1799" max="1799" width="14.28515625" style="280" bestFit="1" customWidth="1"/>
    <col min="1800" max="1800" width="10.5703125" style="280" bestFit="1" customWidth="1"/>
    <col min="1801" max="1802" width="0" style="280" hidden="1" customWidth="1"/>
    <col min="1803" max="2048" width="9.140625" style="280"/>
    <col min="2049" max="2049" width="42.140625" style="280" customWidth="1"/>
    <col min="2050" max="2050" width="13.85546875" style="280" bestFit="1" customWidth="1"/>
    <col min="2051" max="2051" width="11.140625" style="280" bestFit="1" customWidth="1"/>
    <col min="2052" max="2052" width="13.28515625" style="280" customWidth="1"/>
    <col min="2053" max="2053" width="11.7109375" style="280" bestFit="1" customWidth="1"/>
    <col min="2054" max="2054" width="9.85546875" style="280" customWidth="1"/>
    <col min="2055" max="2055" width="14.28515625" style="280" bestFit="1" customWidth="1"/>
    <col min="2056" max="2056" width="10.5703125" style="280" bestFit="1" customWidth="1"/>
    <col min="2057" max="2058" width="0" style="280" hidden="1" customWidth="1"/>
    <col min="2059" max="2304" width="9.140625" style="280"/>
    <col min="2305" max="2305" width="42.140625" style="280" customWidth="1"/>
    <col min="2306" max="2306" width="13.85546875" style="280" bestFit="1" customWidth="1"/>
    <col min="2307" max="2307" width="11.140625" style="280" bestFit="1" customWidth="1"/>
    <col min="2308" max="2308" width="13.28515625" style="280" customWidth="1"/>
    <col min="2309" max="2309" width="11.7109375" style="280" bestFit="1" customWidth="1"/>
    <col min="2310" max="2310" width="9.85546875" style="280" customWidth="1"/>
    <col min="2311" max="2311" width="14.28515625" style="280" bestFit="1" customWidth="1"/>
    <col min="2312" max="2312" width="10.5703125" style="280" bestFit="1" customWidth="1"/>
    <col min="2313" max="2314" width="0" style="280" hidden="1" customWidth="1"/>
    <col min="2315" max="2560" width="9.140625" style="280"/>
    <col min="2561" max="2561" width="42.140625" style="280" customWidth="1"/>
    <col min="2562" max="2562" width="13.85546875" style="280" bestFit="1" customWidth="1"/>
    <col min="2563" max="2563" width="11.140625" style="280" bestFit="1" customWidth="1"/>
    <col min="2564" max="2564" width="13.28515625" style="280" customWidth="1"/>
    <col min="2565" max="2565" width="11.7109375" style="280" bestFit="1" customWidth="1"/>
    <col min="2566" max="2566" width="9.85546875" style="280" customWidth="1"/>
    <col min="2567" max="2567" width="14.28515625" style="280" bestFit="1" customWidth="1"/>
    <col min="2568" max="2568" width="10.5703125" style="280" bestFit="1" customWidth="1"/>
    <col min="2569" max="2570" width="0" style="280" hidden="1" customWidth="1"/>
    <col min="2571" max="2816" width="9.140625" style="280"/>
    <col min="2817" max="2817" width="42.140625" style="280" customWidth="1"/>
    <col min="2818" max="2818" width="13.85546875" style="280" bestFit="1" customWidth="1"/>
    <col min="2819" max="2819" width="11.140625" style="280" bestFit="1" customWidth="1"/>
    <col min="2820" max="2820" width="13.28515625" style="280" customWidth="1"/>
    <col min="2821" max="2821" width="11.7109375" style="280" bestFit="1" customWidth="1"/>
    <col min="2822" max="2822" width="9.85546875" style="280" customWidth="1"/>
    <col min="2823" max="2823" width="14.28515625" style="280" bestFit="1" customWidth="1"/>
    <col min="2824" max="2824" width="10.5703125" style="280" bestFit="1" customWidth="1"/>
    <col min="2825" max="2826" width="0" style="280" hidden="1" customWidth="1"/>
    <col min="2827" max="3072" width="9.140625" style="280"/>
    <col min="3073" max="3073" width="42.140625" style="280" customWidth="1"/>
    <col min="3074" max="3074" width="13.85546875" style="280" bestFit="1" customWidth="1"/>
    <col min="3075" max="3075" width="11.140625" style="280" bestFit="1" customWidth="1"/>
    <col min="3076" max="3076" width="13.28515625" style="280" customWidth="1"/>
    <col min="3077" max="3077" width="11.7109375" style="280" bestFit="1" customWidth="1"/>
    <col min="3078" max="3078" width="9.85546875" style="280" customWidth="1"/>
    <col min="3079" max="3079" width="14.28515625" style="280" bestFit="1" customWidth="1"/>
    <col min="3080" max="3080" width="10.5703125" style="280" bestFit="1" customWidth="1"/>
    <col min="3081" max="3082" width="0" style="280" hidden="1" customWidth="1"/>
    <col min="3083" max="3328" width="9.140625" style="280"/>
    <col min="3329" max="3329" width="42.140625" style="280" customWidth="1"/>
    <col min="3330" max="3330" width="13.85546875" style="280" bestFit="1" customWidth="1"/>
    <col min="3331" max="3331" width="11.140625" style="280" bestFit="1" customWidth="1"/>
    <col min="3332" max="3332" width="13.28515625" style="280" customWidth="1"/>
    <col min="3333" max="3333" width="11.7109375" style="280" bestFit="1" customWidth="1"/>
    <col min="3334" max="3334" width="9.85546875" style="280" customWidth="1"/>
    <col min="3335" max="3335" width="14.28515625" style="280" bestFit="1" customWidth="1"/>
    <col min="3336" max="3336" width="10.5703125" style="280" bestFit="1" customWidth="1"/>
    <col min="3337" max="3338" width="0" style="280" hidden="1" customWidth="1"/>
    <col min="3339" max="3584" width="9.140625" style="280"/>
    <col min="3585" max="3585" width="42.140625" style="280" customWidth="1"/>
    <col min="3586" max="3586" width="13.85546875" style="280" bestFit="1" customWidth="1"/>
    <col min="3587" max="3587" width="11.140625" style="280" bestFit="1" customWidth="1"/>
    <col min="3588" max="3588" width="13.28515625" style="280" customWidth="1"/>
    <col min="3589" max="3589" width="11.7109375" style="280" bestFit="1" customWidth="1"/>
    <col min="3590" max="3590" width="9.85546875" style="280" customWidth="1"/>
    <col min="3591" max="3591" width="14.28515625" style="280" bestFit="1" customWidth="1"/>
    <col min="3592" max="3592" width="10.5703125" style="280" bestFit="1" customWidth="1"/>
    <col min="3593" max="3594" width="0" style="280" hidden="1" customWidth="1"/>
    <col min="3595" max="3840" width="9.140625" style="280"/>
    <col min="3841" max="3841" width="42.140625" style="280" customWidth="1"/>
    <col min="3842" max="3842" width="13.85546875" style="280" bestFit="1" customWidth="1"/>
    <col min="3843" max="3843" width="11.140625" style="280" bestFit="1" customWidth="1"/>
    <col min="3844" max="3844" width="13.28515625" style="280" customWidth="1"/>
    <col min="3845" max="3845" width="11.7109375" style="280" bestFit="1" customWidth="1"/>
    <col min="3846" max="3846" width="9.85546875" style="280" customWidth="1"/>
    <col min="3847" max="3847" width="14.28515625" style="280" bestFit="1" customWidth="1"/>
    <col min="3848" max="3848" width="10.5703125" style="280" bestFit="1" customWidth="1"/>
    <col min="3849" max="3850" width="0" style="280" hidden="1" customWidth="1"/>
    <col min="3851" max="4096" width="9.140625" style="280"/>
    <col min="4097" max="4097" width="42.140625" style="280" customWidth="1"/>
    <col min="4098" max="4098" width="13.85546875" style="280" bestFit="1" customWidth="1"/>
    <col min="4099" max="4099" width="11.140625" style="280" bestFit="1" customWidth="1"/>
    <col min="4100" max="4100" width="13.28515625" style="280" customWidth="1"/>
    <col min="4101" max="4101" width="11.7109375" style="280" bestFit="1" customWidth="1"/>
    <col min="4102" max="4102" width="9.85546875" style="280" customWidth="1"/>
    <col min="4103" max="4103" width="14.28515625" style="280" bestFit="1" customWidth="1"/>
    <col min="4104" max="4104" width="10.5703125" style="280" bestFit="1" customWidth="1"/>
    <col min="4105" max="4106" width="0" style="280" hidden="1" customWidth="1"/>
    <col min="4107" max="4352" width="9.140625" style="280"/>
    <col min="4353" max="4353" width="42.140625" style="280" customWidth="1"/>
    <col min="4354" max="4354" width="13.85546875" style="280" bestFit="1" customWidth="1"/>
    <col min="4355" max="4355" width="11.140625" style="280" bestFit="1" customWidth="1"/>
    <col min="4356" max="4356" width="13.28515625" style="280" customWidth="1"/>
    <col min="4357" max="4357" width="11.7109375" style="280" bestFit="1" customWidth="1"/>
    <col min="4358" max="4358" width="9.85546875" style="280" customWidth="1"/>
    <col min="4359" max="4359" width="14.28515625" style="280" bestFit="1" customWidth="1"/>
    <col min="4360" max="4360" width="10.5703125" style="280" bestFit="1" customWidth="1"/>
    <col min="4361" max="4362" width="0" style="280" hidden="1" customWidth="1"/>
    <col min="4363" max="4608" width="9.140625" style="280"/>
    <col min="4609" max="4609" width="42.140625" style="280" customWidth="1"/>
    <col min="4610" max="4610" width="13.85546875" style="280" bestFit="1" customWidth="1"/>
    <col min="4611" max="4611" width="11.140625" style="280" bestFit="1" customWidth="1"/>
    <col min="4612" max="4612" width="13.28515625" style="280" customWidth="1"/>
    <col min="4613" max="4613" width="11.7109375" style="280" bestFit="1" customWidth="1"/>
    <col min="4614" max="4614" width="9.85546875" style="280" customWidth="1"/>
    <col min="4615" max="4615" width="14.28515625" style="280" bestFit="1" customWidth="1"/>
    <col min="4616" max="4616" width="10.5703125" style="280" bestFit="1" customWidth="1"/>
    <col min="4617" max="4618" width="0" style="280" hidden="1" customWidth="1"/>
    <col min="4619" max="4864" width="9.140625" style="280"/>
    <col min="4865" max="4865" width="42.140625" style="280" customWidth="1"/>
    <col min="4866" max="4866" width="13.85546875" style="280" bestFit="1" customWidth="1"/>
    <col min="4867" max="4867" width="11.140625" style="280" bestFit="1" customWidth="1"/>
    <col min="4868" max="4868" width="13.28515625" style="280" customWidth="1"/>
    <col min="4869" max="4869" width="11.7109375" style="280" bestFit="1" customWidth="1"/>
    <col min="4870" max="4870" width="9.85546875" style="280" customWidth="1"/>
    <col min="4871" max="4871" width="14.28515625" style="280" bestFit="1" customWidth="1"/>
    <col min="4872" max="4872" width="10.5703125" style="280" bestFit="1" customWidth="1"/>
    <col min="4873" max="4874" width="0" style="280" hidden="1" customWidth="1"/>
    <col min="4875" max="5120" width="9.140625" style="280"/>
    <col min="5121" max="5121" width="42.140625" style="280" customWidth="1"/>
    <col min="5122" max="5122" width="13.85546875" style="280" bestFit="1" customWidth="1"/>
    <col min="5123" max="5123" width="11.140625" style="280" bestFit="1" customWidth="1"/>
    <col min="5124" max="5124" width="13.28515625" style="280" customWidth="1"/>
    <col min="5125" max="5125" width="11.7109375" style="280" bestFit="1" customWidth="1"/>
    <col min="5126" max="5126" width="9.85546875" style="280" customWidth="1"/>
    <col min="5127" max="5127" width="14.28515625" style="280" bestFit="1" customWidth="1"/>
    <col min="5128" max="5128" width="10.5703125" style="280" bestFit="1" customWidth="1"/>
    <col min="5129" max="5130" width="0" style="280" hidden="1" customWidth="1"/>
    <col min="5131" max="5376" width="9.140625" style="280"/>
    <col min="5377" max="5377" width="42.140625" style="280" customWidth="1"/>
    <col min="5378" max="5378" width="13.85546875" style="280" bestFit="1" customWidth="1"/>
    <col min="5379" max="5379" width="11.140625" style="280" bestFit="1" customWidth="1"/>
    <col min="5380" max="5380" width="13.28515625" style="280" customWidth="1"/>
    <col min="5381" max="5381" width="11.7109375" style="280" bestFit="1" customWidth="1"/>
    <col min="5382" max="5382" width="9.85546875" style="280" customWidth="1"/>
    <col min="5383" max="5383" width="14.28515625" style="280" bestFit="1" customWidth="1"/>
    <col min="5384" max="5384" width="10.5703125" style="280" bestFit="1" customWidth="1"/>
    <col min="5385" max="5386" width="0" style="280" hidden="1" customWidth="1"/>
    <col min="5387" max="5632" width="9.140625" style="280"/>
    <col min="5633" max="5633" width="42.140625" style="280" customWidth="1"/>
    <col min="5634" max="5634" width="13.85546875" style="280" bestFit="1" customWidth="1"/>
    <col min="5635" max="5635" width="11.140625" style="280" bestFit="1" customWidth="1"/>
    <col min="5636" max="5636" width="13.28515625" style="280" customWidth="1"/>
    <col min="5637" max="5637" width="11.7109375" style="280" bestFit="1" customWidth="1"/>
    <col min="5638" max="5638" width="9.85546875" style="280" customWidth="1"/>
    <col min="5639" max="5639" width="14.28515625" style="280" bestFit="1" customWidth="1"/>
    <col min="5640" max="5640" width="10.5703125" style="280" bestFit="1" customWidth="1"/>
    <col min="5641" max="5642" width="0" style="280" hidden="1" customWidth="1"/>
    <col min="5643" max="5888" width="9.140625" style="280"/>
    <col min="5889" max="5889" width="42.140625" style="280" customWidth="1"/>
    <col min="5890" max="5890" width="13.85546875" style="280" bestFit="1" customWidth="1"/>
    <col min="5891" max="5891" width="11.140625" style="280" bestFit="1" customWidth="1"/>
    <col min="5892" max="5892" width="13.28515625" style="280" customWidth="1"/>
    <col min="5893" max="5893" width="11.7109375" style="280" bestFit="1" customWidth="1"/>
    <col min="5894" max="5894" width="9.85546875" style="280" customWidth="1"/>
    <col min="5895" max="5895" width="14.28515625" style="280" bestFit="1" customWidth="1"/>
    <col min="5896" max="5896" width="10.5703125" style="280" bestFit="1" customWidth="1"/>
    <col min="5897" max="5898" width="0" style="280" hidden="1" customWidth="1"/>
    <col min="5899" max="6144" width="9.140625" style="280"/>
    <col min="6145" max="6145" width="42.140625" style="280" customWidth="1"/>
    <col min="6146" max="6146" width="13.85546875" style="280" bestFit="1" customWidth="1"/>
    <col min="6147" max="6147" width="11.140625" style="280" bestFit="1" customWidth="1"/>
    <col min="6148" max="6148" width="13.28515625" style="280" customWidth="1"/>
    <col min="6149" max="6149" width="11.7109375" style="280" bestFit="1" customWidth="1"/>
    <col min="6150" max="6150" width="9.85546875" style="280" customWidth="1"/>
    <col min="6151" max="6151" width="14.28515625" style="280" bestFit="1" customWidth="1"/>
    <col min="6152" max="6152" width="10.5703125" style="280" bestFit="1" customWidth="1"/>
    <col min="6153" max="6154" width="0" style="280" hidden="1" customWidth="1"/>
    <col min="6155" max="6400" width="9.140625" style="280"/>
    <col min="6401" max="6401" width="42.140625" style="280" customWidth="1"/>
    <col min="6402" max="6402" width="13.85546875" style="280" bestFit="1" customWidth="1"/>
    <col min="6403" max="6403" width="11.140625" style="280" bestFit="1" customWidth="1"/>
    <col min="6404" max="6404" width="13.28515625" style="280" customWidth="1"/>
    <col min="6405" max="6405" width="11.7109375" style="280" bestFit="1" customWidth="1"/>
    <col min="6406" max="6406" width="9.85546875" style="280" customWidth="1"/>
    <col min="6407" max="6407" width="14.28515625" style="280" bestFit="1" customWidth="1"/>
    <col min="6408" max="6408" width="10.5703125" style="280" bestFit="1" customWidth="1"/>
    <col min="6409" max="6410" width="0" style="280" hidden="1" customWidth="1"/>
    <col min="6411" max="6656" width="9.140625" style="280"/>
    <col min="6657" max="6657" width="42.140625" style="280" customWidth="1"/>
    <col min="6658" max="6658" width="13.85546875" style="280" bestFit="1" customWidth="1"/>
    <col min="6659" max="6659" width="11.140625" style="280" bestFit="1" customWidth="1"/>
    <col min="6660" max="6660" width="13.28515625" style="280" customWidth="1"/>
    <col min="6661" max="6661" width="11.7109375" style="280" bestFit="1" customWidth="1"/>
    <col min="6662" max="6662" width="9.85546875" style="280" customWidth="1"/>
    <col min="6663" max="6663" width="14.28515625" style="280" bestFit="1" customWidth="1"/>
    <col min="6664" max="6664" width="10.5703125" style="280" bestFit="1" customWidth="1"/>
    <col min="6665" max="6666" width="0" style="280" hidden="1" customWidth="1"/>
    <col min="6667" max="6912" width="9.140625" style="280"/>
    <col min="6913" max="6913" width="42.140625" style="280" customWidth="1"/>
    <col min="6914" max="6914" width="13.85546875" style="280" bestFit="1" customWidth="1"/>
    <col min="6915" max="6915" width="11.140625" style="280" bestFit="1" customWidth="1"/>
    <col min="6916" max="6916" width="13.28515625" style="280" customWidth="1"/>
    <col min="6917" max="6917" width="11.7109375" style="280" bestFit="1" customWidth="1"/>
    <col min="6918" max="6918" width="9.85546875" style="280" customWidth="1"/>
    <col min="6919" max="6919" width="14.28515625" style="280" bestFit="1" customWidth="1"/>
    <col min="6920" max="6920" width="10.5703125" style="280" bestFit="1" customWidth="1"/>
    <col min="6921" max="6922" width="0" style="280" hidden="1" customWidth="1"/>
    <col min="6923" max="7168" width="9.140625" style="280"/>
    <col min="7169" max="7169" width="42.140625" style="280" customWidth="1"/>
    <col min="7170" max="7170" width="13.85546875" style="280" bestFit="1" customWidth="1"/>
    <col min="7171" max="7171" width="11.140625" style="280" bestFit="1" customWidth="1"/>
    <col min="7172" max="7172" width="13.28515625" style="280" customWidth="1"/>
    <col min="7173" max="7173" width="11.7109375" style="280" bestFit="1" customWidth="1"/>
    <col min="7174" max="7174" width="9.85546875" style="280" customWidth="1"/>
    <col min="7175" max="7175" width="14.28515625" style="280" bestFit="1" customWidth="1"/>
    <col min="7176" max="7176" width="10.5703125" style="280" bestFit="1" customWidth="1"/>
    <col min="7177" max="7178" width="0" style="280" hidden="1" customWidth="1"/>
    <col min="7179" max="7424" width="9.140625" style="280"/>
    <col min="7425" max="7425" width="42.140625" style="280" customWidth="1"/>
    <col min="7426" max="7426" width="13.85546875" style="280" bestFit="1" customWidth="1"/>
    <col min="7427" max="7427" width="11.140625" style="280" bestFit="1" customWidth="1"/>
    <col min="7428" max="7428" width="13.28515625" style="280" customWidth="1"/>
    <col min="7429" max="7429" width="11.7109375" style="280" bestFit="1" customWidth="1"/>
    <col min="7430" max="7430" width="9.85546875" style="280" customWidth="1"/>
    <col min="7431" max="7431" width="14.28515625" style="280" bestFit="1" customWidth="1"/>
    <col min="7432" max="7432" width="10.5703125" style="280" bestFit="1" customWidth="1"/>
    <col min="7433" max="7434" width="0" style="280" hidden="1" customWidth="1"/>
    <col min="7435" max="7680" width="9.140625" style="280"/>
    <col min="7681" max="7681" width="42.140625" style="280" customWidth="1"/>
    <col min="7682" max="7682" width="13.85546875" style="280" bestFit="1" customWidth="1"/>
    <col min="7683" max="7683" width="11.140625" style="280" bestFit="1" customWidth="1"/>
    <col min="7684" max="7684" width="13.28515625" style="280" customWidth="1"/>
    <col min="7685" max="7685" width="11.7109375" style="280" bestFit="1" customWidth="1"/>
    <col min="7686" max="7686" width="9.85546875" style="280" customWidth="1"/>
    <col min="7687" max="7687" width="14.28515625" style="280" bestFit="1" customWidth="1"/>
    <col min="7688" max="7688" width="10.5703125" style="280" bestFit="1" customWidth="1"/>
    <col min="7689" max="7690" width="0" style="280" hidden="1" customWidth="1"/>
    <col min="7691" max="7936" width="9.140625" style="280"/>
    <col min="7937" max="7937" width="42.140625" style="280" customWidth="1"/>
    <col min="7938" max="7938" width="13.85546875" style="280" bestFit="1" customWidth="1"/>
    <col min="7939" max="7939" width="11.140625" style="280" bestFit="1" customWidth="1"/>
    <col min="7940" max="7940" width="13.28515625" style="280" customWidth="1"/>
    <col min="7941" max="7941" width="11.7109375" style="280" bestFit="1" customWidth="1"/>
    <col min="7942" max="7942" width="9.85546875" style="280" customWidth="1"/>
    <col min="7943" max="7943" width="14.28515625" style="280" bestFit="1" customWidth="1"/>
    <col min="7944" max="7944" width="10.5703125" style="280" bestFit="1" customWidth="1"/>
    <col min="7945" max="7946" width="0" style="280" hidden="1" customWidth="1"/>
    <col min="7947" max="8192" width="9.140625" style="280"/>
    <col min="8193" max="8193" width="42.140625" style="280" customWidth="1"/>
    <col min="8194" max="8194" width="13.85546875" style="280" bestFit="1" customWidth="1"/>
    <col min="8195" max="8195" width="11.140625" style="280" bestFit="1" customWidth="1"/>
    <col min="8196" max="8196" width="13.28515625" style="280" customWidth="1"/>
    <col min="8197" max="8197" width="11.7109375" style="280" bestFit="1" customWidth="1"/>
    <col min="8198" max="8198" width="9.85546875" style="280" customWidth="1"/>
    <col min="8199" max="8199" width="14.28515625" style="280" bestFit="1" customWidth="1"/>
    <col min="8200" max="8200" width="10.5703125" style="280" bestFit="1" customWidth="1"/>
    <col min="8201" max="8202" width="0" style="280" hidden="1" customWidth="1"/>
    <col min="8203" max="8448" width="9.140625" style="280"/>
    <col min="8449" max="8449" width="42.140625" style="280" customWidth="1"/>
    <col min="8450" max="8450" width="13.85546875" style="280" bestFit="1" customWidth="1"/>
    <col min="8451" max="8451" width="11.140625" style="280" bestFit="1" customWidth="1"/>
    <col min="8452" max="8452" width="13.28515625" style="280" customWidth="1"/>
    <col min="8453" max="8453" width="11.7109375" style="280" bestFit="1" customWidth="1"/>
    <col min="8454" max="8454" width="9.85546875" style="280" customWidth="1"/>
    <col min="8455" max="8455" width="14.28515625" style="280" bestFit="1" customWidth="1"/>
    <col min="8456" max="8456" width="10.5703125" style="280" bestFit="1" customWidth="1"/>
    <col min="8457" max="8458" width="0" style="280" hidden="1" customWidth="1"/>
    <col min="8459" max="8704" width="9.140625" style="280"/>
    <col min="8705" max="8705" width="42.140625" style="280" customWidth="1"/>
    <col min="8706" max="8706" width="13.85546875" style="280" bestFit="1" customWidth="1"/>
    <col min="8707" max="8707" width="11.140625" style="280" bestFit="1" customWidth="1"/>
    <col min="8708" max="8708" width="13.28515625" style="280" customWidth="1"/>
    <col min="8709" max="8709" width="11.7109375" style="280" bestFit="1" customWidth="1"/>
    <col min="8710" max="8710" width="9.85546875" style="280" customWidth="1"/>
    <col min="8711" max="8711" width="14.28515625" style="280" bestFit="1" customWidth="1"/>
    <col min="8712" max="8712" width="10.5703125" style="280" bestFit="1" customWidth="1"/>
    <col min="8713" max="8714" width="0" style="280" hidden="1" customWidth="1"/>
    <col min="8715" max="8960" width="9.140625" style="280"/>
    <col min="8961" max="8961" width="42.140625" style="280" customWidth="1"/>
    <col min="8962" max="8962" width="13.85546875" style="280" bestFit="1" customWidth="1"/>
    <col min="8963" max="8963" width="11.140625" style="280" bestFit="1" customWidth="1"/>
    <col min="8964" max="8964" width="13.28515625" style="280" customWidth="1"/>
    <col min="8965" max="8965" width="11.7109375" style="280" bestFit="1" customWidth="1"/>
    <col min="8966" max="8966" width="9.85546875" style="280" customWidth="1"/>
    <col min="8967" max="8967" width="14.28515625" style="280" bestFit="1" customWidth="1"/>
    <col min="8968" max="8968" width="10.5703125" style="280" bestFit="1" customWidth="1"/>
    <col min="8969" max="8970" width="0" style="280" hidden="1" customWidth="1"/>
    <col min="8971" max="9216" width="9.140625" style="280"/>
    <col min="9217" max="9217" width="42.140625" style="280" customWidth="1"/>
    <col min="9218" max="9218" width="13.85546875" style="280" bestFit="1" customWidth="1"/>
    <col min="9219" max="9219" width="11.140625" style="280" bestFit="1" customWidth="1"/>
    <col min="9220" max="9220" width="13.28515625" style="280" customWidth="1"/>
    <col min="9221" max="9221" width="11.7109375" style="280" bestFit="1" customWidth="1"/>
    <col min="9222" max="9222" width="9.85546875" style="280" customWidth="1"/>
    <col min="9223" max="9223" width="14.28515625" style="280" bestFit="1" customWidth="1"/>
    <col min="9224" max="9224" width="10.5703125" style="280" bestFit="1" customWidth="1"/>
    <col min="9225" max="9226" width="0" style="280" hidden="1" customWidth="1"/>
    <col min="9227" max="9472" width="9.140625" style="280"/>
    <col min="9473" max="9473" width="42.140625" style="280" customWidth="1"/>
    <col min="9474" max="9474" width="13.85546875" style="280" bestFit="1" customWidth="1"/>
    <col min="9475" max="9475" width="11.140625" style="280" bestFit="1" customWidth="1"/>
    <col min="9476" max="9476" width="13.28515625" style="280" customWidth="1"/>
    <col min="9477" max="9477" width="11.7109375" style="280" bestFit="1" customWidth="1"/>
    <col min="9478" max="9478" width="9.85546875" style="280" customWidth="1"/>
    <col min="9479" max="9479" width="14.28515625" style="280" bestFit="1" customWidth="1"/>
    <col min="9480" max="9480" width="10.5703125" style="280" bestFit="1" customWidth="1"/>
    <col min="9481" max="9482" width="0" style="280" hidden="1" customWidth="1"/>
    <col min="9483" max="9728" width="9.140625" style="280"/>
    <col min="9729" max="9729" width="42.140625" style="280" customWidth="1"/>
    <col min="9730" max="9730" width="13.85546875" style="280" bestFit="1" customWidth="1"/>
    <col min="9731" max="9731" width="11.140625" style="280" bestFit="1" customWidth="1"/>
    <col min="9732" max="9732" width="13.28515625" style="280" customWidth="1"/>
    <col min="9733" max="9733" width="11.7109375" style="280" bestFit="1" customWidth="1"/>
    <col min="9734" max="9734" width="9.85546875" style="280" customWidth="1"/>
    <col min="9735" max="9735" width="14.28515625" style="280" bestFit="1" customWidth="1"/>
    <col min="9736" max="9736" width="10.5703125" style="280" bestFit="1" customWidth="1"/>
    <col min="9737" max="9738" width="0" style="280" hidden="1" customWidth="1"/>
    <col min="9739" max="9984" width="9.140625" style="280"/>
    <col min="9985" max="9985" width="42.140625" style="280" customWidth="1"/>
    <col min="9986" max="9986" width="13.85546875" style="280" bestFit="1" customWidth="1"/>
    <col min="9987" max="9987" width="11.140625" style="280" bestFit="1" customWidth="1"/>
    <col min="9988" max="9988" width="13.28515625" style="280" customWidth="1"/>
    <col min="9989" max="9989" width="11.7109375" style="280" bestFit="1" customWidth="1"/>
    <col min="9990" max="9990" width="9.85546875" style="280" customWidth="1"/>
    <col min="9991" max="9991" width="14.28515625" style="280" bestFit="1" customWidth="1"/>
    <col min="9992" max="9992" width="10.5703125" style="280" bestFit="1" customWidth="1"/>
    <col min="9993" max="9994" width="0" style="280" hidden="1" customWidth="1"/>
    <col min="9995" max="10240" width="9.140625" style="280"/>
    <col min="10241" max="10241" width="42.140625" style="280" customWidth="1"/>
    <col min="10242" max="10242" width="13.85546875" style="280" bestFit="1" customWidth="1"/>
    <col min="10243" max="10243" width="11.140625" style="280" bestFit="1" customWidth="1"/>
    <col min="10244" max="10244" width="13.28515625" style="280" customWidth="1"/>
    <col min="10245" max="10245" width="11.7109375" style="280" bestFit="1" customWidth="1"/>
    <col min="10246" max="10246" width="9.85546875" style="280" customWidth="1"/>
    <col min="10247" max="10247" width="14.28515625" style="280" bestFit="1" customWidth="1"/>
    <col min="10248" max="10248" width="10.5703125" style="280" bestFit="1" customWidth="1"/>
    <col min="10249" max="10250" width="0" style="280" hidden="1" customWidth="1"/>
    <col min="10251" max="10496" width="9.140625" style="280"/>
    <col min="10497" max="10497" width="42.140625" style="280" customWidth="1"/>
    <col min="10498" max="10498" width="13.85546875" style="280" bestFit="1" customWidth="1"/>
    <col min="10499" max="10499" width="11.140625" style="280" bestFit="1" customWidth="1"/>
    <col min="10500" max="10500" width="13.28515625" style="280" customWidth="1"/>
    <col min="10501" max="10501" width="11.7109375" style="280" bestFit="1" customWidth="1"/>
    <col min="10502" max="10502" width="9.85546875" style="280" customWidth="1"/>
    <col min="10503" max="10503" width="14.28515625" style="280" bestFit="1" customWidth="1"/>
    <col min="10504" max="10504" width="10.5703125" style="280" bestFit="1" customWidth="1"/>
    <col min="10505" max="10506" width="0" style="280" hidden="1" customWidth="1"/>
    <col min="10507" max="10752" width="9.140625" style="280"/>
    <col min="10753" max="10753" width="42.140625" style="280" customWidth="1"/>
    <col min="10754" max="10754" width="13.85546875" style="280" bestFit="1" customWidth="1"/>
    <col min="10755" max="10755" width="11.140625" style="280" bestFit="1" customWidth="1"/>
    <col min="10756" max="10756" width="13.28515625" style="280" customWidth="1"/>
    <col min="10757" max="10757" width="11.7109375" style="280" bestFit="1" customWidth="1"/>
    <col min="10758" max="10758" width="9.85546875" style="280" customWidth="1"/>
    <col min="10759" max="10759" width="14.28515625" style="280" bestFit="1" customWidth="1"/>
    <col min="10760" max="10760" width="10.5703125" style="280" bestFit="1" customWidth="1"/>
    <col min="10761" max="10762" width="0" style="280" hidden="1" customWidth="1"/>
    <col min="10763" max="11008" width="9.140625" style="280"/>
    <col min="11009" max="11009" width="42.140625" style="280" customWidth="1"/>
    <col min="11010" max="11010" width="13.85546875" style="280" bestFit="1" customWidth="1"/>
    <col min="11011" max="11011" width="11.140625" style="280" bestFit="1" customWidth="1"/>
    <col min="11012" max="11012" width="13.28515625" style="280" customWidth="1"/>
    <col min="11013" max="11013" width="11.7109375" style="280" bestFit="1" customWidth="1"/>
    <col min="11014" max="11014" width="9.85546875" style="280" customWidth="1"/>
    <col min="11015" max="11015" width="14.28515625" style="280" bestFit="1" customWidth="1"/>
    <col min="11016" max="11016" width="10.5703125" style="280" bestFit="1" customWidth="1"/>
    <col min="11017" max="11018" width="0" style="280" hidden="1" customWidth="1"/>
    <col min="11019" max="11264" width="9.140625" style="280"/>
    <col min="11265" max="11265" width="42.140625" style="280" customWidth="1"/>
    <col min="11266" max="11266" width="13.85546875" style="280" bestFit="1" customWidth="1"/>
    <col min="11267" max="11267" width="11.140625" style="280" bestFit="1" customWidth="1"/>
    <col min="11268" max="11268" width="13.28515625" style="280" customWidth="1"/>
    <col min="11269" max="11269" width="11.7109375" style="280" bestFit="1" customWidth="1"/>
    <col min="11270" max="11270" width="9.85546875" style="280" customWidth="1"/>
    <col min="11271" max="11271" width="14.28515625" style="280" bestFit="1" customWidth="1"/>
    <col min="11272" max="11272" width="10.5703125" style="280" bestFit="1" customWidth="1"/>
    <col min="11273" max="11274" width="0" style="280" hidden="1" customWidth="1"/>
    <col min="11275" max="11520" width="9.140625" style="280"/>
    <col min="11521" max="11521" width="42.140625" style="280" customWidth="1"/>
    <col min="11522" max="11522" width="13.85546875" style="280" bestFit="1" customWidth="1"/>
    <col min="11523" max="11523" width="11.140625" style="280" bestFit="1" customWidth="1"/>
    <col min="11524" max="11524" width="13.28515625" style="280" customWidth="1"/>
    <col min="11525" max="11525" width="11.7109375" style="280" bestFit="1" customWidth="1"/>
    <col min="11526" max="11526" width="9.85546875" style="280" customWidth="1"/>
    <col min="11527" max="11527" width="14.28515625" style="280" bestFit="1" customWidth="1"/>
    <col min="11528" max="11528" width="10.5703125" style="280" bestFit="1" customWidth="1"/>
    <col min="11529" max="11530" width="0" style="280" hidden="1" customWidth="1"/>
    <col min="11531" max="11776" width="9.140625" style="280"/>
    <col min="11777" max="11777" width="42.140625" style="280" customWidth="1"/>
    <col min="11778" max="11778" width="13.85546875" style="280" bestFit="1" customWidth="1"/>
    <col min="11779" max="11779" width="11.140625" style="280" bestFit="1" customWidth="1"/>
    <col min="11780" max="11780" width="13.28515625" style="280" customWidth="1"/>
    <col min="11781" max="11781" width="11.7109375" style="280" bestFit="1" customWidth="1"/>
    <col min="11782" max="11782" width="9.85546875" style="280" customWidth="1"/>
    <col min="11783" max="11783" width="14.28515625" style="280" bestFit="1" customWidth="1"/>
    <col min="11784" max="11784" width="10.5703125" style="280" bestFit="1" customWidth="1"/>
    <col min="11785" max="11786" width="0" style="280" hidden="1" customWidth="1"/>
    <col min="11787" max="12032" width="9.140625" style="280"/>
    <col min="12033" max="12033" width="42.140625" style="280" customWidth="1"/>
    <col min="12034" max="12034" width="13.85546875" style="280" bestFit="1" customWidth="1"/>
    <col min="12035" max="12035" width="11.140625" style="280" bestFit="1" customWidth="1"/>
    <col min="12036" max="12036" width="13.28515625" style="280" customWidth="1"/>
    <col min="12037" max="12037" width="11.7109375" style="280" bestFit="1" customWidth="1"/>
    <col min="12038" max="12038" width="9.85546875" style="280" customWidth="1"/>
    <col min="12039" max="12039" width="14.28515625" style="280" bestFit="1" customWidth="1"/>
    <col min="12040" max="12040" width="10.5703125" style="280" bestFit="1" customWidth="1"/>
    <col min="12041" max="12042" width="0" style="280" hidden="1" customWidth="1"/>
    <col min="12043" max="12288" width="9.140625" style="280"/>
    <col min="12289" max="12289" width="42.140625" style="280" customWidth="1"/>
    <col min="12290" max="12290" width="13.85546875" style="280" bestFit="1" customWidth="1"/>
    <col min="12291" max="12291" width="11.140625" style="280" bestFit="1" customWidth="1"/>
    <col min="12292" max="12292" width="13.28515625" style="280" customWidth="1"/>
    <col min="12293" max="12293" width="11.7109375" style="280" bestFit="1" customWidth="1"/>
    <col min="12294" max="12294" width="9.85546875" style="280" customWidth="1"/>
    <col min="12295" max="12295" width="14.28515625" style="280" bestFit="1" customWidth="1"/>
    <col min="12296" max="12296" width="10.5703125" style="280" bestFit="1" customWidth="1"/>
    <col min="12297" max="12298" width="0" style="280" hidden="1" customWidth="1"/>
    <col min="12299" max="12544" width="9.140625" style="280"/>
    <col min="12545" max="12545" width="42.140625" style="280" customWidth="1"/>
    <col min="12546" max="12546" width="13.85546875" style="280" bestFit="1" customWidth="1"/>
    <col min="12547" max="12547" width="11.140625" style="280" bestFit="1" customWidth="1"/>
    <col min="12548" max="12548" width="13.28515625" style="280" customWidth="1"/>
    <col min="12549" max="12549" width="11.7109375" style="280" bestFit="1" customWidth="1"/>
    <col min="12550" max="12550" width="9.85546875" style="280" customWidth="1"/>
    <col min="12551" max="12551" width="14.28515625" style="280" bestFit="1" customWidth="1"/>
    <col min="12552" max="12552" width="10.5703125" style="280" bestFit="1" customWidth="1"/>
    <col min="12553" max="12554" width="0" style="280" hidden="1" customWidth="1"/>
    <col min="12555" max="12800" width="9.140625" style="280"/>
    <col min="12801" max="12801" width="42.140625" style="280" customWidth="1"/>
    <col min="12802" max="12802" width="13.85546875" style="280" bestFit="1" customWidth="1"/>
    <col min="12803" max="12803" width="11.140625" style="280" bestFit="1" customWidth="1"/>
    <col min="12804" max="12804" width="13.28515625" style="280" customWidth="1"/>
    <col min="12805" max="12805" width="11.7109375" style="280" bestFit="1" customWidth="1"/>
    <col min="12806" max="12806" width="9.85546875" style="280" customWidth="1"/>
    <col min="12807" max="12807" width="14.28515625" style="280" bestFit="1" customWidth="1"/>
    <col min="12808" max="12808" width="10.5703125" style="280" bestFit="1" customWidth="1"/>
    <col min="12809" max="12810" width="0" style="280" hidden="1" customWidth="1"/>
    <col min="12811" max="13056" width="9.140625" style="280"/>
    <col min="13057" max="13057" width="42.140625" style="280" customWidth="1"/>
    <col min="13058" max="13058" width="13.85546875" style="280" bestFit="1" customWidth="1"/>
    <col min="13059" max="13059" width="11.140625" style="280" bestFit="1" customWidth="1"/>
    <col min="13060" max="13060" width="13.28515625" style="280" customWidth="1"/>
    <col min="13061" max="13061" width="11.7109375" style="280" bestFit="1" customWidth="1"/>
    <col min="13062" max="13062" width="9.85546875" style="280" customWidth="1"/>
    <col min="13063" max="13063" width="14.28515625" style="280" bestFit="1" customWidth="1"/>
    <col min="13064" max="13064" width="10.5703125" style="280" bestFit="1" customWidth="1"/>
    <col min="13065" max="13066" width="0" style="280" hidden="1" customWidth="1"/>
    <col min="13067" max="13312" width="9.140625" style="280"/>
    <col min="13313" max="13313" width="42.140625" style="280" customWidth="1"/>
    <col min="13314" max="13314" width="13.85546875" style="280" bestFit="1" customWidth="1"/>
    <col min="13315" max="13315" width="11.140625" style="280" bestFit="1" customWidth="1"/>
    <col min="13316" max="13316" width="13.28515625" style="280" customWidth="1"/>
    <col min="13317" max="13317" width="11.7109375" style="280" bestFit="1" customWidth="1"/>
    <col min="13318" max="13318" width="9.85546875" style="280" customWidth="1"/>
    <col min="13319" max="13319" width="14.28515625" style="280" bestFit="1" customWidth="1"/>
    <col min="13320" max="13320" width="10.5703125" style="280" bestFit="1" customWidth="1"/>
    <col min="13321" max="13322" width="0" style="280" hidden="1" customWidth="1"/>
    <col min="13323" max="13568" width="9.140625" style="280"/>
    <col min="13569" max="13569" width="42.140625" style="280" customWidth="1"/>
    <col min="13570" max="13570" width="13.85546875" style="280" bestFit="1" customWidth="1"/>
    <col min="13571" max="13571" width="11.140625" style="280" bestFit="1" customWidth="1"/>
    <col min="13572" max="13572" width="13.28515625" style="280" customWidth="1"/>
    <col min="13573" max="13573" width="11.7109375" style="280" bestFit="1" customWidth="1"/>
    <col min="13574" max="13574" width="9.85546875" style="280" customWidth="1"/>
    <col min="13575" max="13575" width="14.28515625" style="280" bestFit="1" customWidth="1"/>
    <col min="13576" max="13576" width="10.5703125" style="280" bestFit="1" customWidth="1"/>
    <col min="13577" max="13578" width="0" style="280" hidden="1" customWidth="1"/>
    <col min="13579" max="13824" width="9.140625" style="280"/>
    <col min="13825" max="13825" width="42.140625" style="280" customWidth="1"/>
    <col min="13826" max="13826" width="13.85546875" style="280" bestFit="1" customWidth="1"/>
    <col min="13827" max="13827" width="11.140625" style="280" bestFit="1" customWidth="1"/>
    <col min="13828" max="13828" width="13.28515625" style="280" customWidth="1"/>
    <col min="13829" max="13829" width="11.7109375" style="280" bestFit="1" customWidth="1"/>
    <col min="13830" max="13830" width="9.85546875" style="280" customWidth="1"/>
    <col min="13831" max="13831" width="14.28515625" style="280" bestFit="1" customWidth="1"/>
    <col min="13832" max="13832" width="10.5703125" style="280" bestFit="1" customWidth="1"/>
    <col min="13833" max="13834" width="0" style="280" hidden="1" customWidth="1"/>
    <col min="13835" max="14080" width="9.140625" style="280"/>
    <col min="14081" max="14081" width="42.140625" style="280" customWidth="1"/>
    <col min="14082" max="14082" width="13.85546875" style="280" bestFit="1" customWidth="1"/>
    <col min="14083" max="14083" width="11.140625" style="280" bestFit="1" customWidth="1"/>
    <col min="14084" max="14084" width="13.28515625" style="280" customWidth="1"/>
    <col min="14085" max="14085" width="11.7109375" style="280" bestFit="1" customWidth="1"/>
    <col min="14086" max="14086" width="9.85546875" style="280" customWidth="1"/>
    <col min="14087" max="14087" width="14.28515625" style="280" bestFit="1" customWidth="1"/>
    <col min="14088" max="14088" width="10.5703125" style="280" bestFit="1" customWidth="1"/>
    <col min="14089" max="14090" width="0" style="280" hidden="1" customWidth="1"/>
    <col min="14091" max="14336" width="9.140625" style="280"/>
    <col min="14337" max="14337" width="42.140625" style="280" customWidth="1"/>
    <col min="14338" max="14338" width="13.85546875" style="280" bestFit="1" customWidth="1"/>
    <col min="14339" max="14339" width="11.140625" style="280" bestFit="1" customWidth="1"/>
    <col min="14340" max="14340" width="13.28515625" style="280" customWidth="1"/>
    <col min="14341" max="14341" width="11.7109375" style="280" bestFit="1" customWidth="1"/>
    <col min="14342" max="14342" width="9.85546875" style="280" customWidth="1"/>
    <col min="14343" max="14343" width="14.28515625" style="280" bestFit="1" customWidth="1"/>
    <col min="14344" max="14344" width="10.5703125" style="280" bestFit="1" customWidth="1"/>
    <col min="14345" max="14346" width="0" style="280" hidden="1" customWidth="1"/>
    <col min="14347" max="14592" width="9.140625" style="280"/>
    <col min="14593" max="14593" width="42.140625" style="280" customWidth="1"/>
    <col min="14594" max="14594" width="13.85546875" style="280" bestFit="1" customWidth="1"/>
    <col min="14595" max="14595" width="11.140625" style="280" bestFit="1" customWidth="1"/>
    <col min="14596" max="14596" width="13.28515625" style="280" customWidth="1"/>
    <col min="14597" max="14597" width="11.7109375" style="280" bestFit="1" customWidth="1"/>
    <col min="14598" max="14598" width="9.85546875" style="280" customWidth="1"/>
    <col min="14599" max="14599" width="14.28515625" style="280" bestFit="1" customWidth="1"/>
    <col min="14600" max="14600" width="10.5703125" style="280" bestFit="1" customWidth="1"/>
    <col min="14601" max="14602" width="0" style="280" hidden="1" customWidth="1"/>
    <col min="14603" max="14848" width="9.140625" style="280"/>
    <col min="14849" max="14849" width="42.140625" style="280" customWidth="1"/>
    <col min="14850" max="14850" width="13.85546875" style="280" bestFit="1" customWidth="1"/>
    <col min="14851" max="14851" width="11.140625" style="280" bestFit="1" customWidth="1"/>
    <col min="14852" max="14852" width="13.28515625" style="280" customWidth="1"/>
    <col min="14853" max="14853" width="11.7109375" style="280" bestFit="1" customWidth="1"/>
    <col min="14854" max="14854" width="9.85546875" style="280" customWidth="1"/>
    <col min="14855" max="14855" width="14.28515625" style="280" bestFit="1" customWidth="1"/>
    <col min="14856" max="14856" width="10.5703125" style="280" bestFit="1" customWidth="1"/>
    <col min="14857" max="14858" width="0" style="280" hidden="1" customWidth="1"/>
    <col min="14859" max="15104" width="9.140625" style="280"/>
    <col min="15105" max="15105" width="42.140625" style="280" customWidth="1"/>
    <col min="15106" max="15106" width="13.85546875" style="280" bestFit="1" customWidth="1"/>
    <col min="15107" max="15107" width="11.140625" style="280" bestFit="1" customWidth="1"/>
    <col min="15108" max="15108" width="13.28515625" style="280" customWidth="1"/>
    <col min="15109" max="15109" width="11.7109375" style="280" bestFit="1" customWidth="1"/>
    <col min="15110" max="15110" width="9.85546875" style="280" customWidth="1"/>
    <col min="15111" max="15111" width="14.28515625" style="280" bestFit="1" customWidth="1"/>
    <col min="15112" max="15112" width="10.5703125" style="280" bestFit="1" customWidth="1"/>
    <col min="15113" max="15114" width="0" style="280" hidden="1" customWidth="1"/>
    <col min="15115" max="15360" width="9.140625" style="280"/>
    <col min="15361" max="15361" width="42.140625" style="280" customWidth="1"/>
    <col min="15362" max="15362" width="13.85546875" style="280" bestFit="1" customWidth="1"/>
    <col min="15363" max="15363" width="11.140625" style="280" bestFit="1" customWidth="1"/>
    <col min="15364" max="15364" width="13.28515625" style="280" customWidth="1"/>
    <col min="15365" max="15365" width="11.7109375" style="280" bestFit="1" customWidth="1"/>
    <col min="15366" max="15366" width="9.85546875" style="280" customWidth="1"/>
    <col min="15367" max="15367" width="14.28515625" style="280" bestFit="1" customWidth="1"/>
    <col min="15368" max="15368" width="10.5703125" style="280" bestFit="1" customWidth="1"/>
    <col min="15369" max="15370" width="0" style="280" hidden="1" customWidth="1"/>
    <col min="15371" max="15616" width="9.140625" style="280"/>
    <col min="15617" max="15617" width="42.140625" style="280" customWidth="1"/>
    <col min="15618" max="15618" width="13.85546875" style="280" bestFit="1" customWidth="1"/>
    <col min="15619" max="15619" width="11.140625" style="280" bestFit="1" customWidth="1"/>
    <col min="15620" max="15620" width="13.28515625" style="280" customWidth="1"/>
    <col min="15621" max="15621" width="11.7109375" style="280" bestFit="1" customWidth="1"/>
    <col min="15622" max="15622" width="9.85546875" style="280" customWidth="1"/>
    <col min="15623" max="15623" width="14.28515625" style="280" bestFit="1" customWidth="1"/>
    <col min="15624" max="15624" width="10.5703125" style="280" bestFit="1" customWidth="1"/>
    <col min="15625" max="15626" width="0" style="280" hidden="1" customWidth="1"/>
    <col min="15627" max="15872" width="9.140625" style="280"/>
    <col min="15873" max="15873" width="42.140625" style="280" customWidth="1"/>
    <col min="15874" max="15874" width="13.85546875" style="280" bestFit="1" customWidth="1"/>
    <col min="15875" max="15875" width="11.140625" style="280" bestFit="1" customWidth="1"/>
    <col min="15876" max="15876" width="13.28515625" style="280" customWidth="1"/>
    <col min="15877" max="15877" width="11.7109375" style="280" bestFit="1" customWidth="1"/>
    <col min="15878" max="15878" width="9.85546875" style="280" customWidth="1"/>
    <col min="15879" max="15879" width="14.28515625" style="280" bestFit="1" customWidth="1"/>
    <col min="15880" max="15880" width="10.5703125" style="280" bestFit="1" customWidth="1"/>
    <col min="15881" max="15882" width="0" style="280" hidden="1" customWidth="1"/>
    <col min="15883" max="16128" width="9.140625" style="280"/>
    <col min="16129" max="16129" width="42.140625" style="280" customWidth="1"/>
    <col min="16130" max="16130" width="13.85546875" style="280" bestFit="1" customWidth="1"/>
    <col min="16131" max="16131" width="11.140625" style="280" bestFit="1" customWidth="1"/>
    <col min="16132" max="16132" width="13.28515625" style="280" customWidth="1"/>
    <col min="16133" max="16133" width="11.7109375" style="280" bestFit="1" customWidth="1"/>
    <col min="16134" max="16134" width="9.85546875" style="280" customWidth="1"/>
    <col min="16135" max="16135" width="14.28515625" style="280" bestFit="1" customWidth="1"/>
    <col min="16136" max="16136" width="10.5703125" style="280" bestFit="1" customWidth="1"/>
    <col min="16137" max="16138" width="0" style="280" hidden="1" customWidth="1"/>
    <col min="16139" max="16384" width="9.140625" style="280"/>
  </cols>
  <sheetData>
    <row r="1" spans="1:12" ht="15">
      <c r="A1" s="278" t="s">
        <v>385</v>
      </c>
      <c r="B1" s="279"/>
      <c r="C1" s="279"/>
      <c r="D1" s="279"/>
      <c r="E1" s="279"/>
      <c r="F1" s="279"/>
      <c r="G1" s="279"/>
      <c r="H1" s="279"/>
    </row>
    <row r="2" spans="1:12" ht="13.5" thickBot="1">
      <c r="A2" s="279"/>
      <c r="B2" s="281"/>
      <c r="C2" s="281"/>
      <c r="D2" s="281"/>
      <c r="E2" s="281"/>
      <c r="F2" s="281"/>
      <c r="G2" s="281"/>
      <c r="H2" s="282" t="s">
        <v>12</v>
      </c>
    </row>
    <row r="3" spans="1:12" ht="13.5" customHeight="1" thickTop="1">
      <c r="A3" s="283" t="s">
        <v>386</v>
      </c>
      <c r="B3" s="284" t="s">
        <v>387</v>
      </c>
      <c r="C3" s="285" t="s">
        <v>184</v>
      </c>
      <c r="D3" s="285" t="s">
        <v>388</v>
      </c>
      <c r="E3" s="285" t="s">
        <v>388</v>
      </c>
      <c r="F3" s="285" t="s">
        <v>389</v>
      </c>
      <c r="G3" s="285" t="s">
        <v>390</v>
      </c>
      <c r="H3" s="286" t="s">
        <v>369</v>
      </c>
    </row>
    <row r="4" spans="1:12">
      <c r="A4" s="287"/>
      <c r="B4" s="288"/>
      <c r="C4" s="289"/>
      <c r="D4" s="289" t="s">
        <v>391</v>
      </c>
      <c r="E4" s="289" t="s">
        <v>392</v>
      </c>
      <c r="F4" s="289" t="s">
        <v>393</v>
      </c>
      <c r="G4" s="289" t="s">
        <v>394</v>
      </c>
      <c r="H4" s="290"/>
    </row>
    <row r="5" spans="1:12" ht="13.5" thickBot="1">
      <c r="A5" s="291"/>
      <c r="B5" s="292"/>
      <c r="C5" s="293"/>
      <c r="D5" s="293" t="s">
        <v>395</v>
      </c>
      <c r="E5" s="293"/>
      <c r="F5" s="293" t="s">
        <v>184</v>
      </c>
      <c r="G5" s="293" t="s">
        <v>396</v>
      </c>
      <c r="H5" s="294"/>
    </row>
    <row r="6" spans="1:12" ht="13.5" thickTop="1">
      <c r="A6" s="295"/>
      <c r="B6" s="296"/>
      <c r="C6" s="297"/>
      <c r="D6" s="297"/>
      <c r="E6" s="297"/>
      <c r="F6" s="297"/>
      <c r="G6" s="298"/>
      <c r="H6" s="299"/>
    </row>
    <row r="7" spans="1:12">
      <c r="A7" s="300" t="s">
        <v>397</v>
      </c>
      <c r="B7" s="301">
        <v>3824.122838310006</v>
      </c>
      <c r="C7" s="302">
        <v>11386.611258140269</v>
      </c>
      <c r="D7" s="302">
        <v>7.3106000000000004E-2</v>
      </c>
      <c r="E7" s="302">
        <v>50.795155000000001</v>
      </c>
      <c r="F7" s="302">
        <v>2070.4926532487571</v>
      </c>
      <c r="G7" s="302">
        <v>175</v>
      </c>
      <c r="H7" s="303">
        <v>17507.095010699031</v>
      </c>
      <c r="I7" s="304">
        <v>0</v>
      </c>
      <c r="J7" s="304">
        <v>-806.13680955738164</v>
      </c>
      <c r="K7" s="304"/>
      <c r="L7" s="304"/>
    </row>
    <row r="8" spans="1:12">
      <c r="A8" s="305" t="s">
        <v>398</v>
      </c>
      <c r="B8" s="301"/>
      <c r="C8" s="302"/>
      <c r="D8" s="302"/>
      <c r="E8" s="302"/>
      <c r="F8" s="302"/>
      <c r="G8" s="302"/>
      <c r="H8" s="306"/>
      <c r="I8" s="304"/>
      <c r="J8" s="304"/>
      <c r="K8" s="304"/>
      <c r="L8" s="304"/>
    </row>
    <row r="9" spans="1:12">
      <c r="A9" s="307" t="s">
        <v>399</v>
      </c>
      <c r="B9" s="308">
        <v>1151.6166619999999</v>
      </c>
      <c r="C9" s="309">
        <v>5323.9863323599993</v>
      </c>
      <c r="D9" s="309">
        <v>0</v>
      </c>
      <c r="E9" s="309">
        <v>0</v>
      </c>
      <c r="F9" s="309">
        <v>233.278569</v>
      </c>
      <c r="G9" s="309">
        <v>175</v>
      </c>
      <c r="H9" s="306">
        <v>6883.8815633599988</v>
      </c>
      <c r="I9" s="304">
        <v>0</v>
      </c>
      <c r="J9" s="304">
        <v>0</v>
      </c>
      <c r="K9" s="304"/>
      <c r="L9" s="304"/>
    </row>
    <row r="10" spans="1:12">
      <c r="A10" s="307" t="s">
        <v>400</v>
      </c>
      <c r="B10" s="308">
        <v>636.80150021999987</v>
      </c>
      <c r="C10" s="309">
        <v>974.71144620000007</v>
      </c>
      <c r="D10" s="309">
        <v>0</v>
      </c>
      <c r="E10" s="309">
        <v>0</v>
      </c>
      <c r="F10" s="309">
        <v>238.72982869000001</v>
      </c>
      <c r="G10" s="309">
        <v>0</v>
      </c>
      <c r="H10" s="306">
        <v>1850.2427751099999</v>
      </c>
      <c r="I10" s="304">
        <v>0</v>
      </c>
      <c r="J10" s="304">
        <v>0</v>
      </c>
      <c r="K10" s="304"/>
      <c r="L10" s="304"/>
    </row>
    <row r="11" spans="1:12">
      <c r="A11" s="307" t="s">
        <v>401</v>
      </c>
      <c r="B11" s="308">
        <v>8.1897883599999997</v>
      </c>
      <c r="C11" s="309">
        <v>1.1001240000000001</v>
      </c>
      <c r="D11" s="309">
        <v>0</v>
      </c>
      <c r="E11" s="309">
        <v>2.0763250000000002</v>
      </c>
      <c r="F11" s="309">
        <v>5.1000000000000004E-3</v>
      </c>
      <c r="G11" s="309">
        <v>0</v>
      </c>
      <c r="H11" s="306">
        <v>11.37133736</v>
      </c>
      <c r="I11" s="304">
        <v>0</v>
      </c>
      <c r="J11" s="304">
        <v>0</v>
      </c>
      <c r="K11" s="304"/>
      <c r="L11" s="304"/>
    </row>
    <row r="12" spans="1:12">
      <c r="A12" s="307" t="s">
        <v>402</v>
      </c>
      <c r="B12" s="308">
        <v>3.9576211400000001</v>
      </c>
      <c r="C12" s="309">
        <v>1.9585130000000003E-2</v>
      </c>
      <c r="D12" s="309">
        <v>0</v>
      </c>
      <c r="E12" s="309">
        <v>0</v>
      </c>
      <c r="F12" s="309">
        <v>0</v>
      </c>
      <c r="G12" s="309">
        <v>0</v>
      </c>
      <c r="H12" s="306">
        <v>3.9772062699999999</v>
      </c>
      <c r="I12" s="304">
        <v>0</v>
      </c>
      <c r="J12" s="304">
        <v>0</v>
      </c>
      <c r="K12" s="304"/>
      <c r="L12" s="304"/>
    </row>
    <row r="13" spans="1:12">
      <c r="A13" s="307" t="s">
        <v>403</v>
      </c>
      <c r="B13" s="308">
        <v>630.36018891525498</v>
      </c>
      <c r="C13" s="309">
        <v>1152.708295441643</v>
      </c>
      <c r="D13" s="309">
        <v>0</v>
      </c>
      <c r="E13" s="309">
        <v>0</v>
      </c>
      <c r="F13" s="309">
        <v>1.5899E-2</v>
      </c>
      <c r="G13" s="309">
        <v>0</v>
      </c>
      <c r="H13" s="306">
        <v>1783.0843833568979</v>
      </c>
      <c r="I13" s="304">
        <v>0</v>
      </c>
      <c r="J13" s="304">
        <v>0</v>
      </c>
      <c r="K13" s="304"/>
      <c r="L13" s="304"/>
    </row>
    <row r="14" spans="1:12">
      <c r="A14" s="307" t="s">
        <v>404</v>
      </c>
      <c r="B14" s="308">
        <v>34.149255983163997</v>
      </c>
      <c r="C14" s="309">
        <v>98.155912053547993</v>
      </c>
      <c r="D14" s="309">
        <v>1.9999999999999999E-6</v>
      </c>
      <c r="E14" s="309">
        <v>1.566093</v>
      </c>
      <c r="F14" s="309">
        <v>35.616664</v>
      </c>
      <c r="G14" s="309">
        <v>0</v>
      </c>
      <c r="H14" s="306">
        <v>169.48792703671199</v>
      </c>
      <c r="I14" s="304">
        <v>0</v>
      </c>
      <c r="J14" s="304">
        <v>0</v>
      </c>
      <c r="K14" s="304"/>
      <c r="L14" s="304"/>
    </row>
    <row r="15" spans="1:12">
      <c r="A15" s="307" t="s">
        <v>405</v>
      </c>
      <c r="B15" s="308">
        <v>304.06444069562497</v>
      </c>
      <c r="C15" s="309">
        <v>549.77183741313695</v>
      </c>
      <c r="D15" s="309">
        <v>7.3104000000000002E-2</v>
      </c>
      <c r="E15" s="309">
        <v>43.824694000000001</v>
      </c>
      <c r="F15" s="309">
        <v>107.85749199999999</v>
      </c>
      <c r="G15" s="309">
        <v>0</v>
      </c>
      <c r="H15" s="306">
        <v>1005.5915681087619</v>
      </c>
      <c r="I15" s="304">
        <v>0</v>
      </c>
      <c r="J15" s="304">
        <v>0</v>
      </c>
      <c r="K15" s="304"/>
      <c r="L15" s="304"/>
    </row>
    <row r="16" spans="1:12">
      <c r="A16" s="307" t="s">
        <v>406</v>
      </c>
      <c r="B16" s="308">
        <v>171.57817389979905</v>
      </c>
      <c r="C16" s="309">
        <v>142.72125195999999</v>
      </c>
      <c r="D16" s="309">
        <v>0</v>
      </c>
      <c r="E16" s="309">
        <v>0</v>
      </c>
      <c r="F16" s="309">
        <v>107.72557401</v>
      </c>
      <c r="G16" s="309">
        <v>0</v>
      </c>
      <c r="H16" s="306">
        <v>422.02499986979905</v>
      </c>
      <c r="I16" s="304">
        <v>0</v>
      </c>
      <c r="J16" s="304">
        <v>0</v>
      </c>
      <c r="K16" s="304"/>
      <c r="L16" s="304"/>
    </row>
    <row r="17" spans="1:12">
      <c r="A17" s="307" t="s">
        <v>407</v>
      </c>
      <c r="B17" s="308">
        <v>883.40520709616396</v>
      </c>
      <c r="C17" s="309">
        <v>3143.4364735819408</v>
      </c>
      <c r="D17" s="309">
        <v>0</v>
      </c>
      <c r="E17" s="309">
        <v>3.3280430000000001</v>
      </c>
      <c r="F17" s="309">
        <v>1347.263526548757</v>
      </c>
      <c r="G17" s="309">
        <v>0</v>
      </c>
      <c r="H17" s="306">
        <v>5377.4332502268617</v>
      </c>
      <c r="I17" s="304">
        <v>0</v>
      </c>
      <c r="J17" s="304">
        <v>0</v>
      </c>
      <c r="K17" s="304"/>
      <c r="L17" s="304"/>
    </row>
    <row r="18" spans="1:12">
      <c r="A18" s="300"/>
      <c r="B18" s="301"/>
      <c r="C18" s="302"/>
      <c r="D18" s="302"/>
      <c r="E18" s="302"/>
      <c r="F18" s="302"/>
      <c r="G18" s="302"/>
      <c r="H18" s="303"/>
      <c r="I18" s="304"/>
      <c r="J18" s="304"/>
      <c r="K18" s="304"/>
      <c r="L18" s="304"/>
    </row>
    <row r="19" spans="1:12">
      <c r="A19" s="300" t="s">
        <v>408</v>
      </c>
      <c r="B19" s="301">
        <v>6182.6899571962149</v>
      </c>
      <c r="C19" s="302">
        <v>6343.8913679528396</v>
      </c>
      <c r="D19" s="302">
        <v>191.47964488999997</v>
      </c>
      <c r="E19" s="302">
        <v>1768.5768927700001</v>
      </c>
      <c r="F19" s="302">
        <v>4305.6399594576669</v>
      </c>
      <c r="G19" s="302">
        <v>28.5</v>
      </c>
      <c r="H19" s="303">
        <v>18820.777822266718</v>
      </c>
      <c r="I19" s="304">
        <v>0</v>
      </c>
      <c r="J19" s="304">
        <v>-427.14512719435885</v>
      </c>
      <c r="K19" s="304"/>
      <c r="L19" s="304"/>
    </row>
    <row r="20" spans="1:12">
      <c r="A20" s="305" t="s">
        <v>398</v>
      </c>
      <c r="B20" s="301"/>
      <c r="C20" s="302"/>
      <c r="D20" s="302"/>
      <c r="E20" s="302"/>
      <c r="F20" s="302"/>
      <c r="G20" s="302"/>
      <c r="H20" s="303"/>
      <c r="I20" s="304"/>
      <c r="J20" s="304"/>
      <c r="K20" s="304"/>
      <c r="L20" s="304"/>
    </row>
    <row r="21" spans="1:12">
      <c r="A21" s="307" t="s">
        <v>409</v>
      </c>
      <c r="B21" s="308">
        <v>2022.5833134592312</v>
      </c>
      <c r="C21" s="309">
        <v>998.8709616958331</v>
      </c>
      <c r="D21" s="309">
        <v>173.75180272999998</v>
      </c>
      <c r="E21" s="309">
        <v>469.95576799999998</v>
      </c>
      <c r="F21" s="309">
        <v>1884.2448682948805</v>
      </c>
      <c r="G21" s="309">
        <v>28.5</v>
      </c>
      <c r="H21" s="306">
        <v>5577.9067141799442</v>
      </c>
      <c r="I21" s="304">
        <v>0</v>
      </c>
      <c r="J21" s="304">
        <v>0</v>
      </c>
      <c r="K21" s="304"/>
      <c r="L21" s="304"/>
    </row>
    <row r="22" spans="1:12">
      <c r="A22" s="307" t="s">
        <v>410</v>
      </c>
      <c r="B22" s="308">
        <v>80.040081090000001</v>
      </c>
      <c r="C22" s="309">
        <v>220.46567480999997</v>
      </c>
      <c r="D22" s="309">
        <v>0</v>
      </c>
      <c r="E22" s="309">
        <v>9.5217620000000007</v>
      </c>
      <c r="F22" s="309">
        <v>10.518523029999999</v>
      </c>
      <c r="G22" s="309">
        <v>0</v>
      </c>
      <c r="H22" s="306">
        <v>320.54604092999995</v>
      </c>
      <c r="I22" s="304">
        <v>0</v>
      </c>
      <c r="J22" s="304">
        <v>0</v>
      </c>
      <c r="K22" s="304"/>
      <c r="L22" s="304"/>
    </row>
    <row r="23" spans="1:12">
      <c r="A23" s="307" t="s">
        <v>411</v>
      </c>
      <c r="B23" s="308">
        <v>25.914068920000002</v>
      </c>
      <c r="C23" s="309">
        <v>13.46987345</v>
      </c>
      <c r="D23" s="309">
        <v>9.7122775899999993</v>
      </c>
      <c r="E23" s="309">
        <v>4.8551849999999996</v>
      </c>
      <c r="F23" s="309">
        <v>81.472705129999994</v>
      </c>
      <c r="G23" s="309">
        <v>0</v>
      </c>
      <c r="H23" s="306">
        <v>135.42411009</v>
      </c>
      <c r="I23" s="304">
        <v>0</v>
      </c>
      <c r="J23" s="304">
        <v>0</v>
      </c>
      <c r="K23" s="304"/>
      <c r="L23" s="304"/>
    </row>
    <row r="24" spans="1:12">
      <c r="A24" s="307" t="s">
        <v>412</v>
      </c>
      <c r="B24" s="308">
        <v>60.609825419999993</v>
      </c>
      <c r="C24" s="309">
        <v>95.616247290000004</v>
      </c>
      <c r="D24" s="309">
        <v>0</v>
      </c>
      <c r="E24" s="309">
        <v>11.635313999999999</v>
      </c>
      <c r="F24" s="309">
        <v>124.67177299000001</v>
      </c>
      <c r="G24" s="309">
        <v>0</v>
      </c>
      <c r="H24" s="306">
        <v>292.5331597</v>
      </c>
      <c r="I24" s="304">
        <v>0</v>
      </c>
      <c r="J24" s="304">
        <v>0</v>
      </c>
      <c r="K24" s="304"/>
      <c r="L24" s="304"/>
    </row>
    <row r="25" spans="1:12">
      <c r="A25" s="307" t="s">
        <v>413</v>
      </c>
      <c r="B25" s="308">
        <v>9.9999999999999995E-7</v>
      </c>
      <c r="C25" s="309">
        <v>0</v>
      </c>
      <c r="D25" s="309">
        <v>0</v>
      </c>
      <c r="E25" s="309">
        <v>0</v>
      </c>
      <c r="F25" s="309">
        <v>0</v>
      </c>
      <c r="G25" s="309">
        <v>0</v>
      </c>
      <c r="H25" s="306">
        <v>9.9999999999999995E-7</v>
      </c>
      <c r="I25" s="304">
        <v>0</v>
      </c>
      <c r="J25" s="304">
        <v>0</v>
      </c>
      <c r="K25" s="304"/>
      <c r="L25" s="304"/>
    </row>
    <row r="26" spans="1:12">
      <c r="A26" s="307" t="s">
        <v>414</v>
      </c>
      <c r="B26" s="308">
        <v>151.34263996968502</v>
      </c>
      <c r="C26" s="309">
        <v>83.961059992644991</v>
      </c>
      <c r="D26" s="309">
        <v>0</v>
      </c>
      <c r="E26" s="309">
        <v>10.696459000000001</v>
      </c>
      <c r="F26" s="309">
        <v>3.4631233179989995</v>
      </c>
      <c r="G26" s="309">
        <v>0</v>
      </c>
      <c r="H26" s="306">
        <v>249.46328228032903</v>
      </c>
      <c r="I26" s="304">
        <v>0</v>
      </c>
      <c r="J26" s="304">
        <v>0</v>
      </c>
      <c r="K26" s="304"/>
      <c r="L26" s="304"/>
    </row>
    <row r="27" spans="1:12">
      <c r="A27" s="307" t="s">
        <v>415</v>
      </c>
      <c r="B27" s="308">
        <v>291.99895523000004</v>
      </c>
      <c r="C27" s="309">
        <v>604.60585549999996</v>
      </c>
      <c r="D27" s="309">
        <v>0</v>
      </c>
      <c r="E27" s="309">
        <v>78.725019000000003</v>
      </c>
      <c r="F27" s="309">
        <v>133.88965422999999</v>
      </c>
      <c r="G27" s="309">
        <v>0</v>
      </c>
      <c r="H27" s="306">
        <v>1109.2194839599999</v>
      </c>
      <c r="I27" s="304">
        <v>0</v>
      </c>
      <c r="J27" s="304">
        <v>0</v>
      </c>
      <c r="K27" s="304"/>
      <c r="L27" s="304"/>
    </row>
    <row r="28" spans="1:12">
      <c r="A28" s="307" t="s">
        <v>416</v>
      </c>
      <c r="B28" s="308">
        <v>488.23954114693697</v>
      </c>
      <c r="C28" s="309">
        <v>673.69658164590498</v>
      </c>
      <c r="D28" s="309">
        <v>0</v>
      </c>
      <c r="E28" s="309">
        <v>167.30687499999999</v>
      </c>
      <c r="F28" s="309">
        <v>74.152077169999984</v>
      </c>
      <c r="G28" s="309">
        <v>0</v>
      </c>
      <c r="H28" s="306">
        <v>1403.395074962842</v>
      </c>
      <c r="I28" s="304">
        <v>0</v>
      </c>
      <c r="J28" s="304">
        <v>0</v>
      </c>
      <c r="K28" s="304"/>
      <c r="L28" s="304"/>
    </row>
    <row r="29" spans="1:12">
      <c r="A29" s="307" t="s">
        <v>417</v>
      </c>
      <c r="B29" s="308">
        <v>1498.101543717868</v>
      </c>
      <c r="C29" s="309">
        <v>834.5482445181741</v>
      </c>
      <c r="D29" s="309">
        <v>0</v>
      </c>
      <c r="E29" s="309">
        <v>517.43851785000004</v>
      </c>
      <c r="F29" s="309">
        <v>1111.1968411400001</v>
      </c>
      <c r="G29" s="309">
        <v>0</v>
      </c>
      <c r="H29" s="306">
        <v>3961.2851472260427</v>
      </c>
      <c r="I29" s="304">
        <v>0</v>
      </c>
      <c r="J29" s="304">
        <v>0</v>
      </c>
      <c r="K29" s="304"/>
      <c r="L29" s="304"/>
    </row>
    <row r="30" spans="1:12">
      <c r="A30" s="307" t="s">
        <v>418</v>
      </c>
      <c r="B30" s="308">
        <v>72.189070442099009</v>
      </c>
      <c r="C30" s="309">
        <v>154.18800977099897</v>
      </c>
      <c r="D30" s="309">
        <v>0</v>
      </c>
      <c r="E30" s="309">
        <v>11.19800092</v>
      </c>
      <c r="F30" s="309">
        <v>2.6087960700000004</v>
      </c>
      <c r="G30" s="309">
        <v>0</v>
      </c>
      <c r="H30" s="306">
        <v>240.18387720309801</v>
      </c>
      <c r="I30" s="304">
        <v>0</v>
      </c>
      <c r="J30" s="304">
        <v>0</v>
      </c>
      <c r="K30" s="304"/>
      <c r="L30" s="304"/>
    </row>
    <row r="31" spans="1:12">
      <c r="A31" s="307" t="s">
        <v>419</v>
      </c>
      <c r="B31" s="308">
        <v>29.479302560000001</v>
      </c>
      <c r="C31" s="309">
        <v>45.989713200000004</v>
      </c>
      <c r="D31" s="309">
        <v>0</v>
      </c>
      <c r="E31" s="309">
        <v>8.0142190000000006</v>
      </c>
      <c r="F31" s="309">
        <v>8.1586115100000001</v>
      </c>
      <c r="G31" s="309">
        <v>0</v>
      </c>
      <c r="H31" s="306">
        <v>91.641846270000002</v>
      </c>
      <c r="I31" s="304">
        <v>0</v>
      </c>
      <c r="J31" s="304">
        <v>0</v>
      </c>
      <c r="K31" s="304"/>
      <c r="L31" s="304"/>
    </row>
    <row r="32" spans="1:12">
      <c r="A32" s="307" t="s">
        <v>420</v>
      </c>
      <c r="B32" s="308">
        <v>44.858635178591001</v>
      </c>
      <c r="C32" s="309">
        <v>49.715818459999994</v>
      </c>
      <c r="D32" s="309">
        <v>0</v>
      </c>
      <c r="E32" s="309">
        <v>17.156341000000001</v>
      </c>
      <c r="F32" s="309">
        <v>31.283395089999999</v>
      </c>
      <c r="G32" s="309">
        <v>0</v>
      </c>
      <c r="H32" s="306">
        <v>143.01418972859099</v>
      </c>
      <c r="I32" s="304">
        <v>0</v>
      </c>
      <c r="J32" s="304">
        <v>0</v>
      </c>
      <c r="K32" s="304"/>
      <c r="L32" s="304"/>
    </row>
    <row r="33" spans="1:12">
      <c r="A33" s="307" t="s">
        <v>421</v>
      </c>
      <c r="B33" s="308">
        <v>91.971718240610997</v>
      </c>
      <c r="C33" s="309">
        <v>95.281214660000003</v>
      </c>
      <c r="D33" s="309">
        <v>0</v>
      </c>
      <c r="E33" s="309">
        <v>2.6269399999999998</v>
      </c>
      <c r="F33" s="309">
        <v>6.6345119999999994E-2</v>
      </c>
      <c r="G33" s="309">
        <v>0</v>
      </c>
      <c r="H33" s="306">
        <v>189.94621802061098</v>
      </c>
      <c r="I33" s="304">
        <v>0</v>
      </c>
      <c r="J33" s="304">
        <v>0</v>
      </c>
      <c r="K33" s="304"/>
      <c r="L33" s="304"/>
    </row>
    <row r="34" spans="1:12">
      <c r="A34" s="307" t="s">
        <v>422</v>
      </c>
      <c r="B34" s="308">
        <v>23.940415873504001</v>
      </c>
      <c r="C34" s="309">
        <v>25.666707995853997</v>
      </c>
      <c r="D34" s="309">
        <v>9.9999999999999995E-7</v>
      </c>
      <c r="E34" s="309">
        <v>7.9662199999999999</v>
      </c>
      <c r="F34" s="309">
        <v>1.44533347</v>
      </c>
      <c r="G34" s="309">
        <v>0</v>
      </c>
      <c r="H34" s="306">
        <v>59.018678339357997</v>
      </c>
      <c r="I34" s="304">
        <v>0</v>
      </c>
      <c r="J34" s="304">
        <v>0</v>
      </c>
      <c r="K34" s="304"/>
      <c r="L34" s="304"/>
    </row>
    <row r="35" spans="1:12">
      <c r="A35" s="307" t="s">
        <v>423</v>
      </c>
      <c r="B35" s="308">
        <v>130.91656931</v>
      </c>
      <c r="C35" s="309">
        <v>79.57917535</v>
      </c>
      <c r="D35" s="309">
        <v>0</v>
      </c>
      <c r="E35" s="309">
        <v>1.291604</v>
      </c>
      <c r="F35" s="309">
        <v>9.2520283299999999</v>
      </c>
      <c r="G35" s="309">
        <v>0</v>
      </c>
      <c r="H35" s="306">
        <v>221.03937699000002</v>
      </c>
      <c r="I35" s="304">
        <v>0</v>
      </c>
      <c r="J35" s="304">
        <v>0</v>
      </c>
      <c r="K35" s="304"/>
      <c r="L35" s="304"/>
    </row>
    <row r="36" spans="1:12">
      <c r="A36" s="307" t="s">
        <v>424</v>
      </c>
      <c r="B36" s="308">
        <v>29.963179180000004</v>
      </c>
      <c r="C36" s="309">
        <v>80.686038359999998</v>
      </c>
      <c r="D36" s="309">
        <v>0</v>
      </c>
      <c r="E36" s="309">
        <v>0</v>
      </c>
      <c r="F36" s="309">
        <v>0</v>
      </c>
      <c r="G36" s="309">
        <v>0</v>
      </c>
      <c r="H36" s="306">
        <v>110.64921754</v>
      </c>
      <c r="I36" s="304">
        <v>0</v>
      </c>
      <c r="J36" s="304">
        <v>0</v>
      </c>
      <c r="K36" s="304"/>
      <c r="L36" s="304"/>
    </row>
    <row r="37" spans="1:12">
      <c r="A37" s="307" t="s">
        <v>407</v>
      </c>
      <c r="B37" s="308">
        <v>1140.5410964576881</v>
      </c>
      <c r="C37" s="309">
        <v>2287.5501912534301</v>
      </c>
      <c r="D37" s="309">
        <v>8.0155635699999994</v>
      </c>
      <c r="E37" s="309">
        <v>450.18866800000001</v>
      </c>
      <c r="F37" s="309">
        <v>829.2158845647881</v>
      </c>
      <c r="G37" s="309">
        <v>0</v>
      </c>
      <c r="H37" s="306">
        <v>4715.511403845906</v>
      </c>
      <c r="I37" s="304">
        <v>0</v>
      </c>
      <c r="J37" s="304">
        <v>0</v>
      </c>
      <c r="K37" s="304"/>
      <c r="L37" s="304"/>
    </row>
    <row r="38" spans="1:12">
      <c r="A38" s="300"/>
      <c r="B38" s="301"/>
      <c r="C38" s="302"/>
      <c r="D38" s="302"/>
      <c r="E38" s="302"/>
      <c r="F38" s="302"/>
      <c r="G38" s="302"/>
      <c r="H38" s="303"/>
      <c r="I38" s="304"/>
      <c r="J38" s="304"/>
      <c r="K38" s="304"/>
      <c r="L38" s="304"/>
    </row>
    <row r="39" spans="1:12">
      <c r="A39" s="300" t="s">
        <v>425</v>
      </c>
      <c r="B39" s="301">
        <v>3935.3422114836776</v>
      </c>
      <c r="C39" s="302">
        <v>25249.418390854556</v>
      </c>
      <c r="D39" s="302">
        <v>0</v>
      </c>
      <c r="E39" s="302">
        <v>8.3526000000000003E-2</v>
      </c>
      <c r="F39" s="302">
        <v>15615.717961662027</v>
      </c>
      <c r="G39" s="302">
        <v>322.50475</v>
      </c>
      <c r="H39" s="303">
        <v>45123.066840000254</v>
      </c>
      <c r="I39" s="304">
        <v>0</v>
      </c>
      <c r="J39" s="304">
        <v>1992.7052875792313</v>
      </c>
      <c r="K39" s="304"/>
      <c r="L39" s="304"/>
    </row>
    <row r="40" spans="1:12">
      <c r="A40" s="305" t="s">
        <v>398</v>
      </c>
      <c r="B40" s="301"/>
      <c r="C40" s="302"/>
      <c r="D40" s="302"/>
      <c r="E40" s="302"/>
      <c r="F40" s="302"/>
      <c r="G40" s="302"/>
      <c r="H40" s="303"/>
      <c r="I40" s="304"/>
      <c r="J40" s="304"/>
      <c r="K40" s="304"/>
      <c r="L40" s="304"/>
    </row>
    <row r="41" spans="1:12">
      <c r="A41" s="307" t="s">
        <v>426</v>
      </c>
      <c r="B41" s="308">
        <v>2163.1059554390208</v>
      </c>
      <c r="C41" s="309">
        <v>13466.511101949636</v>
      </c>
      <c r="D41" s="309">
        <v>0</v>
      </c>
      <c r="E41" s="309">
        <v>0</v>
      </c>
      <c r="F41" s="309">
        <v>11210.033001566077</v>
      </c>
      <c r="G41" s="309">
        <v>161.30475000000001</v>
      </c>
      <c r="H41" s="306">
        <v>27000.954808954735</v>
      </c>
      <c r="I41" s="304">
        <v>0</v>
      </c>
      <c r="J41" s="304">
        <v>0</v>
      </c>
      <c r="K41" s="304"/>
      <c r="L41" s="304"/>
    </row>
    <row r="42" spans="1:12">
      <c r="A42" s="307" t="s">
        <v>427</v>
      </c>
      <c r="B42" s="308">
        <v>200.262669180019</v>
      </c>
      <c r="C42" s="309">
        <v>300.89949059634404</v>
      </c>
      <c r="D42" s="309">
        <v>0</v>
      </c>
      <c r="E42" s="309">
        <v>0</v>
      </c>
      <c r="F42" s="309">
        <v>35.527650090000002</v>
      </c>
      <c r="G42" s="309">
        <v>0</v>
      </c>
      <c r="H42" s="306">
        <v>536.68980986636302</v>
      </c>
      <c r="I42" s="304">
        <v>0</v>
      </c>
      <c r="J42" s="304">
        <v>0</v>
      </c>
      <c r="K42" s="304"/>
      <c r="L42" s="304"/>
    </row>
    <row r="43" spans="1:12">
      <c r="A43" s="307" t="s">
        <v>428</v>
      </c>
      <c r="B43" s="308">
        <v>352.03835216999994</v>
      </c>
      <c r="C43" s="309">
        <v>544.46808327706594</v>
      </c>
      <c r="D43" s="309">
        <v>0</v>
      </c>
      <c r="E43" s="309">
        <v>0</v>
      </c>
      <c r="F43" s="309">
        <v>386.18425501999997</v>
      </c>
      <c r="G43" s="309">
        <v>0</v>
      </c>
      <c r="H43" s="306">
        <v>1282.6906904670659</v>
      </c>
      <c r="I43" s="304">
        <v>0</v>
      </c>
      <c r="J43" s="304">
        <v>0</v>
      </c>
      <c r="K43" s="304"/>
      <c r="L43" s="304"/>
    </row>
    <row r="44" spans="1:12">
      <c r="A44" s="307" t="s">
        <v>429</v>
      </c>
      <c r="B44" s="308">
        <v>988.18800948138596</v>
      </c>
      <c r="C44" s="309">
        <v>9817.0414892000008</v>
      </c>
      <c r="D44" s="309">
        <v>0</v>
      </c>
      <c r="E44" s="309">
        <v>0</v>
      </c>
      <c r="F44" s="309">
        <v>2824.9910939800002</v>
      </c>
      <c r="G44" s="309">
        <v>161.19999999999999</v>
      </c>
      <c r="H44" s="306">
        <v>13791.420592661387</v>
      </c>
      <c r="I44" s="304">
        <v>0</v>
      </c>
      <c r="J44" s="304">
        <v>0</v>
      </c>
      <c r="K44" s="304"/>
      <c r="L44" s="304"/>
    </row>
    <row r="45" spans="1:12">
      <c r="A45" s="307" t="s">
        <v>430</v>
      </c>
      <c r="B45" s="308">
        <v>125.54840277041299</v>
      </c>
      <c r="C45" s="309">
        <v>267.991362848574</v>
      </c>
      <c r="D45" s="309">
        <v>0</v>
      </c>
      <c r="E45" s="309">
        <v>0</v>
      </c>
      <c r="F45" s="309">
        <v>625.70392745866002</v>
      </c>
      <c r="G45" s="309">
        <v>0</v>
      </c>
      <c r="H45" s="306">
        <v>1019.243693077647</v>
      </c>
      <c r="I45" s="304">
        <v>0</v>
      </c>
      <c r="J45" s="304">
        <v>0</v>
      </c>
      <c r="K45" s="304"/>
      <c r="L45" s="304"/>
    </row>
    <row r="46" spans="1:12">
      <c r="A46" s="307" t="s">
        <v>431</v>
      </c>
      <c r="B46" s="308">
        <v>1.3407502199999999</v>
      </c>
      <c r="C46" s="309">
        <v>34.945341429999999</v>
      </c>
      <c r="D46" s="309">
        <v>0</v>
      </c>
      <c r="E46" s="309">
        <v>0</v>
      </c>
      <c r="F46" s="309">
        <v>1.4239999999999999E-3</v>
      </c>
      <c r="G46" s="309">
        <v>0</v>
      </c>
      <c r="H46" s="306">
        <v>36.287515649999996</v>
      </c>
      <c r="I46" s="304">
        <v>0</v>
      </c>
      <c r="J46" s="304">
        <v>0</v>
      </c>
      <c r="K46" s="304"/>
      <c r="L46" s="304"/>
    </row>
    <row r="47" spans="1:12">
      <c r="A47" s="307" t="s">
        <v>407</v>
      </c>
      <c r="B47" s="308">
        <v>104.858072222839</v>
      </c>
      <c r="C47" s="309">
        <v>817.56152155293307</v>
      </c>
      <c r="D47" s="309">
        <v>0</v>
      </c>
      <c r="E47" s="309">
        <v>8.3526000000000003E-2</v>
      </c>
      <c r="F47" s="309">
        <v>533.27660954728992</v>
      </c>
      <c r="G47" s="309">
        <v>0</v>
      </c>
      <c r="H47" s="306">
        <v>1455.7797293230619</v>
      </c>
      <c r="I47" s="304">
        <v>0</v>
      </c>
      <c r="J47" s="304">
        <v>0</v>
      </c>
      <c r="K47" s="304"/>
      <c r="L47" s="304"/>
    </row>
    <row r="48" spans="1:12">
      <c r="A48" s="300"/>
      <c r="B48" s="301"/>
      <c r="C48" s="302"/>
      <c r="D48" s="302"/>
      <c r="E48" s="302"/>
      <c r="F48" s="302"/>
      <c r="G48" s="302"/>
      <c r="H48" s="306"/>
      <c r="I48" s="304"/>
      <c r="J48" s="304"/>
      <c r="K48" s="304"/>
      <c r="L48" s="304"/>
    </row>
    <row r="49" spans="1:12">
      <c r="A49" s="300" t="s">
        <v>432</v>
      </c>
      <c r="B49" s="301">
        <v>528.15697139478004</v>
      </c>
      <c r="C49" s="302">
        <v>2363.6456944719657</v>
      </c>
      <c r="D49" s="302">
        <v>0</v>
      </c>
      <c r="E49" s="302">
        <v>6.8623200000000004</v>
      </c>
      <c r="F49" s="302">
        <v>1942.0683695750786</v>
      </c>
      <c r="G49" s="302">
        <v>0</v>
      </c>
      <c r="H49" s="303">
        <v>4840.7333554418246</v>
      </c>
      <c r="I49" s="304"/>
      <c r="J49" s="304">
        <v>149011537.79713893</v>
      </c>
      <c r="K49" s="304"/>
      <c r="L49" s="304"/>
    </row>
    <row r="50" spans="1:12">
      <c r="A50" s="305" t="s">
        <v>398</v>
      </c>
      <c r="B50" s="301"/>
      <c r="C50" s="302"/>
      <c r="D50" s="302"/>
      <c r="E50" s="302"/>
      <c r="F50" s="302"/>
      <c r="G50" s="302"/>
      <c r="H50" s="306"/>
      <c r="I50" s="304"/>
      <c r="J50" s="304"/>
      <c r="K50" s="304"/>
      <c r="L50" s="304"/>
    </row>
    <row r="51" spans="1:12">
      <c r="A51" s="307" t="s">
        <v>433</v>
      </c>
      <c r="B51" s="308">
        <v>0.33280497000000003</v>
      </c>
      <c r="C51" s="309">
        <v>3.9121089999999997E-2</v>
      </c>
      <c r="D51" s="309">
        <v>0</v>
      </c>
      <c r="E51" s="309">
        <v>0</v>
      </c>
      <c r="F51" s="309">
        <v>400.41685562999999</v>
      </c>
      <c r="G51" s="309">
        <v>0</v>
      </c>
      <c r="H51" s="306">
        <v>400.78878169000001</v>
      </c>
      <c r="I51" s="304"/>
      <c r="J51" s="304"/>
      <c r="K51" s="304"/>
      <c r="L51" s="304"/>
    </row>
    <row r="52" spans="1:12">
      <c r="A52" s="307" t="s">
        <v>434</v>
      </c>
      <c r="B52" s="308">
        <v>183.05179999161399</v>
      </c>
      <c r="C52" s="309">
        <v>1313.9486596590218</v>
      </c>
      <c r="D52" s="309">
        <v>0</v>
      </c>
      <c r="E52" s="309">
        <v>0</v>
      </c>
      <c r="F52" s="309">
        <v>85.589574181030002</v>
      </c>
      <c r="G52" s="309">
        <v>0</v>
      </c>
      <c r="H52" s="306">
        <v>1582.5900338316658</v>
      </c>
      <c r="I52" s="304"/>
      <c r="J52" s="304"/>
      <c r="K52" s="304"/>
      <c r="L52" s="304"/>
    </row>
    <row r="53" spans="1:12">
      <c r="A53" s="307" t="s">
        <v>435</v>
      </c>
      <c r="B53" s="308">
        <v>250.91347122000002</v>
      </c>
      <c r="C53" s="309">
        <v>728.43584524000005</v>
      </c>
      <c r="D53" s="309">
        <v>0</v>
      </c>
      <c r="E53" s="309">
        <v>3.05993</v>
      </c>
      <c r="F53" s="309">
        <v>701.58801097574826</v>
      </c>
      <c r="G53" s="309">
        <v>0</v>
      </c>
      <c r="H53" s="306">
        <v>1683.9972574357485</v>
      </c>
      <c r="I53" s="304"/>
      <c r="J53" s="304"/>
      <c r="K53" s="304"/>
      <c r="L53" s="304"/>
    </row>
    <row r="54" spans="1:12">
      <c r="A54" s="307" t="s">
        <v>407</v>
      </c>
      <c r="B54" s="308">
        <v>93.858895213165994</v>
      </c>
      <c r="C54" s="309">
        <v>321.22206848294388</v>
      </c>
      <c r="D54" s="309">
        <v>0</v>
      </c>
      <c r="E54" s="309">
        <v>3.8023899999999999</v>
      </c>
      <c r="F54" s="309">
        <v>754.47392878829999</v>
      </c>
      <c r="G54" s="309">
        <v>0</v>
      </c>
      <c r="H54" s="306">
        <v>1173.3572824844098</v>
      </c>
      <c r="I54" s="304"/>
      <c r="J54" s="304"/>
      <c r="K54" s="304"/>
      <c r="L54" s="304"/>
    </row>
    <row r="55" spans="1:12">
      <c r="A55" s="300"/>
      <c r="B55" s="301"/>
      <c r="C55" s="302"/>
      <c r="D55" s="302"/>
      <c r="E55" s="302"/>
      <c r="F55" s="302"/>
      <c r="G55" s="302"/>
      <c r="H55" s="306"/>
      <c r="I55" s="304"/>
      <c r="J55" s="304"/>
      <c r="K55" s="304"/>
      <c r="L55" s="304"/>
    </row>
    <row r="56" spans="1:12">
      <c r="A56" s="300" t="s">
        <v>436</v>
      </c>
      <c r="B56" s="301">
        <v>5886.3465712683847</v>
      </c>
      <c r="C56" s="302">
        <v>59541.564001911123</v>
      </c>
      <c r="D56" s="302">
        <v>241.43621256999998</v>
      </c>
      <c r="E56" s="302">
        <v>72.478442000000001</v>
      </c>
      <c r="F56" s="302">
        <v>2587.0878197658849</v>
      </c>
      <c r="G56" s="302">
        <v>0</v>
      </c>
      <c r="H56" s="303">
        <v>68328.913047515409</v>
      </c>
      <c r="I56" s="304">
        <v>0</v>
      </c>
      <c r="J56" s="304">
        <v>3997.6323430190123</v>
      </c>
      <c r="K56" s="304"/>
      <c r="L56" s="304"/>
    </row>
    <row r="57" spans="1:12">
      <c r="A57" s="305" t="s">
        <v>398</v>
      </c>
      <c r="B57" s="301"/>
      <c r="C57" s="302"/>
      <c r="D57" s="302"/>
      <c r="E57" s="302"/>
      <c r="F57" s="302"/>
      <c r="G57" s="302"/>
      <c r="H57" s="306"/>
      <c r="I57" s="304"/>
      <c r="J57" s="304"/>
      <c r="K57" s="304"/>
      <c r="L57" s="304"/>
    </row>
    <row r="58" spans="1:12">
      <c r="A58" s="307" t="s">
        <v>437</v>
      </c>
      <c r="B58" s="308">
        <v>833.98111596961007</v>
      </c>
      <c r="C58" s="309">
        <v>1096.711286306934</v>
      </c>
      <c r="D58" s="309">
        <v>239.43621256999998</v>
      </c>
      <c r="E58" s="309">
        <v>1.9979499999999999</v>
      </c>
      <c r="F58" s="309">
        <v>0.111593</v>
      </c>
      <c r="G58" s="309">
        <v>0</v>
      </c>
      <c r="H58" s="306">
        <v>2172.2381578465443</v>
      </c>
      <c r="I58" s="304">
        <v>0</v>
      </c>
      <c r="J58" s="304">
        <v>20.744312029999971</v>
      </c>
      <c r="K58" s="304"/>
      <c r="L58" s="304"/>
    </row>
    <row r="59" spans="1:12">
      <c r="A59" s="307" t="s">
        <v>438</v>
      </c>
      <c r="B59" s="308">
        <v>1736.0607578307242</v>
      </c>
      <c r="C59" s="309">
        <v>10851.334678017012</v>
      </c>
      <c r="D59" s="309">
        <v>2</v>
      </c>
      <c r="E59" s="309">
        <v>0</v>
      </c>
      <c r="F59" s="309">
        <v>646.46914283068008</v>
      </c>
      <c r="G59" s="309">
        <v>0</v>
      </c>
      <c r="H59" s="306">
        <v>13235.864578678416</v>
      </c>
      <c r="I59" s="304">
        <v>0</v>
      </c>
      <c r="J59" s="304">
        <v>711.46544827000002</v>
      </c>
      <c r="K59" s="304"/>
      <c r="L59" s="304"/>
    </row>
    <row r="60" spans="1:12">
      <c r="A60" s="307" t="s">
        <v>439</v>
      </c>
      <c r="B60" s="308">
        <v>1418.0049855916111</v>
      </c>
      <c r="C60" s="309">
        <v>1955.5548734244728</v>
      </c>
      <c r="D60" s="309">
        <v>0</v>
      </c>
      <c r="E60" s="309">
        <v>0</v>
      </c>
      <c r="F60" s="309">
        <v>1408.9682690836401</v>
      </c>
      <c r="G60" s="309">
        <v>0</v>
      </c>
      <c r="H60" s="306">
        <v>4782.5281280997242</v>
      </c>
      <c r="I60" s="304">
        <v>0</v>
      </c>
      <c r="J60" s="304">
        <v>803.78904303000002</v>
      </c>
      <c r="K60" s="304"/>
      <c r="L60" s="304"/>
    </row>
    <row r="61" spans="1:12">
      <c r="A61" s="307" t="s">
        <v>440</v>
      </c>
      <c r="B61" s="308">
        <v>571.23804046999987</v>
      </c>
      <c r="C61" s="309">
        <v>886.48650431220779</v>
      </c>
      <c r="D61" s="309">
        <v>0</v>
      </c>
      <c r="E61" s="309">
        <v>0</v>
      </c>
      <c r="F61" s="309">
        <v>17.29571046265</v>
      </c>
      <c r="G61" s="309">
        <v>0</v>
      </c>
      <c r="H61" s="306">
        <v>1475.0202552448577</v>
      </c>
      <c r="I61" s="304">
        <v>0</v>
      </c>
      <c r="J61" s="304">
        <v>7.1072843000000123</v>
      </c>
      <c r="K61" s="304"/>
      <c r="L61" s="304"/>
    </row>
    <row r="62" spans="1:12">
      <c r="A62" s="307" t="s">
        <v>441</v>
      </c>
      <c r="B62" s="308">
        <v>17.555541587076</v>
      </c>
      <c r="C62" s="309">
        <v>37479.177542275109</v>
      </c>
      <c r="D62" s="309">
        <v>0</v>
      </c>
      <c r="E62" s="309">
        <v>0</v>
      </c>
      <c r="F62" s="309">
        <v>513.1890630800001</v>
      </c>
      <c r="G62" s="309">
        <v>0</v>
      </c>
      <c r="H62" s="306">
        <v>38009.922146942183</v>
      </c>
      <c r="I62" s="304">
        <v>0</v>
      </c>
      <c r="J62" s="304">
        <v>1809.2352186483802</v>
      </c>
      <c r="K62" s="304"/>
      <c r="L62" s="304"/>
    </row>
    <row r="63" spans="1:12">
      <c r="A63" s="307" t="s">
        <v>442</v>
      </c>
      <c r="B63" s="308">
        <v>0.62744900000000003</v>
      </c>
      <c r="C63" s="309">
        <v>3369.9062805300009</v>
      </c>
      <c r="D63" s="309">
        <v>0</v>
      </c>
      <c r="E63" s="309">
        <v>0</v>
      </c>
      <c r="F63" s="309">
        <v>0</v>
      </c>
      <c r="G63" s="309">
        <v>0</v>
      </c>
      <c r="H63" s="306">
        <v>3370.533729530001</v>
      </c>
      <c r="I63" s="304">
        <v>0</v>
      </c>
      <c r="J63" s="304">
        <v>144.45805041142904</v>
      </c>
      <c r="K63" s="304"/>
      <c r="L63" s="304"/>
    </row>
    <row r="64" spans="1:12">
      <c r="A64" s="307" t="s">
        <v>443</v>
      </c>
      <c r="B64" s="308">
        <v>8.501116699999999</v>
      </c>
      <c r="C64" s="309">
        <v>2.1050702599999997</v>
      </c>
      <c r="D64" s="309">
        <v>0</v>
      </c>
      <c r="E64" s="309">
        <v>0</v>
      </c>
      <c r="F64" s="309">
        <v>0</v>
      </c>
      <c r="G64" s="309">
        <v>0</v>
      </c>
      <c r="H64" s="306">
        <v>10.606186959999999</v>
      </c>
      <c r="I64" s="304">
        <v>0</v>
      </c>
      <c r="J64" s="304">
        <v>3.0505472500000002</v>
      </c>
      <c r="K64" s="304"/>
      <c r="L64" s="304"/>
    </row>
    <row r="65" spans="1:12">
      <c r="A65" s="307" t="s">
        <v>444</v>
      </c>
      <c r="B65" s="308">
        <v>121.87144884999999</v>
      </c>
      <c r="C65" s="309">
        <v>1295.1134071500001</v>
      </c>
      <c r="D65" s="309">
        <v>0</v>
      </c>
      <c r="E65" s="309">
        <v>0</v>
      </c>
      <c r="F65" s="309">
        <v>6.4159999999999998E-3</v>
      </c>
      <c r="G65" s="309">
        <v>0</v>
      </c>
      <c r="H65" s="306">
        <v>1416.991272</v>
      </c>
      <c r="I65" s="304">
        <v>0</v>
      </c>
      <c r="J65" s="304">
        <v>8.05821772999996</v>
      </c>
      <c r="K65" s="304"/>
      <c r="L65" s="304"/>
    </row>
    <row r="66" spans="1:12">
      <c r="A66" s="307" t="s">
        <v>445</v>
      </c>
      <c r="B66" s="308">
        <v>270.29908435999999</v>
      </c>
      <c r="C66" s="309">
        <v>728.3721019699999</v>
      </c>
      <c r="D66" s="309">
        <v>0</v>
      </c>
      <c r="E66" s="309">
        <v>39.312105000000003</v>
      </c>
      <c r="F66" s="309">
        <v>0.19046289891500001</v>
      </c>
      <c r="G66" s="309">
        <v>0</v>
      </c>
      <c r="H66" s="306">
        <v>1038.173754228915</v>
      </c>
      <c r="I66" s="304">
        <v>0</v>
      </c>
      <c r="J66" s="304">
        <v>67.095245579203336</v>
      </c>
      <c r="K66" s="304"/>
      <c r="L66" s="304"/>
    </row>
    <row r="67" spans="1:12">
      <c r="A67" s="307" t="s">
        <v>446</v>
      </c>
      <c r="B67" s="308">
        <v>322.81869045404801</v>
      </c>
      <c r="C67" s="309">
        <v>299.87714358999995</v>
      </c>
      <c r="D67" s="309">
        <v>0</v>
      </c>
      <c r="E67" s="309">
        <v>0.301035</v>
      </c>
      <c r="F67" s="309">
        <v>5.4770000000000001E-3</v>
      </c>
      <c r="G67" s="309">
        <v>0</v>
      </c>
      <c r="H67" s="306">
        <v>623.00234604404795</v>
      </c>
      <c r="I67" s="304">
        <v>0</v>
      </c>
      <c r="J67" s="304">
        <v>243.98757749999999</v>
      </c>
      <c r="K67" s="304"/>
      <c r="L67" s="304"/>
    </row>
    <row r="68" spans="1:12" ht="13.5" thickBot="1">
      <c r="A68" s="310" t="s">
        <v>407</v>
      </c>
      <c r="B68" s="311">
        <v>585.38834045531496</v>
      </c>
      <c r="C68" s="312">
        <v>1576.9251140753834</v>
      </c>
      <c r="D68" s="312">
        <v>0</v>
      </c>
      <c r="E68" s="312">
        <v>30.867352</v>
      </c>
      <c r="F68" s="312">
        <v>0.85168541000000009</v>
      </c>
      <c r="G68" s="312">
        <v>0</v>
      </c>
      <c r="H68" s="313">
        <v>2194.0324919406985</v>
      </c>
      <c r="I68" s="304">
        <v>0</v>
      </c>
      <c r="J68" s="304">
        <v>178.64139826999997</v>
      </c>
      <c r="K68" s="304"/>
      <c r="L68" s="304"/>
    </row>
    <row r="69" spans="1:12" ht="14.25" hidden="1" customHeight="1" thickTop="1" thickBot="1">
      <c r="A69" s="310"/>
      <c r="B69" s="314">
        <v>0</v>
      </c>
      <c r="C69" s="312"/>
      <c r="D69" s="312"/>
      <c r="E69" s="312"/>
      <c r="F69" s="312"/>
      <c r="G69" s="315"/>
      <c r="H69" s="316"/>
      <c r="I69" s="304"/>
      <c r="J69" s="304"/>
      <c r="K69" s="304"/>
      <c r="L69" s="304"/>
    </row>
    <row r="70" spans="1:12" ht="13.5" hidden="1" customHeight="1" thickTop="1">
      <c r="A70" s="317" t="s">
        <v>447</v>
      </c>
      <c r="B70" s="314">
        <v>0</v>
      </c>
      <c r="C70" s="318"/>
      <c r="D70" s="318"/>
      <c r="E70" s="318"/>
      <c r="F70" s="318"/>
      <c r="G70" s="218"/>
      <c r="H70" s="316"/>
      <c r="I70" s="304"/>
      <c r="J70" s="304"/>
      <c r="K70" s="304"/>
      <c r="L70" s="304"/>
    </row>
    <row r="71" spans="1:12" ht="13.5" hidden="1" customHeight="1" thickTop="1">
      <c r="A71" s="319"/>
      <c r="B71" s="314">
        <v>8122.1299688892004</v>
      </c>
      <c r="C71" s="318"/>
      <c r="D71" s="318"/>
      <c r="E71" s="318"/>
      <c r="F71" s="318"/>
      <c r="G71" s="218"/>
      <c r="H71" s="316"/>
      <c r="I71" s="304"/>
      <c r="J71" s="304"/>
      <c r="K71" s="304"/>
      <c r="L71" s="304"/>
    </row>
    <row r="72" spans="1:12" ht="13.5" hidden="1" customHeight="1" thickTop="1">
      <c r="A72" s="279"/>
      <c r="B72" s="314">
        <v>0</v>
      </c>
      <c r="C72" s="281"/>
      <c r="D72" s="281"/>
      <c r="E72" s="281"/>
      <c r="F72" s="281"/>
      <c r="G72" s="320" t="s">
        <v>12</v>
      </c>
      <c r="H72" s="316"/>
      <c r="I72" s="304"/>
      <c r="J72" s="304"/>
      <c r="K72" s="304"/>
      <c r="L72" s="304"/>
    </row>
    <row r="73" spans="1:12" ht="13.5" hidden="1" customHeight="1" thickTop="1">
      <c r="A73" s="283" t="s">
        <v>386</v>
      </c>
      <c r="B73" s="314">
        <v>17.224122999999999</v>
      </c>
      <c r="C73" s="285" t="s">
        <v>184</v>
      </c>
      <c r="D73" s="285" t="s">
        <v>388</v>
      </c>
      <c r="E73" s="285" t="s">
        <v>388</v>
      </c>
      <c r="F73" s="285" t="s">
        <v>390</v>
      </c>
      <c r="G73" s="286" t="s">
        <v>369</v>
      </c>
      <c r="H73" s="316"/>
      <c r="I73" s="304"/>
      <c r="J73" s="304"/>
      <c r="K73" s="304"/>
      <c r="L73" s="304"/>
    </row>
    <row r="74" spans="1:12" ht="13.5" hidden="1" customHeight="1" thickTop="1">
      <c r="A74" s="287"/>
      <c r="B74" s="314">
        <v>2390.1184059000002</v>
      </c>
      <c r="C74" s="289"/>
      <c r="D74" s="289" t="s">
        <v>391</v>
      </c>
      <c r="E74" s="289" t="s">
        <v>392</v>
      </c>
      <c r="F74" s="289" t="s">
        <v>394</v>
      </c>
      <c r="G74" s="290"/>
      <c r="H74" s="316"/>
      <c r="I74" s="304"/>
      <c r="J74" s="304"/>
      <c r="K74" s="304"/>
      <c r="L74" s="304"/>
    </row>
    <row r="75" spans="1:12" ht="14.25" hidden="1" customHeight="1" thickTop="1" thickBot="1">
      <c r="A75" s="291"/>
      <c r="B75" s="314">
        <v>6.6195840700000002</v>
      </c>
      <c r="C75" s="293"/>
      <c r="D75" s="293" t="s">
        <v>395</v>
      </c>
      <c r="E75" s="293"/>
      <c r="F75" s="293" t="s">
        <v>396</v>
      </c>
      <c r="G75" s="294"/>
      <c r="H75" s="316"/>
      <c r="I75" s="304"/>
      <c r="J75" s="304"/>
      <c r="K75" s="304"/>
      <c r="L75" s="304"/>
    </row>
    <row r="76" spans="1:12" ht="13.5" hidden="1" customHeight="1" thickTop="1">
      <c r="A76" s="307"/>
      <c r="B76" s="314">
        <v>128.87124246000002</v>
      </c>
      <c r="C76" s="309"/>
      <c r="D76" s="309"/>
      <c r="E76" s="309"/>
      <c r="F76" s="309"/>
      <c r="G76" s="321"/>
      <c r="H76" s="316"/>
      <c r="I76" s="304"/>
      <c r="J76" s="304"/>
      <c r="K76" s="304"/>
      <c r="L76" s="304"/>
    </row>
    <row r="77" spans="1:12" s="323" customFormat="1" ht="13.5" thickTop="1">
      <c r="A77" s="317" t="s">
        <v>447</v>
      </c>
      <c r="B77" s="281"/>
      <c r="C77" s="281"/>
      <c r="D77" s="281"/>
      <c r="E77" s="281"/>
      <c r="F77" s="281"/>
      <c r="G77" s="322"/>
      <c r="H77" s="281"/>
      <c r="I77" s="304"/>
      <c r="J77" s="304"/>
      <c r="K77" s="304"/>
      <c r="L77" s="304"/>
    </row>
    <row r="78" spans="1:12" ht="13.5" thickBot="1">
      <c r="A78" s="324"/>
      <c r="B78" s="325"/>
      <c r="C78" s="325"/>
      <c r="D78" s="325"/>
      <c r="E78" s="325"/>
      <c r="F78" s="325"/>
      <c r="H78" s="326" t="s">
        <v>12</v>
      </c>
      <c r="I78" s="304"/>
      <c r="J78" s="304"/>
      <c r="K78" s="304"/>
      <c r="L78" s="304"/>
    </row>
    <row r="79" spans="1:12" ht="13.5" thickTop="1">
      <c r="A79" s="283" t="s">
        <v>386</v>
      </c>
      <c r="B79" s="284" t="s">
        <v>387</v>
      </c>
      <c r="C79" s="285" t="s">
        <v>184</v>
      </c>
      <c r="D79" s="285" t="s">
        <v>388</v>
      </c>
      <c r="E79" s="285" t="s">
        <v>388</v>
      </c>
      <c r="F79" s="285" t="s">
        <v>389</v>
      </c>
      <c r="G79" s="285" t="s">
        <v>390</v>
      </c>
      <c r="H79" s="286" t="s">
        <v>369</v>
      </c>
      <c r="I79" s="304"/>
      <c r="J79" s="304"/>
      <c r="K79" s="304"/>
      <c r="L79" s="304"/>
    </row>
    <row r="80" spans="1:12">
      <c r="A80" s="287"/>
      <c r="B80" s="288"/>
      <c r="C80" s="289"/>
      <c r="D80" s="289" t="s">
        <v>391</v>
      </c>
      <c r="E80" s="289" t="s">
        <v>392</v>
      </c>
      <c r="F80" s="289" t="s">
        <v>393</v>
      </c>
      <c r="G80" s="289" t="s">
        <v>394</v>
      </c>
      <c r="H80" s="327"/>
      <c r="I80" s="304"/>
      <c r="J80" s="304"/>
      <c r="K80" s="304"/>
      <c r="L80" s="304"/>
    </row>
    <row r="81" spans="1:12" ht="13.5" thickBot="1">
      <c r="A81" s="291"/>
      <c r="B81" s="292"/>
      <c r="C81" s="293"/>
      <c r="D81" s="293" t="s">
        <v>395</v>
      </c>
      <c r="E81" s="293"/>
      <c r="F81" s="293" t="s">
        <v>184</v>
      </c>
      <c r="G81" s="293" t="s">
        <v>396</v>
      </c>
      <c r="H81" s="328"/>
      <c r="I81" s="304"/>
      <c r="J81" s="304"/>
      <c r="K81" s="304"/>
      <c r="L81" s="304"/>
    </row>
    <row r="82" spans="1:12" ht="13.5" thickTop="1">
      <c r="A82" s="300"/>
      <c r="B82" s="329"/>
      <c r="C82" s="330"/>
      <c r="D82" s="330"/>
      <c r="E82" s="330"/>
      <c r="F82" s="330"/>
      <c r="G82" s="331"/>
      <c r="H82" s="316"/>
      <c r="I82" s="304"/>
      <c r="J82" s="304"/>
      <c r="K82" s="304"/>
      <c r="L82" s="304"/>
    </row>
    <row r="83" spans="1:12">
      <c r="A83" s="300" t="s">
        <v>448</v>
      </c>
      <c r="B83" s="314">
        <v>8961.0881176605817</v>
      </c>
      <c r="C83" s="302">
        <v>15372.548993763732</v>
      </c>
      <c r="D83" s="302">
        <v>65.34711446</v>
      </c>
      <c r="E83" s="302">
        <v>2027.3136631969389</v>
      </c>
      <c r="F83" s="302">
        <v>3502.7074636872007</v>
      </c>
      <c r="G83" s="302">
        <v>0</v>
      </c>
      <c r="H83" s="303">
        <v>29929.005352768458</v>
      </c>
      <c r="I83" s="304"/>
      <c r="J83" s="304">
        <v>-17712488401.414356</v>
      </c>
      <c r="K83" s="304"/>
      <c r="L83" s="304"/>
    </row>
    <row r="84" spans="1:12">
      <c r="A84" s="305" t="s">
        <v>398</v>
      </c>
      <c r="B84" s="314"/>
      <c r="C84" s="302"/>
      <c r="D84" s="302"/>
      <c r="E84" s="302"/>
      <c r="F84" s="302"/>
      <c r="G84" s="302"/>
      <c r="H84" s="306"/>
      <c r="I84" s="304"/>
      <c r="J84" s="304"/>
      <c r="K84" s="304"/>
      <c r="L84" s="304"/>
    </row>
    <row r="85" spans="1:12">
      <c r="A85" s="307" t="s">
        <v>449</v>
      </c>
      <c r="B85" s="332">
        <v>46.981236989999992</v>
      </c>
      <c r="C85" s="309">
        <v>65.698261070000001</v>
      </c>
      <c r="D85" s="309">
        <v>0</v>
      </c>
      <c r="E85" s="309">
        <v>2.2801779999999998</v>
      </c>
      <c r="F85" s="309">
        <v>2.8451921499999999</v>
      </c>
      <c r="G85" s="309">
        <v>0</v>
      </c>
      <c r="H85" s="306">
        <v>117.80486821</v>
      </c>
      <c r="I85" s="304"/>
      <c r="J85" s="304"/>
      <c r="K85" s="304"/>
      <c r="L85" s="304"/>
    </row>
    <row r="86" spans="1:12">
      <c r="A86" s="307" t="s">
        <v>450</v>
      </c>
      <c r="B86" s="332">
        <v>2620.7254573406403</v>
      </c>
      <c r="C86" s="309">
        <v>3636.1460902358572</v>
      </c>
      <c r="D86" s="309">
        <v>14.068371000000001</v>
      </c>
      <c r="E86" s="309">
        <v>489.93109817999999</v>
      </c>
      <c r="F86" s="309">
        <v>966.60635638973952</v>
      </c>
      <c r="G86" s="309">
        <v>0</v>
      </c>
      <c r="H86" s="306">
        <v>7727.4773731462374</v>
      </c>
      <c r="I86" s="304"/>
      <c r="J86" s="304"/>
      <c r="K86" s="304"/>
      <c r="L86" s="304"/>
    </row>
    <row r="87" spans="1:12">
      <c r="A87" s="307" t="s">
        <v>451</v>
      </c>
      <c r="B87" s="332">
        <v>0</v>
      </c>
      <c r="C87" s="309">
        <v>97.773225859999997</v>
      </c>
      <c r="D87" s="309">
        <v>0</v>
      </c>
      <c r="E87" s="309">
        <v>0</v>
      </c>
      <c r="F87" s="309">
        <v>0</v>
      </c>
      <c r="G87" s="309">
        <v>0</v>
      </c>
      <c r="H87" s="306">
        <v>97.773225859999997</v>
      </c>
      <c r="I87" s="304"/>
      <c r="J87" s="304"/>
      <c r="K87" s="304"/>
      <c r="L87" s="304"/>
    </row>
    <row r="88" spans="1:12">
      <c r="A88" s="307" t="s">
        <v>452</v>
      </c>
      <c r="B88" s="332">
        <v>146.46572453999997</v>
      </c>
      <c r="C88" s="309">
        <v>392.26538495696298</v>
      </c>
      <c r="D88" s="309">
        <v>0</v>
      </c>
      <c r="E88" s="309">
        <v>0</v>
      </c>
      <c r="F88" s="309">
        <v>2.8367E-2</v>
      </c>
      <c r="G88" s="309">
        <v>0</v>
      </c>
      <c r="H88" s="306">
        <v>538.75947649696298</v>
      </c>
      <c r="I88" s="304"/>
      <c r="J88" s="304"/>
      <c r="K88" s="304"/>
      <c r="L88" s="304"/>
    </row>
    <row r="89" spans="1:12">
      <c r="A89" s="307" t="s">
        <v>453</v>
      </c>
      <c r="B89" s="332">
        <v>228.64450950000003</v>
      </c>
      <c r="C89" s="309">
        <v>454.42512793999998</v>
      </c>
      <c r="D89" s="309">
        <v>0</v>
      </c>
      <c r="E89" s="309">
        <v>47.875267999999998</v>
      </c>
      <c r="F89" s="309">
        <v>7.2663000000000005E-2</v>
      </c>
      <c r="G89" s="309">
        <v>0</v>
      </c>
      <c r="H89" s="306">
        <v>731.01756843999999</v>
      </c>
      <c r="I89" s="304"/>
      <c r="J89" s="304"/>
      <c r="K89" s="304"/>
      <c r="L89" s="304"/>
    </row>
    <row r="90" spans="1:12">
      <c r="A90" s="307" t="s">
        <v>454</v>
      </c>
      <c r="B90" s="332">
        <v>58.036732849999993</v>
      </c>
      <c r="C90" s="309">
        <v>68.790475299999997</v>
      </c>
      <c r="D90" s="309">
        <v>0</v>
      </c>
      <c r="E90" s="309">
        <v>30.910267999999999</v>
      </c>
      <c r="F90" s="309">
        <v>26.364355309999997</v>
      </c>
      <c r="G90" s="309">
        <v>0</v>
      </c>
      <c r="H90" s="306">
        <v>184.10183146</v>
      </c>
      <c r="I90" s="304"/>
      <c r="J90" s="304"/>
      <c r="K90" s="304"/>
      <c r="L90" s="304"/>
    </row>
    <row r="91" spans="1:12">
      <c r="A91" s="307" t="s">
        <v>455</v>
      </c>
      <c r="B91" s="332">
        <v>1744.1574678895261</v>
      </c>
      <c r="C91" s="309">
        <v>1516.473546495306</v>
      </c>
      <c r="D91" s="309">
        <v>21.28710946</v>
      </c>
      <c r="E91" s="309">
        <v>512.75008919999993</v>
      </c>
      <c r="F91" s="309">
        <v>301.58368619631995</v>
      </c>
      <c r="G91" s="309">
        <v>0</v>
      </c>
      <c r="H91" s="306">
        <v>4096.2518992411524</v>
      </c>
      <c r="I91" s="304"/>
      <c r="J91" s="304"/>
      <c r="K91" s="304"/>
      <c r="L91" s="304"/>
    </row>
    <row r="92" spans="1:12">
      <c r="A92" s="307" t="s">
        <v>456</v>
      </c>
      <c r="B92" s="332">
        <v>813.17766998197203</v>
      </c>
      <c r="C92" s="309">
        <v>1230.432025125162</v>
      </c>
      <c r="D92" s="309">
        <v>0</v>
      </c>
      <c r="E92" s="309">
        <v>520.63450599999999</v>
      </c>
      <c r="F92" s="309">
        <v>127.54712604000001</v>
      </c>
      <c r="G92" s="309">
        <v>0</v>
      </c>
      <c r="H92" s="306">
        <v>2691.7913271471339</v>
      </c>
      <c r="I92" s="304"/>
      <c r="J92" s="304"/>
      <c r="K92" s="304"/>
      <c r="L92" s="304"/>
    </row>
    <row r="93" spans="1:12">
      <c r="A93" s="307" t="s">
        <v>457</v>
      </c>
      <c r="B93" s="332">
        <v>581.13595451999993</v>
      </c>
      <c r="C93" s="309">
        <v>67.278286919999999</v>
      </c>
      <c r="D93" s="309">
        <v>0</v>
      </c>
      <c r="E93" s="309">
        <v>25.751593</v>
      </c>
      <c r="F93" s="309">
        <v>145.52507541</v>
      </c>
      <c r="G93" s="309">
        <v>0</v>
      </c>
      <c r="H93" s="306">
        <v>819.69090984999991</v>
      </c>
      <c r="I93" s="304"/>
      <c r="J93" s="304"/>
      <c r="K93" s="304"/>
      <c r="L93" s="304"/>
    </row>
    <row r="94" spans="1:12">
      <c r="A94" s="307" t="s">
        <v>458</v>
      </c>
      <c r="B94" s="332">
        <v>24.844289870000001</v>
      </c>
      <c r="C94" s="309">
        <v>27.519530230000001</v>
      </c>
      <c r="D94" s="309">
        <v>0</v>
      </c>
      <c r="E94" s="309">
        <v>6.485468</v>
      </c>
      <c r="F94" s="309">
        <v>0</v>
      </c>
      <c r="G94" s="309">
        <v>0</v>
      </c>
      <c r="H94" s="306">
        <v>58.849288099999995</v>
      </c>
      <c r="I94" s="304"/>
      <c r="J94" s="304"/>
      <c r="K94" s="304"/>
      <c r="L94" s="304"/>
    </row>
    <row r="95" spans="1:12">
      <c r="A95" s="307" t="s">
        <v>407</v>
      </c>
      <c r="B95" s="332">
        <v>2696.9190741784423</v>
      </c>
      <c r="C95" s="309">
        <v>7815.7470396304443</v>
      </c>
      <c r="D95" s="309">
        <v>29.991634000000001</v>
      </c>
      <c r="E95" s="309">
        <v>390.69519481693902</v>
      </c>
      <c r="F95" s="309">
        <v>1932.134642191141</v>
      </c>
      <c r="G95" s="309">
        <v>0</v>
      </c>
      <c r="H95" s="306">
        <v>12865.487584816965</v>
      </c>
      <c r="I95" s="304"/>
      <c r="J95" s="304"/>
      <c r="K95" s="304"/>
      <c r="L95" s="304"/>
    </row>
    <row r="96" spans="1:12">
      <c r="A96" s="307"/>
      <c r="B96" s="314"/>
      <c r="C96" s="302"/>
      <c r="D96" s="302"/>
      <c r="E96" s="302"/>
      <c r="F96" s="302"/>
      <c r="G96" s="302"/>
      <c r="H96" s="306"/>
      <c r="I96" s="304"/>
      <c r="J96" s="304"/>
      <c r="K96" s="304"/>
      <c r="L96" s="304"/>
    </row>
    <row r="97" spans="1:12">
      <c r="A97" s="300" t="s">
        <v>459</v>
      </c>
      <c r="B97" s="314">
        <v>283.359636526825</v>
      </c>
      <c r="C97" s="302">
        <v>642.37858821819384</v>
      </c>
      <c r="D97" s="302">
        <v>0</v>
      </c>
      <c r="E97" s="302">
        <v>10.378520999999999</v>
      </c>
      <c r="F97" s="302">
        <v>349.03593230802204</v>
      </c>
      <c r="G97" s="302">
        <v>0</v>
      </c>
      <c r="H97" s="303">
        <v>1285.152678053041</v>
      </c>
      <c r="I97" s="304"/>
      <c r="J97" s="304">
        <v>-492187925.9783653</v>
      </c>
      <c r="K97" s="304"/>
      <c r="L97" s="304"/>
    </row>
    <row r="98" spans="1:12">
      <c r="A98" s="305" t="s">
        <v>398</v>
      </c>
      <c r="B98" s="314"/>
      <c r="C98" s="302"/>
      <c r="D98" s="302"/>
      <c r="E98" s="302"/>
      <c r="F98" s="302"/>
      <c r="G98" s="302"/>
      <c r="H98" s="306"/>
      <c r="I98" s="304"/>
      <c r="J98" s="304"/>
      <c r="K98" s="304"/>
      <c r="L98" s="304"/>
    </row>
    <row r="99" spans="1:12">
      <c r="A99" s="307" t="s">
        <v>460</v>
      </c>
      <c r="B99" s="332">
        <v>52.580348456750997</v>
      </c>
      <c r="C99" s="309">
        <v>359.9037699885809</v>
      </c>
      <c r="D99" s="309">
        <v>0</v>
      </c>
      <c r="E99" s="309">
        <v>0.83851100000000001</v>
      </c>
      <c r="F99" s="309">
        <v>84.909071730000008</v>
      </c>
      <c r="G99" s="309">
        <v>0</v>
      </c>
      <c r="H99" s="306">
        <v>498.23170117533186</v>
      </c>
      <c r="I99" s="304"/>
      <c r="J99" s="304"/>
      <c r="K99" s="304"/>
      <c r="L99" s="304"/>
    </row>
    <row r="100" spans="1:12">
      <c r="A100" s="307" t="s">
        <v>461</v>
      </c>
      <c r="B100" s="332">
        <v>0.95660162999999998</v>
      </c>
      <c r="C100" s="309">
        <v>3.53020092</v>
      </c>
      <c r="D100" s="309">
        <v>0</v>
      </c>
      <c r="E100" s="309">
        <v>0</v>
      </c>
      <c r="F100" s="309">
        <v>238.60315962000001</v>
      </c>
      <c r="G100" s="309">
        <v>0</v>
      </c>
      <c r="H100" s="306">
        <v>243.08996217000001</v>
      </c>
      <c r="I100" s="304"/>
      <c r="J100" s="304"/>
      <c r="K100" s="304"/>
      <c r="L100" s="304"/>
    </row>
    <row r="101" spans="1:12">
      <c r="A101" s="307" t="s">
        <v>462</v>
      </c>
      <c r="B101" s="332">
        <v>1.04789965</v>
      </c>
      <c r="C101" s="309">
        <v>135.86576099999999</v>
      </c>
      <c r="D101" s="309">
        <v>0</v>
      </c>
      <c r="E101" s="309">
        <v>0</v>
      </c>
      <c r="F101" s="309">
        <v>2.4094999999999998E-2</v>
      </c>
      <c r="G101" s="309">
        <v>0</v>
      </c>
      <c r="H101" s="306">
        <v>136.93775564999999</v>
      </c>
      <c r="I101" s="304"/>
      <c r="J101" s="304"/>
      <c r="K101" s="304"/>
      <c r="L101" s="304"/>
    </row>
    <row r="102" spans="1:12">
      <c r="A102" s="307" t="s">
        <v>463</v>
      </c>
      <c r="B102" s="332">
        <v>31.146972770000005</v>
      </c>
      <c r="C102" s="309">
        <v>27.391650880000007</v>
      </c>
      <c r="D102" s="309">
        <v>0</v>
      </c>
      <c r="E102" s="309">
        <v>1.499592</v>
      </c>
      <c r="F102" s="309">
        <v>0.27903601</v>
      </c>
      <c r="G102" s="309">
        <v>0</v>
      </c>
      <c r="H102" s="306">
        <v>60.317251660000011</v>
      </c>
      <c r="I102" s="304"/>
      <c r="J102" s="304"/>
      <c r="K102" s="304"/>
      <c r="L102" s="304"/>
    </row>
    <row r="103" spans="1:12">
      <c r="A103" s="307" t="s">
        <v>464</v>
      </c>
      <c r="B103" s="332">
        <v>34.745259679999997</v>
      </c>
      <c r="C103" s="309">
        <v>44.024628759999999</v>
      </c>
      <c r="D103" s="309">
        <v>0</v>
      </c>
      <c r="E103" s="309">
        <v>1.6693469999999999</v>
      </c>
      <c r="F103" s="309">
        <v>8.4774140399999993</v>
      </c>
      <c r="G103" s="309">
        <v>0</v>
      </c>
      <c r="H103" s="306">
        <v>88.91664947999999</v>
      </c>
      <c r="I103" s="304"/>
      <c r="J103" s="304"/>
      <c r="K103" s="304"/>
      <c r="L103" s="304"/>
    </row>
    <row r="104" spans="1:12">
      <c r="A104" s="307" t="s">
        <v>465</v>
      </c>
      <c r="B104" s="332">
        <v>41.790045809999995</v>
      </c>
      <c r="C104" s="309">
        <v>2.0466694900000002</v>
      </c>
      <c r="D104" s="309">
        <v>0</v>
      </c>
      <c r="E104" s="309">
        <v>1.820913</v>
      </c>
      <c r="F104" s="309">
        <v>9.4087309999999995</v>
      </c>
      <c r="G104" s="309">
        <v>0</v>
      </c>
      <c r="H104" s="306">
        <v>55.066359299999988</v>
      </c>
      <c r="I104" s="304"/>
      <c r="J104" s="304"/>
      <c r="K104" s="304"/>
      <c r="L104" s="304"/>
    </row>
    <row r="105" spans="1:12">
      <c r="A105" s="307" t="s">
        <v>407</v>
      </c>
      <c r="B105" s="332">
        <v>121.092508530074</v>
      </c>
      <c r="C105" s="309">
        <v>69.615907179612989</v>
      </c>
      <c r="D105" s="309">
        <v>0</v>
      </c>
      <c r="E105" s="309">
        <v>4.5501579999999997</v>
      </c>
      <c r="F105" s="309">
        <v>7.3344249080219992</v>
      </c>
      <c r="G105" s="309">
        <v>0</v>
      </c>
      <c r="H105" s="306">
        <v>202.59299861770899</v>
      </c>
      <c r="I105" s="304"/>
      <c r="J105" s="304"/>
      <c r="K105" s="304"/>
      <c r="L105" s="304"/>
    </row>
    <row r="106" spans="1:12">
      <c r="A106" s="307"/>
      <c r="B106" s="314"/>
      <c r="C106" s="302"/>
      <c r="D106" s="302"/>
      <c r="E106" s="302"/>
      <c r="F106" s="302"/>
      <c r="G106" s="302"/>
      <c r="H106" s="306"/>
      <c r="I106" s="304"/>
      <c r="J106" s="304"/>
      <c r="K106" s="304"/>
      <c r="L106" s="304"/>
    </row>
    <row r="107" spans="1:12">
      <c r="A107" s="300" t="s">
        <v>466</v>
      </c>
      <c r="B107" s="314">
        <v>3848.5318206587231</v>
      </c>
      <c r="C107" s="302">
        <v>14280.959048944549</v>
      </c>
      <c r="D107" s="302">
        <v>2.2311726200000002</v>
      </c>
      <c r="E107" s="302">
        <v>66.235433999999998</v>
      </c>
      <c r="F107" s="302">
        <v>2875.9408360127077</v>
      </c>
      <c r="G107" s="302">
        <v>4522.0299789515002</v>
      </c>
      <c r="H107" s="303">
        <v>25595.92829118748</v>
      </c>
      <c r="I107" s="304"/>
      <c r="J107" s="304">
        <v>-13343666313.261974</v>
      </c>
      <c r="K107" s="304"/>
      <c r="L107" s="304"/>
    </row>
    <row r="108" spans="1:12">
      <c r="A108" s="305" t="s">
        <v>398</v>
      </c>
      <c r="B108" s="314"/>
      <c r="C108" s="302"/>
      <c r="D108" s="302"/>
      <c r="E108" s="302"/>
      <c r="F108" s="302"/>
      <c r="G108" s="302"/>
      <c r="H108" s="306"/>
      <c r="I108" s="304"/>
      <c r="J108" s="304"/>
      <c r="K108" s="304"/>
      <c r="L108" s="304"/>
    </row>
    <row r="109" spans="1:12">
      <c r="A109" s="307" t="s">
        <v>467</v>
      </c>
      <c r="B109" s="332">
        <v>3.9516494600000001</v>
      </c>
      <c r="C109" s="309">
        <v>5.8607069800000007</v>
      </c>
      <c r="D109" s="309">
        <v>0</v>
      </c>
      <c r="E109" s="309">
        <v>0</v>
      </c>
      <c r="F109" s="309">
        <v>1.0097999999999999E-2</v>
      </c>
      <c r="G109" s="309">
        <v>19.292000000000002</v>
      </c>
      <c r="H109" s="306">
        <v>29.114454440000003</v>
      </c>
      <c r="I109" s="304"/>
      <c r="J109" s="304"/>
      <c r="K109" s="304"/>
      <c r="L109" s="304"/>
    </row>
    <row r="110" spans="1:12">
      <c r="A110" s="307" t="s">
        <v>468</v>
      </c>
      <c r="B110" s="332">
        <v>117.49954665000003</v>
      </c>
      <c r="C110" s="309">
        <v>115.83511696000001</v>
      </c>
      <c r="D110" s="309">
        <v>0</v>
      </c>
      <c r="E110" s="309">
        <v>0</v>
      </c>
      <c r="F110" s="309">
        <v>1.7101E-4</v>
      </c>
      <c r="G110" s="309">
        <v>119.095</v>
      </c>
      <c r="H110" s="306">
        <v>352.42983462000007</v>
      </c>
      <c r="I110" s="304"/>
      <c r="J110" s="304"/>
      <c r="K110" s="304"/>
      <c r="L110" s="304"/>
    </row>
    <row r="111" spans="1:12">
      <c r="A111" s="307" t="s">
        <v>469</v>
      </c>
      <c r="B111" s="332">
        <v>12.865518710010999</v>
      </c>
      <c r="C111" s="309">
        <v>2069.3566480741961</v>
      </c>
      <c r="D111" s="309">
        <v>0</v>
      </c>
      <c r="E111" s="309">
        <v>0</v>
      </c>
      <c r="F111" s="309">
        <v>78.846221499999999</v>
      </c>
      <c r="G111" s="309">
        <v>0</v>
      </c>
      <c r="H111" s="306">
        <v>2161.0683882842072</v>
      </c>
      <c r="I111" s="304"/>
      <c r="J111" s="304"/>
      <c r="K111" s="304"/>
      <c r="L111" s="304"/>
    </row>
    <row r="112" spans="1:12">
      <c r="A112" s="307" t="s">
        <v>470</v>
      </c>
      <c r="B112" s="332">
        <v>9.1796100000000012E-3</v>
      </c>
      <c r="C112" s="309">
        <v>0</v>
      </c>
      <c r="D112" s="309">
        <v>0</v>
      </c>
      <c r="E112" s="309">
        <v>0</v>
      </c>
      <c r="F112" s="309">
        <v>0</v>
      </c>
      <c r="G112" s="309">
        <v>0</v>
      </c>
      <c r="H112" s="306">
        <v>9.1796100000000012E-3</v>
      </c>
      <c r="I112" s="304"/>
      <c r="J112" s="304"/>
      <c r="K112" s="304"/>
      <c r="L112" s="304"/>
    </row>
    <row r="113" spans="1:12">
      <c r="A113" s="307" t="s">
        <v>471</v>
      </c>
      <c r="B113" s="332">
        <v>313.14333907999998</v>
      </c>
      <c r="C113" s="309">
        <v>198.51735792000002</v>
      </c>
      <c r="D113" s="309">
        <v>0</v>
      </c>
      <c r="E113" s="309">
        <v>0</v>
      </c>
      <c r="F113" s="309">
        <v>340.44140993249999</v>
      </c>
      <c r="G113" s="309">
        <v>0</v>
      </c>
      <c r="H113" s="306">
        <v>852.10210693249996</v>
      </c>
      <c r="I113" s="304"/>
      <c r="J113" s="304"/>
      <c r="K113" s="304"/>
      <c r="L113" s="304"/>
    </row>
    <row r="114" spans="1:12">
      <c r="A114" s="307" t="s">
        <v>472</v>
      </c>
      <c r="B114" s="332">
        <v>635.65882534097193</v>
      </c>
      <c r="C114" s="309">
        <v>4930.982924179596</v>
      </c>
      <c r="D114" s="309">
        <v>0</v>
      </c>
      <c r="E114" s="309">
        <v>0</v>
      </c>
      <c r="F114" s="309">
        <v>488.07409338499997</v>
      </c>
      <c r="G114" s="309">
        <v>650.06939780700009</v>
      </c>
      <c r="H114" s="306">
        <v>6704.7852407125683</v>
      </c>
      <c r="I114" s="304"/>
      <c r="J114" s="304"/>
      <c r="K114" s="304"/>
      <c r="L114" s="304"/>
    </row>
    <row r="115" spans="1:12">
      <c r="A115" s="307" t="s">
        <v>473</v>
      </c>
      <c r="B115" s="332">
        <v>50.838288169999991</v>
      </c>
      <c r="C115" s="309">
        <v>347.53642589999998</v>
      </c>
      <c r="D115" s="309">
        <v>0</v>
      </c>
      <c r="E115" s="309">
        <v>0</v>
      </c>
      <c r="F115" s="309">
        <v>2.7900000000000001E-4</v>
      </c>
      <c r="G115" s="309">
        <v>0</v>
      </c>
      <c r="H115" s="306">
        <v>398.37499306999996</v>
      </c>
      <c r="I115" s="304"/>
      <c r="J115" s="304"/>
      <c r="K115" s="304"/>
      <c r="L115" s="304"/>
    </row>
    <row r="116" spans="1:12">
      <c r="A116" s="307" t="s">
        <v>407</v>
      </c>
      <c r="B116" s="332">
        <v>2714.5654736377401</v>
      </c>
      <c r="C116" s="309">
        <v>6612.8698689307566</v>
      </c>
      <c r="D116" s="309">
        <v>2.2311726200000002</v>
      </c>
      <c r="E116" s="309">
        <v>66.235433999999998</v>
      </c>
      <c r="F116" s="309">
        <v>1968.5685631852079</v>
      </c>
      <c r="G116" s="309">
        <v>3733.5735811444997</v>
      </c>
      <c r="H116" s="306">
        <v>15098.044093518205</v>
      </c>
      <c r="I116" s="304"/>
      <c r="J116" s="304"/>
      <c r="K116" s="304"/>
      <c r="L116" s="304"/>
    </row>
    <row r="117" spans="1:12">
      <c r="A117" s="300"/>
      <c r="B117" s="314"/>
      <c r="C117" s="302"/>
      <c r="D117" s="302"/>
      <c r="E117" s="302"/>
      <c r="F117" s="302"/>
      <c r="G117" s="302"/>
      <c r="H117" s="306"/>
      <c r="I117" s="304"/>
      <c r="J117" s="304"/>
      <c r="K117" s="304"/>
      <c r="L117" s="304"/>
    </row>
    <row r="118" spans="1:12">
      <c r="A118" s="300" t="s">
        <v>474</v>
      </c>
      <c r="B118" s="314">
        <v>215.37813585580199</v>
      </c>
      <c r="C118" s="302">
        <v>4178.3678229267116</v>
      </c>
      <c r="D118" s="302">
        <v>4.4887999999999997E-2</v>
      </c>
      <c r="E118" s="302">
        <v>5.162903</v>
      </c>
      <c r="F118" s="302">
        <v>202.82297392552402</v>
      </c>
      <c r="G118" s="302">
        <v>0</v>
      </c>
      <c r="H118" s="303">
        <v>4601.7767237080379</v>
      </c>
      <c r="I118" s="304"/>
      <c r="J118" s="304">
        <v>-2832790214.7834396</v>
      </c>
      <c r="K118" s="304"/>
      <c r="L118" s="304"/>
    </row>
    <row r="119" spans="1:12">
      <c r="A119" s="305" t="s">
        <v>398</v>
      </c>
      <c r="B119" s="314"/>
      <c r="C119" s="302"/>
      <c r="D119" s="302"/>
      <c r="E119" s="302"/>
      <c r="F119" s="302"/>
      <c r="G119" s="302"/>
      <c r="H119" s="306"/>
      <c r="I119" s="304"/>
      <c r="J119" s="304"/>
      <c r="K119" s="304"/>
      <c r="L119" s="304"/>
    </row>
    <row r="120" spans="1:12">
      <c r="A120" s="307" t="s">
        <v>475</v>
      </c>
      <c r="B120" s="332">
        <v>69.576539979999993</v>
      </c>
      <c r="C120" s="309">
        <v>1.4071019</v>
      </c>
      <c r="D120" s="309">
        <v>0</v>
      </c>
      <c r="E120" s="309">
        <v>0</v>
      </c>
      <c r="F120" s="309">
        <v>0.95167257999999999</v>
      </c>
      <c r="G120" s="309">
        <v>0</v>
      </c>
      <c r="H120" s="306">
        <v>71.935314459999987</v>
      </c>
      <c r="I120" s="304"/>
      <c r="J120" s="304"/>
      <c r="K120" s="304"/>
      <c r="L120" s="304"/>
    </row>
    <row r="121" spans="1:12">
      <c r="A121" s="307" t="s">
        <v>476</v>
      </c>
      <c r="B121" s="332">
        <v>6.0421599999999999E-2</v>
      </c>
      <c r="C121" s="309">
        <v>0.10887951</v>
      </c>
      <c r="D121" s="309">
        <v>0</v>
      </c>
      <c r="E121" s="309">
        <v>0</v>
      </c>
      <c r="F121" s="309">
        <v>0</v>
      </c>
      <c r="G121" s="309">
        <v>0</v>
      </c>
      <c r="H121" s="306">
        <v>0.16930111</v>
      </c>
      <c r="I121" s="304"/>
      <c r="J121" s="304"/>
      <c r="K121" s="304"/>
      <c r="L121" s="304"/>
    </row>
    <row r="122" spans="1:12">
      <c r="A122" s="307" t="s">
        <v>477</v>
      </c>
      <c r="B122" s="332">
        <v>1.7753599499999999</v>
      </c>
      <c r="C122" s="309">
        <v>3839.53688197476</v>
      </c>
      <c r="D122" s="309">
        <v>0</v>
      </c>
      <c r="E122" s="309">
        <v>0</v>
      </c>
      <c r="F122" s="309">
        <v>192.87461934552402</v>
      </c>
      <c r="G122" s="309">
        <v>0</v>
      </c>
      <c r="H122" s="306">
        <v>4034.1868612702842</v>
      </c>
      <c r="I122" s="304"/>
      <c r="J122" s="304"/>
      <c r="K122" s="304"/>
      <c r="L122" s="304"/>
    </row>
    <row r="123" spans="1:12">
      <c r="A123" s="307" t="s">
        <v>478</v>
      </c>
      <c r="B123" s="332">
        <v>29.755774142002998</v>
      </c>
      <c r="C123" s="309">
        <v>28.711207542729003</v>
      </c>
      <c r="D123" s="309">
        <v>0</v>
      </c>
      <c r="E123" s="309">
        <v>0.38327600000000001</v>
      </c>
      <c r="F123" s="309">
        <v>0.12783900000000001</v>
      </c>
      <c r="G123" s="309">
        <v>0</v>
      </c>
      <c r="H123" s="306">
        <v>58.978096684732009</v>
      </c>
      <c r="I123" s="304"/>
      <c r="J123" s="304"/>
      <c r="K123" s="304"/>
      <c r="L123" s="304"/>
    </row>
    <row r="124" spans="1:12">
      <c r="A124" s="307" t="s">
        <v>479</v>
      </c>
      <c r="B124" s="332">
        <v>5.9803798100000005</v>
      </c>
      <c r="C124" s="309">
        <v>3.6569213500000002</v>
      </c>
      <c r="D124" s="309">
        <v>0</v>
      </c>
      <c r="E124" s="309">
        <v>0</v>
      </c>
      <c r="F124" s="309">
        <v>0</v>
      </c>
      <c r="G124" s="309">
        <v>0</v>
      </c>
      <c r="H124" s="306">
        <v>9.6373011599999998</v>
      </c>
      <c r="I124" s="304"/>
      <c r="J124" s="304"/>
      <c r="K124" s="304"/>
      <c r="L124" s="304"/>
    </row>
    <row r="125" spans="1:12">
      <c r="A125" s="307" t="s">
        <v>407</v>
      </c>
      <c r="B125" s="332">
        <v>108.22966037379899</v>
      </c>
      <c r="C125" s="309">
        <v>304.94683064922305</v>
      </c>
      <c r="D125" s="309">
        <v>4.4887999999999997E-2</v>
      </c>
      <c r="E125" s="309">
        <v>4.7796269999999996</v>
      </c>
      <c r="F125" s="309">
        <v>8.868843</v>
      </c>
      <c r="G125" s="309">
        <v>0</v>
      </c>
      <c r="H125" s="306">
        <v>426.86984902302208</v>
      </c>
      <c r="I125" s="304"/>
      <c r="J125" s="304"/>
      <c r="K125" s="304"/>
      <c r="L125" s="304"/>
    </row>
    <row r="126" spans="1:12">
      <c r="A126" s="307"/>
      <c r="B126" s="314"/>
      <c r="C126" s="302"/>
      <c r="D126" s="302"/>
      <c r="E126" s="302"/>
      <c r="F126" s="302"/>
      <c r="G126" s="302"/>
      <c r="H126" s="306"/>
      <c r="I126" s="304"/>
      <c r="J126" s="304"/>
      <c r="K126" s="304"/>
      <c r="L126" s="304"/>
    </row>
    <row r="127" spans="1:12">
      <c r="A127" s="300" t="s">
        <v>480</v>
      </c>
      <c r="B127" s="314">
        <v>1.99814E-2</v>
      </c>
      <c r="C127" s="302">
        <v>1.8598814399999999</v>
      </c>
      <c r="D127" s="302">
        <v>0</v>
      </c>
      <c r="E127" s="302">
        <v>0</v>
      </c>
      <c r="F127" s="302">
        <v>0</v>
      </c>
      <c r="G127" s="302">
        <v>0</v>
      </c>
      <c r="H127" s="303">
        <v>1.8798628399999999</v>
      </c>
      <c r="I127" s="304"/>
      <c r="J127" s="304">
        <v>-27532664.370000005</v>
      </c>
      <c r="K127" s="304"/>
      <c r="L127" s="304"/>
    </row>
    <row r="128" spans="1:12">
      <c r="A128" s="300"/>
      <c r="B128" s="314"/>
      <c r="C128" s="302"/>
      <c r="D128" s="302"/>
      <c r="E128" s="302"/>
      <c r="F128" s="302"/>
      <c r="G128" s="302"/>
      <c r="H128" s="303"/>
      <c r="I128" s="304"/>
      <c r="J128" s="304"/>
      <c r="K128" s="304"/>
      <c r="L128" s="304"/>
    </row>
    <row r="129" spans="1:12">
      <c r="A129" s="300" t="s">
        <v>481</v>
      </c>
      <c r="B129" s="314">
        <v>553.59321704000001</v>
      </c>
      <c r="C129" s="302">
        <v>3464.4767768184224</v>
      </c>
      <c r="D129" s="302">
        <v>0</v>
      </c>
      <c r="E129" s="302">
        <v>0</v>
      </c>
      <c r="F129" s="302">
        <v>2229.2700146763</v>
      </c>
      <c r="G129" s="302">
        <v>5.0000345007419587E-2</v>
      </c>
      <c r="H129" s="303">
        <v>6247.3900088797291</v>
      </c>
      <c r="I129" s="304"/>
      <c r="J129" s="304">
        <v>-2166092296.5259762</v>
      </c>
      <c r="K129" s="304"/>
      <c r="L129" s="304"/>
    </row>
    <row r="130" spans="1:12">
      <c r="A130" s="300"/>
      <c r="B130" s="314"/>
      <c r="C130" s="302"/>
      <c r="D130" s="302"/>
      <c r="E130" s="302"/>
      <c r="F130" s="302"/>
      <c r="G130" s="302"/>
      <c r="H130" s="303"/>
      <c r="I130" s="304"/>
      <c r="J130" s="304"/>
      <c r="K130" s="304"/>
      <c r="L130" s="304"/>
    </row>
    <row r="131" spans="1:12">
      <c r="A131" s="300" t="s">
        <v>482</v>
      </c>
      <c r="B131" s="314">
        <v>0</v>
      </c>
      <c r="C131" s="302">
        <v>1.7292990000000001E-2</v>
      </c>
      <c r="D131" s="302">
        <v>0</v>
      </c>
      <c r="E131" s="302">
        <v>0</v>
      </c>
      <c r="F131" s="302">
        <v>0</v>
      </c>
      <c r="G131" s="302">
        <v>0</v>
      </c>
      <c r="H131" s="303">
        <v>1.7292990000000001E-2</v>
      </c>
      <c r="I131" s="304">
        <v>1.7292990000000001E-2</v>
      </c>
      <c r="J131" s="304">
        <v>0</v>
      </c>
      <c r="K131" s="304"/>
      <c r="L131" s="304"/>
    </row>
    <row r="132" spans="1:12">
      <c r="A132" s="300"/>
      <c r="B132" s="314"/>
      <c r="C132" s="302"/>
      <c r="D132" s="302"/>
      <c r="E132" s="302"/>
      <c r="F132" s="302"/>
      <c r="G132" s="302"/>
      <c r="H132" s="303"/>
      <c r="I132" s="304"/>
      <c r="J132" s="304"/>
      <c r="K132" s="304"/>
      <c r="L132" s="304"/>
    </row>
    <row r="133" spans="1:12">
      <c r="A133" s="300" t="s">
        <v>483</v>
      </c>
      <c r="B133" s="314">
        <v>0</v>
      </c>
      <c r="C133" s="302">
        <v>0</v>
      </c>
      <c r="D133" s="302">
        <v>0</v>
      </c>
      <c r="E133" s="302">
        <v>0</v>
      </c>
      <c r="F133" s="302">
        <v>0</v>
      </c>
      <c r="G133" s="302">
        <v>0</v>
      </c>
      <c r="H133" s="303">
        <v>0</v>
      </c>
      <c r="I133" s="304"/>
      <c r="J133" s="304">
        <v>0.50212699999999999</v>
      </c>
      <c r="K133" s="304"/>
      <c r="L133" s="304"/>
    </row>
    <row r="134" spans="1:12">
      <c r="A134" s="300"/>
      <c r="B134" s="314"/>
      <c r="C134" s="302"/>
      <c r="D134" s="302"/>
      <c r="E134" s="302"/>
      <c r="F134" s="302"/>
      <c r="G134" s="302"/>
      <c r="H134" s="303"/>
      <c r="I134" s="304"/>
      <c r="J134" s="304"/>
      <c r="K134" s="304"/>
      <c r="L134" s="304"/>
    </row>
    <row r="135" spans="1:12">
      <c r="A135" s="300" t="s">
        <v>484</v>
      </c>
      <c r="B135" s="314">
        <v>71.99709751988199</v>
      </c>
      <c r="C135" s="302">
        <v>133.55326973000001</v>
      </c>
      <c r="D135" s="302">
        <v>0</v>
      </c>
      <c r="E135" s="302">
        <v>18.558226000000001</v>
      </c>
      <c r="F135" s="302">
        <v>259.28973677815497</v>
      </c>
      <c r="G135" s="302">
        <v>0</v>
      </c>
      <c r="H135" s="303">
        <v>483.39833002803698</v>
      </c>
      <c r="I135" s="304"/>
      <c r="J135" s="304">
        <v>-34246626.120000064</v>
      </c>
      <c r="K135" s="304"/>
      <c r="L135" s="304"/>
    </row>
    <row r="136" spans="1:12">
      <c r="A136" s="300"/>
      <c r="B136" s="314"/>
      <c r="C136" s="302"/>
      <c r="D136" s="302"/>
      <c r="E136" s="302"/>
      <c r="F136" s="302"/>
      <c r="G136" s="302"/>
      <c r="H136" s="303"/>
      <c r="I136" s="304"/>
      <c r="J136" s="304"/>
      <c r="K136" s="304"/>
      <c r="L136" s="304"/>
    </row>
    <row r="137" spans="1:12">
      <c r="A137" s="300" t="s">
        <v>485</v>
      </c>
      <c r="B137" s="314">
        <v>25.37349425</v>
      </c>
      <c r="C137" s="302">
        <v>634.01753515999997</v>
      </c>
      <c r="D137" s="302">
        <v>0</v>
      </c>
      <c r="E137" s="302">
        <v>0</v>
      </c>
      <c r="F137" s="302">
        <v>2.8135649100000002</v>
      </c>
      <c r="G137" s="302">
        <v>0</v>
      </c>
      <c r="H137" s="303">
        <v>662.20459431999996</v>
      </c>
      <c r="I137" s="304"/>
      <c r="J137" s="304">
        <v>-27685929.775841292</v>
      </c>
      <c r="K137" s="304"/>
      <c r="L137" s="304"/>
    </row>
    <row r="138" spans="1:12">
      <c r="A138" s="300"/>
      <c r="B138" s="314"/>
      <c r="C138" s="302"/>
      <c r="D138" s="302"/>
      <c r="E138" s="302"/>
      <c r="F138" s="302"/>
      <c r="G138" s="302"/>
      <c r="H138" s="303"/>
      <c r="I138" s="304"/>
      <c r="J138" s="304"/>
      <c r="K138" s="304"/>
      <c r="L138" s="304"/>
    </row>
    <row r="139" spans="1:12">
      <c r="A139" s="300" t="s">
        <v>486</v>
      </c>
      <c r="B139" s="314">
        <v>0.11504833</v>
      </c>
      <c r="C139" s="302">
        <v>0</v>
      </c>
      <c r="D139" s="302">
        <v>0</v>
      </c>
      <c r="E139" s="302">
        <v>0</v>
      </c>
      <c r="F139" s="302">
        <v>0</v>
      </c>
      <c r="G139" s="302">
        <v>0</v>
      </c>
      <c r="H139" s="303">
        <v>0.11504833</v>
      </c>
      <c r="I139" s="304"/>
      <c r="J139" s="304">
        <v>-33465.022893820002</v>
      </c>
      <c r="K139" s="304"/>
      <c r="L139" s="304"/>
    </row>
    <row r="140" spans="1:12">
      <c r="A140" s="300"/>
      <c r="B140" s="314"/>
      <c r="C140" s="302"/>
      <c r="D140" s="302"/>
      <c r="E140" s="302"/>
      <c r="F140" s="302"/>
      <c r="G140" s="302"/>
      <c r="H140" s="303"/>
      <c r="I140" s="304"/>
      <c r="J140" s="304"/>
      <c r="K140" s="304"/>
      <c r="L140" s="304"/>
    </row>
    <row r="141" spans="1:12" ht="13.5">
      <c r="A141" s="300" t="s">
        <v>487</v>
      </c>
      <c r="B141" s="314">
        <v>4366.4156078593833</v>
      </c>
      <c r="C141" s="302">
        <v>17310.341869622589</v>
      </c>
      <c r="D141" s="302">
        <v>1547.13571</v>
      </c>
      <c r="E141" s="302">
        <v>14.565118999999999</v>
      </c>
      <c r="F141" s="302">
        <v>491.19607488688297</v>
      </c>
      <c r="G141" s="302">
        <v>0</v>
      </c>
      <c r="H141" s="303">
        <v>23729.654381368855</v>
      </c>
      <c r="I141" s="304"/>
      <c r="J141" s="304">
        <v>-11342360686.827675</v>
      </c>
      <c r="K141" s="304"/>
      <c r="L141" s="304"/>
    </row>
    <row r="142" spans="1:12">
      <c r="A142" s="300"/>
      <c r="B142" s="314"/>
      <c r="C142" s="302"/>
      <c r="D142" s="302"/>
      <c r="E142" s="302"/>
      <c r="F142" s="302"/>
      <c r="G142" s="302"/>
      <c r="H142" s="303"/>
      <c r="I142" s="304">
        <v>0</v>
      </c>
      <c r="J142" s="304">
        <v>0</v>
      </c>
      <c r="K142" s="304"/>
      <c r="L142" s="304"/>
    </row>
    <row r="143" spans="1:12" ht="13.5">
      <c r="A143" s="300" t="s">
        <v>488</v>
      </c>
      <c r="B143" s="314">
        <v>410.87505791018299</v>
      </c>
      <c r="C143" s="302">
        <v>897.77711150380912</v>
      </c>
      <c r="D143" s="302">
        <v>3.4359229999999998</v>
      </c>
      <c r="E143" s="302">
        <v>2.868935</v>
      </c>
      <c r="F143" s="302">
        <v>38.420999601988001</v>
      </c>
      <c r="G143" s="302">
        <v>0</v>
      </c>
      <c r="H143" s="303">
        <v>1353.37802701598</v>
      </c>
      <c r="I143" s="304"/>
      <c r="J143" s="304">
        <v>32726518.659430504</v>
      </c>
      <c r="K143" s="304"/>
      <c r="L143" s="304"/>
    </row>
    <row r="144" spans="1:12">
      <c r="A144" s="300"/>
      <c r="B144" s="314"/>
      <c r="C144" s="302"/>
      <c r="D144" s="302"/>
      <c r="E144" s="302"/>
      <c r="F144" s="302"/>
      <c r="G144" s="302"/>
      <c r="H144" s="303"/>
      <c r="I144" s="304">
        <v>0</v>
      </c>
      <c r="J144" s="304">
        <v>0</v>
      </c>
      <c r="K144" s="304"/>
      <c r="L144" s="304"/>
    </row>
    <row r="145" spans="1:15">
      <c r="A145" s="300" t="s">
        <v>489</v>
      </c>
      <c r="B145" s="314">
        <v>53.195892069999999</v>
      </c>
      <c r="C145" s="302">
        <v>1205.8050932941674</v>
      </c>
      <c r="D145" s="302">
        <v>0</v>
      </c>
      <c r="E145" s="302">
        <v>0</v>
      </c>
      <c r="F145" s="302">
        <v>0.73450599999999999</v>
      </c>
      <c r="G145" s="302">
        <v>40.250626922003001</v>
      </c>
      <c r="H145" s="303">
        <v>1299.9861182861703</v>
      </c>
      <c r="I145" s="304">
        <v>1299.9861182861703</v>
      </c>
      <c r="J145" s="304">
        <v>0</v>
      </c>
      <c r="K145" s="304"/>
      <c r="L145" s="304"/>
    </row>
    <row r="146" spans="1:15">
      <c r="A146" s="300"/>
      <c r="B146" s="314"/>
      <c r="C146" s="302"/>
      <c r="D146" s="302"/>
      <c r="E146" s="302"/>
      <c r="F146" s="302"/>
      <c r="G146" s="302"/>
      <c r="H146" s="303"/>
      <c r="I146" s="304"/>
      <c r="J146" s="304"/>
      <c r="K146" s="304"/>
      <c r="L146" s="304"/>
    </row>
    <row r="147" spans="1:15">
      <c r="A147" s="300" t="s">
        <v>490</v>
      </c>
      <c r="B147" s="314">
        <v>0.92176753999999994</v>
      </c>
      <c r="C147" s="302">
        <v>0.73836961000000001</v>
      </c>
      <c r="D147" s="302">
        <v>0</v>
      </c>
      <c r="E147" s="302">
        <v>0</v>
      </c>
      <c r="F147" s="302">
        <v>4.0079999999999996E-5</v>
      </c>
      <c r="G147" s="302">
        <v>0</v>
      </c>
      <c r="H147" s="303">
        <v>1.6601772299999999</v>
      </c>
      <c r="I147" s="304">
        <v>1.6601772299999999</v>
      </c>
      <c r="J147" s="304">
        <v>0</v>
      </c>
      <c r="K147" s="304"/>
      <c r="L147" s="304"/>
    </row>
    <row r="148" spans="1:15">
      <c r="A148" s="300"/>
      <c r="B148" s="314"/>
      <c r="C148" s="302"/>
      <c r="D148" s="302"/>
      <c r="E148" s="302"/>
      <c r="F148" s="302"/>
      <c r="G148" s="302"/>
      <c r="H148" s="303"/>
      <c r="I148" s="304"/>
      <c r="J148" s="304"/>
      <c r="K148" s="304"/>
      <c r="L148" s="304"/>
    </row>
    <row r="149" spans="1:15">
      <c r="A149" s="300" t="s">
        <v>491</v>
      </c>
      <c r="B149" s="314">
        <v>184.65654337464997</v>
      </c>
      <c r="C149" s="302">
        <v>706.75616351999997</v>
      </c>
      <c r="D149" s="302">
        <v>0.3216504</v>
      </c>
      <c r="E149" s="302">
        <v>5.1926629999999996</v>
      </c>
      <c r="F149" s="302">
        <v>4.6666897999999994</v>
      </c>
      <c r="G149" s="302">
        <v>0</v>
      </c>
      <c r="H149" s="303">
        <v>901.59371009464996</v>
      </c>
      <c r="I149" s="304">
        <v>901.59371009464996</v>
      </c>
      <c r="J149" s="304">
        <v>0</v>
      </c>
      <c r="K149" s="304"/>
      <c r="L149" s="304"/>
    </row>
    <row r="150" spans="1:15">
      <c r="A150" s="300"/>
      <c r="B150" s="314"/>
      <c r="C150" s="302"/>
      <c r="D150" s="302"/>
      <c r="E150" s="302"/>
      <c r="F150" s="302"/>
      <c r="G150" s="302"/>
      <c r="H150" s="303"/>
      <c r="I150" s="304"/>
      <c r="J150" s="304"/>
      <c r="K150" s="304"/>
      <c r="L150" s="304"/>
    </row>
    <row r="151" spans="1:15">
      <c r="A151" s="300" t="s">
        <v>368</v>
      </c>
      <c r="B151" s="314">
        <v>1063.0333019052621</v>
      </c>
      <c r="C151" s="302">
        <v>2991.0552357128931</v>
      </c>
      <c r="D151" s="302">
        <v>3.80669002</v>
      </c>
      <c r="E151" s="302">
        <v>31.147898780000002</v>
      </c>
      <c r="F151" s="302">
        <v>120.43990735999999</v>
      </c>
      <c r="G151" s="302">
        <v>78.423976330000002</v>
      </c>
      <c r="H151" s="303">
        <v>4287.9070101081552</v>
      </c>
      <c r="I151" s="304">
        <v>4287.9070101081552</v>
      </c>
      <c r="J151" s="304">
        <v>0</v>
      </c>
      <c r="K151" s="304"/>
      <c r="L151" s="304"/>
    </row>
    <row r="152" spans="1:15">
      <c r="A152" s="295"/>
      <c r="B152" s="314"/>
      <c r="C152" s="302"/>
      <c r="D152" s="302"/>
      <c r="E152" s="302"/>
      <c r="F152" s="302"/>
      <c r="G152" s="302"/>
      <c r="H152" s="306"/>
      <c r="I152" s="304"/>
      <c r="J152" s="304"/>
      <c r="K152" s="304"/>
      <c r="L152" s="304"/>
    </row>
    <row r="153" spans="1:15">
      <c r="A153" s="300" t="s">
        <v>369</v>
      </c>
      <c r="B153" s="314">
        <v>40395.21326955437</v>
      </c>
      <c r="C153" s="302">
        <v>166705.78376658578</v>
      </c>
      <c r="D153" s="302">
        <v>2055.31211196</v>
      </c>
      <c r="E153" s="302">
        <v>4080.2196987469392</v>
      </c>
      <c r="F153" s="302">
        <v>36598.345503736207</v>
      </c>
      <c r="G153" s="302">
        <v>5166.7593325485095</v>
      </c>
      <c r="H153" s="303">
        <v>255001.6336831318</v>
      </c>
      <c r="I153" s="304"/>
      <c r="J153" s="304"/>
      <c r="K153" s="304"/>
      <c r="L153" s="304"/>
    </row>
    <row r="154" spans="1:15" ht="13.5" thickBot="1">
      <c r="A154" s="333"/>
      <c r="B154" s="334"/>
      <c r="C154" s="335"/>
      <c r="D154" s="335"/>
      <c r="E154" s="335"/>
      <c r="F154" s="335"/>
      <c r="G154" s="336"/>
      <c r="H154" s="337"/>
      <c r="I154" s="304"/>
      <c r="J154" s="304"/>
      <c r="K154" s="304"/>
      <c r="L154" s="304"/>
    </row>
    <row r="155" spans="1:15" ht="17.25" thickTop="1">
      <c r="A155" s="338" t="s">
        <v>492</v>
      </c>
      <c r="B155" s="339"/>
      <c r="C155" s="339"/>
      <c r="D155" s="340" t="s">
        <v>361</v>
      </c>
      <c r="E155" s="339"/>
      <c r="F155" s="339"/>
      <c r="G155" s="339"/>
      <c r="H155" s="339"/>
      <c r="I155" s="304"/>
      <c r="J155" s="304"/>
      <c r="K155" s="304"/>
      <c r="L155" s="304"/>
    </row>
    <row r="156" spans="1:15" ht="13.5">
      <c r="A156" s="338" t="s">
        <v>493</v>
      </c>
      <c r="B156" s="341"/>
      <c r="C156" s="341"/>
      <c r="D156" s="323"/>
      <c r="E156" s="323"/>
      <c r="F156" s="323"/>
      <c r="G156" s="323"/>
      <c r="H156" s="342"/>
      <c r="I156" s="304"/>
      <c r="J156" s="304"/>
      <c r="K156" s="304"/>
      <c r="L156" s="304"/>
    </row>
    <row r="157" spans="1:15" s="348" customFormat="1">
      <c r="A157" s="343" t="s">
        <v>494</v>
      </c>
      <c r="B157" s="344"/>
      <c r="C157" s="344"/>
      <c r="D157" s="345"/>
      <c r="E157" s="345"/>
      <c r="F157" s="345"/>
      <c r="G157" s="345"/>
      <c r="H157" s="346"/>
      <c r="I157" s="347"/>
      <c r="J157" s="347"/>
      <c r="K157" s="347"/>
      <c r="L157" s="347"/>
    </row>
    <row r="158" spans="1:15">
      <c r="A158" s="349" t="s">
        <v>495</v>
      </c>
      <c r="H158" s="152"/>
      <c r="I158" s="304"/>
      <c r="J158" s="304"/>
      <c r="K158" s="304"/>
      <c r="L158" s="304"/>
    </row>
    <row r="159" spans="1:15">
      <c r="B159" s="304"/>
      <c r="C159" s="304"/>
      <c r="D159" s="304"/>
      <c r="E159" s="304"/>
      <c r="F159" s="304"/>
      <c r="G159" s="304"/>
      <c r="H159" s="152"/>
      <c r="I159" s="304"/>
      <c r="J159" s="304"/>
      <c r="K159" s="304"/>
      <c r="L159" s="304"/>
      <c r="M159" s="304"/>
      <c r="N159" s="304"/>
      <c r="O159" s="304"/>
    </row>
    <row r="160" spans="1:15">
      <c r="B160" s="304"/>
      <c r="C160" s="304"/>
      <c r="D160" s="304"/>
      <c r="E160" s="304"/>
      <c r="F160" s="304"/>
      <c r="G160" s="304"/>
      <c r="H160" s="152"/>
      <c r="I160" s="304"/>
      <c r="J160" s="304"/>
      <c r="K160" s="304"/>
      <c r="L160" s="304"/>
    </row>
    <row r="161" spans="2:12">
      <c r="H161" s="100"/>
      <c r="I161" s="304"/>
      <c r="J161" s="304"/>
      <c r="K161" s="304"/>
      <c r="L161" s="304"/>
    </row>
    <row r="162" spans="2:12">
      <c r="B162" s="304"/>
      <c r="H162" s="152"/>
      <c r="I162" s="304"/>
      <c r="J162" s="304"/>
      <c r="K162" s="304"/>
      <c r="L162" s="304"/>
    </row>
    <row r="163" spans="2:12">
      <c r="H163" s="100"/>
      <c r="I163" s="304"/>
      <c r="J163" s="304"/>
      <c r="K163" s="304"/>
      <c r="L163" s="304"/>
    </row>
    <row r="164" spans="2:12">
      <c r="H164" s="100"/>
      <c r="I164" s="304"/>
      <c r="J164" s="304"/>
      <c r="K164" s="304"/>
      <c r="L164" s="304"/>
    </row>
    <row r="165" spans="2:12">
      <c r="I165" s="304"/>
      <c r="J165" s="304"/>
      <c r="K165" s="304"/>
      <c r="L165" s="304"/>
    </row>
    <row r="166" spans="2:12">
      <c r="I166" s="304"/>
      <c r="J166" s="304"/>
      <c r="K166" s="304"/>
      <c r="L166" s="304"/>
    </row>
    <row r="167" spans="2:12">
      <c r="I167" s="304"/>
      <c r="J167" s="304"/>
      <c r="K167" s="304"/>
      <c r="L167" s="304"/>
    </row>
    <row r="168" spans="2:12">
      <c r="I168" s="304"/>
      <c r="J168" s="304"/>
      <c r="K168" s="304"/>
      <c r="L168" s="304"/>
    </row>
    <row r="169" spans="2:12">
      <c r="I169" s="304"/>
      <c r="J169" s="304"/>
      <c r="K169" s="304"/>
      <c r="L169" s="304"/>
    </row>
    <row r="170" spans="2:12">
      <c r="I170" s="304"/>
      <c r="J170" s="304"/>
      <c r="K170" s="304"/>
      <c r="L170" s="304"/>
    </row>
    <row r="171" spans="2:12">
      <c r="I171" s="304"/>
      <c r="J171" s="304"/>
      <c r="K171" s="304"/>
      <c r="L171" s="304"/>
    </row>
    <row r="172" spans="2:12">
      <c r="I172" s="304"/>
      <c r="J172" s="304"/>
      <c r="K172" s="304"/>
      <c r="L172" s="304"/>
    </row>
    <row r="173" spans="2:12">
      <c r="I173" s="304"/>
      <c r="J173" s="304"/>
      <c r="K173" s="304"/>
      <c r="L173" s="304"/>
    </row>
    <row r="174" spans="2:12">
      <c r="I174" s="304"/>
      <c r="J174" s="304"/>
      <c r="K174" s="304"/>
      <c r="L174" s="304"/>
    </row>
    <row r="175" spans="2:12">
      <c r="I175" s="304"/>
      <c r="J175" s="304"/>
      <c r="K175" s="304"/>
    </row>
    <row r="176" spans="2:12">
      <c r="I176" s="304"/>
      <c r="J176" s="304"/>
      <c r="K176" s="304"/>
    </row>
    <row r="177" spans="9:11">
      <c r="I177" s="304"/>
      <c r="J177" s="304"/>
      <c r="K177" s="304"/>
    </row>
    <row r="178" spans="9:11">
      <c r="I178" s="304"/>
      <c r="J178" s="304"/>
      <c r="K178" s="304"/>
    </row>
    <row r="179" spans="9:11">
      <c r="I179" s="304"/>
      <c r="J179" s="304"/>
      <c r="K179" s="304"/>
    </row>
    <row r="180" spans="9:11">
      <c r="I180" s="304"/>
      <c r="J180" s="304"/>
      <c r="K180" s="304"/>
    </row>
    <row r="181" spans="9:11">
      <c r="I181" s="304"/>
      <c r="J181" s="304"/>
      <c r="K181" s="304"/>
    </row>
    <row r="182" spans="9:11">
      <c r="I182" s="304"/>
      <c r="J182" s="304"/>
      <c r="K182" s="304"/>
    </row>
    <row r="183" spans="9:11">
      <c r="I183" s="304"/>
      <c r="J183" s="304"/>
      <c r="K183" s="304"/>
    </row>
    <row r="184" spans="9:11">
      <c r="I184" s="304"/>
      <c r="J184" s="304"/>
      <c r="K184" s="304"/>
    </row>
    <row r="185" spans="9:11">
      <c r="I185" s="304"/>
      <c r="J185" s="304"/>
      <c r="K185" s="304"/>
    </row>
    <row r="186" spans="9:11">
      <c r="I186" s="304"/>
      <c r="J186" s="304"/>
      <c r="K186" s="304"/>
    </row>
    <row r="187" spans="9:11">
      <c r="I187" s="304"/>
      <c r="J187" s="304"/>
      <c r="K187" s="304"/>
    </row>
    <row r="188" spans="9:11">
      <c r="I188" s="304"/>
      <c r="J188" s="304"/>
      <c r="K188" s="304"/>
    </row>
    <row r="189" spans="9:11">
      <c r="I189" s="304"/>
      <c r="J189" s="304"/>
      <c r="K189" s="304"/>
    </row>
    <row r="190" spans="9:11">
      <c r="I190" s="304"/>
      <c r="J190" s="304"/>
      <c r="K190" s="304"/>
    </row>
    <row r="191" spans="9:11">
      <c r="I191" s="304"/>
      <c r="J191" s="304"/>
      <c r="K191" s="304"/>
    </row>
    <row r="192" spans="9:11">
      <c r="I192" s="304"/>
      <c r="J192" s="304"/>
      <c r="K192" s="304"/>
    </row>
    <row r="193" spans="9:11">
      <c r="I193" s="304"/>
      <c r="J193" s="304"/>
      <c r="K193" s="304"/>
    </row>
    <row r="194" spans="9:11">
      <c r="I194" s="304"/>
      <c r="J194" s="304"/>
      <c r="K194" s="304"/>
    </row>
    <row r="195" spans="9:11">
      <c r="I195" s="304"/>
      <c r="J195" s="304"/>
      <c r="K195" s="304"/>
    </row>
    <row r="196" spans="9:11">
      <c r="I196" s="304"/>
      <c r="J196" s="304"/>
      <c r="K196" s="304"/>
    </row>
    <row r="197" spans="9:11">
      <c r="I197" s="304"/>
      <c r="J197" s="304"/>
      <c r="K197" s="304"/>
    </row>
    <row r="198" spans="9:11">
      <c r="I198" s="304"/>
      <c r="J198" s="304"/>
      <c r="K198" s="304"/>
    </row>
    <row r="199" spans="9:11">
      <c r="I199" s="304"/>
      <c r="J199" s="304"/>
      <c r="K199" s="304"/>
    </row>
    <row r="200" spans="9:11">
      <c r="I200" s="304"/>
      <c r="J200" s="304"/>
      <c r="K200" s="304"/>
    </row>
    <row r="201" spans="9:11">
      <c r="I201" s="304"/>
      <c r="J201" s="304"/>
      <c r="K201" s="304"/>
    </row>
    <row r="202" spans="9:11">
      <c r="I202" s="304"/>
      <c r="J202" s="304"/>
      <c r="K202" s="304"/>
    </row>
    <row r="203" spans="9:11">
      <c r="I203" s="304"/>
      <c r="J203" s="304"/>
      <c r="K203" s="304"/>
    </row>
    <row r="204" spans="9:11">
      <c r="I204" s="304"/>
      <c r="J204" s="304"/>
      <c r="K204" s="304"/>
    </row>
    <row r="205" spans="9:11">
      <c r="I205" s="304"/>
      <c r="J205" s="304"/>
      <c r="K205" s="304"/>
    </row>
    <row r="206" spans="9:11">
      <c r="I206" s="304"/>
      <c r="J206" s="304"/>
      <c r="K206" s="304"/>
    </row>
    <row r="207" spans="9:11">
      <c r="I207" s="304"/>
      <c r="J207" s="304"/>
      <c r="K207" s="304"/>
    </row>
    <row r="208" spans="9:11">
      <c r="I208" s="304"/>
      <c r="J208" s="304"/>
      <c r="K208" s="304"/>
    </row>
    <row r="209" spans="9:11">
      <c r="I209" s="304"/>
      <c r="J209" s="304"/>
      <c r="K209" s="304"/>
    </row>
    <row r="210" spans="9:11">
      <c r="I210" s="304"/>
      <c r="J210" s="304"/>
      <c r="K210" s="304"/>
    </row>
    <row r="211" spans="9:11">
      <c r="I211" s="304"/>
      <c r="J211" s="304"/>
      <c r="K211" s="304"/>
    </row>
    <row r="212" spans="9:11">
      <c r="I212" s="304"/>
      <c r="J212" s="304"/>
      <c r="K212" s="304"/>
    </row>
    <row r="213" spans="9:11">
      <c r="I213" s="304"/>
      <c r="J213" s="304"/>
      <c r="K213" s="304"/>
    </row>
    <row r="214" spans="9:11">
      <c r="I214" s="304"/>
      <c r="J214" s="304"/>
      <c r="K214" s="304"/>
    </row>
    <row r="215" spans="9:11">
      <c r="I215" s="304"/>
      <c r="J215" s="304"/>
      <c r="K215" s="304"/>
    </row>
    <row r="216" spans="9:11">
      <c r="I216" s="304"/>
      <c r="J216" s="304"/>
      <c r="K216" s="304"/>
    </row>
    <row r="217" spans="9:11">
      <c r="I217" s="304"/>
      <c r="J217" s="304"/>
      <c r="K217" s="304"/>
    </row>
    <row r="218" spans="9:11">
      <c r="I218" s="304"/>
      <c r="J218" s="304"/>
      <c r="K218" s="304"/>
    </row>
    <row r="219" spans="9:11">
      <c r="I219" s="304"/>
      <c r="J219" s="304"/>
      <c r="K219" s="304"/>
    </row>
    <row r="220" spans="9:11">
      <c r="I220" s="304"/>
      <c r="J220" s="304"/>
      <c r="K220" s="304"/>
    </row>
    <row r="221" spans="9:11">
      <c r="I221" s="304"/>
      <c r="J221" s="304"/>
      <c r="K221" s="304"/>
    </row>
    <row r="222" spans="9:11">
      <c r="I222" s="304"/>
      <c r="J222" s="304"/>
      <c r="K222" s="304"/>
    </row>
    <row r="223" spans="9:11">
      <c r="I223" s="304"/>
      <c r="J223" s="304"/>
      <c r="K223" s="304"/>
    </row>
    <row r="224" spans="9:11">
      <c r="I224" s="304"/>
      <c r="J224" s="304"/>
      <c r="K224" s="304"/>
    </row>
    <row r="225" spans="9:11">
      <c r="I225" s="304"/>
      <c r="J225" s="304"/>
      <c r="K225" s="304"/>
    </row>
    <row r="226" spans="9:11">
      <c r="I226" s="304"/>
      <c r="J226" s="304"/>
      <c r="K226" s="304"/>
    </row>
    <row r="227" spans="9:11">
      <c r="I227" s="304"/>
      <c r="J227" s="304"/>
      <c r="K227" s="304"/>
    </row>
    <row r="228" spans="9:11">
      <c r="I228" s="304"/>
      <c r="J228" s="304"/>
      <c r="K228" s="304"/>
    </row>
    <row r="229" spans="9:11">
      <c r="I229" s="304"/>
      <c r="J229" s="304"/>
      <c r="K229" s="304"/>
    </row>
    <row r="230" spans="9:11">
      <c r="I230" s="304"/>
      <c r="J230" s="304"/>
      <c r="K230" s="304"/>
    </row>
    <row r="231" spans="9:11">
      <c r="I231" s="304"/>
      <c r="J231" s="304"/>
      <c r="K231" s="304"/>
    </row>
    <row r="232" spans="9:11">
      <c r="I232" s="304"/>
      <c r="J232" s="304"/>
      <c r="K232" s="304"/>
    </row>
    <row r="233" spans="9:11">
      <c r="I233" s="304"/>
      <c r="J233" s="304"/>
      <c r="K233" s="304"/>
    </row>
    <row r="234" spans="9:11">
      <c r="I234" s="304"/>
      <c r="J234" s="304"/>
      <c r="K234" s="304"/>
    </row>
    <row r="235" spans="9:11">
      <c r="I235" s="304"/>
      <c r="J235" s="304"/>
      <c r="K235" s="304"/>
    </row>
    <row r="236" spans="9:11">
      <c r="I236" s="304"/>
      <c r="J236" s="304"/>
      <c r="K236" s="304"/>
    </row>
    <row r="237" spans="9:11">
      <c r="I237" s="304"/>
      <c r="J237" s="304"/>
      <c r="K237" s="304"/>
    </row>
    <row r="238" spans="9:11">
      <c r="I238" s="304"/>
      <c r="J238" s="304"/>
      <c r="K238" s="304"/>
    </row>
    <row r="239" spans="9:11">
      <c r="I239" s="304"/>
      <c r="J239" s="304"/>
      <c r="K239" s="304"/>
    </row>
    <row r="240" spans="9:11">
      <c r="I240" s="304"/>
      <c r="J240" s="304"/>
      <c r="K240" s="304"/>
    </row>
    <row r="241" spans="9:11">
      <c r="I241" s="304"/>
      <c r="J241" s="304"/>
      <c r="K241" s="304"/>
    </row>
    <row r="242" spans="9:11">
      <c r="I242" s="304"/>
      <c r="J242" s="304"/>
      <c r="K242" s="304"/>
    </row>
    <row r="243" spans="9:11">
      <c r="I243" s="304"/>
      <c r="J243" s="304"/>
      <c r="K243" s="304"/>
    </row>
    <row r="244" spans="9:11">
      <c r="I244" s="304"/>
      <c r="J244" s="304"/>
      <c r="K244" s="304"/>
    </row>
    <row r="245" spans="9:11">
      <c r="I245" s="304"/>
      <c r="J245" s="304"/>
    </row>
    <row r="246" spans="9:11">
      <c r="I246" s="304"/>
      <c r="J246" s="304"/>
    </row>
    <row r="247" spans="9:11">
      <c r="I247" s="304"/>
      <c r="J247" s="304"/>
    </row>
    <row r="248" spans="9:11">
      <c r="I248" s="304"/>
      <c r="J248" s="304"/>
    </row>
    <row r="249" spans="9:11">
      <c r="I249" s="304"/>
      <c r="J249" s="304"/>
    </row>
    <row r="250" spans="9:11">
      <c r="I250" s="304"/>
      <c r="J250" s="304"/>
    </row>
    <row r="251" spans="9:11">
      <c r="I251" s="304"/>
      <c r="J251" s="304"/>
    </row>
    <row r="252" spans="9:11">
      <c r="I252" s="304"/>
      <c r="J252" s="304"/>
    </row>
    <row r="253" spans="9:11">
      <c r="I253" s="304"/>
      <c r="J253" s="304"/>
    </row>
    <row r="254" spans="9:11">
      <c r="I254" s="304"/>
      <c r="J254" s="304"/>
    </row>
    <row r="255" spans="9:11">
      <c r="I255" s="304"/>
      <c r="J255" s="304"/>
    </row>
    <row r="256" spans="9:11">
      <c r="I256" s="304"/>
      <c r="J256" s="304"/>
    </row>
    <row r="257" spans="9:10">
      <c r="I257" s="304"/>
      <c r="J257" s="304"/>
    </row>
    <row r="258" spans="9:10">
      <c r="I258" s="304"/>
      <c r="J258" s="304"/>
    </row>
    <row r="259" spans="9:10">
      <c r="I259" s="304"/>
      <c r="J259" s="304"/>
    </row>
    <row r="260" spans="9:10">
      <c r="I260" s="304"/>
      <c r="J260" s="304"/>
    </row>
    <row r="261" spans="9:10">
      <c r="I261" s="304"/>
      <c r="J261" s="304"/>
    </row>
    <row r="262" spans="9:10">
      <c r="I262" s="304"/>
      <c r="J262" s="304"/>
    </row>
    <row r="263" spans="9:10">
      <c r="I263" s="304"/>
      <c r="J263" s="304"/>
    </row>
    <row r="264" spans="9:10">
      <c r="I264" s="304"/>
      <c r="J264" s="304"/>
    </row>
    <row r="265" spans="9:10">
      <c r="I265" s="304"/>
      <c r="J265" s="304"/>
    </row>
    <row r="266" spans="9:10">
      <c r="I266" s="304"/>
      <c r="J266" s="304"/>
    </row>
    <row r="267" spans="9:10">
      <c r="I267" s="304"/>
      <c r="J267" s="304"/>
    </row>
    <row r="268" spans="9:10">
      <c r="I268" s="304"/>
      <c r="J268" s="304"/>
    </row>
    <row r="269" spans="9:10">
      <c r="I269" s="304"/>
      <c r="J269" s="304"/>
    </row>
    <row r="270" spans="9:10">
      <c r="I270" s="304"/>
      <c r="J270" s="304"/>
    </row>
    <row r="271" spans="9:10">
      <c r="I271" s="304"/>
      <c r="J271" s="304"/>
    </row>
    <row r="272" spans="9:10">
      <c r="I272" s="304"/>
      <c r="J272" s="304"/>
    </row>
    <row r="273" spans="9:10">
      <c r="I273" s="304"/>
      <c r="J273" s="304"/>
    </row>
    <row r="274" spans="9:10">
      <c r="I274" s="304"/>
      <c r="J274" s="304"/>
    </row>
    <row r="275" spans="9:10">
      <c r="I275" s="304"/>
      <c r="J275" s="304"/>
    </row>
    <row r="276" spans="9:10">
      <c r="I276" s="304"/>
      <c r="J276" s="304"/>
    </row>
    <row r="277" spans="9:10">
      <c r="I277" s="304"/>
      <c r="J277" s="304"/>
    </row>
    <row r="278" spans="9:10">
      <c r="I278" s="304"/>
      <c r="J278" s="304"/>
    </row>
    <row r="279" spans="9:10">
      <c r="I279" s="304"/>
      <c r="J279" s="304"/>
    </row>
    <row r="280" spans="9:10">
      <c r="I280" s="304"/>
      <c r="J280" s="304"/>
    </row>
    <row r="281" spans="9:10">
      <c r="I281" s="304"/>
      <c r="J281" s="304"/>
    </row>
    <row r="282" spans="9:10">
      <c r="I282" s="304"/>
      <c r="J282" s="304"/>
    </row>
    <row r="283" spans="9:10">
      <c r="I283" s="304"/>
      <c r="J283" s="304"/>
    </row>
    <row r="284" spans="9:10">
      <c r="I284" s="304"/>
      <c r="J284" s="304"/>
    </row>
    <row r="285" spans="9:10">
      <c r="I285" s="304"/>
      <c r="J285" s="304"/>
    </row>
    <row r="286" spans="9:10">
      <c r="I286" s="304"/>
      <c r="J286" s="304"/>
    </row>
    <row r="287" spans="9:10">
      <c r="I287" s="304"/>
      <c r="J287" s="304"/>
    </row>
    <row r="288" spans="9:10">
      <c r="I288" s="304"/>
      <c r="J288" s="304"/>
    </row>
    <row r="289" spans="9:10">
      <c r="I289" s="304"/>
      <c r="J289" s="304"/>
    </row>
    <row r="290" spans="9:10">
      <c r="I290" s="304"/>
      <c r="J290" s="304"/>
    </row>
    <row r="291" spans="9:10">
      <c r="I291" s="304"/>
      <c r="J291" s="304"/>
    </row>
    <row r="292" spans="9:10">
      <c r="I292" s="304"/>
      <c r="J292" s="304"/>
    </row>
    <row r="293" spans="9:10">
      <c r="I293" s="304"/>
      <c r="J293" s="304"/>
    </row>
    <row r="294" spans="9:10">
      <c r="I294" s="304"/>
      <c r="J294" s="304"/>
    </row>
    <row r="295" spans="9:10">
      <c r="I295" s="304"/>
      <c r="J295" s="304"/>
    </row>
    <row r="296" spans="9:10">
      <c r="I296" s="304"/>
      <c r="J296" s="304"/>
    </row>
    <row r="297" spans="9:10">
      <c r="I297" s="304"/>
      <c r="J297" s="304"/>
    </row>
    <row r="298" spans="9:10">
      <c r="I298" s="304"/>
      <c r="J298" s="304"/>
    </row>
    <row r="299" spans="9:10">
      <c r="I299" s="304"/>
      <c r="J299" s="304"/>
    </row>
    <row r="300" spans="9:10">
      <c r="I300" s="304"/>
      <c r="J300" s="304"/>
    </row>
    <row r="301" spans="9:10">
      <c r="I301" s="304"/>
      <c r="J301" s="304"/>
    </row>
    <row r="302" spans="9:10">
      <c r="I302" s="304"/>
      <c r="J302" s="304"/>
    </row>
    <row r="303" spans="9:10">
      <c r="I303" s="304"/>
      <c r="J303" s="304"/>
    </row>
    <row r="304" spans="9:10">
      <c r="I304" s="304"/>
      <c r="J304" s="304"/>
    </row>
    <row r="305" spans="9:10">
      <c r="I305" s="304"/>
      <c r="J305" s="304"/>
    </row>
    <row r="306" spans="9:10">
      <c r="I306" s="304"/>
      <c r="J306" s="304"/>
    </row>
    <row r="307" spans="9:10">
      <c r="I307" s="304"/>
      <c r="J307" s="304"/>
    </row>
    <row r="308" spans="9:10">
      <c r="I308" s="304"/>
      <c r="J308" s="304"/>
    </row>
    <row r="309" spans="9:10">
      <c r="I309" s="304"/>
      <c r="J309" s="304"/>
    </row>
    <row r="310" spans="9:10">
      <c r="I310" s="304"/>
      <c r="J310" s="304"/>
    </row>
    <row r="311" spans="9:10">
      <c r="I311" s="304"/>
      <c r="J311" s="304"/>
    </row>
    <row r="312" spans="9:10">
      <c r="I312" s="304"/>
      <c r="J312" s="304"/>
    </row>
    <row r="313" spans="9:10">
      <c r="I313" s="304"/>
      <c r="J313" s="304"/>
    </row>
    <row r="314" spans="9:10">
      <c r="I314" s="304"/>
      <c r="J314" s="304"/>
    </row>
    <row r="315" spans="9:10">
      <c r="I315" s="304"/>
      <c r="J315" s="304"/>
    </row>
    <row r="316" spans="9:10">
      <c r="I316" s="304"/>
      <c r="J316" s="304"/>
    </row>
    <row r="317" spans="9:10">
      <c r="I317" s="304"/>
      <c r="J317" s="304"/>
    </row>
    <row r="318" spans="9:10">
      <c r="I318" s="304"/>
      <c r="J318" s="304"/>
    </row>
    <row r="319" spans="9:10">
      <c r="I319" s="304"/>
      <c r="J319" s="304"/>
    </row>
    <row r="320" spans="9:10">
      <c r="I320" s="304"/>
      <c r="J320" s="304"/>
    </row>
    <row r="321" spans="9:10">
      <c r="I321" s="304"/>
      <c r="J321" s="304"/>
    </row>
    <row r="322" spans="9:10">
      <c r="I322" s="304"/>
      <c r="J322" s="304"/>
    </row>
    <row r="323" spans="9:10">
      <c r="I323" s="304"/>
      <c r="J323" s="304"/>
    </row>
    <row r="324" spans="9:10">
      <c r="I324" s="304"/>
      <c r="J324" s="304"/>
    </row>
    <row r="325" spans="9:10">
      <c r="I325" s="304"/>
      <c r="J325" s="304"/>
    </row>
    <row r="326" spans="9:10">
      <c r="I326" s="304"/>
      <c r="J326" s="304"/>
    </row>
    <row r="327" spans="9:10">
      <c r="I327" s="304"/>
      <c r="J327" s="304"/>
    </row>
    <row r="328" spans="9:10">
      <c r="I328" s="304"/>
      <c r="J328" s="304"/>
    </row>
    <row r="329" spans="9:10">
      <c r="I329" s="304"/>
      <c r="J329" s="304"/>
    </row>
    <row r="330" spans="9:10">
      <c r="I330" s="304"/>
      <c r="J330" s="304"/>
    </row>
    <row r="331" spans="9:10">
      <c r="I331" s="304"/>
      <c r="J331" s="304"/>
    </row>
    <row r="332" spans="9:10">
      <c r="I332" s="304"/>
      <c r="J332" s="304"/>
    </row>
    <row r="333" spans="9:10">
      <c r="I333" s="304"/>
      <c r="J333" s="304"/>
    </row>
    <row r="334" spans="9:10">
      <c r="I334" s="304"/>
      <c r="J334" s="304"/>
    </row>
    <row r="335" spans="9:10">
      <c r="I335" s="304"/>
      <c r="J335" s="304"/>
    </row>
    <row r="336" spans="9:10">
      <c r="I336" s="304"/>
      <c r="J336" s="304"/>
    </row>
    <row r="337" spans="9:10">
      <c r="I337" s="304"/>
      <c r="J337" s="304"/>
    </row>
    <row r="338" spans="9:10">
      <c r="I338" s="304"/>
      <c r="J338" s="304"/>
    </row>
    <row r="339" spans="9:10">
      <c r="I339" s="304"/>
      <c r="J339" s="304"/>
    </row>
    <row r="340" spans="9:10">
      <c r="I340" s="304"/>
      <c r="J340" s="304"/>
    </row>
    <row r="341" spans="9:10">
      <c r="I341" s="304"/>
      <c r="J341" s="304"/>
    </row>
    <row r="342" spans="9:10">
      <c r="I342" s="304"/>
      <c r="J342" s="304"/>
    </row>
    <row r="343" spans="9:10">
      <c r="I343" s="304"/>
      <c r="J343" s="304"/>
    </row>
    <row r="344" spans="9:10">
      <c r="I344" s="304"/>
      <c r="J344" s="304"/>
    </row>
    <row r="345" spans="9:10">
      <c r="I345" s="304"/>
      <c r="J345" s="304"/>
    </row>
    <row r="346" spans="9:10">
      <c r="I346" s="304"/>
      <c r="J346" s="304"/>
    </row>
    <row r="347" spans="9:10">
      <c r="I347" s="304"/>
      <c r="J347" s="304"/>
    </row>
    <row r="348" spans="9:10">
      <c r="I348" s="304"/>
      <c r="J348" s="304"/>
    </row>
    <row r="349" spans="9:10">
      <c r="I349" s="304"/>
      <c r="J349" s="304"/>
    </row>
    <row r="350" spans="9:10">
      <c r="I350" s="304"/>
      <c r="J350" s="304"/>
    </row>
    <row r="351" spans="9:10">
      <c r="I351" s="304"/>
      <c r="J351" s="304"/>
    </row>
    <row r="352" spans="9:10">
      <c r="I352" s="304"/>
      <c r="J352" s="304"/>
    </row>
    <row r="353" spans="9:10">
      <c r="I353" s="304"/>
      <c r="J353" s="304"/>
    </row>
    <row r="354" spans="9:10">
      <c r="I354" s="304"/>
      <c r="J354" s="304"/>
    </row>
    <row r="355" spans="9:10">
      <c r="I355" s="304"/>
      <c r="J355" s="304"/>
    </row>
    <row r="356" spans="9:10">
      <c r="I356" s="304"/>
      <c r="J356" s="304"/>
    </row>
    <row r="357" spans="9:10">
      <c r="I357" s="304"/>
      <c r="J357" s="304"/>
    </row>
    <row r="358" spans="9:10">
      <c r="I358" s="304"/>
      <c r="J358" s="304"/>
    </row>
    <row r="359" spans="9:10">
      <c r="I359" s="304"/>
      <c r="J359" s="304"/>
    </row>
    <row r="360" spans="9:10">
      <c r="I360" s="304"/>
      <c r="J360" s="304"/>
    </row>
    <row r="361" spans="9:10">
      <c r="I361" s="304"/>
      <c r="J361" s="304"/>
    </row>
    <row r="362" spans="9:10">
      <c r="I362" s="304"/>
      <c r="J362" s="304"/>
    </row>
    <row r="363" spans="9:10">
      <c r="I363" s="304"/>
      <c r="J363" s="304"/>
    </row>
    <row r="364" spans="9:10">
      <c r="I364" s="304"/>
      <c r="J364" s="304"/>
    </row>
    <row r="365" spans="9:10">
      <c r="I365" s="304"/>
      <c r="J365" s="304"/>
    </row>
    <row r="366" spans="9:10">
      <c r="I366" s="304"/>
      <c r="J366" s="304"/>
    </row>
    <row r="367" spans="9:10">
      <c r="I367" s="304"/>
      <c r="J367" s="304"/>
    </row>
    <row r="368" spans="9:10">
      <c r="I368" s="304"/>
      <c r="J368" s="304"/>
    </row>
    <row r="369" spans="9:10">
      <c r="I369" s="304"/>
      <c r="J369" s="304"/>
    </row>
    <row r="370" spans="9:10">
      <c r="I370" s="304"/>
      <c r="J370" s="304"/>
    </row>
    <row r="371" spans="9:10">
      <c r="I371" s="304"/>
      <c r="J371" s="304"/>
    </row>
    <row r="372" spans="9:10">
      <c r="I372" s="304"/>
      <c r="J372" s="304"/>
    </row>
    <row r="373" spans="9:10">
      <c r="I373" s="304"/>
      <c r="J373" s="304"/>
    </row>
    <row r="374" spans="9:10">
      <c r="I374" s="304"/>
      <c r="J374" s="304"/>
    </row>
    <row r="375" spans="9:10">
      <c r="I375" s="304"/>
      <c r="J375" s="304"/>
    </row>
    <row r="376" spans="9:10">
      <c r="I376" s="304"/>
      <c r="J376" s="304"/>
    </row>
    <row r="377" spans="9:10">
      <c r="I377" s="304"/>
      <c r="J377" s="304"/>
    </row>
    <row r="378" spans="9:10">
      <c r="I378" s="304"/>
      <c r="J378" s="304"/>
    </row>
    <row r="379" spans="9:10">
      <c r="I379" s="304"/>
      <c r="J379" s="304"/>
    </row>
    <row r="380" spans="9:10">
      <c r="I380" s="304"/>
      <c r="J380" s="304"/>
    </row>
    <row r="381" spans="9:10">
      <c r="I381" s="304"/>
      <c r="J381" s="304"/>
    </row>
    <row r="382" spans="9:10">
      <c r="I382" s="304"/>
      <c r="J382" s="304"/>
    </row>
    <row r="383" spans="9:10">
      <c r="I383" s="304"/>
      <c r="J383" s="304"/>
    </row>
    <row r="384" spans="9:10">
      <c r="I384" s="304"/>
      <c r="J384" s="304"/>
    </row>
    <row r="385" spans="9:10">
      <c r="I385" s="304"/>
      <c r="J385" s="304"/>
    </row>
    <row r="386" spans="9:10">
      <c r="I386" s="304"/>
      <c r="J386" s="304"/>
    </row>
    <row r="387" spans="9:10">
      <c r="I387" s="304"/>
      <c r="J387" s="304"/>
    </row>
    <row r="388" spans="9:10">
      <c r="I388" s="304"/>
      <c r="J388" s="304"/>
    </row>
    <row r="389" spans="9:10">
      <c r="I389" s="304"/>
      <c r="J389" s="304"/>
    </row>
    <row r="390" spans="9:10">
      <c r="I390" s="304"/>
      <c r="J390" s="304"/>
    </row>
    <row r="391" spans="9:10">
      <c r="I391" s="304"/>
      <c r="J391" s="304"/>
    </row>
    <row r="392" spans="9:10">
      <c r="I392" s="304"/>
      <c r="J392" s="304"/>
    </row>
    <row r="393" spans="9:10">
      <c r="I393" s="304"/>
      <c r="J393" s="304"/>
    </row>
    <row r="394" spans="9:10">
      <c r="I394" s="304"/>
      <c r="J394" s="304"/>
    </row>
    <row r="395" spans="9:10">
      <c r="I395" s="304"/>
      <c r="J395" s="304"/>
    </row>
    <row r="396" spans="9:10">
      <c r="I396" s="304"/>
      <c r="J396" s="304"/>
    </row>
    <row r="397" spans="9:10">
      <c r="I397" s="304"/>
      <c r="J397" s="304"/>
    </row>
    <row r="398" spans="9:10">
      <c r="I398" s="304"/>
      <c r="J398" s="304"/>
    </row>
    <row r="399" spans="9:10">
      <c r="I399" s="304"/>
      <c r="J399" s="304"/>
    </row>
    <row r="400" spans="9:10">
      <c r="I400" s="304"/>
      <c r="J400" s="304"/>
    </row>
    <row r="401" spans="9:10">
      <c r="I401" s="304"/>
      <c r="J401" s="304"/>
    </row>
    <row r="402" spans="9:10">
      <c r="I402" s="304"/>
      <c r="J402" s="304"/>
    </row>
    <row r="403" spans="9:10">
      <c r="I403" s="304"/>
      <c r="J403" s="304"/>
    </row>
    <row r="404" spans="9:10">
      <c r="I404" s="304"/>
      <c r="J404" s="304"/>
    </row>
    <row r="405" spans="9:10">
      <c r="I405" s="304"/>
      <c r="J405" s="304"/>
    </row>
    <row r="406" spans="9:10">
      <c r="I406" s="304"/>
      <c r="J406" s="304"/>
    </row>
    <row r="407" spans="9:10">
      <c r="I407" s="304"/>
      <c r="J407" s="304"/>
    </row>
    <row r="408" spans="9:10">
      <c r="I408" s="304"/>
      <c r="J408" s="304"/>
    </row>
    <row r="409" spans="9:10">
      <c r="I409" s="304"/>
      <c r="J409" s="304"/>
    </row>
    <row r="410" spans="9:10">
      <c r="I410" s="304"/>
      <c r="J410" s="304"/>
    </row>
    <row r="411" spans="9:10">
      <c r="I411" s="304"/>
      <c r="J411" s="304"/>
    </row>
    <row r="412" spans="9:10">
      <c r="I412" s="304"/>
      <c r="J412" s="304"/>
    </row>
    <row r="413" spans="9:10">
      <c r="I413" s="304"/>
      <c r="J413" s="304"/>
    </row>
    <row r="414" spans="9:10">
      <c r="I414" s="304"/>
      <c r="J414" s="304"/>
    </row>
    <row r="415" spans="9:10">
      <c r="I415" s="304"/>
      <c r="J415" s="304"/>
    </row>
    <row r="416" spans="9:10">
      <c r="I416" s="304"/>
      <c r="J416" s="304"/>
    </row>
    <row r="417" spans="9:10">
      <c r="I417" s="304"/>
      <c r="J417" s="304"/>
    </row>
    <row r="418" spans="9:10">
      <c r="I418" s="304"/>
      <c r="J418" s="304"/>
    </row>
    <row r="419" spans="9:10">
      <c r="I419" s="304"/>
      <c r="J419" s="304"/>
    </row>
    <row r="420" spans="9:10">
      <c r="I420" s="304"/>
      <c r="J420" s="304"/>
    </row>
    <row r="421" spans="9:10">
      <c r="I421" s="304"/>
      <c r="J421" s="304"/>
    </row>
    <row r="422" spans="9:10">
      <c r="I422" s="304"/>
      <c r="J422" s="304"/>
    </row>
    <row r="423" spans="9:10">
      <c r="I423" s="304"/>
      <c r="J423" s="304"/>
    </row>
    <row r="424" spans="9:10">
      <c r="I424" s="304"/>
      <c r="J424" s="304"/>
    </row>
    <row r="425" spans="9:10">
      <c r="I425" s="304"/>
      <c r="J425" s="304"/>
    </row>
    <row r="426" spans="9:10">
      <c r="I426" s="304"/>
      <c r="J426" s="304"/>
    </row>
    <row r="427" spans="9:10">
      <c r="I427" s="304"/>
      <c r="J427" s="304"/>
    </row>
    <row r="428" spans="9:10">
      <c r="I428" s="304"/>
      <c r="J428" s="304"/>
    </row>
    <row r="429" spans="9:10">
      <c r="I429" s="304"/>
      <c r="J429" s="304"/>
    </row>
    <row r="430" spans="9:10">
      <c r="I430" s="304"/>
      <c r="J430" s="304"/>
    </row>
    <row r="431" spans="9:10">
      <c r="I431" s="304"/>
      <c r="J431" s="304"/>
    </row>
    <row r="432" spans="9:10">
      <c r="I432" s="304"/>
      <c r="J432" s="304"/>
    </row>
    <row r="433" spans="9:10">
      <c r="I433" s="304"/>
      <c r="J433" s="304"/>
    </row>
    <row r="434" spans="9:10">
      <c r="I434" s="304"/>
      <c r="J434" s="304"/>
    </row>
    <row r="435" spans="9:10">
      <c r="I435" s="304"/>
      <c r="J435" s="304"/>
    </row>
    <row r="436" spans="9:10">
      <c r="I436" s="304"/>
      <c r="J436" s="304"/>
    </row>
    <row r="437" spans="9:10">
      <c r="I437" s="304"/>
      <c r="J437" s="304"/>
    </row>
    <row r="438" spans="9:10">
      <c r="I438" s="304"/>
      <c r="J438" s="304"/>
    </row>
    <row r="439" spans="9:10">
      <c r="I439" s="304"/>
      <c r="J439" s="304"/>
    </row>
    <row r="440" spans="9:10">
      <c r="I440" s="304"/>
      <c r="J440" s="304"/>
    </row>
    <row r="441" spans="9:10">
      <c r="I441" s="304"/>
      <c r="J441" s="304"/>
    </row>
    <row r="442" spans="9:10">
      <c r="I442" s="304"/>
      <c r="J442" s="304"/>
    </row>
    <row r="443" spans="9:10">
      <c r="I443" s="304"/>
      <c r="J443" s="304"/>
    </row>
    <row r="444" spans="9:10">
      <c r="I444" s="304"/>
      <c r="J444" s="304"/>
    </row>
    <row r="445" spans="9:10">
      <c r="I445" s="304"/>
      <c r="J445" s="304"/>
    </row>
    <row r="446" spans="9:10">
      <c r="I446" s="304"/>
      <c r="J446" s="304"/>
    </row>
    <row r="447" spans="9:10">
      <c r="I447" s="304"/>
      <c r="J447" s="304"/>
    </row>
    <row r="448" spans="9:10">
      <c r="I448" s="304"/>
      <c r="J448" s="304"/>
    </row>
    <row r="449" spans="9:10">
      <c r="I449" s="304"/>
      <c r="J449" s="304"/>
    </row>
    <row r="450" spans="9:10">
      <c r="I450" s="304"/>
      <c r="J450" s="304"/>
    </row>
    <row r="451" spans="9:10">
      <c r="I451" s="304"/>
      <c r="J451" s="304"/>
    </row>
    <row r="452" spans="9:10">
      <c r="I452" s="304"/>
      <c r="J452" s="304"/>
    </row>
    <row r="453" spans="9:10">
      <c r="I453" s="304"/>
      <c r="J453" s="304"/>
    </row>
    <row r="454" spans="9:10">
      <c r="I454" s="304"/>
      <c r="J454" s="304"/>
    </row>
    <row r="455" spans="9:10">
      <c r="I455" s="304"/>
      <c r="J455" s="304"/>
    </row>
    <row r="456" spans="9:10">
      <c r="I456" s="304"/>
      <c r="J456" s="304"/>
    </row>
    <row r="457" spans="9:10">
      <c r="I457" s="304"/>
      <c r="J457" s="304"/>
    </row>
    <row r="458" spans="9:10">
      <c r="I458" s="304"/>
      <c r="J458" s="304"/>
    </row>
    <row r="459" spans="9:10">
      <c r="I459" s="304"/>
      <c r="J459" s="304"/>
    </row>
    <row r="460" spans="9:10">
      <c r="I460" s="304"/>
      <c r="J460" s="304"/>
    </row>
    <row r="461" spans="9:10">
      <c r="I461" s="304"/>
      <c r="J461" s="304"/>
    </row>
    <row r="462" spans="9:10">
      <c r="I462" s="304"/>
      <c r="J462" s="304"/>
    </row>
    <row r="463" spans="9:10">
      <c r="I463" s="304"/>
      <c r="J463" s="304"/>
    </row>
    <row r="464" spans="9:10">
      <c r="I464" s="304"/>
      <c r="J464" s="304"/>
    </row>
    <row r="465" spans="9:10">
      <c r="I465" s="304"/>
      <c r="J465" s="304"/>
    </row>
    <row r="466" spans="9:10">
      <c r="I466" s="304"/>
      <c r="J466" s="304"/>
    </row>
    <row r="467" spans="9:10">
      <c r="I467" s="304"/>
      <c r="J467" s="304"/>
    </row>
    <row r="468" spans="9:10">
      <c r="I468" s="304"/>
      <c r="J468" s="304"/>
    </row>
    <row r="469" spans="9:10">
      <c r="I469" s="304"/>
      <c r="J469" s="304"/>
    </row>
    <row r="470" spans="9:10">
      <c r="I470" s="304"/>
      <c r="J470" s="304"/>
    </row>
    <row r="471" spans="9:10">
      <c r="I471" s="304"/>
      <c r="J471" s="304"/>
    </row>
    <row r="472" spans="9:10">
      <c r="I472" s="304"/>
      <c r="J472" s="304"/>
    </row>
    <row r="473" spans="9:10">
      <c r="I473" s="304"/>
      <c r="J473" s="304"/>
    </row>
    <row r="474" spans="9:10">
      <c r="I474" s="304"/>
      <c r="J474" s="304"/>
    </row>
    <row r="475" spans="9:10">
      <c r="I475" s="304"/>
      <c r="J475" s="304"/>
    </row>
    <row r="476" spans="9:10">
      <c r="I476" s="304"/>
      <c r="J476" s="304"/>
    </row>
    <row r="477" spans="9:10">
      <c r="I477" s="304"/>
      <c r="J477" s="304"/>
    </row>
    <row r="478" spans="9:10">
      <c r="I478" s="304"/>
      <c r="J478" s="304"/>
    </row>
    <row r="479" spans="9:10">
      <c r="I479" s="304"/>
      <c r="J479" s="304"/>
    </row>
    <row r="480" spans="9:10">
      <c r="I480" s="304"/>
      <c r="J480" s="304"/>
    </row>
    <row r="481" spans="9:10">
      <c r="I481" s="304"/>
      <c r="J481" s="304"/>
    </row>
    <row r="482" spans="9:10">
      <c r="I482" s="304"/>
      <c r="J482" s="304"/>
    </row>
    <row r="483" spans="9:10">
      <c r="I483" s="304"/>
      <c r="J483" s="304"/>
    </row>
    <row r="484" spans="9:10">
      <c r="I484" s="304"/>
      <c r="J484" s="304"/>
    </row>
    <row r="485" spans="9:10">
      <c r="I485" s="304"/>
      <c r="J485" s="304"/>
    </row>
    <row r="486" spans="9:10">
      <c r="I486" s="304"/>
      <c r="J486" s="304"/>
    </row>
    <row r="487" spans="9:10">
      <c r="I487" s="304"/>
      <c r="J487" s="304"/>
    </row>
    <row r="488" spans="9:10">
      <c r="I488" s="304"/>
      <c r="J488" s="304"/>
    </row>
    <row r="489" spans="9:10">
      <c r="I489" s="304"/>
      <c r="J489" s="304"/>
    </row>
    <row r="490" spans="9:10">
      <c r="I490" s="304"/>
      <c r="J490" s="304"/>
    </row>
    <row r="491" spans="9:10">
      <c r="I491" s="304"/>
      <c r="J491" s="304"/>
    </row>
    <row r="492" spans="9:10">
      <c r="I492" s="304"/>
      <c r="J492" s="304"/>
    </row>
    <row r="493" spans="9:10">
      <c r="I493" s="304"/>
      <c r="J493" s="304"/>
    </row>
    <row r="494" spans="9:10">
      <c r="I494" s="304"/>
      <c r="J494" s="304"/>
    </row>
    <row r="495" spans="9:10">
      <c r="I495" s="304"/>
      <c r="J495" s="304"/>
    </row>
    <row r="496" spans="9:10">
      <c r="I496" s="304"/>
      <c r="J496" s="304"/>
    </row>
    <row r="497" spans="9:10">
      <c r="I497" s="304"/>
      <c r="J497" s="304"/>
    </row>
    <row r="498" spans="9:10">
      <c r="I498" s="304"/>
      <c r="J498" s="304"/>
    </row>
    <row r="499" spans="9:10">
      <c r="I499" s="304"/>
      <c r="J499" s="304"/>
    </row>
    <row r="500" spans="9:10">
      <c r="I500" s="304"/>
      <c r="J500" s="304"/>
    </row>
    <row r="501" spans="9:10">
      <c r="I501" s="304"/>
      <c r="J501" s="304"/>
    </row>
    <row r="502" spans="9:10">
      <c r="I502" s="304"/>
      <c r="J502" s="304"/>
    </row>
    <row r="503" spans="9:10">
      <c r="I503" s="304"/>
      <c r="J503" s="304"/>
    </row>
    <row r="504" spans="9:10">
      <c r="I504" s="304"/>
      <c r="J504" s="304"/>
    </row>
    <row r="505" spans="9:10">
      <c r="I505" s="304"/>
      <c r="J505" s="304"/>
    </row>
    <row r="506" spans="9:10">
      <c r="I506" s="304"/>
      <c r="J506" s="304"/>
    </row>
    <row r="507" spans="9:10">
      <c r="I507" s="304"/>
      <c r="J507" s="304"/>
    </row>
    <row r="508" spans="9:10">
      <c r="I508" s="304"/>
      <c r="J508" s="304"/>
    </row>
    <row r="509" spans="9:10">
      <c r="I509" s="304"/>
      <c r="J509" s="304"/>
    </row>
    <row r="510" spans="9:10">
      <c r="I510" s="304"/>
      <c r="J510" s="304"/>
    </row>
    <row r="511" spans="9:10">
      <c r="I511" s="304"/>
      <c r="J511" s="304"/>
    </row>
    <row r="512" spans="9:10">
      <c r="I512" s="304"/>
      <c r="J512" s="304"/>
    </row>
    <row r="513" spans="9:10">
      <c r="I513" s="304"/>
      <c r="J513" s="304"/>
    </row>
    <row r="514" spans="9:10">
      <c r="I514" s="304"/>
      <c r="J514" s="304"/>
    </row>
    <row r="515" spans="9:10">
      <c r="I515" s="304"/>
      <c r="J515" s="304"/>
    </row>
    <row r="516" spans="9:10">
      <c r="I516" s="304"/>
      <c r="J516" s="304"/>
    </row>
    <row r="517" spans="9:10">
      <c r="I517" s="304"/>
      <c r="J517" s="304"/>
    </row>
    <row r="518" spans="9:10">
      <c r="I518" s="304"/>
      <c r="J518" s="304"/>
    </row>
    <row r="519" spans="9:10">
      <c r="I519" s="304"/>
      <c r="J519" s="304"/>
    </row>
    <row r="520" spans="9:10">
      <c r="I520" s="304"/>
      <c r="J520" s="304"/>
    </row>
    <row r="521" spans="9:10">
      <c r="I521" s="304"/>
      <c r="J521" s="304"/>
    </row>
    <row r="522" spans="9:10">
      <c r="I522" s="304"/>
      <c r="J522" s="304"/>
    </row>
    <row r="523" spans="9:10">
      <c r="I523" s="304"/>
      <c r="J523" s="304"/>
    </row>
    <row r="524" spans="9:10">
      <c r="I524" s="304"/>
      <c r="J524" s="304"/>
    </row>
    <row r="525" spans="9:10">
      <c r="I525" s="304"/>
      <c r="J525" s="304"/>
    </row>
    <row r="526" spans="9:10">
      <c r="I526" s="304"/>
      <c r="J526" s="304"/>
    </row>
    <row r="527" spans="9:10">
      <c r="I527" s="304"/>
      <c r="J527" s="304"/>
    </row>
    <row r="528" spans="9:10">
      <c r="I528" s="304"/>
      <c r="J528" s="304"/>
    </row>
    <row r="529" spans="9:10">
      <c r="I529" s="304"/>
      <c r="J529" s="304"/>
    </row>
    <row r="530" spans="9:10">
      <c r="I530" s="304"/>
      <c r="J530" s="304"/>
    </row>
    <row r="531" spans="9:10">
      <c r="I531" s="304"/>
      <c r="J531" s="304"/>
    </row>
    <row r="532" spans="9:10">
      <c r="I532" s="304"/>
      <c r="J532" s="304"/>
    </row>
    <row r="533" spans="9:10">
      <c r="I533" s="304"/>
      <c r="J533" s="304"/>
    </row>
    <row r="534" spans="9:10">
      <c r="I534" s="304"/>
      <c r="J534" s="304"/>
    </row>
    <row r="535" spans="9:10">
      <c r="I535" s="304"/>
      <c r="J535" s="304"/>
    </row>
    <row r="536" spans="9:10">
      <c r="I536" s="304"/>
      <c r="J536" s="304"/>
    </row>
    <row r="537" spans="9:10">
      <c r="I537" s="304"/>
      <c r="J537" s="304"/>
    </row>
    <row r="538" spans="9:10">
      <c r="I538" s="304"/>
      <c r="J538" s="304"/>
    </row>
    <row r="539" spans="9:10">
      <c r="I539" s="304"/>
      <c r="J539" s="304"/>
    </row>
    <row r="540" spans="9:10">
      <c r="I540" s="304"/>
      <c r="J540" s="304"/>
    </row>
    <row r="541" spans="9:10">
      <c r="I541" s="304"/>
      <c r="J541" s="304"/>
    </row>
    <row r="542" spans="9:10">
      <c r="I542" s="304"/>
      <c r="J542" s="304"/>
    </row>
    <row r="543" spans="9:10">
      <c r="I543" s="304"/>
      <c r="J543" s="304"/>
    </row>
    <row r="544" spans="9:10">
      <c r="I544" s="304"/>
      <c r="J544" s="304"/>
    </row>
    <row r="545" spans="9:10">
      <c r="I545" s="304"/>
      <c r="J545" s="304"/>
    </row>
    <row r="546" spans="9:10">
      <c r="I546" s="304"/>
      <c r="J546" s="304"/>
    </row>
    <row r="547" spans="9:10">
      <c r="I547" s="304"/>
      <c r="J547" s="304"/>
    </row>
    <row r="548" spans="9:10">
      <c r="I548" s="304"/>
      <c r="J548" s="304"/>
    </row>
    <row r="549" spans="9:10">
      <c r="I549" s="304"/>
      <c r="J549" s="304"/>
    </row>
    <row r="550" spans="9:10">
      <c r="I550" s="304"/>
      <c r="J550" s="304"/>
    </row>
    <row r="551" spans="9:10">
      <c r="I551" s="304"/>
      <c r="J551" s="304"/>
    </row>
    <row r="552" spans="9:10">
      <c r="I552" s="304"/>
      <c r="J552" s="304"/>
    </row>
    <row r="553" spans="9:10">
      <c r="I553" s="304"/>
      <c r="J553" s="304"/>
    </row>
    <row r="554" spans="9:10">
      <c r="I554" s="304"/>
      <c r="J554" s="304"/>
    </row>
    <row r="555" spans="9:10">
      <c r="I555" s="304"/>
      <c r="J555" s="304"/>
    </row>
    <row r="556" spans="9:10">
      <c r="I556" s="304"/>
      <c r="J556" s="304"/>
    </row>
    <row r="557" spans="9:10">
      <c r="I557" s="304"/>
      <c r="J557" s="304"/>
    </row>
    <row r="558" spans="9:10">
      <c r="I558" s="304"/>
      <c r="J558" s="304"/>
    </row>
    <row r="559" spans="9:10">
      <c r="I559" s="304"/>
      <c r="J559" s="304"/>
    </row>
    <row r="560" spans="9:10">
      <c r="I560" s="304"/>
      <c r="J560" s="304"/>
    </row>
    <row r="561" spans="9:10">
      <c r="I561" s="304"/>
      <c r="J561" s="304"/>
    </row>
    <row r="562" spans="9:10">
      <c r="I562" s="304"/>
      <c r="J562" s="304"/>
    </row>
    <row r="563" spans="9:10">
      <c r="I563" s="304"/>
      <c r="J563" s="304"/>
    </row>
    <row r="564" spans="9:10">
      <c r="I564" s="304"/>
      <c r="J564" s="304"/>
    </row>
    <row r="565" spans="9:10">
      <c r="I565" s="304"/>
      <c r="J565" s="304"/>
    </row>
    <row r="566" spans="9:10">
      <c r="I566" s="304"/>
      <c r="J566" s="304"/>
    </row>
    <row r="567" spans="9:10">
      <c r="I567" s="304"/>
      <c r="J567" s="304"/>
    </row>
    <row r="568" spans="9:10">
      <c r="I568" s="304"/>
      <c r="J568" s="304"/>
    </row>
    <row r="569" spans="9:10">
      <c r="I569" s="304"/>
      <c r="J569" s="304"/>
    </row>
    <row r="570" spans="9:10">
      <c r="I570" s="304"/>
      <c r="J570" s="304"/>
    </row>
    <row r="571" spans="9:10">
      <c r="I571" s="304"/>
      <c r="J571" s="304"/>
    </row>
    <row r="572" spans="9:10">
      <c r="I572" s="304"/>
      <c r="J572" s="304"/>
    </row>
    <row r="573" spans="9:10">
      <c r="I573" s="304"/>
      <c r="J573" s="304"/>
    </row>
    <row r="574" spans="9:10">
      <c r="I574" s="304"/>
      <c r="J574" s="304"/>
    </row>
    <row r="575" spans="9:10">
      <c r="I575" s="304"/>
      <c r="J575" s="304"/>
    </row>
    <row r="576" spans="9:10">
      <c r="I576" s="304"/>
      <c r="J576" s="304"/>
    </row>
    <row r="577" spans="9:10">
      <c r="I577" s="304"/>
      <c r="J577" s="304"/>
    </row>
    <row r="578" spans="9:10">
      <c r="I578" s="304"/>
      <c r="J578" s="304"/>
    </row>
    <row r="579" spans="9:10">
      <c r="I579" s="304"/>
      <c r="J579" s="304"/>
    </row>
    <row r="580" spans="9:10">
      <c r="I580" s="304"/>
      <c r="J580" s="304"/>
    </row>
    <row r="581" spans="9:10">
      <c r="I581" s="304"/>
      <c r="J581" s="304"/>
    </row>
    <row r="582" spans="9:10">
      <c r="I582" s="304"/>
      <c r="J582" s="304"/>
    </row>
    <row r="583" spans="9:10">
      <c r="I583" s="304"/>
      <c r="J583" s="304"/>
    </row>
    <row r="584" spans="9:10">
      <c r="I584" s="304"/>
      <c r="J584" s="304"/>
    </row>
    <row r="585" spans="9:10">
      <c r="I585" s="304"/>
      <c r="J585" s="304"/>
    </row>
    <row r="586" spans="9:10">
      <c r="I586" s="304"/>
      <c r="J586" s="304"/>
    </row>
    <row r="587" spans="9:10">
      <c r="I587" s="304"/>
      <c r="J587" s="304"/>
    </row>
    <row r="588" spans="9:10">
      <c r="I588" s="304"/>
      <c r="J588" s="304"/>
    </row>
    <row r="589" spans="9:10">
      <c r="I589" s="304"/>
      <c r="J589" s="304"/>
    </row>
    <row r="590" spans="9:10">
      <c r="I590" s="304"/>
      <c r="J590" s="304"/>
    </row>
    <row r="591" spans="9:10">
      <c r="I591" s="304"/>
      <c r="J591" s="304"/>
    </row>
    <row r="592" spans="9:10">
      <c r="I592" s="304"/>
      <c r="J592" s="304"/>
    </row>
    <row r="593" spans="9:10">
      <c r="I593" s="304"/>
      <c r="J593" s="304"/>
    </row>
    <row r="594" spans="9:10">
      <c r="I594" s="304"/>
      <c r="J594" s="304"/>
    </row>
    <row r="595" spans="9:10">
      <c r="I595" s="304"/>
      <c r="J595" s="304"/>
    </row>
    <row r="596" spans="9:10">
      <c r="I596" s="304"/>
      <c r="J596" s="304"/>
    </row>
    <row r="597" spans="9:10">
      <c r="I597" s="304"/>
      <c r="J597" s="304"/>
    </row>
    <row r="598" spans="9:10">
      <c r="I598" s="304"/>
      <c r="J598" s="304"/>
    </row>
    <row r="599" spans="9:10">
      <c r="I599" s="304"/>
      <c r="J599" s="304"/>
    </row>
    <row r="600" spans="9:10">
      <c r="I600" s="304"/>
      <c r="J600" s="304"/>
    </row>
    <row r="601" spans="9:10">
      <c r="I601" s="304"/>
      <c r="J601" s="304"/>
    </row>
    <row r="602" spans="9:10">
      <c r="I602" s="304"/>
      <c r="J602" s="304"/>
    </row>
    <row r="603" spans="9:10">
      <c r="I603" s="304"/>
      <c r="J603" s="304"/>
    </row>
    <row r="604" spans="9:10">
      <c r="I604" s="304"/>
      <c r="J604" s="304"/>
    </row>
    <row r="605" spans="9:10">
      <c r="I605" s="304"/>
      <c r="J605" s="304"/>
    </row>
    <row r="606" spans="9:10">
      <c r="I606" s="304"/>
      <c r="J606" s="304"/>
    </row>
    <row r="607" spans="9:10">
      <c r="I607" s="304"/>
      <c r="J607" s="304"/>
    </row>
    <row r="608" spans="9:10">
      <c r="I608" s="304"/>
      <c r="J608" s="304"/>
    </row>
    <row r="609" spans="9:10">
      <c r="I609" s="304"/>
      <c r="J609" s="304"/>
    </row>
    <row r="610" spans="9:10">
      <c r="I610" s="304"/>
      <c r="J610" s="304"/>
    </row>
    <row r="611" spans="9:10">
      <c r="I611" s="304"/>
      <c r="J611" s="304"/>
    </row>
    <row r="612" spans="9:10">
      <c r="I612" s="304"/>
      <c r="J612" s="304"/>
    </row>
    <row r="613" spans="9:10">
      <c r="I613" s="304"/>
      <c r="J613" s="304"/>
    </row>
    <row r="614" spans="9:10">
      <c r="I614" s="304"/>
      <c r="J614" s="304"/>
    </row>
    <row r="615" spans="9:10">
      <c r="I615" s="304"/>
      <c r="J615" s="304"/>
    </row>
    <row r="616" spans="9:10">
      <c r="I616" s="304"/>
      <c r="J616" s="304"/>
    </row>
    <row r="617" spans="9:10">
      <c r="I617" s="304"/>
      <c r="J617" s="304"/>
    </row>
    <row r="618" spans="9:10">
      <c r="I618" s="304"/>
      <c r="J618" s="304"/>
    </row>
    <row r="619" spans="9:10">
      <c r="I619" s="304"/>
      <c r="J619" s="304"/>
    </row>
    <row r="620" spans="9:10">
      <c r="I620" s="304"/>
      <c r="J620" s="304"/>
    </row>
    <row r="621" spans="9:10">
      <c r="I621" s="304"/>
      <c r="J621" s="304"/>
    </row>
    <row r="622" spans="9:10">
      <c r="I622" s="304"/>
      <c r="J622" s="304"/>
    </row>
    <row r="623" spans="9:10">
      <c r="I623" s="304"/>
      <c r="J623" s="304"/>
    </row>
    <row r="624" spans="9:10">
      <c r="I624" s="304"/>
      <c r="J624" s="304"/>
    </row>
    <row r="625" spans="9:10">
      <c r="I625" s="304"/>
      <c r="J625" s="304"/>
    </row>
    <row r="626" spans="9:10">
      <c r="I626" s="304"/>
      <c r="J626" s="304"/>
    </row>
    <row r="627" spans="9:10">
      <c r="I627" s="304"/>
      <c r="J627" s="304"/>
    </row>
    <row r="628" spans="9:10">
      <c r="I628" s="304"/>
      <c r="J628" s="304"/>
    </row>
    <row r="629" spans="9:10">
      <c r="I629" s="304"/>
      <c r="J629" s="304"/>
    </row>
    <row r="630" spans="9:10">
      <c r="I630" s="304"/>
      <c r="J630" s="304"/>
    </row>
    <row r="631" spans="9:10">
      <c r="I631" s="304"/>
      <c r="J631" s="304"/>
    </row>
    <row r="632" spans="9:10">
      <c r="I632" s="304"/>
      <c r="J632" s="304"/>
    </row>
    <row r="633" spans="9:10">
      <c r="I633" s="304"/>
      <c r="J633" s="304"/>
    </row>
    <row r="634" spans="9:10">
      <c r="I634" s="304"/>
      <c r="J634" s="304"/>
    </row>
    <row r="635" spans="9:10">
      <c r="I635" s="304"/>
      <c r="J635" s="304"/>
    </row>
    <row r="636" spans="9:10">
      <c r="I636" s="304"/>
      <c r="J636" s="304"/>
    </row>
    <row r="637" spans="9:10">
      <c r="I637" s="304"/>
      <c r="J637" s="304"/>
    </row>
    <row r="638" spans="9:10">
      <c r="I638" s="304"/>
      <c r="J638" s="304"/>
    </row>
    <row r="639" spans="9:10">
      <c r="I639" s="304"/>
      <c r="J639" s="304"/>
    </row>
    <row r="640" spans="9:10">
      <c r="I640" s="304"/>
      <c r="J640" s="304"/>
    </row>
    <row r="641" spans="9:10">
      <c r="I641" s="304"/>
      <c r="J641" s="304"/>
    </row>
    <row r="642" spans="9:10">
      <c r="I642" s="304"/>
      <c r="J642" s="304"/>
    </row>
    <row r="643" spans="9:10">
      <c r="I643" s="304"/>
      <c r="J643" s="304"/>
    </row>
    <row r="644" spans="9:10">
      <c r="I644" s="304"/>
      <c r="J644" s="304"/>
    </row>
    <row r="645" spans="9:10">
      <c r="I645" s="304"/>
      <c r="J645" s="304"/>
    </row>
    <row r="646" spans="9:10">
      <c r="I646" s="304"/>
      <c r="J646" s="304"/>
    </row>
    <row r="647" spans="9:10">
      <c r="I647" s="304"/>
      <c r="J647" s="304"/>
    </row>
    <row r="648" spans="9:10">
      <c r="I648" s="304"/>
      <c r="J648" s="304"/>
    </row>
    <row r="649" spans="9:10">
      <c r="I649" s="304"/>
      <c r="J649" s="304"/>
    </row>
    <row r="650" spans="9:10">
      <c r="I650" s="304"/>
      <c r="J650" s="304"/>
    </row>
    <row r="651" spans="9:10">
      <c r="I651" s="304"/>
      <c r="J651" s="304"/>
    </row>
    <row r="652" spans="9:10">
      <c r="I652" s="304"/>
      <c r="J652" s="304"/>
    </row>
    <row r="653" spans="9:10">
      <c r="I653" s="304"/>
      <c r="J653" s="304"/>
    </row>
    <row r="654" spans="9:10">
      <c r="I654" s="304"/>
      <c r="J654" s="304"/>
    </row>
    <row r="655" spans="9:10">
      <c r="I655" s="304"/>
      <c r="J655" s="304"/>
    </row>
    <row r="656" spans="9:10">
      <c r="I656" s="304"/>
      <c r="J656" s="304"/>
    </row>
    <row r="657" spans="9:10">
      <c r="I657" s="304"/>
      <c r="J657" s="304"/>
    </row>
    <row r="658" spans="9:10">
      <c r="I658" s="304"/>
      <c r="J658" s="304"/>
    </row>
    <row r="659" spans="9:10">
      <c r="I659" s="304"/>
      <c r="J659" s="304"/>
    </row>
    <row r="660" spans="9:10">
      <c r="I660" s="304"/>
      <c r="J660" s="304"/>
    </row>
    <row r="661" spans="9:10">
      <c r="I661" s="304"/>
      <c r="J661" s="304"/>
    </row>
    <row r="662" spans="9:10">
      <c r="I662" s="304"/>
      <c r="J662" s="304"/>
    </row>
    <row r="663" spans="9:10">
      <c r="I663" s="304"/>
      <c r="J663" s="304"/>
    </row>
    <row r="664" spans="9:10">
      <c r="I664" s="304"/>
      <c r="J664" s="304"/>
    </row>
    <row r="665" spans="9:10">
      <c r="I665" s="304"/>
      <c r="J665" s="304"/>
    </row>
    <row r="666" spans="9:10">
      <c r="I666" s="304"/>
      <c r="J666" s="304"/>
    </row>
    <row r="667" spans="9:10">
      <c r="I667" s="304"/>
      <c r="J667" s="304"/>
    </row>
    <row r="668" spans="9:10">
      <c r="I668" s="304"/>
      <c r="J668" s="304"/>
    </row>
    <row r="669" spans="9:10">
      <c r="I669" s="304"/>
      <c r="J669" s="304"/>
    </row>
    <row r="670" spans="9:10">
      <c r="I670" s="304"/>
      <c r="J670" s="304"/>
    </row>
    <row r="671" spans="9:10">
      <c r="I671" s="304"/>
      <c r="J671" s="304"/>
    </row>
    <row r="672" spans="9:10">
      <c r="I672" s="304"/>
      <c r="J672" s="304"/>
    </row>
    <row r="673" spans="9:10">
      <c r="I673" s="304"/>
      <c r="J673" s="304"/>
    </row>
    <row r="674" spans="9:10">
      <c r="I674" s="304"/>
      <c r="J674" s="304"/>
    </row>
    <row r="675" spans="9:10">
      <c r="I675" s="304"/>
      <c r="J675" s="304"/>
    </row>
    <row r="676" spans="9:10">
      <c r="I676" s="304"/>
      <c r="J676" s="304"/>
    </row>
    <row r="677" spans="9:10">
      <c r="I677" s="304"/>
      <c r="J677" s="304"/>
    </row>
    <row r="678" spans="9:10">
      <c r="I678" s="304"/>
      <c r="J678" s="304"/>
    </row>
    <row r="679" spans="9:10">
      <c r="I679" s="304"/>
      <c r="J679" s="304"/>
    </row>
    <row r="680" spans="9:10">
      <c r="I680" s="304"/>
      <c r="J680" s="304"/>
    </row>
    <row r="681" spans="9:10">
      <c r="I681" s="304"/>
      <c r="J681" s="304"/>
    </row>
    <row r="682" spans="9:10">
      <c r="I682" s="304"/>
      <c r="J682" s="304"/>
    </row>
    <row r="683" spans="9:10">
      <c r="I683" s="304"/>
      <c r="J683" s="304"/>
    </row>
    <row r="684" spans="9:10">
      <c r="I684" s="304"/>
      <c r="J684" s="304"/>
    </row>
    <row r="685" spans="9:10">
      <c r="I685" s="304"/>
      <c r="J685" s="304"/>
    </row>
    <row r="686" spans="9:10">
      <c r="I686" s="304"/>
      <c r="J686" s="304"/>
    </row>
    <row r="687" spans="9:10">
      <c r="I687" s="304"/>
      <c r="J687" s="304"/>
    </row>
    <row r="688" spans="9:10">
      <c r="I688" s="304"/>
      <c r="J688" s="304"/>
    </row>
    <row r="689" spans="9:10">
      <c r="I689" s="304"/>
      <c r="J689" s="304"/>
    </row>
    <row r="690" spans="9:10">
      <c r="I690" s="304"/>
      <c r="J690" s="304"/>
    </row>
    <row r="691" spans="9:10">
      <c r="I691" s="304"/>
      <c r="J691" s="304"/>
    </row>
    <row r="692" spans="9:10">
      <c r="I692" s="304"/>
      <c r="J692" s="304"/>
    </row>
    <row r="693" spans="9:10">
      <c r="I693" s="304"/>
      <c r="J693" s="304"/>
    </row>
    <row r="694" spans="9:10">
      <c r="I694" s="304"/>
      <c r="J694" s="304"/>
    </row>
    <row r="695" spans="9:10">
      <c r="I695" s="304"/>
      <c r="J695" s="304"/>
    </row>
    <row r="696" spans="9:10">
      <c r="I696" s="304"/>
      <c r="J696" s="304"/>
    </row>
    <row r="697" spans="9:10">
      <c r="I697" s="304"/>
      <c r="J697" s="304"/>
    </row>
    <row r="698" spans="9:10">
      <c r="I698" s="304"/>
      <c r="J698" s="304"/>
    </row>
    <row r="699" spans="9:10">
      <c r="I699" s="304"/>
      <c r="J699" s="304"/>
    </row>
    <row r="700" spans="9:10">
      <c r="I700" s="304"/>
      <c r="J700" s="304"/>
    </row>
    <row r="701" spans="9:10">
      <c r="I701" s="304"/>
      <c r="J701" s="304"/>
    </row>
    <row r="702" spans="9:10">
      <c r="I702" s="304"/>
      <c r="J702" s="304"/>
    </row>
    <row r="703" spans="9:10">
      <c r="I703" s="304"/>
      <c r="J703" s="304"/>
    </row>
    <row r="704" spans="9:10">
      <c r="I704" s="304"/>
      <c r="J704" s="304"/>
    </row>
    <row r="705" spans="9:10">
      <c r="I705" s="304"/>
      <c r="J705" s="304"/>
    </row>
    <row r="706" spans="9:10">
      <c r="I706" s="304"/>
      <c r="J706" s="304"/>
    </row>
    <row r="707" spans="9:10">
      <c r="I707" s="304"/>
      <c r="J707" s="304"/>
    </row>
    <row r="708" spans="9:10">
      <c r="I708" s="304"/>
      <c r="J708" s="304"/>
    </row>
    <row r="709" spans="9:10">
      <c r="I709" s="304"/>
      <c r="J709" s="304"/>
    </row>
    <row r="710" spans="9:10">
      <c r="I710" s="304"/>
      <c r="J710" s="304"/>
    </row>
    <row r="711" spans="9:10">
      <c r="I711" s="304"/>
      <c r="J711" s="304"/>
    </row>
    <row r="712" spans="9:10">
      <c r="I712" s="304"/>
      <c r="J712" s="304"/>
    </row>
    <row r="713" spans="9:10">
      <c r="I713" s="304"/>
      <c r="J713" s="304"/>
    </row>
    <row r="714" spans="9:10">
      <c r="I714" s="304"/>
      <c r="J714" s="304"/>
    </row>
    <row r="715" spans="9:10">
      <c r="I715" s="304"/>
      <c r="J715" s="304"/>
    </row>
    <row r="716" spans="9:10">
      <c r="I716" s="304"/>
      <c r="J716" s="304"/>
    </row>
    <row r="717" spans="9:10">
      <c r="I717" s="304"/>
      <c r="J717" s="304"/>
    </row>
    <row r="718" spans="9:10">
      <c r="I718" s="304"/>
      <c r="J718" s="304"/>
    </row>
    <row r="719" spans="9:10">
      <c r="I719" s="304"/>
      <c r="J719" s="304"/>
    </row>
    <row r="720" spans="9:10">
      <c r="I720" s="304"/>
      <c r="J720" s="304"/>
    </row>
    <row r="721" spans="9:10">
      <c r="I721" s="304"/>
      <c r="J721" s="304"/>
    </row>
    <row r="722" spans="9:10">
      <c r="I722" s="304"/>
      <c r="J722" s="304"/>
    </row>
    <row r="723" spans="9:10">
      <c r="I723" s="304"/>
      <c r="J723" s="304"/>
    </row>
    <row r="724" spans="9:10">
      <c r="I724" s="304"/>
      <c r="J724" s="304"/>
    </row>
    <row r="725" spans="9:10">
      <c r="I725" s="304"/>
      <c r="J725" s="304"/>
    </row>
    <row r="726" spans="9:10">
      <c r="I726" s="304"/>
      <c r="J726" s="304"/>
    </row>
    <row r="727" spans="9:10">
      <c r="I727" s="304"/>
      <c r="J727" s="304"/>
    </row>
    <row r="728" spans="9:10">
      <c r="I728" s="304"/>
      <c r="J728" s="304"/>
    </row>
    <row r="729" spans="9:10">
      <c r="I729" s="304"/>
      <c r="J729" s="304"/>
    </row>
    <row r="730" spans="9:10">
      <c r="I730" s="304"/>
      <c r="J730" s="304"/>
    </row>
    <row r="731" spans="9:10">
      <c r="I731" s="304"/>
      <c r="J731" s="304"/>
    </row>
    <row r="732" spans="9:10">
      <c r="I732" s="304"/>
      <c r="J732" s="304"/>
    </row>
    <row r="733" spans="9:10">
      <c r="I733" s="304"/>
      <c r="J733" s="304"/>
    </row>
    <row r="734" spans="9:10">
      <c r="I734" s="304"/>
      <c r="J734" s="304"/>
    </row>
    <row r="735" spans="9:10">
      <c r="I735" s="304"/>
      <c r="J735" s="304"/>
    </row>
    <row r="736" spans="9:10">
      <c r="I736" s="304"/>
      <c r="J736" s="304"/>
    </row>
    <row r="737" spans="9:10">
      <c r="I737" s="304"/>
      <c r="J737" s="304"/>
    </row>
    <row r="738" spans="9:10">
      <c r="I738" s="304"/>
      <c r="J738" s="304"/>
    </row>
    <row r="739" spans="9:10">
      <c r="I739" s="304"/>
      <c r="J739" s="304"/>
    </row>
    <row r="740" spans="9:10">
      <c r="I740" s="304"/>
      <c r="J740" s="304"/>
    </row>
    <row r="741" spans="9:10">
      <c r="I741" s="304"/>
      <c r="J741" s="304"/>
    </row>
    <row r="742" spans="9:10">
      <c r="I742" s="304"/>
      <c r="J742" s="304"/>
    </row>
    <row r="743" spans="9:10">
      <c r="I743" s="304"/>
      <c r="J743" s="304"/>
    </row>
    <row r="744" spans="9:10">
      <c r="I744" s="304"/>
      <c r="J744" s="304"/>
    </row>
    <row r="745" spans="9:10">
      <c r="I745" s="304"/>
      <c r="J745" s="304"/>
    </row>
    <row r="746" spans="9:10">
      <c r="I746" s="304"/>
      <c r="J746" s="304"/>
    </row>
    <row r="747" spans="9:10">
      <c r="I747" s="304"/>
      <c r="J747" s="304"/>
    </row>
    <row r="748" spans="9:10">
      <c r="I748" s="304"/>
      <c r="J748" s="304"/>
    </row>
    <row r="749" spans="9:10">
      <c r="I749" s="304"/>
      <c r="J749" s="304"/>
    </row>
    <row r="750" spans="9:10">
      <c r="I750" s="304"/>
      <c r="J750" s="304"/>
    </row>
    <row r="751" spans="9:10">
      <c r="I751" s="304"/>
      <c r="J751" s="304"/>
    </row>
    <row r="752" spans="9:10">
      <c r="I752" s="304"/>
      <c r="J752" s="304"/>
    </row>
    <row r="753" spans="9:10">
      <c r="I753" s="304"/>
      <c r="J753" s="304"/>
    </row>
    <row r="754" spans="9:10">
      <c r="I754" s="304"/>
      <c r="J754" s="304"/>
    </row>
    <row r="755" spans="9:10">
      <c r="I755" s="304"/>
      <c r="J755" s="304"/>
    </row>
    <row r="756" spans="9:10">
      <c r="I756" s="304"/>
      <c r="J756" s="304"/>
    </row>
    <row r="757" spans="9:10">
      <c r="I757" s="304"/>
      <c r="J757" s="304"/>
    </row>
    <row r="758" spans="9:10">
      <c r="I758" s="304"/>
      <c r="J758" s="304"/>
    </row>
    <row r="759" spans="9:10">
      <c r="I759" s="304"/>
      <c r="J759" s="304"/>
    </row>
    <row r="760" spans="9:10">
      <c r="I760" s="304"/>
      <c r="J760" s="304"/>
    </row>
    <row r="761" spans="9:10">
      <c r="I761" s="304"/>
      <c r="J761" s="304"/>
    </row>
    <row r="762" spans="9:10">
      <c r="I762" s="304"/>
      <c r="J762" s="304"/>
    </row>
    <row r="763" spans="9:10">
      <c r="I763" s="304"/>
      <c r="J763" s="304"/>
    </row>
    <row r="764" spans="9:10">
      <c r="I764" s="304"/>
      <c r="J764" s="304"/>
    </row>
    <row r="765" spans="9:10">
      <c r="I765" s="304"/>
      <c r="J765" s="304"/>
    </row>
    <row r="766" spans="9:10">
      <c r="I766" s="304"/>
      <c r="J766" s="304"/>
    </row>
    <row r="767" spans="9:10">
      <c r="I767" s="304"/>
      <c r="J767" s="304"/>
    </row>
    <row r="768" spans="9:10">
      <c r="I768" s="304"/>
      <c r="J768" s="304"/>
    </row>
    <row r="769" spans="9:10">
      <c r="I769" s="304"/>
      <c r="J769" s="304"/>
    </row>
    <row r="770" spans="9:10">
      <c r="I770" s="304"/>
      <c r="J770" s="304"/>
    </row>
    <row r="771" spans="9:10">
      <c r="I771" s="304"/>
      <c r="J771" s="304"/>
    </row>
    <row r="772" spans="9:10">
      <c r="I772" s="304"/>
      <c r="J772" s="304"/>
    </row>
    <row r="773" spans="9:10">
      <c r="I773" s="304"/>
      <c r="J773" s="304"/>
    </row>
    <row r="774" spans="9:10">
      <c r="I774" s="304"/>
      <c r="J774" s="304"/>
    </row>
    <row r="775" spans="9:10">
      <c r="I775" s="304"/>
      <c r="J775" s="304"/>
    </row>
    <row r="776" spans="9:10">
      <c r="I776" s="304"/>
      <c r="J776" s="304"/>
    </row>
    <row r="777" spans="9:10">
      <c r="I777" s="304"/>
      <c r="J777" s="304"/>
    </row>
    <row r="778" spans="9:10">
      <c r="I778" s="304"/>
      <c r="J778" s="304"/>
    </row>
    <row r="779" spans="9:10">
      <c r="I779" s="304"/>
      <c r="J779" s="304"/>
    </row>
    <row r="780" spans="9:10">
      <c r="I780" s="304"/>
      <c r="J780" s="304"/>
    </row>
    <row r="781" spans="9:10">
      <c r="I781" s="304"/>
      <c r="J781" s="304"/>
    </row>
    <row r="782" spans="9:10">
      <c r="I782" s="304"/>
      <c r="J782" s="304"/>
    </row>
    <row r="783" spans="9:10">
      <c r="I783" s="304"/>
      <c r="J783" s="304"/>
    </row>
    <row r="784" spans="9:10">
      <c r="I784" s="304"/>
      <c r="J784" s="304"/>
    </row>
    <row r="785" spans="9:10">
      <c r="I785" s="304"/>
      <c r="J785" s="304"/>
    </row>
    <row r="786" spans="9:10">
      <c r="I786" s="304"/>
      <c r="J786" s="304"/>
    </row>
    <row r="787" spans="9:10">
      <c r="I787" s="304"/>
      <c r="J787" s="304"/>
    </row>
    <row r="788" spans="9:10">
      <c r="I788" s="304"/>
      <c r="J788" s="304"/>
    </row>
    <row r="789" spans="9:10">
      <c r="I789" s="304"/>
      <c r="J789" s="304"/>
    </row>
    <row r="790" spans="9:10">
      <c r="I790" s="304"/>
      <c r="J790" s="304"/>
    </row>
    <row r="791" spans="9:10">
      <c r="I791" s="304"/>
      <c r="J791" s="304"/>
    </row>
    <row r="792" spans="9:10">
      <c r="I792" s="304"/>
      <c r="J792" s="304"/>
    </row>
    <row r="793" spans="9:10">
      <c r="I793" s="304"/>
      <c r="J793" s="304"/>
    </row>
    <row r="794" spans="9:10">
      <c r="I794" s="304"/>
      <c r="J794" s="304"/>
    </row>
    <row r="795" spans="9:10">
      <c r="I795" s="304"/>
      <c r="J795" s="304"/>
    </row>
    <row r="796" spans="9:10">
      <c r="I796" s="304"/>
      <c r="J796" s="304"/>
    </row>
    <row r="797" spans="9:10">
      <c r="I797" s="304"/>
      <c r="J797" s="304"/>
    </row>
    <row r="798" spans="9:10">
      <c r="I798" s="304"/>
      <c r="J798" s="304"/>
    </row>
    <row r="799" spans="9:10">
      <c r="I799" s="304"/>
      <c r="J799" s="304"/>
    </row>
    <row r="800" spans="9:10">
      <c r="I800" s="304"/>
      <c r="J800" s="304"/>
    </row>
    <row r="801" spans="9:10">
      <c r="I801" s="304"/>
      <c r="J801" s="304"/>
    </row>
    <row r="802" spans="9:10">
      <c r="I802" s="304"/>
      <c r="J802" s="304"/>
    </row>
    <row r="803" spans="9:10">
      <c r="I803" s="304"/>
      <c r="J803" s="304"/>
    </row>
    <row r="804" spans="9:10">
      <c r="I804" s="304"/>
      <c r="J804" s="304"/>
    </row>
    <row r="805" spans="9:10">
      <c r="I805" s="304"/>
      <c r="J805" s="304"/>
    </row>
    <row r="806" spans="9:10">
      <c r="I806" s="304"/>
      <c r="J806" s="304"/>
    </row>
    <row r="807" spans="9:10">
      <c r="I807" s="304"/>
      <c r="J807" s="304"/>
    </row>
    <row r="808" spans="9:10">
      <c r="I808" s="304"/>
      <c r="J808" s="304"/>
    </row>
    <row r="809" spans="9:10">
      <c r="I809" s="304"/>
      <c r="J809" s="304"/>
    </row>
    <row r="810" spans="9:10">
      <c r="I810" s="304"/>
      <c r="J810" s="304"/>
    </row>
    <row r="811" spans="9:10">
      <c r="I811" s="304"/>
      <c r="J811" s="304"/>
    </row>
    <row r="812" spans="9:10">
      <c r="I812" s="304"/>
      <c r="J812" s="304"/>
    </row>
    <row r="813" spans="9:10">
      <c r="I813" s="304"/>
      <c r="J813" s="304"/>
    </row>
    <row r="814" spans="9:10">
      <c r="I814" s="304"/>
      <c r="J814" s="304"/>
    </row>
    <row r="815" spans="9:10">
      <c r="I815" s="304"/>
      <c r="J815" s="304"/>
    </row>
    <row r="816" spans="9:10">
      <c r="I816" s="304"/>
      <c r="J816" s="304"/>
    </row>
    <row r="817" spans="9:10">
      <c r="I817" s="304"/>
      <c r="J817" s="304"/>
    </row>
    <row r="818" spans="9:10">
      <c r="I818" s="304"/>
      <c r="J818" s="304"/>
    </row>
    <row r="819" spans="9:10">
      <c r="I819" s="304"/>
      <c r="J819" s="304"/>
    </row>
    <row r="820" spans="9:10">
      <c r="I820" s="304"/>
      <c r="J820" s="304"/>
    </row>
    <row r="821" spans="9:10">
      <c r="I821" s="304"/>
      <c r="J821" s="304"/>
    </row>
    <row r="822" spans="9:10">
      <c r="I822" s="304"/>
      <c r="J822" s="304"/>
    </row>
    <row r="823" spans="9:10">
      <c r="I823" s="304"/>
      <c r="J823" s="304"/>
    </row>
    <row r="824" spans="9:10">
      <c r="I824" s="304"/>
      <c r="J824" s="304"/>
    </row>
    <row r="825" spans="9:10">
      <c r="I825" s="304"/>
      <c r="J825" s="304"/>
    </row>
    <row r="826" spans="9:10">
      <c r="I826" s="304"/>
      <c r="J826" s="304"/>
    </row>
    <row r="827" spans="9:10">
      <c r="I827" s="304"/>
      <c r="J827" s="304"/>
    </row>
    <row r="828" spans="9:10">
      <c r="I828" s="304"/>
      <c r="J828" s="304"/>
    </row>
    <row r="829" spans="9:10">
      <c r="I829" s="304"/>
      <c r="J829" s="304"/>
    </row>
    <row r="830" spans="9:10">
      <c r="I830" s="304"/>
      <c r="J830" s="304"/>
    </row>
    <row r="831" spans="9:10">
      <c r="I831" s="304"/>
      <c r="J831" s="304"/>
    </row>
    <row r="832" spans="9:10">
      <c r="I832" s="304"/>
      <c r="J832" s="304"/>
    </row>
    <row r="833" spans="9:10">
      <c r="I833" s="304"/>
      <c r="J833" s="304"/>
    </row>
    <row r="834" spans="9:10">
      <c r="I834" s="304"/>
      <c r="J834" s="304"/>
    </row>
    <row r="835" spans="9:10">
      <c r="I835" s="304"/>
      <c r="J835" s="304"/>
    </row>
    <row r="836" spans="9:10">
      <c r="I836" s="304"/>
      <c r="J836" s="304"/>
    </row>
    <row r="837" spans="9:10">
      <c r="I837" s="304"/>
      <c r="J837" s="304"/>
    </row>
    <row r="838" spans="9:10">
      <c r="I838" s="304"/>
      <c r="J838" s="304"/>
    </row>
    <row r="839" spans="9:10">
      <c r="I839" s="304"/>
      <c r="J839" s="304"/>
    </row>
    <row r="840" spans="9:10">
      <c r="I840" s="304"/>
      <c r="J840" s="304"/>
    </row>
    <row r="841" spans="9:10">
      <c r="I841" s="304"/>
      <c r="J841" s="304"/>
    </row>
    <row r="842" spans="9:10">
      <c r="I842" s="304"/>
      <c r="J842" s="304"/>
    </row>
    <row r="843" spans="9:10">
      <c r="I843" s="304"/>
      <c r="J843" s="304"/>
    </row>
    <row r="844" spans="9:10">
      <c r="I844" s="304"/>
      <c r="J844" s="304"/>
    </row>
    <row r="845" spans="9:10">
      <c r="I845" s="304"/>
      <c r="J845" s="304"/>
    </row>
    <row r="846" spans="9:10">
      <c r="I846" s="304"/>
      <c r="J846" s="304"/>
    </row>
    <row r="847" spans="9:10">
      <c r="I847" s="304"/>
      <c r="J847" s="304"/>
    </row>
    <row r="848" spans="9:10">
      <c r="I848" s="304"/>
      <c r="J848" s="304"/>
    </row>
    <row r="849" spans="9:10">
      <c r="I849" s="304"/>
      <c r="J849" s="304"/>
    </row>
    <row r="850" spans="9:10">
      <c r="I850" s="304"/>
      <c r="J850" s="304"/>
    </row>
    <row r="851" spans="9:10">
      <c r="I851" s="304"/>
      <c r="J851" s="304"/>
    </row>
    <row r="852" spans="9:10">
      <c r="I852" s="304"/>
      <c r="J852" s="304"/>
    </row>
    <row r="853" spans="9:10">
      <c r="I853" s="304"/>
      <c r="J853" s="304"/>
    </row>
    <row r="854" spans="9:10">
      <c r="I854" s="304"/>
      <c r="J854" s="304"/>
    </row>
    <row r="855" spans="9:10">
      <c r="I855" s="304"/>
      <c r="J855" s="304"/>
    </row>
    <row r="856" spans="9:10">
      <c r="I856" s="304"/>
      <c r="J856" s="304"/>
    </row>
    <row r="857" spans="9:10">
      <c r="I857" s="304"/>
      <c r="J857" s="304"/>
    </row>
    <row r="858" spans="9:10">
      <c r="I858" s="304"/>
      <c r="J858" s="304"/>
    </row>
    <row r="859" spans="9:10">
      <c r="I859" s="304"/>
      <c r="J859" s="304"/>
    </row>
    <row r="860" spans="9:10">
      <c r="I860" s="304"/>
      <c r="J860" s="304"/>
    </row>
    <row r="861" spans="9:10">
      <c r="I861" s="304"/>
      <c r="J861" s="304"/>
    </row>
    <row r="862" spans="9:10">
      <c r="I862" s="304"/>
      <c r="J862" s="304"/>
    </row>
    <row r="863" spans="9:10">
      <c r="I863" s="304"/>
      <c r="J863" s="304"/>
    </row>
    <row r="864" spans="9:10">
      <c r="I864" s="304"/>
      <c r="J864" s="304"/>
    </row>
    <row r="865" spans="9:10">
      <c r="I865" s="304"/>
      <c r="J865" s="304"/>
    </row>
    <row r="866" spans="9:10">
      <c r="I866" s="304"/>
      <c r="J866" s="304"/>
    </row>
    <row r="867" spans="9:10">
      <c r="I867" s="304"/>
      <c r="J867" s="304"/>
    </row>
    <row r="868" spans="9:10">
      <c r="I868" s="304"/>
      <c r="J868" s="304"/>
    </row>
    <row r="869" spans="9:10">
      <c r="I869" s="304"/>
      <c r="J869" s="304"/>
    </row>
    <row r="870" spans="9:10">
      <c r="I870" s="304"/>
      <c r="J870" s="304"/>
    </row>
    <row r="871" spans="9:10">
      <c r="I871" s="304"/>
      <c r="J871" s="304"/>
    </row>
    <row r="872" spans="9:10">
      <c r="I872" s="304"/>
      <c r="J872" s="304"/>
    </row>
    <row r="873" spans="9:10">
      <c r="I873" s="304"/>
      <c r="J873" s="304"/>
    </row>
    <row r="874" spans="9:10">
      <c r="I874" s="304"/>
      <c r="J874" s="304"/>
    </row>
    <row r="875" spans="9:10">
      <c r="I875" s="304"/>
      <c r="J875" s="304"/>
    </row>
    <row r="876" spans="9:10">
      <c r="I876" s="304"/>
      <c r="J876" s="304"/>
    </row>
    <row r="877" spans="9:10">
      <c r="I877" s="304"/>
      <c r="J877" s="304"/>
    </row>
    <row r="878" spans="9:10">
      <c r="I878" s="304"/>
      <c r="J878" s="304"/>
    </row>
    <row r="879" spans="9:10">
      <c r="I879" s="304"/>
      <c r="J879" s="304"/>
    </row>
    <row r="880" spans="9:10">
      <c r="I880" s="304"/>
      <c r="J880" s="304"/>
    </row>
    <row r="881" spans="9:10">
      <c r="I881" s="304"/>
      <c r="J881" s="304"/>
    </row>
    <row r="882" spans="9:10">
      <c r="I882" s="304"/>
      <c r="J882" s="304"/>
    </row>
    <row r="883" spans="9:10">
      <c r="I883" s="304"/>
      <c r="J883" s="304"/>
    </row>
    <row r="884" spans="9:10">
      <c r="I884" s="304"/>
      <c r="J884" s="304"/>
    </row>
    <row r="885" spans="9:10">
      <c r="I885" s="304"/>
      <c r="J885" s="304"/>
    </row>
    <row r="886" spans="9:10">
      <c r="I886" s="304"/>
      <c r="J886" s="304"/>
    </row>
    <row r="887" spans="9:10">
      <c r="I887" s="304"/>
      <c r="J887" s="304"/>
    </row>
    <row r="888" spans="9:10">
      <c r="I888" s="304"/>
      <c r="J888" s="304"/>
    </row>
    <row r="889" spans="9:10">
      <c r="I889" s="304"/>
      <c r="J889" s="304"/>
    </row>
    <row r="890" spans="9:10">
      <c r="I890" s="304"/>
      <c r="J890" s="304"/>
    </row>
    <row r="891" spans="9:10">
      <c r="I891" s="304"/>
      <c r="J891" s="304"/>
    </row>
    <row r="892" spans="9:10">
      <c r="I892" s="304"/>
      <c r="J892" s="304"/>
    </row>
    <row r="893" spans="9:10">
      <c r="I893" s="304"/>
      <c r="J893" s="304"/>
    </row>
    <row r="894" spans="9:10">
      <c r="I894" s="304"/>
      <c r="J894" s="304"/>
    </row>
    <row r="895" spans="9:10">
      <c r="I895" s="304"/>
      <c r="J895" s="304"/>
    </row>
    <row r="896" spans="9:10">
      <c r="I896" s="304"/>
      <c r="J896" s="304"/>
    </row>
    <row r="897" spans="9:10">
      <c r="I897" s="304"/>
      <c r="J897" s="304"/>
    </row>
    <row r="898" spans="9:10">
      <c r="I898" s="304"/>
      <c r="J898" s="304"/>
    </row>
    <row r="899" spans="9:10">
      <c r="I899" s="304"/>
      <c r="J899" s="304"/>
    </row>
    <row r="900" spans="9:10">
      <c r="I900" s="304"/>
      <c r="J900" s="304"/>
    </row>
    <row r="901" spans="9:10">
      <c r="I901" s="304"/>
      <c r="J901" s="304"/>
    </row>
    <row r="902" spans="9:10">
      <c r="I902" s="304"/>
      <c r="J902" s="304"/>
    </row>
    <row r="903" spans="9:10">
      <c r="I903" s="304"/>
      <c r="J903" s="304"/>
    </row>
    <row r="904" spans="9:10">
      <c r="I904" s="304"/>
      <c r="J904" s="304"/>
    </row>
    <row r="905" spans="9:10">
      <c r="I905" s="304"/>
      <c r="J905" s="304"/>
    </row>
    <row r="906" spans="9:10">
      <c r="I906" s="304"/>
      <c r="J906" s="304"/>
    </row>
    <row r="907" spans="9:10">
      <c r="I907" s="304"/>
      <c r="J907" s="304">
        <v>0</v>
      </c>
    </row>
    <row r="908" spans="9:10">
      <c r="I908" s="304"/>
      <c r="J908" s="304">
        <v>0</v>
      </c>
    </row>
    <row r="909" spans="9:10">
      <c r="I909" s="304"/>
      <c r="J909" s="304">
        <v>0</v>
      </c>
    </row>
    <row r="910" spans="9:10">
      <c r="I910" s="304"/>
      <c r="J910" s="304">
        <v>0</v>
      </c>
    </row>
    <row r="911" spans="9:10">
      <c r="I911" s="304"/>
      <c r="J911" s="304">
        <v>0</v>
      </c>
    </row>
    <row r="912" spans="9:10">
      <c r="I912" s="304"/>
      <c r="J912" s="304">
        <v>0</v>
      </c>
    </row>
    <row r="913" spans="9:10">
      <c r="I913" s="304"/>
      <c r="J913" s="304">
        <v>0</v>
      </c>
    </row>
    <row r="914" spans="9:10">
      <c r="I914" s="304"/>
      <c r="J914" s="304">
        <v>0</v>
      </c>
    </row>
    <row r="915" spans="9:10">
      <c r="I915" s="304"/>
      <c r="J915" s="304">
        <v>0</v>
      </c>
    </row>
    <row r="916" spans="9:10">
      <c r="I916" s="304"/>
      <c r="J916" s="304">
        <v>0</v>
      </c>
    </row>
    <row r="917" spans="9:10">
      <c r="I917" s="304"/>
      <c r="J917" s="304">
        <v>0</v>
      </c>
    </row>
    <row r="918" spans="9:10">
      <c r="I918" s="304"/>
      <c r="J918" s="304">
        <v>0</v>
      </c>
    </row>
    <row r="919" spans="9:10">
      <c r="I919" s="304"/>
      <c r="J919" s="304">
        <v>0</v>
      </c>
    </row>
    <row r="920" spans="9:10">
      <c r="I920" s="304"/>
      <c r="J920" s="304">
        <v>0</v>
      </c>
    </row>
    <row r="921" spans="9:10">
      <c r="I921" s="304"/>
      <c r="J921" s="304">
        <v>0</v>
      </c>
    </row>
    <row r="922" spans="9:10">
      <c r="I922" s="304"/>
      <c r="J922" s="304">
        <v>0</v>
      </c>
    </row>
    <row r="923" spans="9:10">
      <c r="I923" s="304"/>
      <c r="J923" s="304">
        <v>0</v>
      </c>
    </row>
    <row r="924" spans="9:10">
      <c r="I924" s="304"/>
      <c r="J924" s="304"/>
    </row>
    <row r="925" spans="9:10">
      <c r="I925" s="304"/>
      <c r="J925" s="304"/>
    </row>
    <row r="926" spans="9:10">
      <c r="I926" s="304"/>
      <c r="J926" s="304"/>
    </row>
    <row r="927" spans="9:10">
      <c r="I927" s="304"/>
      <c r="J927" s="304"/>
    </row>
    <row r="928" spans="9:10">
      <c r="I928" s="304"/>
      <c r="J928" s="304"/>
    </row>
    <row r="929" spans="9:10">
      <c r="I929" s="304"/>
      <c r="J929" s="304"/>
    </row>
    <row r="930" spans="9:10">
      <c r="I930" s="304"/>
      <c r="J930" s="304"/>
    </row>
    <row r="931" spans="9:10">
      <c r="I931" s="304"/>
      <c r="J931" s="304"/>
    </row>
    <row r="932" spans="9:10">
      <c r="I932" s="304"/>
      <c r="J932" s="304"/>
    </row>
    <row r="933" spans="9:10">
      <c r="I933" s="304"/>
      <c r="J933" s="304"/>
    </row>
    <row r="934" spans="9:10">
      <c r="I934" s="304"/>
      <c r="J934" s="304"/>
    </row>
    <row r="935" spans="9:10">
      <c r="I935" s="304"/>
      <c r="J935" s="304"/>
    </row>
    <row r="936" spans="9:10">
      <c r="I936" s="304"/>
      <c r="J936" s="304"/>
    </row>
    <row r="937" spans="9:10">
      <c r="I937" s="304"/>
      <c r="J937" s="304"/>
    </row>
    <row r="938" spans="9:10">
      <c r="I938" s="304"/>
      <c r="J938" s="304"/>
    </row>
    <row r="939" spans="9:10">
      <c r="I939" s="304"/>
      <c r="J939" s="304"/>
    </row>
    <row r="940" spans="9:10">
      <c r="I940" s="304"/>
      <c r="J940" s="304"/>
    </row>
    <row r="941" spans="9:10">
      <c r="I941" s="304"/>
      <c r="J941" s="304"/>
    </row>
    <row r="942" spans="9:10">
      <c r="I942" s="304"/>
      <c r="J942" s="304"/>
    </row>
    <row r="943" spans="9:10">
      <c r="I943" s="304"/>
      <c r="J943" s="304"/>
    </row>
    <row r="944" spans="9:10">
      <c r="I944" s="304"/>
      <c r="J944" s="304"/>
    </row>
    <row r="945" spans="9:10">
      <c r="I945" s="304"/>
      <c r="J945" s="304"/>
    </row>
    <row r="946" spans="9:10">
      <c r="I946" s="304"/>
      <c r="J946" s="304"/>
    </row>
    <row r="947" spans="9:10">
      <c r="I947" s="304"/>
      <c r="J947" s="304"/>
    </row>
    <row r="948" spans="9:10">
      <c r="I948" s="304"/>
      <c r="J948" s="304"/>
    </row>
    <row r="949" spans="9:10">
      <c r="I949" s="304"/>
      <c r="J949" s="304"/>
    </row>
    <row r="950" spans="9:10">
      <c r="I950" s="304"/>
      <c r="J950" s="304"/>
    </row>
    <row r="951" spans="9:10">
      <c r="I951" s="304"/>
      <c r="J951" s="304"/>
    </row>
    <row r="952" spans="9:10">
      <c r="I952" s="304"/>
      <c r="J952" s="304"/>
    </row>
    <row r="953" spans="9:10">
      <c r="I953" s="304"/>
      <c r="J953" s="304"/>
    </row>
    <row r="954" spans="9:10">
      <c r="I954" s="304"/>
      <c r="J954" s="304"/>
    </row>
    <row r="955" spans="9:10">
      <c r="I955" s="304"/>
      <c r="J955" s="304"/>
    </row>
    <row r="956" spans="9:10">
      <c r="I956" s="304"/>
      <c r="J956" s="304"/>
    </row>
    <row r="957" spans="9:10">
      <c r="I957" s="304"/>
      <c r="J957" s="304"/>
    </row>
    <row r="958" spans="9:10">
      <c r="I958" s="304"/>
      <c r="J958" s="304"/>
    </row>
    <row r="959" spans="9:10">
      <c r="I959" s="304"/>
      <c r="J959" s="304"/>
    </row>
    <row r="960" spans="9:10">
      <c r="I960" s="304"/>
      <c r="J960" s="304"/>
    </row>
    <row r="961" spans="9:10">
      <c r="I961" s="304"/>
      <c r="J961" s="304"/>
    </row>
    <row r="962" spans="9:10">
      <c r="I962" s="304"/>
      <c r="J962" s="304"/>
    </row>
    <row r="963" spans="9:10">
      <c r="I963" s="304"/>
      <c r="J963" s="304"/>
    </row>
    <row r="964" spans="9:10">
      <c r="I964" s="304"/>
      <c r="J964" s="304"/>
    </row>
    <row r="965" spans="9:10">
      <c r="I965" s="304"/>
      <c r="J965" s="304"/>
    </row>
    <row r="966" spans="9:10">
      <c r="I966" s="304"/>
      <c r="J966" s="304"/>
    </row>
    <row r="967" spans="9:10">
      <c r="I967" s="304"/>
      <c r="J967" s="304"/>
    </row>
    <row r="968" spans="9:10">
      <c r="I968" s="304"/>
      <c r="J968" s="304"/>
    </row>
    <row r="969" spans="9:10">
      <c r="I969" s="304"/>
      <c r="J969" s="304"/>
    </row>
    <row r="970" spans="9:10">
      <c r="I970" s="304"/>
      <c r="J970" s="304"/>
    </row>
    <row r="971" spans="9:10">
      <c r="I971" s="304"/>
      <c r="J971" s="304"/>
    </row>
    <row r="972" spans="9:10">
      <c r="I972" s="304"/>
      <c r="J972" s="304"/>
    </row>
    <row r="973" spans="9:10">
      <c r="I973" s="304"/>
      <c r="J973" s="304"/>
    </row>
    <row r="974" spans="9:10">
      <c r="I974" s="304"/>
      <c r="J974" s="304"/>
    </row>
    <row r="975" spans="9:10">
      <c r="I975" s="304"/>
      <c r="J975" s="304"/>
    </row>
    <row r="976" spans="9:10">
      <c r="I976" s="304"/>
      <c r="J976" s="304"/>
    </row>
    <row r="977" spans="9:10">
      <c r="I977" s="304"/>
      <c r="J977" s="304"/>
    </row>
    <row r="978" spans="9:10">
      <c r="I978" s="304"/>
      <c r="J978" s="304"/>
    </row>
    <row r="979" spans="9:10">
      <c r="I979" s="304"/>
      <c r="J979" s="304"/>
    </row>
    <row r="980" spans="9:10">
      <c r="I980" s="304"/>
      <c r="J980" s="304"/>
    </row>
    <row r="981" spans="9:10">
      <c r="I981" s="304"/>
      <c r="J981" s="304"/>
    </row>
    <row r="982" spans="9:10">
      <c r="I982" s="304"/>
      <c r="J982" s="304"/>
    </row>
    <row r="983" spans="9:10">
      <c r="I983" s="304"/>
      <c r="J983" s="304"/>
    </row>
    <row r="984" spans="9:10">
      <c r="I984" s="304"/>
      <c r="J984" s="304"/>
    </row>
    <row r="985" spans="9:10">
      <c r="I985" s="304"/>
      <c r="J985" s="304"/>
    </row>
    <row r="986" spans="9:10">
      <c r="I986" s="304"/>
      <c r="J986" s="304"/>
    </row>
    <row r="987" spans="9:10">
      <c r="I987" s="304"/>
      <c r="J987" s="304"/>
    </row>
    <row r="988" spans="9:10">
      <c r="I988" s="304"/>
      <c r="J988" s="304"/>
    </row>
    <row r="989" spans="9:10">
      <c r="I989" s="304"/>
      <c r="J989" s="304"/>
    </row>
    <row r="990" spans="9:10">
      <c r="I990" s="304"/>
      <c r="J990" s="304"/>
    </row>
    <row r="991" spans="9:10">
      <c r="I991" s="304"/>
      <c r="J991" s="304"/>
    </row>
    <row r="992" spans="9:10">
      <c r="I992" s="304"/>
      <c r="J992" s="304"/>
    </row>
    <row r="993" spans="9:10">
      <c r="I993" s="304"/>
      <c r="J993" s="304"/>
    </row>
    <row r="994" spans="9:10">
      <c r="I994" s="304"/>
      <c r="J994" s="304"/>
    </row>
    <row r="995" spans="9:10">
      <c r="I995" s="304"/>
      <c r="J995" s="304"/>
    </row>
    <row r="996" spans="9:10">
      <c r="I996" s="304"/>
      <c r="J996" s="304"/>
    </row>
    <row r="997" spans="9:10">
      <c r="I997" s="304"/>
      <c r="J997" s="304"/>
    </row>
    <row r="998" spans="9:10">
      <c r="I998" s="304"/>
      <c r="J998" s="304"/>
    </row>
    <row r="999" spans="9:10">
      <c r="I999" s="304"/>
      <c r="J999" s="304"/>
    </row>
    <row r="1000" spans="9:10">
      <c r="I1000" s="304"/>
      <c r="J1000" s="304"/>
    </row>
    <row r="1001" spans="9:10">
      <c r="I1001" s="304"/>
      <c r="J1001" s="304"/>
    </row>
    <row r="1002" spans="9:10">
      <c r="I1002" s="304"/>
      <c r="J1002" s="304"/>
    </row>
    <row r="1003" spans="9:10">
      <c r="I1003" s="304"/>
      <c r="J1003" s="304"/>
    </row>
    <row r="1004" spans="9:10">
      <c r="I1004" s="304"/>
      <c r="J1004" s="304"/>
    </row>
    <row r="1005" spans="9:10">
      <c r="I1005" s="304"/>
      <c r="J1005" s="304"/>
    </row>
    <row r="1006" spans="9:10">
      <c r="I1006" s="304"/>
      <c r="J1006" s="304"/>
    </row>
    <row r="1007" spans="9:10">
      <c r="I1007" s="304"/>
      <c r="J1007" s="304"/>
    </row>
    <row r="1008" spans="9:10">
      <c r="I1008" s="304"/>
      <c r="J1008" s="304"/>
    </row>
    <row r="1009" spans="9:10">
      <c r="I1009" s="304"/>
      <c r="J1009" s="304"/>
    </row>
    <row r="1010" spans="9:10">
      <c r="I1010" s="304"/>
      <c r="J1010" s="304"/>
    </row>
    <row r="1011" spans="9:10">
      <c r="I1011" s="304"/>
      <c r="J1011" s="304"/>
    </row>
    <row r="1012" spans="9:10">
      <c r="I1012" s="304"/>
      <c r="J1012" s="304"/>
    </row>
    <row r="1013" spans="9:10">
      <c r="I1013" s="304"/>
      <c r="J1013" s="304"/>
    </row>
    <row r="1014" spans="9:10">
      <c r="I1014" s="304"/>
      <c r="J1014" s="304"/>
    </row>
    <row r="1015" spans="9:10">
      <c r="I1015" s="304"/>
      <c r="J1015" s="304"/>
    </row>
    <row r="1016" spans="9:10">
      <c r="I1016" s="304"/>
      <c r="J1016" s="304"/>
    </row>
    <row r="1017" spans="9:10">
      <c r="I1017" s="304"/>
      <c r="J1017" s="304"/>
    </row>
    <row r="1018" spans="9:10">
      <c r="I1018" s="304"/>
      <c r="J1018" s="304"/>
    </row>
    <row r="1019" spans="9:10">
      <c r="I1019" s="304"/>
      <c r="J1019" s="304"/>
    </row>
    <row r="1020" spans="9:10">
      <c r="I1020" s="304"/>
      <c r="J1020" s="304"/>
    </row>
    <row r="1021" spans="9:10">
      <c r="I1021" s="304"/>
      <c r="J1021" s="304"/>
    </row>
    <row r="1022" spans="9:10">
      <c r="I1022" s="304"/>
      <c r="J1022" s="304"/>
    </row>
    <row r="1023" spans="9:10">
      <c r="I1023" s="304"/>
      <c r="J1023" s="304"/>
    </row>
    <row r="1024" spans="9:10">
      <c r="I1024" s="304"/>
      <c r="J1024" s="304"/>
    </row>
    <row r="1025" spans="9:10">
      <c r="I1025" s="304"/>
      <c r="J1025" s="304"/>
    </row>
    <row r="1026" spans="9:10">
      <c r="I1026" s="304"/>
      <c r="J1026" s="304"/>
    </row>
    <row r="1027" spans="9:10">
      <c r="I1027" s="304"/>
      <c r="J1027" s="304"/>
    </row>
    <row r="1028" spans="9:10">
      <c r="I1028" s="304"/>
      <c r="J1028" s="304"/>
    </row>
    <row r="1029" spans="9:10">
      <c r="I1029" s="304"/>
      <c r="J1029" s="304"/>
    </row>
    <row r="1030" spans="9:10">
      <c r="I1030" s="304"/>
      <c r="J1030" s="304"/>
    </row>
    <row r="1031" spans="9:10">
      <c r="I1031" s="304"/>
      <c r="J1031" s="304"/>
    </row>
    <row r="1032" spans="9:10">
      <c r="I1032" s="304"/>
      <c r="J1032" s="304"/>
    </row>
    <row r="1033" spans="9:10">
      <c r="I1033" s="304"/>
      <c r="J1033" s="304"/>
    </row>
    <row r="1034" spans="9:10">
      <c r="I1034" s="304"/>
      <c r="J1034" s="304"/>
    </row>
    <row r="1035" spans="9:10">
      <c r="I1035" s="304"/>
      <c r="J1035" s="304"/>
    </row>
    <row r="1036" spans="9:10">
      <c r="I1036" s="304"/>
      <c r="J1036" s="304"/>
    </row>
    <row r="1037" spans="9:10">
      <c r="I1037" s="304"/>
      <c r="J1037" s="304"/>
    </row>
    <row r="1038" spans="9:10">
      <c r="I1038" s="304"/>
      <c r="J1038" s="304"/>
    </row>
    <row r="1039" spans="9:10">
      <c r="I1039" s="304"/>
      <c r="J1039" s="304"/>
    </row>
    <row r="1040" spans="9:10">
      <c r="I1040" s="304"/>
      <c r="J1040" s="304"/>
    </row>
    <row r="1041" spans="9:10">
      <c r="I1041" s="304"/>
      <c r="J1041" s="304"/>
    </row>
    <row r="1042" spans="9:10">
      <c r="I1042" s="304"/>
      <c r="J1042" s="304"/>
    </row>
    <row r="1043" spans="9:10">
      <c r="I1043" s="304"/>
      <c r="J1043" s="304"/>
    </row>
    <row r="1044" spans="9:10">
      <c r="I1044" s="304"/>
      <c r="J1044" s="304"/>
    </row>
    <row r="1045" spans="9:10">
      <c r="I1045" s="304"/>
      <c r="J1045" s="304"/>
    </row>
    <row r="1046" spans="9:10">
      <c r="I1046" s="304"/>
      <c r="J1046" s="304"/>
    </row>
    <row r="1047" spans="9:10">
      <c r="I1047" s="304"/>
      <c r="J1047" s="304"/>
    </row>
    <row r="1048" spans="9:10">
      <c r="I1048" s="304"/>
      <c r="J1048" s="304"/>
    </row>
    <row r="1049" spans="9:10">
      <c r="I1049" s="304"/>
      <c r="J1049" s="304"/>
    </row>
    <row r="1050" spans="9:10">
      <c r="I1050" s="304"/>
      <c r="J1050" s="304"/>
    </row>
    <row r="1051" spans="9:10">
      <c r="I1051" s="304"/>
      <c r="J1051" s="304"/>
    </row>
    <row r="1052" spans="9:10">
      <c r="I1052" s="304"/>
      <c r="J1052" s="304"/>
    </row>
    <row r="1053" spans="9:10">
      <c r="I1053" s="304"/>
      <c r="J1053" s="304"/>
    </row>
    <row r="1054" spans="9:10">
      <c r="I1054" s="304"/>
      <c r="J1054" s="304"/>
    </row>
    <row r="1055" spans="9:10">
      <c r="I1055" s="304"/>
      <c r="J1055" s="304"/>
    </row>
    <row r="1056" spans="9:10">
      <c r="I1056" s="304"/>
      <c r="J1056" s="304"/>
    </row>
    <row r="1057" spans="9:10">
      <c r="I1057" s="304"/>
      <c r="J1057" s="304"/>
    </row>
    <row r="1058" spans="9:10">
      <c r="I1058" s="304"/>
      <c r="J1058" s="304"/>
    </row>
    <row r="1059" spans="9:10">
      <c r="I1059" s="304"/>
      <c r="J1059" s="304"/>
    </row>
    <row r="1060" spans="9:10">
      <c r="I1060" s="304"/>
      <c r="J1060" s="304"/>
    </row>
    <row r="1061" spans="9:10">
      <c r="I1061" s="304"/>
      <c r="J1061" s="304"/>
    </row>
    <row r="1062" spans="9:10">
      <c r="I1062" s="304"/>
      <c r="J1062" s="304"/>
    </row>
    <row r="1063" spans="9:10">
      <c r="I1063" s="304"/>
      <c r="J1063" s="304"/>
    </row>
    <row r="1064" spans="9:10">
      <c r="I1064" s="304"/>
      <c r="J1064" s="304"/>
    </row>
    <row r="1065" spans="9:10">
      <c r="I1065" s="304"/>
      <c r="J1065" s="304"/>
    </row>
    <row r="1066" spans="9:10">
      <c r="I1066" s="304"/>
      <c r="J1066" s="304"/>
    </row>
    <row r="1067" spans="9:10">
      <c r="I1067" s="304"/>
      <c r="J1067" s="304"/>
    </row>
    <row r="1068" spans="9:10">
      <c r="I1068" s="304"/>
      <c r="J1068" s="304"/>
    </row>
    <row r="1069" spans="9:10">
      <c r="I1069" s="304"/>
      <c r="J1069" s="304"/>
    </row>
    <row r="1070" spans="9:10">
      <c r="I1070" s="304"/>
      <c r="J1070" s="304"/>
    </row>
    <row r="1071" spans="9:10">
      <c r="I1071" s="304"/>
      <c r="J1071" s="304"/>
    </row>
    <row r="1072" spans="9:10">
      <c r="I1072" s="304"/>
      <c r="J1072" s="304"/>
    </row>
    <row r="1073" spans="9:10">
      <c r="I1073" s="304"/>
      <c r="J1073" s="304"/>
    </row>
    <row r="1074" spans="9:10">
      <c r="I1074" s="304"/>
      <c r="J1074" s="304"/>
    </row>
    <row r="1075" spans="9:10">
      <c r="I1075" s="304"/>
      <c r="J1075" s="304"/>
    </row>
    <row r="1076" spans="9:10">
      <c r="I1076" s="304"/>
      <c r="J1076" s="304"/>
    </row>
    <row r="1077" spans="9:10">
      <c r="I1077" s="304"/>
      <c r="J1077" s="304"/>
    </row>
    <row r="1078" spans="9:10">
      <c r="I1078" s="304"/>
      <c r="J1078" s="304"/>
    </row>
    <row r="1079" spans="9:10">
      <c r="I1079" s="304"/>
      <c r="J1079" s="304"/>
    </row>
    <row r="1080" spans="9:10">
      <c r="I1080" s="304"/>
      <c r="J1080" s="304"/>
    </row>
    <row r="1081" spans="9:10">
      <c r="I1081" s="304"/>
      <c r="J1081" s="304"/>
    </row>
    <row r="1082" spans="9:10">
      <c r="I1082" s="304"/>
      <c r="J1082" s="304"/>
    </row>
    <row r="1083" spans="9:10">
      <c r="I1083" s="304"/>
      <c r="J1083" s="304"/>
    </row>
    <row r="1084" spans="9:10">
      <c r="I1084" s="304"/>
      <c r="J1084" s="304"/>
    </row>
    <row r="1085" spans="9:10">
      <c r="I1085" s="304"/>
      <c r="J1085" s="304"/>
    </row>
    <row r="1086" spans="9:10">
      <c r="I1086" s="304"/>
      <c r="J1086" s="304"/>
    </row>
    <row r="1087" spans="9:10">
      <c r="I1087" s="304"/>
      <c r="J1087" s="304"/>
    </row>
    <row r="1088" spans="9:10">
      <c r="I1088" s="304"/>
      <c r="J1088" s="304"/>
    </row>
    <row r="1089" spans="9:10">
      <c r="I1089" s="304"/>
      <c r="J1089" s="304"/>
    </row>
    <row r="1090" spans="9:10">
      <c r="I1090" s="304"/>
      <c r="J1090" s="304"/>
    </row>
    <row r="1091" spans="9:10">
      <c r="I1091" s="304"/>
      <c r="J1091" s="304"/>
    </row>
    <row r="1092" spans="9:10">
      <c r="I1092" s="304"/>
      <c r="J1092" s="304"/>
    </row>
    <row r="1093" spans="9:10">
      <c r="I1093" s="304"/>
      <c r="J1093" s="304"/>
    </row>
    <row r="1094" spans="9:10">
      <c r="I1094" s="304"/>
      <c r="J1094" s="304"/>
    </row>
    <row r="1095" spans="9:10">
      <c r="I1095" s="304"/>
      <c r="J1095" s="304"/>
    </row>
    <row r="1096" spans="9:10">
      <c r="I1096" s="304"/>
      <c r="J1096" s="304"/>
    </row>
    <row r="1097" spans="9:10">
      <c r="I1097" s="304"/>
      <c r="J1097" s="304"/>
    </row>
    <row r="1098" spans="9:10">
      <c r="I1098" s="304"/>
      <c r="J1098" s="304"/>
    </row>
    <row r="1099" spans="9:10">
      <c r="I1099" s="304"/>
      <c r="J1099" s="304"/>
    </row>
    <row r="1100" spans="9:10">
      <c r="I1100" s="304"/>
      <c r="J1100" s="304"/>
    </row>
    <row r="1101" spans="9:10">
      <c r="I1101" s="304"/>
      <c r="J1101" s="304"/>
    </row>
    <row r="1102" spans="9:10">
      <c r="I1102" s="304"/>
      <c r="J1102" s="304"/>
    </row>
    <row r="1103" spans="9:10">
      <c r="I1103" s="304"/>
      <c r="J1103" s="304"/>
    </row>
    <row r="1104" spans="9:10">
      <c r="I1104" s="304"/>
      <c r="J1104" s="304"/>
    </row>
    <row r="1105" spans="9:10">
      <c r="I1105" s="304"/>
      <c r="J1105" s="304"/>
    </row>
    <row r="1106" spans="9:10">
      <c r="I1106" s="304"/>
      <c r="J1106" s="304"/>
    </row>
    <row r="1107" spans="9:10">
      <c r="I1107" s="304"/>
      <c r="J1107" s="304"/>
    </row>
    <row r="1108" spans="9:10">
      <c r="I1108" s="304"/>
      <c r="J1108" s="304"/>
    </row>
    <row r="1109" spans="9:10">
      <c r="I1109" s="304"/>
      <c r="J1109" s="304"/>
    </row>
    <row r="1110" spans="9:10">
      <c r="I1110" s="304"/>
      <c r="J1110" s="304"/>
    </row>
    <row r="1111" spans="9:10">
      <c r="I1111" s="304"/>
      <c r="J1111" s="304"/>
    </row>
    <row r="1112" spans="9:10">
      <c r="I1112" s="304"/>
      <c r="J1112" s="304"/>
    </row>
    <row r="1113" spans="9:10">
      <c r="I1113" s="304"/>
      <c r="J1113" s="304"/>
    </row>
    <row r="1114" spans="9:10">
      <c r="I1114" s="304"/>
      <c r="J1114" s="304"/>
    </row>
    <row r="1115" spans="9:10">
      <c r="I1115" s="304"/>
      <c r="J1115" s="304"/>
    </row>
    <row r="1116" spans="9:10">
      <c r="I1116" s="304"/>
      <c r="J1116" s="304"/>
    </row>
    <row r="1117" spans="9:10">
      <c r="I1117" s="304"/>
      <c r="J1117" s="304"/>
    </row>
    <row r="1118" spans="9:10">
      <c r="I1118" s="304"/>
      <c r="J1118" s="304"/>
    </row>
    <row r="1119" spans="9:10">
      <c r="I1119" s="304"/>
      <c r="J1119" s="304"/>
    </row>
    <row r="1120" spans="9:10">
      <c r="I1120" s="304"/>
      <c r="J1120" s="304"/>
    </row>
    <row r="1121" spans="9:10">
      <c r="I1121" s="304"/>
      <c r="J1121" s="304"/>
    </row>
    <row r="1122" spans="9:10">
      <c r="I1122" s="304"/>
      <c r="J1122" s="304"/>
    </row>
    <row r="1123" spans="9:10">
      <c r="I1123" s="304"/>
      <c r="J1123" s="304"/>
    </row>
    <row r="1124" spans="9:10">
      <c r="I1124" s="304"/>
      <c r="J1124" s="304"/>
    </row>
    <row r="1125" spans="9:10">
      <c r="I1125" s="304"/>
      <c r="J1125" s="304"/>
    </row>
    <row r="1126" spans="9:10">
      <c r="I1126" s="304"/>
      <c r="J1126" s="304"/>
    </row>
    <row r="1127" spans="9:10">
      <c r="I1127" s="304"/>
      <c r="J1127" s="304"/>
    </row>
    <row r="1128" spans="9:10">
      <c r="I1128" s="304"/>
      <c r="J1128" s="304"/>
    </row>
    <row r="1129" spans="9:10">
      <c r="I1129" s="304"/>
      <c r="J1129" s="304"/>
    </row>
    <row r="1130" spans="9:10">
      <c r="I1130" s="304"/>
      <c r="J1130" s="304"/>
    </row>
    <row r="1131" spans="9:10">
      <c r="I1131" s="304"/>
      <c r="J1131" s="304"/>
    </row>
    <row r="1132" spans="9:10">
      <c r="I1132" s="304"/>
      <c r="J1132" s="304"/>
    </row>
    <row r="1133" spans="9:10">
      <c r="I1133" s="304"/>
      <c r="J1133" s="304"/>
    </row>
    <row r="1134" spans="9:10">
      <c r="I1134" s="304"/>
      <c r="J1134" s="304"/>
    </row>
    <row r="1135" spans="9:10">
      <c r="I1135" s="304"/>
      <c r="J1135" s="304"/>
    </row>
    <row r="1136" spans="9:10">
      <c r="I1136" s="304"/>
      <c r="J1136" s="304"/>
    </row>
    <row r="1137" spans="9:10">
      <c r="I1137" s="304"/>
      <c r="J1137" s="304"/>
    </row>
    <row r="1138" spans="9:10">
      <c r="I1138" s="304"/>
      <c r="J1138" s="304"/>
    </row>
    <row r="1139" spans="9:10">
      <c r="I1139" s="304"/>
      <c r="J1139" s="304"/>
    </row>
    <row r="1140" spans="9:10">
      <c r="I1140" s="304"/>
      <c r="J1140" s="304"/>
    </row>
    <row r="1141" spans="9:10">
      <c r="I1141" s="304"/>
      <c r="J1141" s="304"/>
    </row>
    <row r="1142" spans="9:10">
      <c r="I1142" s="304"/>
      <c r="J1142" s="304"/>
    </row>
    <row r="1143" spans="9:10">
      <c r="I1143" s="304"/>
      <c r="J1143" s="304"/>
    </row>
    <row r="1144" spans="9:10">
      <c r="I1144" s="304"/>
      <c r="J1144" s="304"/>
    </row>
    <row r="1145" spans="9:10">
      <c r="I1145" s="304"/>
      <c r="J1145" s="304"/>
    </row>
    <row r="1146" spans="9:10">
      <c r="I1146" s="304"/>
      <c r="J1146" s="304"/>
    </row>
    <row r="1147" spans="9:10">
      <c r="I1147" s="304"/>
      <c r="J1147" s="304"/>
    </row>
    <row r="1148" spans="9:10">
      <c r="I1148" s="304"/>
      <c r="J1148" s="304"/>
    </row>
    <row r="1149" spans="9:10">
      <c r="I1149" s="304"/>
      <c r="J1149" s="304"/>
    </row>
    <row r="1150" spans="9:10">
      <c r="I1150" s="304"/>
      <c r="J1150" s="304"/>
    </row>
    <row r="1151" spans="9:10">
      <c r="I1151" s="304"/>
      <c r="J1151" s="304"/>
    </row>
    <row r="1152" spans="9:10">
      <c r="I1152" s="304"/>
      <c r="J1152" s="304"/>
    </row>
    <row r="1153" spans="9:10">
      <c r="I1153" s="304"/>
      <c r="J1153" s="304"/>
    </row>
    <row r="1154" spans="9:10">
      <c r="I1154" s="304"/>
      <c r="J1154" s="304"/>
    </row>
    <row r="1155" spans="9:10">
      <c r="I1155" s="304"/>
      <c r="J1155" s="304"/>
    </row>
    <row r="1156" spans="9:10">
      <c r="I1156" s="304"/>
      <c r="J1156" s="304"/>
    </row>
    <row r="1157" spans="9:10">
      <c r="I1157" s="304"/>
      <c r="J1157" s="304"/>
    </row>
    <row r="1158" spans="9:10">
      <c r="I1158" s="304"/>
      <c r="J1158" s="304"/>
    </row>
    <row r="1159" spans="9:10">
      <c r="I1159" s="304"/>
      <c r="J1159" s="304"/>
    </row>
    <row r="1160" spans="9:10">
      <c r="I1160" s="304"/>
      <c r="J1160" s="304"/>
    </row>
    <row r="1161" spans="9:10">
      <c r="I1161" s="304"/>
      <c r="J1161" s="304"/>
    </row>
    <row r="1162" spans="9:10">
      <c r="I1162" s="304"/>
      <c r="J1162" s="304"/>
    </row>
    <row r="1163" spans="9:10">
      <c r="I1163" s="304"/>
      <c r="J1163" s="304"/>
    </row>
    <row r="1164" spans="9:10">
      <c r="I1164" s="304"/>
      <c r="J1164" s="304"/>
    </row>
    <row r="1165" spans="9:10">
      <c r="I1165" s="304"/>
      <c r="J1165" s="304"/>
    </row>
    <row r="1166" spans="9:10">
      <c r="I1166" s="304"/>
      <c r="J1166" s="304"/>
    </row>
    <row r="1167" spans="9:10">
      <c r="I1167" s="304"/>
      <c r="J1167" s="304"/>
    </row>
    <row r="1168" spans="9:10">
      <c r="I1168" s="304"/>
      <c r="J1168" s="304"/>
    </row>
    <row r="1169" spans="9:10">
      <c r="I1169" s="304"/>
      <c r="J1169" s="304"/>
    </row>
    <row r="1170" spans="9:10">
      <c r="I1170" s="304"/>
      <c r="J1170" s="304"/>
    </row>
    <row r="1171" spans="9:10">
      <c r="I1171" s="304"/>
      <c r="J1171" s="304"/>
    </row>
    <row r="1172" spans="9:10">
      <c r="I1172" s="304"/>
      <c r="J1172" s="304"/>
    </row>
    <row r="1173" spans="9:10">
      <c r="I1173" s="304"/>
      <c r="J1173" s="304"/>
    </row>
    <row r="1174" spans="9:10">
      <c r="I1174" s="304"/>
      <c r="J1174" s="304"/>
    </row>
    <row r="1175" spans="9:10">
      <c r="I1175" s="304"/>
      <c r="J1175" s="304"/>
    </row>
    <row r="1176" spans="9:10">
      <c r="I1176" s="304"/>
      <c r="J1176" s="304"/>
    </row>
    <row r="1177" spans="9:10">
      <c r="I1177" s="304"/>
      <c r="J1177" s="304"/>
    </row>
    <row r="1178" spans="9:10">
      <c r="I1178" s="304"/>
      <c r="J1178" s="304"/>
    </row>
    <row r="1179" spans="9:10">
      <c r="I1179" s="304"/>
      <c r="J1179" s="304"/>
    </row>
    <row r="1180" spans="9:10">
      <c r="I1180" s="304"/>
      <c r="J1180" s="304"/>
    </row>
    <row r="1181" spans="9:10">
      <c r="I1181" s="304"/>
      <c r="J1181" s="304"/>
    </row>
    <row r="1182" spans="9:10">
      <c r="I1182" s="304"/>
      <c r="J1182" s="304"/>
    </row>
    <row r="1183" spans="9:10">
      <c r="I1183" s="304"/>
      <c r="J1183" s="304"/>
    </row>
    <row r="1184" spans="9:10">
      <c r="I1184" s="304"/>
      <c r="J1184" s="304"/>
    </row>
    <row r="1185" spans="9:10">
      <c r="I1185" s="304"/>
      <c r="J1185" s="304"/>
    </row>
    <row r="1186" spans="9:10">
      <c r="I1186" s="304"/>
      <c r="J1186" s="304"/>
    </row>
    <row r="1187" spans="9:10">
      <c r="I1187" s="304"/>
      <c r="J1187" s="304"/>
    </row>
    <row r="1188" spans="9:10">
      <c r="I1188" s="304"/>
      <c r="J1188" s="304"/>
    </row>
    <row r="1189" spans="9:10">
      <c r="I1189" s="304"/>
      <c r="J1189" s="304"/>
    </row>
    <row r="1190" spans="9:10">
      <c r="I1190" s="304"/>
      <c r="J1190" s="304"/>
    </row>
    <row r="1191" spans="9:10">
      <c r="I1191" s="304"/>
      <c r="J1191" s="304"/>
    </row>
    <row r="1192" spans="9:10">
      <c r="I1192" s="304"/>
      <c r="J1192" s="304"/>
    </row>
    <row r="1193" spans="9:10">
      <c r="I1193" s="304"/>
      <c r="J1193" s="304"/>
    </row>
    <row r="1194" spans="9:10">
      <c r="I1194" s="304"/>
      <c r="J1194" s="304"/>
    </row>
    <row r="1195" spans="9:10">
      <c r="I1195" s="304"/>
      <c r="J1195" s="304"/>
    </row>
    <row r="1196" spans="9:10">
      <c r="I1196" s="304"/>
      <c r="J1196" s="304"/>
    </row>
    <row r="1197" spans="9:10">
      <c r="I1197" s="304"/>
      <c r="J1197" s="304"/>
    </row>
    <row r="1198" spans="9:10">
      <c r="I1198" s="304"/>
      <c r="J1198" s="304"/>
    </row>
    <row r="1199" spans="9:10">
      <c r="I1199" s="304"/>
      <c r="J1199" s="304"/>
    </row>
    <row r="1200" spans="9:10">
      <c r="I1200" s="304"/>
      <c r="J1200" s="304"/>
    </row>
    <row r="1201" spans="9:10">
      <c r="I1201" s="304"/>
      <c r="J1201" s="304"/>
    </row>
    <row r="1202" spans="9:10">
      <c r="I1202" s="304"/>
      <c r="J1202" s="304"/>
    </row>
    <row r="1203" spans="9:10">
      <c r="I1203" s="304"/>
      <c r="J1203" s="304"/>
    </row>
    <row r="1204" spans="9:10">
      <c r="I1204" s="304"/>
      <c r="J1204" s="304"/>
    </row>
    <row r="1205" spans="9:10">
      <c r="I1205" s="304"/>
      <c r="J1205" s="304"/>
    </row>
    <row r="1206" spans="9:10">
      <c r="I1206" s="304"/>
      <c r="J1206" s="304"/>
    </row>
    <row r="1207" spans="9:10">
      <c r="I1207" s="304"/>
      <c r="J1207" s="304"/>
    </row>
    <row r="1208" spans="9:10">
      <c r="I1208" s="304"/>
      <c r="J1208" s="304"/>
    </row>
    <row r="1209" spans="9:10">
      <c r="I1209" s="304"/>
      <c r="J1209" s="304"/>
    </row>
    <row r="1210" spans="9:10">
      <c r="I1210" s="304"/>
      <c r="J1210" s="304"/>
    </row>
    <row r="1211" spans="9:10">
      <c r="I1211" s="304"/>
      <c r="J1211" s="304"/>
    </row>
    <row r="1212" spans="9:10">
      <c r="I1212" s="304"/>
      <c r="J1212" s="304"/>
    </row>
    <row r="1213" spans="9:10">
      <c r="I1213" s="304"/>
      <c r="J1213" s="304"/>
    </row>
    <row r="1214" spans="9:10">
      <c r="I1214" s="304"/>
      <c r="J1214" s="304"/>
    </row>
    <row r="1215" spans="9:10">
      <c r="I1215" s="304"/>
      <c r="J1215" s="304"/>
    </row>
    <row r="1216" spans="9:10">
      <c r="I1216" s="304"/>
      <c r="J1216" s="304"/>
    </row>
    <row r="1217" spans="9:10">
      <c r="I1217" s="304"/>
      <c r="J1217" s="304"/>
    </row>
    <row r="1218" spans="9:10">
      <c r="I1218" s="304"/>
      <c r="J1218" s="304"/>
    </row>
    <row r="1219" spans="9:10">
      <c r="I1219" s="304"/>
      <c r="J1219" s="304"/>
    </row>
    <row r="1220" spans="9:10">
      <c r="I1220" s="304"/>
      <c r="J1220" s="304"/>
    </row>
    <row r="1221" spans="9:10">
      <c r="I1221" s="304"/>
      <c r="J1221" s="304"/>
    </row>
    <row r="1222" spans="9:10">
      <c r="I1222" s="304"/>
      <c r="J1222" s="304"/>
    </row>
    <row r="1223" spans="9:10">
      <c r="I1223" s="304"/>
      <c r="J1223" s="304"/>
    </row>
    <row r="1224" spans="9:10">
      <c r="I1224" s="304"/>
      <c r="J1224" s="304"/>
    </row>
    <row r="1225" spans="9:10">
      <c r="I1225" s="304"/>
      <c r="J1225" s="304"/>
    </row>
    <row r="1226" spans="9:10">
      <c r="I1226" s="304"/>
      <c r="J1226" s="304"/>
    </row>
    <row r="1227" spans="9:10">
      <c r="I1227" s="304"/>
      <c r="J1227" s="304"/>
    </row>
    <row r="1228" spans="9:10">
      <c r="I1228" s="304"/>
      <c r="J1228" s="304"/>
    </row>
    <row r="1229" spans="9:10">
      <c r="I1229" s="304"/>
      <c r="J1229" s="304"/>
    </row>
    <row r="1230" spans="9:10">
      <c r="I1230" s="304"/>
      <c r="J1230" s="304"/>
    </row>
    <row r="1231" spans="9:10">
      <c r="I1231" s="304"/>
      <c r="J1231" s="304"/>
    </row>
    <row r="1232" spans="9:10">
      <c r="I1232" s="304"/>
      <c r="J1232" s="304"/>
    </row>
    <row r="1233" spans="9:10">
      <c r="I1233" s="304"/>
      <c r="J1233" s="304"/>
    </row>
    <row r="1234" spans="9:10">
      <c r="I1234" s="304"/>
      <c r="J1234" s="304"/>
    </row>
    <row r="1235" spans="9:10">
      <c r="I1235" s="304"/>
      <c r="J1235" s="304"/>
    </row>
    <row r="1236" spans="9:10">
      <c r="I1236" s="304"/>
      <c r="J1236" s="304"/>
    </row>
    <row r="1237" spans="9:10">
      <c r="I1237" s="304"/>
      <c r="J1237" s="304"/>
    </row>
    <row r="1238" spans="9:10">
      <c r="I1238" s="304"/>
      <c r="J1238" s="304"/>
    </row>
    <row r="1239" spans="9:10">
      <c r="I1239" s="304"/>
      <c r="J1239" s="304"/>
    </row>
    <row r="1240" spans="9:10">
      <c r="I1240" s="304"/>
      <c r="J1240" s="304"/>
    </row>
    <row r="1241" spans="9:10">
      <c r="I1241" s="304"/>
      <c r="J1241" s="304"/>
    </row>
    <row r="1242" spans="9:10">
      <c r="I1242" s="304"/>
      <c r="J1242" s="304"/>
    </row>
    <row r="1243" spans="9:10">
      <c r="I1243" s="304"/>
      <c r="J1243" s="304"/>
    </row>
    <row r="1244" spans="9:10">
      <c r="I1244" s="304"/>
      <c r="J1244" s="304"/>
    </row>
    <row r="1245" spans="9:10">
      <c r="I1245" s="304"/>
      <c r="J1245" s="304"/>
    </row>
    <row r="1246" spans="9:10">
      <c r="I1246" s="304"/>
      <c r="J1246" s="304"/>
    </row>
    <row r="1247" spans="9:10">
      <c r="I1247" s="304"/>
      <c r="J1247" s="304"/>
    </row>
    <row r="1248" spans="9:10">
      <c r="I1248" s="304"/>
      <c r="J1248" s="304"/>
    </row>
    <row r="1249" spans="9:10">
      <c r="I1249" s="304"/>
      <c r="J1249" s="304"/>
    </row>
    <row r="1250" spans="9:10">
      <c r="I1250" s="304"/>
      <c r="J1250" s="304"/>
    </row>
    <row r="1251" spans="9:10">
      <c r="I1251" s="304"/>
      <c r="J1251" s="304"/>
    </row>
    <row r="1252" spans="9:10">
      <c r="I1252" s="304"/>
      <c r="J1252" s="304"/>
    </row>
    <row r="1253" spans="9:10">
      <c r="I1253" s="304"/>
      <c r="J1253" s="304"/>
    </row>
    <row r="1254" spans="9:10">
      <c r="I1254" s="304"/>
      <c r="J1254" s="304"/>
    </row>
    <row r="1255" spans="9:10">
      <c r="I1255" s="304"/>
      <c r="J1255" s="304"/>
    </row>
    <row r="1256" spans="9:10">
      <c r="I1256" s="304"/>
      <c r="J1256" s="304"/>
    </row>
    <row r="1257" spans="9:10">
      <c r="I1257" s="304"/>
      <c r="J1257" s="304"/>
    </row>
    <row r="1258" spans="9:10">
      <c r="I1258" s="304"/>
      <c r="J1258" s="304"/>
    </row>
    <row r="1259" spans="9:10">
      <c r="I1259" s="304"/>
      <c r="J1259" s="304"/>
    </row>
    <row r="1260" spans="9:10">
      <c r="I1260" s="304"/>
      <c r="J1260" s="304"/>
    </row>
    <row r="1261" spans="9:10">
      <c r="I1261" s="304"/>
      <c r="J1261" s="304"/>
    </row>
    <row r="1262" spans="9:10">
      <c r="I1262" s="304"/>
      <c r="J1262" s="304"/>
    </row>
    <row r="1263" spans="9:10">
      <c r="I1263" s="304"/>
      <c r="J1263" s="304"/>
    </row>
    <row r="1264" spans="9:10">
      <c r="I1264" s="304"/>
      <c r="J1264" s="304"/>
    </row>
    <row r="1265" spans="9:10">
      <c r="I1265" s="304"/>
      <c r="J1265" s="304"/>
    </row>
    <row r="1266" spans="9:10">
      <c r="I1266" s="304"/>
      <c r="J1266" s="304"/>
    </row>
    <row r="1267" spans="9:10">
      <c r="I1267" s="304"/>
      <c r="J1267" s="304"/>
    </row>
    <row r="1268" spans="9:10">
      <c r="I1268" s="304"/>
      <c r="J1268" s="304"/>
    </row>
    <row r="1269" spans="9:10">
      <c r="I1269" s="304"/>
      <c r="J1269" s="304"/>
    </row>
    <row r="1270" spans="9:10">
      <c r="I1270" s="304"/>
      <c r="J1270" s="304"/>
    </row>
    <row r="1271" spans="9:10">
      <c r="I1271" s="304"/>
      <c r="J1271" s="304"/>
    </row>
    <row r="1272" spans="9:10">
      <c r="I1272" s="304"/>
      <c r="J1272" s="304"/>
    </row>
    <row r="1273" spans="9:10">
      <c r="I1273" s="304"/>
      <c r="J1273" s="304"/>
    </row>
    <row r="1274" spans="9:10">
      <c r="I1274" s="304"/>
      <c r="J1274" s="304"/>
    </row>
    <row r="1275" spans="9:10">
      <c r="I1275" s="304"/>
      <c r="J1275" s="304"/>
    </row>
    <row r="1276" spans="9:10">
      <c r="I1276" s="304"/>
      <c r="J1276" s="304"/>
    </row>
    <row r="1277" spans="9:10">
      <c r="I1277" s="304"/>
      <c r="J1277" s="304"/>
    </row>
    <row r="1278" spans="9:10">
      <c r="I1278" s="304"/>
      <c r="J1278" s="304"/>
    </row>
    <row r="1279" spans="9:10">
      <c r="I1279" s="304"/>
      <c r="J1279" s="304"/>
    </row>
    <row r="1280" spans="9:10">
      <c r="I1280" s="304"/>
      <c r="J1280" s="304"/>
    </row>
    <row r="1281" spans="9:10">
      <c r="I1281" s="304"/>
      <c r="J1281" s="304"/>
    </row>
    <row r="1282" spans="9:10">
      <c r="I1282" s="304"/>
      <c r="J1282" s="304"/>
    </row>
    <row r="1283" spans="9:10">
      <c r="I1283" s="304"/>
      <c r="J1283" s="304"/>
    </row>
    <row r="1284" spans="9:10">
      <c r="I1284" s="304"/>
      <c r="J1284" s="304"/>
    </row>
    <row r="1285" spans="9:10">
      <c r="I1285" s="304"/>
      <c r="J1285" s="304"/>
    </row>
    <row r="1286" spans="9:10">
      <c r="I1286" s="304"/>
      <c r="J1286" s="304"/>
    </row>
    <row r="1287" spans="9:10">
      <c r="I1287" s="304"/>
      <c r="J1287" s="304"/>
    </row>
    <row r="1288" spans="9:10">
      <c r="I1288" s="304"/>
      <c r="J1288" s="304"/>
    </row>
    <row r="1289" spans="9:10">
      <c r="I1289" s="304"/>
      <c r="J1289" s="304"/>
    </row>
    <row r="1290" spans="9:10">
      <c r="I1290" s="304"/>
      <c r="J1290" s="304"/>
    </row>
    <row r="1291" spans="9:10">
      <c r="I1291" s="304"/>
      <c r="J1291" s="304"/>
    </row>
    <row r="1292" spans="9:10">
      <c r="I1292" s="304"/>
      <c r="J1292" s="304"/>
    </row>
    <row r="1293" spans="9:10">
      <c r="I1293" s="304"/>
      <c r="J1293" s="304"/>
    </row>
    <row r="1294" spans="9:10">
      <c r="I1294" s="304"/>
      <c r="J1294" s="304"/>
    </row>
    <row r="1295" spans="9:10">
      <c r="I1295" s="304"/>
      <c r="J1295" s="304"/>
    </row>
    <row r="1296" spans="9:10">
      <c r="I1296" s="304"/>
      <c r="J1296" s="304"/>
    </row>
    <row r="1297" spans="9:10">
      <c r="I1297" s="304"/>
      <c r="J1297" s="304"/>
    </row>
    <row r="1298" spans="9:10">
      <c r="I1298" s="304"/>
      <c r="J1298" s="304"/>
    </row>
    <row r="1299" spans="9:10">
      <c r="I1299" s="304"/>
      <c r="J1299" s="304"/>
    </row>
    <row r="1300" spans="9:10">
      <c r="I1300" s="304"/>
      <c r="J1300" s="304"/>
    </row>
    <row r="1301" spans="9:10">
      <c r="I1301" s="304"/>
      <c r="J1301" s="304"/>
    </row>
    <row r="1302" spans="9:10">
      <c r="I1302" s="304"/>
      <c r="J1302" s="304"/>
    </row>
    <row r="1303" spans="9:10">
      <c r="I1303" s="304"/>
      <c r="J1303" s="304"/>
    </row>
    <row r="1304" spans="9:10">
      <c r="I1304" s="304"/>
      <c r="J1304" s="304"/>
    </row>
    <row r="1305" spans="9:10">
      <c r="I1305" s="304"/>
      <c r="J1305" s="304"/>
    </row>
    <row r="1306" spans="9:10">
      <c r="I1306" s="304"/>
      <c r="J1306" s="304"/>
    </row>
    <row r="1307" spans="9:10">
      <c r="I1307" s="304"/>
      <c r="J1307" s="304"/>
    </row>
    <row r="1308" spans="9:10">
      <c r="I1308" s="304"/>
      <c r="J1308" s="304"/>
    </row>
    <row r="1309" spans="9:10">
      <c r="I1309" s="304"/>
      <c r="J1309" s="304"/>
    </row>
    <row r="1310" spans="9:10">
      <c r="I1310" s="304"/>
      <c r="J1310" s="304"/>
    </row>
    <row r="1311" spans="9:10">
      <c r="I1311" s="304"/>
      <c r="J1311" s="304"/>
    </row>
    <row r="1312" spans="9:10">
      <c r="I1312" s="304"/>
      <c r="J1312" s="304"/>
    </row>
    <row r="1313" spans="9:10">
      <c r="I1313" s="304"/>
      <c r="J1313" s="304"/>
    </row>
    <row r="1314" spans="9:10">
      <c r="I1314" s="304"/>
      <c r="J1314" s="304"/>
    </row>
    <row r="1315" spans="9:10">
      <c r="I1315" s="304"/>
      <c r="J1315" s="304"/>
    </row>
    <row r="1316" spans="9:10">
      <c r="I1316" s="304"/>
      <c r="J1316" s="304"/>
    </row>
    <row r="1317" spans="9:10">
      <c r="I1317" s="304"/>
      <c r="J1317" s="304"/>
    </row>
    <row r="1318" spans="9:10">
      <c r="I1318" s="304"/>
      <c r="J1318" s="304"/>
    </row>
    <row r="1319" spans="9:10">
      <c r="I1319" s="304"/>
      <c r="J1319" s="304"/>
    </row>
    <row r="1320" spans="9:10">
      <c r="I1320" s="304"/>
      <c r="J1320" s="304"/>
    </row>
    <row r="1321" spans="9:10">
      <c r="I1321" s="304"/>
      <c r="J1321" s="304"/>
    </row>
    <row r="1322" spans="9:10">
      <c r="I1322" s="304"/>
      <c r="J1322" s="304"/>
    </row>
    <row r="1323" spans="9:10">
      <c r="I1323" s="304"/>
      <c r="J1323" s="304"/>
    </row>
    <row r="1324" spans="9:10">
      <c r="I1324" s="304"/>
      <c r="J1324" s="304"/>
    </row>
    <row r="1325" spans="9:10">
      <c r="I1325" s="304"/>
      <c r="J1325" s="304"/>
    </row>
    <row r="1326" spans="9:10">
      <c r="I1326" s="304"/>
      <c r="J1326" s="304"/>
    </row>
    <row r="1327" spans="9:10">
      <c r="I1327" s="304"/>
      <c r="J1327" s="304"/>
    </row>
    <row r="1328" spans="9:10">
      <c r="I1328" s="304"/>
      <c r="J1328" s="304"/>
    </row>
    <row r="1329" spans="9:10">
      <c r="I1329" s="304"/>
      <c r="J1329" s="304"/>
    </row>
    <row r="1330" spans="9:10">
      <c r="I1330" s="304"/>
      <c r="J1330" s="304"/>
    </row>
    <row r="1331" spans="9:10">
      <c r="I1331" s="304"/>
      <c r="J1331" s="304"/>
    </row>
    <row r="1332" spans="9:10">
      <c r="I1332" s="304"/>
      <c r="J1332" s="304"/>
    </row>
    <row r="1333" spans="9:10">
      <c r="I1333" s="304"/>
      <c r="J1333" s="304"/>
    </row>
    <row r="1334" spans="9:10">
      <c r="I1334" s="304"/>
      <c r="J1334" s="304"/>
    </row>
    <row r="1335" spans="9:10">
      <c r="I1335" s="304"/>
      <c r="J1335" s="304"/>
    </row>
    <row r="1336" spans="9:10">
      <c r="I1336" s="304"/>
      <c r="J1336" s="304"/>
    </row>
    <row r="1337" spans="9:10">
      <c r="I1337" s="304"/>
      <c r="J1337" s="304"/>
    </row>
    <row r="1338" spans="9:10">
      <c r="I1338" s="304"/>
      <c r="J1338" s="304"/>
    </row>
    <row r="1339" spans="9:10">
      <c r="I1339" s="304"/>
      <c r="J1339" s="304"/>
    </row>
    <row r="1340" spans="9:10">
      <c r="I1340" s="304"/>
      <c r="J1340" s="304"/>
    </row>
    <row r="1341" spans="9:10">
      <c r="I1341" s="304"/>
      <c r="J1341" s="304"/>
    </row>
    <row r="1342" spans="9:10">
      <c r="I1342" s="304"/>
      <c r="J1342" s="304"/>
    </row>
    <row r="1343" spans="9:10">
      <c r="I1343" s="304"/>
      <c r="J1343" s="304"/>
    </row>
    <row r="1344" spans="9:10">
      <c r="I1344" s="304"/>
      <c r="J1344" s="304"/>
    </row>
    <row r="1345" spans="9:10">
      <c r="I1345" s="304"/>
      <c r="J1345" s="304"/>
    </row>
    <row r="1346" spans="9:10">
      <c r="I1346" s="304"/>
      <c r="J1346" s="304"/>
    </row>
    <row r="1347" spans="9:10">
      <c r="I1347" s="304"/>
      <c r="J1347" s="304"/>
    </row>
    <row r="1348" spans="9:10">
      <c r="I1348" s="304"/>
      <c r="J1348" s="304"/>
    </row>
    <row r="1349" spans="9:10">
      <c r="I1349" s="304"/>
      <c r="J1349" s="304"/>
    </row>
    <row r="1350" spans="9:10">
      <c r="I1350" s="304"/>
      <c r="J1350" s="304"/>
    </row>
    <row r="1351" spans="9:10">
      <c r="I1351" s="304"/>
      <c r="J1351" s="304"/>
    </row>
    <row r="1352" spans="9:10">
      <c r="I1352" s="304"/>
      <c r="J1352" s="304"/>
    </row>
    <row r="1353" spans="9:10">
      <c r="I1353" s="304"/>
      <c r="J1353" s="304"/>
    </row>
    <row r="1354" spans="9:10">
      <c r="I1354" s="304"/>
      <c r="J1354" s="304"/>
    </row>
    <row r="1355" spans="9:10">
      <c r="I1355" s="304"/>
      <c r="J1355" s="304"/>
    </row>
    <row r="1356" spans="9:10">
      <c r="I1356" s="304"/>
      <c r="J1356" s="304"/>
    </row>
    <row r="1357" spans="9:10">
      <c r="I1357" s="304"/>
      <c r="J1357" s="304"/>
    </row>
    <row r="1358" spans="9:10">
      <c r="I1358" s="304"/>
      <c r="J1358" s="304"/>
    </row>
    <row r="1359" spans="9:10">
      <c r="I1359" s="304"/>
      <c r="J1359" s="304"/>
    </row>
    <row r="1360" spans="9:10">
      <c r="I1360" s="304"/>
      <c r="J1360" s="304"/>
    </row>
    <row r="1361" spans="9:10">
      <c r="I1361" s="304"/>
      <c r="J1361" s="304"/>
    </row>
    <row r="1362" spans="9:10">
      <c r="I1362" s="304"/>
      <c r="J1362" s="304"/>
    </row>
    <row r="1363" spans="9:10">
      <c r="I1363" s="304"/>
      <c r="J1363" s="304"/>
    </row>
    <row r="1364" spans="9:10">
      <c r="I1364" s="304"/>
      <c r="J1364" s="304"/>
    </row>
    <row r="1365" spans="9:10">
      <c r="I1365" s="304"/>
      <c r="J1365" s="304"/>
    </row>
    <row r="1366" spans="9:10">
      <c r="I1366" s="304"/>
      <c r="J1366" s="304"/>
    </row>
    <row r="1367" spans="9:10">
      <c r="I1367" s="304"/>
      <c r="J1367" s="304"/>
    </row>
    <row r="1368" spans="9:10">
      <c r="I1368" s="304"/>
      <c r="J1368" s="304"/>
    </row>
    <row r="1369" spans="9:10">
      <c r="I1369" s="304"/>
      <c r="J1369" s="304"/>
    </row>
    <row r="1370" spans="9:10">
      <c r="I1370" s="304"/>
      <c r="J1370" s="304"/>
    </row>
    <row r="1371" spans="9:10">
      <c r="I1371" s="304"/>
      <c r="J1371" s="304"/>
    </row>
    <row r="1372" spans="9:10">
      <c r="I1372" s="304"/>
      <c r="J1372" s="304"/>
    </row>
    <row r="1373" spans="9:10">
      <c r="I1373" s="304"/>
      <c r="J1373" s="304"/>
    </row>
    <row r="1374" spans="9:10">
      <c r="I1374" s="304"/>
      <c r="J1374" s="304"/>
    </row>
    <row r="1375" spans="9:10">
      <c r="I1375" s="304"/>
      <c r="J1375" s="304"/>
    </row>
    <row r="1376" spans="9:10">
      <c r="I1376" s="304"/>
      <c r="J1376" s="304"/>
    </row>
    <row r="1377" spans="9:10">
      <c r="I1377" s="304"/>
      <c r="J1377" s="304"/>
    </row>
    <row r="1378" spans="9:10">
      <c r="I1378" s="304"/>
      <c r="J1378" s="304"/>
    </row>
    <row r="1379" spans="9:10">
      <c r="I1379" s="304"/>
      <c r="J1379" s="304"/>
    </row>
    <row r="1380" spans="9:10">
      <c r="I1380" s="304"/>
      <c r="J1380" s="304"/>
    </row>
    <row r="1381" spans="9:10">
      <c r="I1381" s="304"/>
      <c r="J1381" s="304"/>
    </row>
    <row r="1382" spans="9:10">
      <c r="I1382" s="304"/>
      <c r="J1382" s="304"/>
    </row>
    <row r="1383" spans="9:10">
      <c r="I1383" s="304"/>
      <c r="J1383" s="304"/>
    </row>
    <row r="1384" spans="9:10">
      <c r="I1384" s="304"/>
      <c r="J1384" s="304"/>
    </row>
    <row r="1385" spans="9:10">
      <c r="I1385" s="304"/>
      <c r="J1385" s="304"/>
    </row>
    <row r="1386" spans="9:10">
      <c r="I1386" s="304"/>
      <c r="J1386" s="304"/>
    </row>
    <row r="1387" spans="9:10">
      <c r="I1387" s="304"/>
      <c r="J1387" s="304"/>
    </row>
    <row r="1388" spans="9:10">
      <c r="I1388" s="304"/>
      <c r="J1388" s="304"/>
    </row>
    <row r="1389" spans="9:10">
      <c r="I1389" s="304"/>
      <c r="J1389" s="304"/>
    </row>
    <row r="1390" spans="9:10">
      <c r="I1390" s="304"/>
      <c r="J1390" s="304"/>
    </row>
    <row r="1391" spans="9:10">
      <c r="I1391" s="304"/>
      <c r="J1391" s="304"/>
    </row>
    <row r="1392" spans="9:10">
      <c r="I1392" s="304"/>
      <c r="J1392" s="304"/>
    </row>
    <row r="1393" spans="9:10">
      <c r="I1393" s="304"/>
      <c r="J1393" s="304"/>
    </row>
    <row r="1394" spans="9:10">
      <c r="I1394" s="304"/>
      <c r="J1394" s="304"/>
    </row>
    <row r="1395" spans="9:10">
      <c r="I1395" s="304"/>
      <c r="J1395" s="304"/>
    </row>
    <row r="1396" spans="9:10">
      <c r="I1396" s="304"/>
      <c r="J1396" s="304"/>
    </row>
    <row r="1397" spans="9:10">
      <c r="I1397" s="304"/>
      <c r="J1397" s="304"/>
    </row>
    <row r="1398" spans="9:10">
      <c r="I1398" s="304"/>
      <c r="J1398" s="304"/>
    </row>
    <row r="1399" spans="9:10">
      <c r="I1399" s="304"/>
      <c r="J1399" s="304"/>
    </row>
    <row r="1400" spans="9:10">
      <c r="I1400" s="304"/>
      <c r="J1400" s="304"/>
    </row>
    <row r="1401" spans="9:10">
      <c r="I1401" s="304"/>
      <c r="J1401" s="304"/>
    </row>
    <row r="1402" spans="9:10">
      <c r="I1402" s="304"/>
      <c r="J1402" s="304"/>
    </row>
    <row r="1403" spans="9:10">
      <c r="I1403" s="304"/>
      <c r="J1403" s="304"/>
    </row>
    <row r="1404" spans="9:10">
      <c r="I1404" s="304"/>
      <c r="J1404" s="304"/>
    </row>
    <row r="1405" spans="9:10">
      <c r="I1405" s="304"/>
      <c r="J1405" s="304"/>
    </row>
    <row r="1406" spans="9:10">
      <c r="I1406" s="304"/>
      <c r="J1406" s="304"/>
    </row>
    <row r="1407" spans="9:10">
      <c r="I1407" s="304"/>
      <c r="J1407" s="304"/>
    </row>
    <row r="1408" spans="9:10">
      <c r="I1408" s="304"/>
      <c r="J1408" s="304"/>
    </row>
    <row r="1409" spans="9:10">
      <c r="I1409" s="304"/>
      <c r="J1409" s="304"/>
    </row>
    <row r="1410" spans="9:10">
      <c r="I1410" s="304"/>
      <c r="J1410" s="304"/>
    </row>
    <row r="1411" spans="9:10">
      <c r="I1411" s="304"/>
      <c r="J1411" s="304"/>
    </row>
    <row r="1412" spans="9:10">
      <c r="I1412" s="304"/>
      <c r="J1412" s="304"/>
    </row>
    <row r="1413" spans="9:10">
      <c r="I1413" s="304"/>
      <c r="J1413" s="304"/>
    </row>
    <row r="1414" spans="9:10">
      <c r="I1414" s="304"/>
      <c r="J1414" s="304"/>
    </row>
    <row r="1415" spans="9:10">
      <c r="I1415" s="304"/>
      <c r="J1415" s="304"/>
    </row>
    <row r="1416" spans="9:10">
      <c r="I1416" s="304"/>
      <c r="J1416" s="304"/>
    </row>
    <row r="1417" spans="9:10">
      <c r="I1417" s="304"/>
      <c r="J1417" s="304"/>
    </row>
    <row r="1418" spans="9:10">
      <c r="I1418" s="304"/>
      <c r="J1418" s="304"/>
    </row>
    <row r="1419" spans="9:10">
      <c r="I1419" s="304"/>
      <c r="J1419" s="304"/>
    </row>
    <row r="1420" spans="9:10">
      <c r="I1420" s="304"/>
      <c r="J1420" s="304"/>
    </row>
    <row r="1421" spans="9:10">
      <c r="I1421" s="304"/>
      <c r="J1421" s="304"/>
    </row>
    <row r="1422" spans="9:10">
      <c r="I1422" s="304"/>
      <c r="J1422" s="304"/>
    </row>
    <row r="1423" spans="9:10">
      <c r="I1423" s="304"/>
      <c r="J1423" s="304"/>
    </row>
    <row r="1424" spans="9:10">
      <c r="I1424" s="304"/>
      <c r="J1424" s="304"/>
    </row>
    <row r="1425" spans="9:10">
      <c r="I1425" s="304"/>
      <c r="J1425" s="304"/>
    </row>
    <row r="1426" spans="9:10">
      <c r="I1426" s="304"/>
      <c r="J1426" s="304"/>
    </row>
    <row r="1427" spans="9:10">
      <c r="I1427" s="304"/>
      <c r="J1427" s="304"/>
    </row>
    <row r="1428" spans="9:10">
      <c r="I1428" s="304"/>
      <c r="J1428" s="304"/>
    </row>
    <row r="1429" spans="9:10">
      <c r="I1429" s="304"/>
      <c r="J1429" s="304"/>
    </row>
    <row r="1430" spans="9:10">
      <c r="I1430" s="304"/>
      <c r="J1430" s="304"/>
    </row>
    <row r="1431" spans="9:10">
      <c r="I1431" s="304"/>
      <c r="J1431" s="304"/>
    </row>
    <row r="1432" spans="9:10">
      <c r="I1432" s="304"/>
      <c r="J1432" s="304"/>
    </row>
    <row r="1433" spans="9:10">
      <c r="I1433" s="304"/>
      <c r="J1433" s="304"/>
    </row>
    <row r="1434" spans="9:10">
      <c r="I1434" s="304"/>
      <c r="J1434" s="304"/>
    </row>
    <row r="1435" spans="9:10">
      <c r="I1435" s="304"/>
      <c r="J1435" s="304"/>
    </row>
    <row r="1436" spans="9:10">
      <c r="I1436" s="304"/>
      <c r="J1436" s="304"/>
    </row>
    <row r="1437" spans="9:10">
      <c r="I1437" s="304"/>
      <c r="J1437" s="304"/>
    </row>
    <row r="1438" spans="9:10">
      <c r="I1438" s="304"/>
      <c r="J1438" s="304"/>
    </row>
    <row r="1439" spans="9:10">
      <c r="I1439" s="304"/>
      <c r="J1439" s="304"/>
    </row>
    <row r="1440" spans="9:10">
      <c r="I1440" s="304"/>
      <c r="J1440" s="304"/>
    </row>
    <row r="1441" spans="9:10">
      <c r="I1441" s="304"/>
      <c r="J1441" s="304"/>
    </row>
    <row r="1442" spans="9:10">
      <c r="I1442" s="304"/>
      <c r="J1442" s="304"/>
    </row>
    <row r="1443" spans="9:10">
      <c r="I1443" s="304"/>
      <c r="J1443" s="304"/>
    </row>
    <row r="1444" spans="9:10">
      <c r="I1444" s="304"/>
      <c r="J1444" s="304"/>
    </row>
    <row r="1445" spans="9:10">
      <c r="I1445" s="304"/>
      <c r="J1445" s="304"/>
    </row>
    <row r="1446" spans="9:10">
      <c r="I1446" s="304"/>
      <c r="J1446" s="304"/>
    </row>
    <row r="1447" spans="9:10">
      <c r="I1447" s="304"/>
      <c r="J1447" s="304"/>
    </row>
    <row r="1448" spans="9:10">
      <c r="I1448" s="304"/>
      <c r="J1448" s="304"/>
    </row>
    <row r="1449" spans="9:10">
      <c r="I1449" s="304"/>
      <c r="J1449" s="304"/>
    </row>
    <row r="1450" spans="9:10">
      <c r="I1450" s="304"/>
      <c r="J1450" s="304"/>
    </row>
    <row r="1451" spans="9:10">
      <c r="I1451" s="304"/>
      <c r="J1451" s="304"/>
    </row>
    <row r="1452" spans="9:10">
      <c r="I1452" s="304"/>
      <c r="J1452" s="304"/>
    </row>
    <row r="1453" spans="9:10">
      <c r="I1453" s="304"/>
      <c r="J1453" s="304"/>
    </row>
    <row r="1454" spans="9:10">
      <c r="I1454" s="304"/>
      <c r="J1454" s="304"/>
    </row>
    <row r="1455" spans="9:10">
      <c r="I1455" s="304"/>
      <c r="J1455" s="304"/>
    </row>
    <row r="1456" spans="9:10">
      <c r="I1456" s="304"/>
      <c r="J1456" s="304"/>
    </row>
    <row r="1457" spans="9:10">
      <c r="I1457" s="304"/>
      <c r="J1457" s="304"/>
    </row>
    <row r="1458" spans="9:10">
      <c r="I1458" s="304"/>
      <c r="J1458" s="304"/>
    </row>
    <row r="1459" spans="9:10">
      <c r="I1459" s="304"/>
      <c r="J1459" s="304"/>
    </row>
    <row r="1460" spans="9:10">
      <c r="I1460" s="304"/>
      <c r="J1460" s="304"/>
    </row>
    <row r="1461" spans="9:10">
      <c r="I1461" s="304"/>
      <c r="J1461" s="304"/>
    </row>
    <row r="1462" spans="9:10">
      <c r="I1462" s="304"/>
      <c r="J1462" s="304"/>
    </row>
    <row r="1463" spans="9:10">
      <c r="I1463" s="304"/>
      <c r="J1463" s="304"/>
    </row>
    <row r="1464" spans="9:10">
      <c r="I1464" s="304"/>
      <c r="J1464" s="304"/>
    </row>
    <row r="1465" spans="9:10">
      <c r="I1465" s="304"/>
      <c r="J1465" s="304"/>
    </row>
    <row r="1466" spans="9:10">
      <c r="I1466" s="304"/>
      <c r="J1466" s="304"/>
    </row>
    <row r="1467" spans="9:10">
      <c r="I1467" s="304"/>
      <c r="J1467" s="304"/>
    </row>
    <row r="1468" spans="9:10">
      <c r="I1468" s="304"/>
      <c r="J1468" s="304"/>
    </row>
    <row r="1469" spans="9:10">
      <c r="I1469" s="304"/>
      <c r="J1469" s="304"/>
    </row>
    <row r="1470" spans="9:10">
      <c r="I1470" s="304"/>
      <c r="J1470" s="304"/>
    </row>
    <row r="1471" spans="9:10">
      <c r="I1471" s="304"/>
      <c r="J1471" s="304"/>
    </row>
    <row r="1472" spans="9:10">
      <c r="I1472" s="304"/>
      <c r="J1472" s="304"/>
    </row>
    <row r="1473" spans="9:10">
      <c r="I1473" s="304"/>
      <c r="J1473" s="304"/>
    </row>
    <row r="1474" spans="9:10">
      <c r="I1474" s="304"/>
      <c r="J1474" s="304"/>
    </row>
    <row r="1475" spans="9:10">
      <c r="I1475" s="304"/>
      <c r="J1475" s="304"/>
    </row>
    <row r="1476" spans="9:10">
      <c r="I1476" s="304"/>
      <c r="J1476" s="304"/>
    </row>
    <row r="1477" spans="9:10">
      <c r="I1477" s="304"/>
      <c r="J1477" s="304"/>
    </row>
    <row r="1478" spans="9:10">
      <c r="I1478" s="304"/>
      <c r="J1478" s="304"/>
    </row>
    <row r="1479" spans="9:10">
      <c r="I1479" s="304"/>
      <c r="J1479" s="304"/>
    </row>
    <row r="1480" spans="9:10">
      <c r="I1480" s="304"/>
      <c r="J1480" s="304"/>
    </row>
    <row r="1481" spans="9:10">
      <c r="I1481" s="304"/>
      <c r="J1481" s="304"/>
    </row>
    <row r="1482" spans="9:10">
      <c r="I1482" s="304"/>
      <c r="J1482" s="304"/>
    </row>
    <row r="1483" spans="9:10">
      <c r="I1483" s="304"/>
      <c r="J1483" s="304"/>
    </row>
    <row r="1484" spans="9:10">
      <c r="I1484" s="304"/>
      <c r="J1484" s="304"/>
    </row>
    <row r="1485" spans="9:10">
      <c r="I1485" s="304"/>
      <c r="J1485" s="304"/>
    </row>
    <row r="1486" spans="9:10">
      <c r="I1486" s="304"/>
      <c r="J1486" s="304"/>
    </row>
    <row r="1487" spans="9:10">
      <c r="I1487" s="304"/>
      <c r="J1487" s="304"/>
    </row>
    <row r="1488" spans="9:10">
      <c r="I1488" s="304"/>
      <c r="J1488" s="304"/>
    </row>
    <row r="1489" spans="9:10">
      <c r="I1489" s="304"/>
      <c r="J1489" s="304"/>
    </row>
    <row r="1490" spans="9:10">
      <c r="I1490" s="304"/>
      <c r="J1490" s="304"/>
    </row>
    <row r="1491" spans="9:10">
      <c r="I1491" s="304"/>
      <c r="J1491" s="304"/>
    </row>
    <row r="1492" spans="9:10">
      <c r="I1492" s="304"/>
      <c r="J1492" s="304"/>
    </row>
    <row r="1493" spans="9:10">
      <c r="I1493" s="304"/>
      <c r="J1493" s="304"/>
    </row>
    <row r="1494" spans="9:10">
      <c r="I1494" s="304"/>
      <c r="J1494" s="304"/>
    </row>
    <row r="1495" spans="9:10">
      <c r="I1495" s="304"/>
      <c r="J1495" s="304"/>
    </row>
    <row r="1496" spans="9:10">
      <c r="I1496" s="304"/>
      <c r="J1496" s="304"/>
    </row>
    <row r="1497" spans="9:10">
      <c r="I1497" s="304"/>
      <c r="J1497" s="304"/>
    </row>
    <row r="1498" spans="9:10">
      <c r="I1498" s="304"/>
      <c r="J1498" s="304"/>
    </row>
    <row r="1499" spans="9:10">
      <c r="I1499" s="304"/>
      <c r="J1499" s="304"/>
    </row>
    <row r="1500" spans="9:10">
      <c r="I1500" s="304"/>
      <c r="J1500" s="304"/>
    </row>
    <row r="1501" spans="9:10">
      <c r="I1501" s="304"/>
      <c r="J1501" s="304"/>
    </row>
    <row r="1502" spans="9:10">
      <c r="I1502" s="304"/>
      <c r="J1502" s="304"/>
    </row>
    <row r="1503" spans="9:10">
      <c r="I1503" s="304"/>
      <c r="J1503" s="304"/>
    </row>
    <row r="1504" spans="9:10">
      <c r="I1504" s="304"/>
      <c r="J1504" s="304"/>
    </row>
    <row r="1505" spans="9:10">
      <c r="I1505" s="304"/>
      <c r="J1505" s="304"/>
    </row>
    <row r="1506" spans="9:10">
      <c r="I1506" s="304"/>
      <c r="J1506" s="304"/>
    </row>
    <row r="1507" spans="9:10">
      <c r="I1507" s="304"/>
      <c r="J1507" s="304"/>
    </row>
    <row r="1508" spans="9:10">
      <c r="I1508" s="304"/>
      <c r="J1508" s="304"/>
    </row>
    <row r="1509" spans="9:10">
      <c r="I1509" s="304"/>
      <c r="J1509" s="304"/>
    </row>
    <row r="1510" spans="9:10">
      <c r="I1510" s="304"/>
      <c r="J1510" s="304"/>
    </row>
    <row r="1511" spans="9:10">
      <c r="I1511" s="304"/>
      <c r="J1511" s="304"/>
    </row>
    <row r="1512" spans="9:10">
      <c r="I1512" s="304"/>
      <c r="J1512" s="304"/>
    </row>
    <row r="1513" spans="9:10">
      <c r="I1513" s="304"/>
      <c r="J1513" s="304"/>
    </row>
    <row r="1514" spans="9:10">
      <c r="I1514" s="304"/>
      <c r="J1514" s="304"/>
    </row>
    <row r="1515" spans="9:10">
      <c r="I1515" s="304"/>
      <c r="J1515" s="304"/>
    </row>
    <row r="1516" spans="9:10">
      <c r="I1516" s="304"/>
      <c r="J1516" s="304"/>
    </row>
    <row r="1517" spans="9:10">
      <c r="I1517" s="304"/>
      <c r="J1517" s="304"/>
    </row>
    <row r="1518" spans="9:10">
      <c r="I1518" s="304"/>
      <c r="J1518" s="304"/>
    </row>
    <row r="1519" spans="9:10">
      <c r="I1519" s="304"/>
      <c r="J1519" s="304"/>
    </row>
    <row r="1520" spans="9:10">
      <c r="I1520" s="304"/>
      <c r="J1520" s="304"/>
    </row>
    <row r="1521" spans="9:10">
      <c r="I1521" s="304"/>
      <c r="J1521" s="304"/>
    </row>
    <row r="1522" spans="9:10">
      <c r="I1522" s="304"/>
      <c r="J1522" s="304"/>
    </row>
    <row r="1523" spans="9:10">
      <c r="I1523" s="304"/>
      <c r="J1523" s="304"/>
    </row>
    <row r="1524" spans="9:10">
      <c r="I1524" s="304"/>
      <c r="J1524" s="304"/>
    </row>
    <row r="1525" spans="9:10">
      <c r="I1525" s="304"/>
      <c r="J1525" s="304"/>
    </row>
    <row r="1526" spans="9:10">
      <c r="I1526" s="304"/>
      <c r="J1526" s="304"/>
    </row>
    <row r="1527" spans="9:10">
      <c r="I1527" s="304"/>
      <c r="J1527" s="304"/>
    </row>
    <row r="1528" spans="9:10">
      <c r="I1528" s="304"/>
      <c r="J1528" s="304"/>
    </row>
    <row r="1529" spans="9:10">
      <c r="I1529" s="304"/>
      <c r="J1529" s="304"/>
    </row>
    <row r="1530" spans="9:10">
      <c r="I1530" s="304"/>
      <c r="J1530" s="304"/>
    </row>
    <row r="1531" spans="9:10">
      <c r="I1531" s="304"/>
      <c r="J1531" s="304"/>
    </row>
    <row r="1532" spans="9:10">
      <c r="I1532" s="304"/>
      <c r="J1532" s="304"/>
    </row>
    <row r="1533" spans="9:10">
      <c r="I1533" s="304"/>
      <c r="J1533" s="304"/>
    </row>
    <row r="1534" spans="9:10">
      <c r="I1534" s="304"/>
      <c r="J1534" s="304"/>
    </row>
    <row r="1535" spans="9:10">
      <c r="I1535" s="304"/>
      <c r="J1535" s="304"/>
    </row>
    <row r="1536" spans="9:10">
      <c r="I1536" s="304"/>
      <c r="J1536" s="304"/>
    </row>
    <row r="1537" spans="9:10">
      <c r="I1537" s="304"/>
      <c r="J1537" s="304"/>
    </row>
    <row r="1538" spans="9:10">
      <c r="I1538" s="304"/>
      <c r="J1538" s="304"/>
    </row>
    <row r="1539" spans="9:10">
      <c r="I1539" s="304"/>
      <c r="J1539" s="304"/>
    </row>
    <row r="1540" spans="9:10">
      <c r="I1540" s="304"/>
      <c r="J1540" s="304"/>
    </row>
    <row r="1541" spans="9:10">
      <c r="I1541" s="304"/>
      <c r="J1541" s="304"/>
    </row>
    <row r="1542" spans="9:10">
      <c r="I1542" s="304"/>
      <c r="J1542" s="304"/>
    </row>
    <row r="1543" spans="9:10">
      <c r="I1543" s="304"/>
      <c r="J1543" s="304"/>
    </row>
    <row r="1544" spans="9:10">
      <c r="I1544" s="304"/>
      <c r="J1544" s="304"/>
    </row>
    <row r="1545" spans="9:10">
      <c r="I1545" s="304"/>
      <c r="J1545" s="304"/>
    </row>
    <row r="1546" spans="9:10">
      <c r="I1546" s="304"/>
      <c r="J1546" s="304"/>
    </row>
    <row r="1547" spans="9:10">
      <c r="I1547" s="304"/>
      <c r="J1547" s="304"/>
    </row>
    <row r="1548" spans="9:10">
      <c r="I1548" s="304"/>
      <c r="J1548" s="304"/>
    </row>
    <row r="1549" spans="9:10">
      <c r="I1549" s="304"/>
      <c r="J1549" s="304"/>
    </row>
    <row r="1550" spans="9:10">
      <c r="I1550" s="304"/>
      <c r="J1550" s="304"/>
    </row>
    <row r="1551" spans="9:10">
      <c r="I1551" s="304"/>
      <c r="J1551" s="304"/>
    </row>
    <row r="1552" spans="9:10">
      <c r="I1552" s="304"/>
      <c r="J1552" s="304"/>
    </row>
    <row r="1553" spans="9:10">
      <c r="I1553" s="304"/>
      <c r="J1553" s="304"/>
    </row>
    <row r="1554" spans="9:10">
      <c r="I1554" s="304"/>
      <c r="J1554" s="304"/>
    </row>
    <row r="1555" spans="9:10">
      <c r="I1555" s="304"/>
      <c r="J1555" s="304"/>
    </row>
    <row r="1556" spans="9:10">
      <c r="I1556" s="304"/>
      <c r="J1556" s="304"/>
    </row>
    <row r="1557" spans="9:10">
      <c r="I1557" s="304"/>
      <c r="J1557" s="304"/>
    </row>
    <row r="1558" spans="9:10">
      <c r="I1558" s="304"/>
      <c r="J1558" s="304"/>
    </row>
    <row r="1559" spans="9:10">
      <c r="I1559" s="304"/>
      <c r="J1559" s="304"/>
    </row>
    <row r="1560" spans="9:10">
      <c r="I1560" s="304"/>
      <c r="J1560" s="304"/>
    </row>
    <row r="1561" spans="9:10">
      <c r="I1561" s="304"/>
      <c r="J1561" s="304"/>
    </row>
    <row r="1562" spans="9:10">
      <c r="I1562" s="304"/>
      <c r="J1562" s="304"/>
    </row>
    <row r="1563" spans="9:10">
      <c r="I1563" s="304"/>
      <c r="J1563" s="304"/>
    </row>
    <row r="1564" spans="9:10">
      <c r="I1564" s="304"/>
      <c r="J1564" s="304"/>
    </row>
    <row r="1565" spans="9:10">
      <c r="I1565" s="304"/>
      <c r="J1565" s="304"/>
    </row>
    <row r="1566" spans="9:10">
      <c r="I1566" s="304"/>
      <c r="J1566" s="304"/>
    </row>
    <row r="1567" spans="9:10">
      <c r="I1567" s="304"/>
      <c r="J1567" s="304"/>
    </row>
    <row r="1568" spans="9:10">
      <c r="I1568" s="304"/>
      <c r="J1568" s="304"/>
    </row>
    <row r="1569" spans="9:10">
      <c r="I1569" s="304"/>
      <c r="J1569" s="304"/>
    </row>
    <row r="1570" spans="9:10">
      <c r="I1570" s="304"/>
      <c r="J1570" s="304"/>
    </row>
    <row r="1571" spans="9:10">
      <c r="I1571" s="304"/>
      <c r="J1571" s="304"/>
    </row>
    <row r="1572" spans="9:10">
      <c r="I1572" s="304"/>
      <c r="J1572" s="304"/>
    </row>
    <row r="1573" spans="9:10">
      <c r="I1573" s="304"/>
      <c r="J1573" s="304"/>
    </row>
    <row r="1574" spans="9:10">
      <c r="I1574" s="304"/>
      <c r="J1574" s="304"/>
    </row>
    <row r="1575" spans="9:10">
      <c r="I1575" s="304"/>
      <c r="J1575" s="304"/>
    </row>
    <row r="1576" spans="9:10">
      <c r="I1576" s="304"/>
      <c r="J1576" s="304"/>
    </row>
    <row r="1577" spans="9:10">
      <c r="I1577" s="304"/>
      <c r="J1577" s="304"/>
    </row>
    <row r="1578" spans="9:10">
      <c r="I1578" s="304"/>
      <c r="J1578" s="304"/>
    </row>
    <row r="1579" spans="9:10">
      <c r="I1579" s="304"/>
      <c r="J1579" s="304"/>
    </row>
    <row r="1580" spans="9:10">
      <c r="I1580" s="304"/>
      <c r="J1580" s="304"/>
    </row>
    <row r="1581" spans="9:10">
      <c r="I1581" s="304"/>
      <c r="J1581" s="304"/>
    </row>
    <row r="1582" spans="9:10">
      <c r="I1582" s="304"/>
      <c r="J1582" s="304"/>
    </row>
    <row r="1583" spans="9:10">
      <c r="I1583" s="304"/>
      <c r="J1583" s="304"/>
    </row>
    <row r="1584" spans="9:10">
      <c r="I1584" s="304"/>
      <c r="J1584" s="304"/>
    </row>
    <row r="1585" spans="9:10">
      <c r="I1585" s="304"/>
      <c r="J1585" s="304"/>
    </row>
    <row r="1586" spans="9:10">
      <c r="I1586" s="304"/>
      <c r="J1586" s="304"/>
    </row>
    <row r="1587" spans="9:10">
      <c r="I1587" s="304"/>
      <c r="J1587" s="304"/>
    </row>
    <row r="1588" spans="9:10">
      <c r="I1588" s="304"/>
      <c r="J1588" s="304"/>
    </row>
    <row r="1589" spans="9:10">
      <c r="I1589" s="304"/>
      <c r="J1589" s="304"/>
    </row>
    <row r="1590" spans="9:10">
      <c r="I1590" s="304"/>
      <c r="J1590" s="304"/>
    </row>
    <row r="1591" spans="9:10">
      <c r="I1591" s="304"/>
      <c r="J1591" s="304"/>
    </row>
    <row r="1592" spans="9:10">
      <c r="I1592" s="304"/>
      <c r="J1592" s="304"/>
    </row>
    <row r="1593" spans="9:10">
      <c r="I1593" s="304"/>
      <c r="J1593" s="304"/>
    </row>
    <row r="1594" spans="9:10">
      <c r="I1594" s="304"/>
      <c r="J1594" s="304"/>
    </row>
    <row r="1595" spans="9:10">
      <c r="I1595" s="304"/>
      <c r="J1595" s="304"/>
    </row>
    <row r="1596" spans="9:10">
      <c r="I1596" s="304"/>
      <c r="J1596" s="304"/>
    </row>
    <row r="1597" spans="9:10">
      <c r="I1597" s="304"/>
      <c r="J1597" s="304"/>
    </row>
    <row r="1598" spans="9:10">
      <c r="I1598" s="304"/>
      <c r="J1598" s="304"/>
    </row>
    <row r="1599" spans="9:10">
      <c r="I1599" s="304"/>
      <c r="J1599" s="304"/>
    </row>
    <row r="1600" spans="9:10">
      <c r="I1600" s="304"/>
      <c r="J1600" s="304"/>
    </row>
    <row r="1601" spans="9:10">
      <c r="I1601" s="304"/>
      <c r="J1601" s="304"/>
    </row>
    <row r="1602" spans="9:10">
      <c r="I1602" s="304"/>
      <c r="J1602" s="304"/>
    </row>
    <row r="1603" spans="9:10">
      <c r="I1603" s="304"/>
      <c r="J1603" s="304"/>
    </row>
    <row r="1604" spans="9:10">
      <c r="I1604" s="304"/>
      <c r="J1604" s="304"/>
    </row>
    <row r="1605" spans="9:10">
      <c r="I1605" s="304"/>
      <c r="J1605" s="304"/>
    </row>
    <row r="1606" spans="9:10">
      <c r="I1606" s="304"/>
      <c r="J1606" s="304"/>
    </row>
    <row r="1607" spans="9:10">
      <c r="I1607" s="304"/>
      <c r="J1607" s="304"/>
    </row>
    <row r="1608" spans="9:10">
      <c r="I1608" s="304"/>
      <c r="J1608" s="304"/>
    </row>
    <row r="1609" spans="9:10">
      <c r="I1609" s="304"/>
      <c r="J1609" s="304"/>
    </row>
    <row r="1610" spans="9:10">
      <c r="I1610" s="304"/>
      <c r="J1610" s="304"/>
    </row>
    <row r="1611" spans="9:10">
      <c r="I1611" s="304"/>
      <c r="J1611" s="304"/>
    </row>
    <row r="1612" spans="9:10">
      <c r="I1612" s="304"/>
      <c r="J1612" s="304"/>
    </row>
    <row r="1613" spans="9:10">
      <c r="I1613" s="304"/>
      <c r="J1613" s="304"/>
    </row>
    <row r="1614" spans="9:10">
      <c r="I1614" s="304"/>
      <c r="J1614" s="304"/>
    </row>
    <row r="1615" spans="9:10">
      <c r="I1615" s="304"/>
      <c r="J1615" s="304"/>
    </row>
    <row r="1616" spans="9:10">
      <c r="I1616" s="304"/>
      <c r="J1616" s="304"/>
    </row>
    <row r="1617" spans="9:10">
      <c r="I1617" s="304"/>
      <c r="J1617" s="304"/>
    </row>
    <row r="1618" spans="9:10">
      <c r="I1618" s="304"/>
      <c r="J1618" s="304"/>
    </row>
    <row r="1619" spans="9:10">
      <c r="I1619" s="304"/>
      <c r="J1619" s="304"/>
    </row>
    <row r="1620" spans="9:10">
      <c r="I1620" s="304"/>
      <c r="J1620" s="304"/>
    </row>
    <row r="1621" spans="9:10">
      <c r="I1621" s="304"/>
      <c r="J1621" s="304"/>
    </row>
    <row r="1622" spans="9:10">
      <c r="I1622" s="304"/>
      <c r="J1622" s="304"/>
    </row>
    <row r="1623" spans="9:10">
      <c r="I1623" s="304"/>
      <c r="J1623" s="304"/>
    </row>
    <row r="1624" spans="9:10">
      <c r="I1624" s="304"/>
      <c r="J1624" s="304"/>
    </row>
    <row r="1625" spans="9:10">
      <c r="I1625" s="304"/>
      <c r="J1625" s="304"/>
    </row>
    <row r="1626" spans="9:10">
      <c r="I1626" s="304"/>
      <c r="J1626" s="304"/>
    </row>
    <row r="1627" spans="9:10">
      <c r="I1627" s="304"/>
      <c r="J1627" s="304"/>
    </row>
    <row r="1628" spans="9:10">
      <c r="I1628" s="304"/>
      <c r="J1628" s="304"/>
    </row>
    <row r="1629" spans="9:10">
      <c r="I1629" s="304"/>
      <c r="J1629" s="304"/>
    </row>
    <row r="1630" spans="9:10">
      <c r="I1630" s="304"/>
      <c r="J1630" s="304"/>
    </row>
    <row r="1631" spans="9:10">
      <c r="I1631" s="304"/>
      <c r="J1631" s="304"/>
    </row>
    <row r="1632" spans="9:10">
      <c r="I1632" s="304"/>
      <c r="J1632" s="304"/>
    </row>
    <row r="1633" spans="9:10">
      <c r="I1633" s="304"/>
      <c r="J1633" s="304"/>
    </row>
    <row r="1634" spans="9:10">
      <c r="I1634" s="304"/>
      <c r="J1634" s="304"/>
    </row>
    <row r="1635" spans="9:10">
      <c r="I1635" s="304"/>
      <c r="J1635" s="304"/>
    </row>
    <row r="1636" spans="9:10">
      <c r="I1636" s="304"/>
      <c r="J1636" s="304"/>
    </row>
    <row r="1637" spans="9:10">
      <c r="I1637" s="304"/>
      <c r="J1637" s="304"/>
    </row>
    <row r="1638" spans="9:10">
      <c r="I1638" s="304"/>
      <c r="J1638" s="304"/>
    </row>
    <row r="1639" spans="9:10">
      <c r="I1639" s="304"/>
      <c r="J1639" s="304"/>
    </row>
    <row r="1640" spans="9:10">
      <c r="I1640" s="304"/>
      <c r="J1640" s="304"/>
    </row>
    <row r="1641" spans="9:10">
      <c r="I1641" s="304"/>
      <c r="J1641" s="304"/>
    </row>
    <row r="1642" spans="9:10">
      <c r="I1642" s="304"/>
      <c r="J1642" s="304"/>
    </row>
    <row r="1643" spans="9:10">
      <c r="I1643" s="304"/>
      <c r="J1643" s="304"/>
    </row>
    <row r="1644" spans="9:10">
      <c r="I1644" s="304"/>
      <c r="J1644" s="304"/>
    </row>
    <row r="1645" spans="9:10">
      <c r="I1645" s="304"/>
      <c r="J1645" s="304"/>
    </row>
    <row r="1646" spans="9:10">
      <c r="I1646" s="304"/>
      <c r="J1646" s="304"/>
    </row>
    <row r="1647" spans="9:10">
      <c r="I1647" s="304"/>
      <c r="J1647" s="304"/>
    </row>
    <row r="1648" spans="9:10">
      <c r="I1648" s="304"/>
      <c r="J1648" s="304"/>
    </row>
    <row r="1649" spans="9:10">
      <c r="I1649" s="304"/>
      <c r="J1649" s="304"/>
    </row>
    <row r="1650" spans="9:10">
      <c r="I1650" s="304"/>
      <c r="J1650" s="304"/>
    </row>
    <row r="1651" spans="9:10">
      <c r="I1651" s="304"/>
      <c r="J1651" s="304"/>
    </row>
    <row r="1652" spans="9:10">
      <c r="I1652" s="304"/>
      <c r="J1652" s="304"/>
    </row>
    <row r="1653" spans="9:10">
      <c r="I1653" s="304"/>
      <c r="J1653" s="304"/>
    </row>
    <row r="1654" spans="9:10">
      <c r="I1654" s="304"/>
      <c r="J1654" s="304"/>
    </row>
    <row r="1655" spans="9:10">
      <c r="I1655" s="304"/>
      <c r="J1655" s="304"/>
    </row>
    <row r="1656" spans="9:10">
      <c r="I1656" s="304"/>
      <c r="J1656" s="304"/>
    </row>
    <row r="1657" spans="9:10">
      <c r="I1657" s="304"/>
      <c r="J1657" s="304"/>
    </row>
    <row r="1658" spans="9:10">
      <c r="I1658" s="304"/>
      <c r="J1658" s="304"/>
    </row>
    <row r="1659" spans="9:10">
      <c r="I1659" s="304"/>
      <c r="J1659" s="304"/>
    </row>
    <row r="1660" spans="9:10">
      <c r="I1660" s="304"/>
      <c r="J1660" s="304"/>
    </row>
    <row r="1661" spans="9:10">
      <c r="I1661" s="304"/>
      <c r="J1661" s="304"/>
    </row>
    <row r="1662" spans="9:10">
      <c r="I1662" s="304"/>
      <c r="J1662" s="304"/>
    </row>
    <row r="1663" spans="9:10">
      <c r="I1663" s="304"/>
      <c r="J1663" s="304"/>
    </row>
    <row r="1664" spans="9:10">
      <c r="I1664" s="304"/>
      <c r="J1664" s="304"/>
    </row>
    <row r="1665" spans="9:10">
      <c r="I1665" s="304"/>
      <c r="J1665" s="304"/>
    </row>
    <row r="1666" spans="9:10">
      <c r="I1666" s="304"/>
      <c r="J1666" s="304"/>
    </row>
    <row r="1667" spans="9:10">
      <c r="I1667" s="304"/>
      <c r="J1667" s="304"/>
    </row>
    <row r="1668" spans="9:10">
      <c r="I1668" s="304"/>
      <c r="J1668" s="304"/>
    </row>
    <row r="1669" spans="9:10">
      <c r="I1669" s="304"/>
      <c r="J1669" s="304"/>
    </row>
    <row r="1670" spans="9:10">
      <c r="I1670" s="304"/>
      <c r="J1670" s="304"/>
    </row>
    <row r="1671" spans="9:10">
      <c r="I1671" s="304"/>
      <c r="J1671" s="304"/>
    </row>
    <row r="1672" spans="9:10">
      <c r="I1672" s="304"/>
      <c r="J1672" s="304"/>
    </row>
    <row r="1673" spans="9:10">
      <c r="I1673" s="304"/>
      <c r="J1673" s="304"/>
    </row>
    <row r="1674" spans="9:10">
      <c r="I1674" s="304"/>
      <c r="J1674" s="304"/>
    </row>
    <row r="1675" spans="9:10">
      <c r="I1675" s="304"/>
      <c r="J1675" s="304"/>
    </row>
    <row r="1676" spans="9:10">
      <c r="I1676" s="304"/>
      <c r="J1676" s="304"/>
    </row>
    <row r="1677" spans="9:10">
      <c r="I1677" s="304"/>
      <c r="J1677" s="304"/>
    </row>
    <row r="1678" spans="9:10">
      <c r="I1678" s="304"/>
      <c r="J1678" s="304"/>
    </row>
    <row r="1679" spans="9:10">
      <c r="I1679" s="304"/>
      <c r="J1679" s="304"/>
    </row>
    <row r="1680" spans="9:10">
      <c r="I1680" s="304"/>
      <c r="J1680" s="304"/>
    </row>
    <row r="1681" spans="9:10">
      <c r="I1681" s="304"/>
      <c r="J1681" s="304"/>
    </row>
    <row r="1682" spans="9:10">
      <c r="I1682" s="304"/>
      <c r="J1682" s="304"/>
    </row>
    <row r="1683" spans="9:10">
      <c r="I1683" s="304"/>
      <c r="J1683" s="304"/>
    </row>
    <row r="1684" spans="9:10">
      <c r="I1684" s="304"/>
      <c r="J1684" s="304"/>
    </row>
    <row r="1685" spans="9:10">
      <c r="I1685" s="304"/>
      <c r="J1685" s="304"/>
    </row>
    <row r="1686" spans="9:10">
      <c r="I1686" s="304"/>
      <c r="J1686" s="304"/>
    </row>
    <row r="1687" spans="9:10">
      <c r="I1687" s="304"/>
      <c r="J1687" s="304"/>
    </row>
    <row r="1688" spans="9:10">
      <c r="I1688" s="304"/>
      <c r="J1688" s="304"/>
    </row>
    <row r="1689" spans="9:10">
      <c r="I1689" s="304"/>
      <c r="J1689" s="304"/>
    </row>
    <row r="1690" spans="9:10">
      <c r="I1690" s="304"/>
      <c r="J1690" s="304"/>
    </row>
    <row r="1691" spans="9:10">
      <c r="I1691" s="304"/>
      <c r="J1691" s="304"/>
    </row>
    <row r="1692" spans="9:10">
      <c r="I1692" s="304"/>
      <c r="J1692" s="304"/>
    </row>
    <row r="1693" spans="9:10">
      <c r="I1693" s="304"/>
      <c r="J1693" s="304"/>
    </row>
    <row r="1694" spans="9:10">
      <c r="I1694" s="304"/>
      <c r="J1694" s="304"/>
    </row>
    <row r="1695" spans="9:10">
      <c r="I1695" s="304"/>
      <c r="J1695" s="304"/>
    </row>
    <row r="1696" spans="9:10">
      <c r="I1696" s="304"/>
      <c r="J1696" s="304"/>
    </row>
    <row r="1697" spans="9:10">
      <c r="I1697" s="304"/>
      <c r="J1697" s="304"/>
    </row>
    <row r="1698" spans="9:10">
      <c r="I1698" s="304"/>
      <c r="J1698" s="304"/>
    </row>
    <row r="1699" spans="9:10">
      <c r="I1699" s="304"/>
      <c r="J1699" s="304"/>
    </row>
    <row r="1700" spans="9:10">
      <c r="I1700" s="304"/>
      <c r="J1700" s="304"/>
    </row>
    <row r="1701" spans="9:10">
      <c r="I1701" s="304"/>
      <c r="J1701" s="304"/>
    </row>
    <row r="1702" spans="9:10">
      <c r="I1702" s="304"/>
      <c r="J1702" s="304"/>
    </row>
    <row r="1703" spans="9:10">
      <c r="I1703" s="304"/>
      <c r="J1703" s="304"/>
    </row>
    <row r="1704" spans="9:10">
      <c r="I1704" s="304"/>
      <c r="J1704" s="304"/>
    </row>
    <row r="1705" spans="9:10">
      <c r="I1705" s="304"/>
      <c r="J1705" s="304"/>
    </row>
    <row r="1706" spans="9:10">
      <c r="I1706" s="304"/>
      <c r="J1706" s="304"/>
    </row>
    <row r="1707" spans="9:10">
      <c r="I1707" s="304"/>
      <c r="J1707" s="304"/>
    </row>
    <row r="1708" spans="9:10">
      <c r="I1708" s="304"/>
      <c r="J1708" s="304"/>
    </row>
    <row r="1709" spans="9:10">
      <c r="I1709" s="304"/>
      <c r="J1709" s="304"/>
    </row>
    <row r="1710" spans="9:10">
      <c r="I1710" s="304"/>
      <c r="J1710" s="304"/>
    </row>
    <row r="1711" spans="9:10">
      <c r="I1711" s="304"/>
      <c r="J1711" s="304"/>
    </row>
    <row r="1712" spans="9:10">
      <c r="I1712" s="304"/>
      <c r="J1712" s="304"/>
    </row>
    <row r="1713" spans="9:10">
      <c r="I1713" s="304"/>
      <c r="J1713" s="304"/>
    </row>
    <row r="1714" spans="9:10">
      <c r="I1714" s="304"/>
      <c r="J1714" s="304"/>
    </row>
    <row r="1715" spans="9:10">
      <c r="I1715" s="304"/>
      <c r="J1715" s="304"/>
    </row>
    <row r="1716" spans="9:10">
      <c r="I1716" s="304"/>
      <c r="J1716" s="304"/>
    </row>
    <row r="1717" spans="9:10">
      <c r="I1717" s="304"/>
      <c r="J1717" s="304"/>
    </row>
    <row r="1718" spans="9:10">
      <c r="I1718" s="304"/>
      <c r="J1718" s="304"/>
    </row>
    <row r="1719" spans="9:10">
      <c r="I1719" s="304"/>
      <c r="J1719" s="304"/>
    </row>
    <row r="1720" spans="9:10">
      <c r="I1720" s="304"/>
      <c r="J1720" s="304"/>
    </row>
    <row r="1721" spans="9:10">
      <c r="I1721" s="304"/>
      <c r="J1721" s="304"/>
    </row>
    <row r="1722" spans="9:10">
      <c r="I1722" s="304"/>
      <c r="J1722" s="304"/>
    </row>
    <row r="1723" spans="9:10">
      <c r="I1723" s="304"/>
      <c r="J1723" s="304"/>
    </row>
    <row r="1724" spans="9:10">
      <c r="I1724" s="304"/>
      <c r="J1724" s="304"/>
    </row>
    <row r="1725" spans="9:10">
      <c r="I1725" s="304"/>
      <c r="J1725" s="304"/>
    </row>
    <row r="1726" spans="9:10">
      <c r="I1726" s="304"/>
      <c r="J1726" s="304"/>
    </row>
    <row r="1727" spans="9:10">
      <c r="I1727" s="304"/>
      <c r="J1727" s="304"/>
    </row>
    <row r="1728" spans="9:10">
      <c r="I1728" s="304"/>
      <c r="J1728" s="304"/>
    </row>
    <row r="1729" spans="9:10">
      <c r="I1729" s="304"/>
      <c r="J1729" s="304"/>
    </row>
    <row r="1730" spans="9:10">
      <c r="I1730" s="304"/>
      <c r="J1730" s="304"/>
    </row>
    <row r="1731" spans="9:10">
      <c r="I1731" s="304"/>
      <c r="J1731" s="304"/>
    </row>
    <row r="1732" spans="9:10">
      <c r="I1732" s="304"/>
      <c r="J1732" s="304"/>
    </row>
    <row r="1733" spans="9:10">
      <c r="I1733" s="304"/>
      <c r="J1733" s="304"/>
    </row>
    <row r="1734" spans="9:10">
      <c r="I1734" s="304"/>
      <c r="J1734" s="304"/>
    </row>
    <row r="1735" spans="9:10">
      <c r="I1735" s="304"/>
      <c r="J1735" s="304"/>
    </row>
    <row r="1736" spans="9:10">
      <c r="I1736" s="304"/>
      <c r="J1736" s="304"/>
    </row>
    <row r="1737" spans="9:10">
      <c r="I1737" s="304"/>
      <c r="J1737" s="304"/>
    </row>
    <row r="1738" spans="9:10">
      <c r="I1738" s="304"/>
      <c r="J1738" s="304"/>
    </row>
    <row r="1739" spans="9:10">
      <c r="I1739" s="304"/>
      <c r="J1739" s="304"/>
    </row>
    <row r="1740" spans="9:10">
      <c r="I1740" s="304"/>
      <c r="J1740" s="304"/>
    </row>
    <row r="1741" spans="9:10">
      <c r="I1741" s="304"/>
      <c r="J1741" s="304"/>
    </row>
    <row r="1742" spans="9:10">
      <c r="I1742" s="304"/>
      <c r="J1742" s="304"/>
    </row>
    <row r="1743" spans="9:10">
      <c r="I1743" s="304"/>
      <c r="J1743" s="304"/>
    </row>
    <row r="1744" spans="9:10">
      <c r="I1744" s="304"/>
      <c r="J1744" s="304"/>
    </row>
    <row r="1745" spans="9:10">
      <c r="I1745" s="304"/>
      <c r="J1745" s="304"/>
    </row>
    <row r="1746" spans="9:10">
      <c r="I1746" s="304"/>
      <c r="J1746" s="304"/>
    </row>
    <row r="1747" spans="9:10">
      <c r="I1747" s="304"/>
      <c r="J1747" s="304"/>
    </row>
    <row r="1748" spans="9:10">
      <c r="I1748" s="304"/>
      <c r="J1748" s="304"/>
    </row>
    <row r="1749" spans="9:10">
      <c r="I1749" s="304"/>
      <c r="J1749" s="304"/>
    </row>
    <row r="1750" spans="9:10">
      <c r="I1750" s="304"/>
      <c r="J1750" s="304"/>
    </row>
    <row r="1751" spans="9:10">
      <c r="I1751" s="304"/>
      <c r="J1751" s="304"/>
    </row>
    <row r="1752" spans="9:10">
      <c r="I1752" s="304"/>
      <c r="J1752" s="304"/>
    </row>
    <row r="1753" spans="9:10">
      <c r="I1753" s="304"/>
      <c r="J1753" s="304"/>
    </row>
    <row r="1754" spans="9:10">
      <c r="I1754" s="304"/>
      <c r="J1754" s="304"/>
    </row>
    <row r="1755" spans="9:10">
      <c r="I1755" s="304"/>
      <c r="J1755" s="304"/>
    </row>
    <row r="1756" spans="9:10">
      <c r="I1756" s="304"/>
      <c r="J1756" s="304"/>
    </row>
    <row r="1757" spans="9:10">
      <c r="I1757" s="304"/>
      <c r="J1757" s="304"/>
    </row>
    <row r="1758" spans="9:10">
      <c r="I1758" s="304"/>
      <c r="J1758" s="304"/>
    </row>
    <row r="1759" spans="9:10">
      <c r="I1759" s="304"/>
      <c r="J1759" s="304"/>
    </row>
    <row r="1760" spans="9:10">
      <c r="I1760" s="304"/>
      <c r="J1760" s="304"/>
    </row>
    <row r="1761" spans="9:10">
      <c r="I1761" s="304"/>
      <c r="J1761" s="304"/>
    </row>
    <row r="1762" spans="9:10">
      <c r="I1762" s="304"/>
      <c r="J1762" s="304"/>
    </row>
    <row r="1763" spans="9:10">
      <c r="I1763" s="304"/>
      <c r="J1763" s="304"/>
    </row>
    <row r="1764" spans="9:10">
      <c r="I1764" s="304"/>
      <c r="J1764" s="304"/>
    </row>
    <row r="1765" spans="9:10">
      <c r="I1765" s="304"/>
      <c r="J1765" s="304"/>
    </row>
    <row r="1766" spans="9:10">
      <c r="I1766" s="304"/>
      <c r="J1766" s="304"/>
    </row>
    <row r="1767" spans="9:10">
      <c r="I1767" s="304"/>
      <c r="J1767" s="304"/>
    </row>
    <row r="1768" spans="9:10">
      <c r="I1768" s="304"/>
      <c r="J1768" s="304"/>
    </row>
    <row r="1769" spans="9:10">
      <c r="I1769" s="304"/>
      <c r="J1769" s="304"/>
    </row>
    <row r="1770" spans="9:10">
      <c r="I1770" s="304"/>
      <c r="J1770" s="304"/>
    </row>
    <row r="1771" spans="9:10">
      <c r="I1771" s="304"/>
      <c r="J1771" s="304"/>
    </row>
    <row r="1772" spans="9:10">
      <c r="I1772" s="304"/>
      <c r="J1772" s="304"/>
    </row>
    <row r="1773" spans="9:10">
      <c r="I1773" s="304"/>
      <c r="J1773" s="304"/>
    </row>
    <row r="1774" spans="9:10">
      <c r="I1774" s="304"/>
      <c r="J1774" s="304"/>
    </row>
    <row r="1775" spans="9:10">
      <c r="I1775" s="304"/>
      <c r="J1775" s="304"/>
    </row>
    <row r="1776" spans="9:10">
      <c r="I1776" s="304"/>
      <c r="J1776" s="304"/>
    </row>
    <row r="1777" spans="9:10">
      <c r="I1777" s="304"/>
      <c r="J1777" s="304"/>
    </row>
    <row r="1778" spans="9:10">
      <c r="I1778" s="304"/>
      <c r="J1778" s="304"/>
    </row>
    <row r="1779" spans="9:10">
      <c r="I1779" s="304"/>
      <c r="J1779" s="304"/>
    </row>
    <row r="1780" spans="9:10">
      <c r="I1780" s="304"/>
      <c r="J1780" s="304"/>
    </row>
    <row r="1781" spans="9:10">
      <c r="I1781" s="304"/>
      <c r="J1781" s="304"/>
    </row>
    <row r="1782" spans="9:10">
      <c r="I1782" s="304"/>
      <c r="J1782" s="304"/>
    </row>
    <row r="1783" spans="9:10">
      <c r="I1783" s="304"/>
      <c r="J1783" s="304"/>
    </row>
    <row r="1784" spans="9:10">
      <c r="I1784" s="304"/>
      <c r="J1784" s="304"/>
    </row>
    <row r="1785" spans="9:10">
      <c r="I1785" s="304"/>
      <c r="J1785" s="304"/>
    </row>
    <row r="1786" spans="9:10">
      <c r="I1786" s="304"/>
      <c r="J1786" s="304"/>
    </row>
    <row r="1787" spans="9:10">
      <c r="I1787" s="304"/>
      <c r="J1787" s="304"/>
    </row>
    <row r="1788" spans="9:10">
      <c r="I1788" s="304"/>
      <c r="J1788" s="304"/>
    </row>
    <row r="1789" spans="9:10">
      <c r="I1789" s="304"/>
      <c r="J1789" s="304"/>
    </row>
    <row r="1790" spans="9:10">
      <c r="I1790" s="304"/>
      <c r="J1790" s="304"/>
    </row>
    <row r="1791" spans="9:10">
      <c r="I1791" s="304"/>
      <c r="J1791" s="304"/>
    </row>
    <row r="1792" spans="9:10">
      <c r="I1792" s="304"/>
      <c r="J1792" s="304"/>
    </row>
    <row r="1793" spans="9:10">
      <c r="I1793" s="304"/>
      <c r="J1793" s="304"/>
    </row>
    <row r="1794" spans="9:10">
      <c r="I1794" s="304"/>
      <c r="J1794" s="304"/>
    </row>
    <row r="1795" spans="9:10">
      <c r="I1795" s="304"/>
      <c r="J1795" s="304"/>
    </row>
    <row r="1796" spans="9:10">
      <c r="I1796" s="304"/>
      <c r="J1796" s="304"/>
    </row>
    <row r="1797" spans="9:10">
      <c r="I1797" s="304"/>
      <c r="J1797" s="304"/>
    </row>
    <row r="1798" spans="9:10">
      <c r="I1798" s="304"/>
      <c r="J1798" s="304"/>
    </row>
    <row r="1799" spans="9:10">
      <c r="I1799" s="304"/>
      <c r="J1799" s="304"/>
    </row>
    <row r="1800" spans="9:10">
      <c r="I1800" s="304"/>
      <c r="J1800" s="304"/>
    </row>
    <row r="1801" spans="9:10">
      <c r="I1801" s="304"/>
      <c r="J1801" s="304"/>
    </row>
    <row r="1802" spans="9:10">
      <c r="I1802" s="304"/>
      <c r="J1802" s="304"/>
    </row>
    <row r="1803" spans="9:10">
      <c r="I1803" s="304"/>
      <c r="J1803" s="304"/>
    </row>
    <row r="1804" spans="9:10">
      <c r="I1804" s="304"/>
      <c r="J1804" s="304"/>
    </row>
    <row r="1805" spans="9:10">
      <c r="I1805" s="304"/>
      <c r="J1805" s="304"/>
    </row>
    <row r="1806" spans="9:10">
      <c r="I1806" s="304"/>
      <c r="J1806" s="304"/>
    </row>
    <row r="1807" spans="9:10">
      <c r="I1807" s="304"/>
      <c r="J1807" s="304"/>
    </row>
    <row r="1808" spans="9:10">
      <c r="I1808" s="304"/>
      <c r="J1808" s="304"/>
    </row>
    <row r="1809" spans="9:10">
      <c r="I1809" s="304"/>
      <c r="J1809" s="304"/>
    </row>
    <row r="1810" spans="9:10">
      <c r="I1810" s="304"/>
      <c r="J1810" s="304"/>
    </row>
    <row r="1811" spans="9:10">
      <c r="I1811" s="304"/>
      <c r="J1811" s="304"/>
    </row>
    <row r="1812" spans="9:10">
      <c r="I1812" s="304"/>
      <c r="J1812" s="304"/>
    </row>
    <row r="1813" spans="9:10">
      <c r="I1813" s="304"/>
      <c r="J1813" s="304"/>
    </row>
    <row r="1814" spans="9:10">
      <c r="I1814" s="304"/>
      <c r="J1814" s="304"/>
    </row>
    <row r="1815" spans="9:10">
      <c r="I1815" s="304"/>
      <c r="J1815" s="304"/>
    </row>
    <row r="1816" spans="9:10">
      <c r="I1816" s="304"/>
      <c r="J1816" s="304"/>
    </row>
    <row r="1817" spans="9:10">
      <c r="I1817" s="304"/>
      <c r="J1817" s="304"/>
    </row>
    <row r="1818" spans="9:10">
      <c r="I1818" s="304"/>
      <c r="J1818" s="304"/>
    </row>
    <row r="1819" spans="9:10">
      <c r="I1819" s="304"/>
      <c r="J1819" s="304"/>
    </row>
    <row r="1820" spans="9:10">
      <c r="I1820" s="304"/>
      <c r="J1820" s="304"/>
    </row>
    <row r="1821" spans="9:10">
      <c r="I1821" s="304"/>
      <c r="J1821" s="304"/>
    </row>
    <row r="1822" spans="9:10">
      <c r="I1822" s="304"/>
      <c r="J1822" s="304"/>
    </row>
    <row r="1823" spans="9:10">
      <c r="I1823" s="304"/>
      <c r="J1823" s="304"/>
    </row>
    <row r="1824" spans="9:10">
      <c r="I1824" s="304"/>
      <c r="J1824" s="304"/>
    </row>
    <row r="1825" spans="9:10">
      <c r="I1825" s="304"/>
      <c r="J1825" s="304"/>
    </row>
    <row r="1826" spans="9:10">
      <c r="I1826" s="304"/>
      <c r="J1826" s="304"/>
    </row>
    <row r="1827" spans="9:10">
      <c r="I1827" s="304"/>
      <c r="J1827" s="304"/>
    </row>
    <row r="1828" spans="9:10">
      <c r="I1828" s="304"/>
      <c r="J1828" s="304"/>
    </row>
    <row r="1829" spans="9:10">
      <c r="I1829" s="304"/>
      <c r="J1829" s="304"/>
    </row>
    <row r="1830" spans="9:10">
      <c r="I1830" s="304"/>
      <c r="J1830" s="304"/>
    </row>
    <row r="1831" spans="9:10">
      <c r="I1831" s="304"/>
      <c r="J1831" s="304"/>
    </row>
    <row r="1832" spans="9:10">
      <c r="I1832" s="304"/>
      <c r="J1832" s="304"/>
    </row>
    <row r="1833" spans="9:10">
      <c r="I1833" s="304"/>
      <c r="J1833" s="304"/>
    </row>
    <row r="1834" spans="9:10">
      <c r="I1834" s="304"/>
      <c r="J1834" s="304"/>
    </row>
    <row r="1835" spans="9:10">
      <c r="I1835" s="304"/>
      <c r="J1835" s="304"/>
    </row>
    <row r="1836" spans="9:10">
      <c r="I1836" s="304"/>
      <c r="J1836" s="304"/>
    </row>
    <row r="1837" spans="9:10">
      <c r="I1837" s="304"/>
      <c r="J1837" s="304"/>
    </row>
    <row r="1838" spans="9:10">
      <c r="I1838" s="304"/>
      <c r="J1838" s="304"/>
    </row>
    <row r="1839" spans="9:10">
      <c r="I1839" s="304"/>
      <c r="J1839" s="304"/>
    </row>
    <row r="1840" spans="9:10">
      <c r="I1840" s="304"/>
      <c r="J1840" s="304"/>
    </row>
    <row r="1841" spans="9:10">
      <c r="I1841" s="304"/>
      <c r="J1841" s="304"/>
    </row>
    <row r="1842" spans="9:10">
      <c r="I1842" s="304"/>
      <c r="J1842" s="304"/>
    </row>
    <row r="1843" spans="9:10">
      <c r="I1843" s="304"/>
      <c r="J1843" s="304"/>
    </row>
    <row r="1844" spans="9:10">
      <c r="I1844" s="304"/>
      <c r="J1844" s="304"/>
    </row>
    <row r="1845" spans="9:10">
      <c r="I1845" s="304"/>
      <c r="J1845" s="304"/>
    </row>
    <row r="1846" spans="9:10">
      <c r="I1846" s="304"/>
      <c r="J1846" s="304"/>
    </row>
    <row r="1847" spans="9:10">
      <c r="I1847" s="304"/>
      <c r="J1847" s="304"/>
    </row>
    <row r="1848" spans="9:10">
      <c r="I1848" s="304"/>
      <c r="J1848" s="304"/>
    </row>
    <row r="1849" spans="9:10">
      <c r="I1849" s="304"/>
      <c r="J1849" s="304"/>
    </row>
    <row r="1850" spans="9:10">
      <c r="I1850" s="304"/>
      <c r="J1850" s="304"/>
    </row>
    <row r="1851" spans="9:10">
      <c r="I1851" s="304"/>
      <c r="J1851" s="304"/>
    </row>
    <row r="1852" spans="9:10">
      <c r="I1852" s="304"/>
      <c r="J1852" s="304"/>
    </row>
    <row r="1853" spans="9:10">
      <c r="I1853" s="304"/>
      <c r="J1853" s="304"/>
    </row>
    <row r="1854" spans="9:10">
      <c r="I1854" s="304"/>
      <c r="J1854" s="304"/>
    </row>
    <row r="1855" spans="9:10">
      <c r="I1855" s="304"/>
      <c r="J1855" s="304"/>
    </row>
    <row r="1856" spans="9:10">
      <c r="I1856" s="304"/>
      <c r="J1856" s="304"/>
    </row>
    <row r="1857" spans="9:10">
      <c r="I1857" s="304"/>
      <c r="J1857" s="304"/>
    </row>
    <row r="1858" spans="9:10">
      <c r="I1858" s="304"/>
      <c r="J1858" s="304"/>
    </row>
    <row r="1859" spans="9:10">
      <c r="I1859" s="304"/>
      <c r="J1859" s="304"/>
    </row>
    <row r="1860" spans="9:10">
      <c r="I1860" s="304"/>
      <c r="J1860" s="304"/>
    </row>
    <row r="1861" spans="9:10">
      <c r="I1861" s="304"/>
      <c r="J1861" s="304"/>
    </row>
    <row r="1862" spans="9:10">
      <c r="I1862" s="304"/>
      <c r="J1862" s="304"/>
    </row>
    <row r="1863" spans="9:10">
      <c r="I1863" s="304"/>
      <c r="J1863" s="304"/>
    </row>
    <row r="1864" spans="9:10">
      <c r="I1864" s="304"/>
      <c r="J1864" s="304"/>
    </row>
    <row r="1865" spans="9:10">
      <c r="I1865" s="304"/>
      <c r="J1865" s="304"/>
    </row>
    <row r="1866" spans="9:10">
      <c r="I1866" s="304"/>
      <c r="J1866" s="304"/>
    </row>
    <row r="1867" spans="9:10">
      <c r="I1867" s="304"/>
      <c r="J1867" s="304"/>
    </row>
    <row r="1868" spans="9:10">
      <c r="I1868" s="304"/>
      <c r="J1868" s="304"/>
    </row>
    <row r="1869" spans="9:10">
      <c r="I1869" s="304"/>
      <c r="J1869" s="304"/>
    </row>
    <row r="1870" spans="9:10">
      <c r="I1870" s="304"/>
      <c r="J1870" s="304"/>
    </row>
    <row r="1871" spans="9:10">
      <c r="I1871" s="304"/>
      <c r="J1871" s="304"/>
    </row>
    <row r="1872" spans="9:10">
      <c r="I1872" s="304"/>
      <c r="J1872" s="304"/>
    </row>
    <row r="1873" spans="9:10">
      <c r="I1873" s="304"/>
      <c r="J1873" s="304"/>
    </row>
    <row r="1874" spans="9:10">
      <c r="I1874" s="304"/>
      <c r="J1874" s="304"/>
    </row>
    <row r="1875" spans="9:10">
      <c r="I1875" s="304"/>
      <c r="J1875" s="304"/>
    </row>
    <row r="1876" spans="9:10">
      <c r="I1876" s="304"/>
      <c r="J1876" s="304"/>
    </row>
    <row r="1877" spans="9:10">
      <c r="I1877" s="304"/>
      <c r="J1877" s="304"/>
    </row>
    <row r="1878" spans="9:10">
      <c r="I1878" s="304"/>
      <c r="J1878" s="304"/>
    </row>
    <row r="1879" spans="9:10">
      <c r="I1879" s="304"/>
      <c r="J1879" s="304"/>
    </row>
    <row r="1880" spans="9:10">
      <c r="I1880" s="304"/>
      <c r="J1880" s="304"/>
    </row>
    <row r="1881" spans="9:10">
      <c r="I1881" s="304"/>
      <c r="J1881" s="304"/>
    </row>
    <row r="1882" spans="9:10">
      <c r="I1882" s="304"/>
      <c r="J1882" s="304"/>
    </row>
    <row r="1883" spans="9:10">
      <c r="I1883" s="304"/>
      <c r="J1883" s="304"/>
    </row>
    <row r="1884" spans="9:10">
      <c r="I1884" s="304"/>
      <c r="J1884" s="304"/>
    </row>
    <row r="1885" spans="9:10">
      <c r="I1885" s="304"/>
      <c r="J1885" s="304"/>
    </row>
    <row r="1886" spans="9:10">
      <c r="I1886" s="304"/>
      <c r="J1886" s="304"/>
    </row>
    <row r="1887" spans="9:10">
      <c r="I1887" s="304"/>
      <c r="J1887" s="304"/>
    </row>
    <row r="1888" spans="9:10">
      <c r="I1888" s="304"/>
      <c r="J1888" s="304"/>
    </row>
    <row r="1889" spans="9:10">
      <c r="I1889" s="304"/>
      <c r="J1889" s="304"/>
    </row>
    <row r="1890" spans="9:10">
      <c r="I1890" s="304"/>
      <c r="J1890" s="304"/>
    </row>
    <row r="1891" spans="9:10">
      <c r="I1891" s="304"/>
      <c r="J1891" s="304"/>
    </row>
    <row r="1892" spans="9:10">
      <c r="I1892" s="304"/>
      <c r="J1892" s="304"/>
    </row>
    <row r="1893" spans="9:10">
      <c r="I1893" s="304"/>
      <c r="J1893" s="304"/>
    </row>
    <row r="1894" spans="9:10">
      <c r="I1894" s="304"/>
      <c r="J1894" s="304"/>
    </row>
    <row r="1895" spans="9:10">
      <c r="I1895" s="304"/>
      <c r="J1895" s="304"/>
    </row>
    <row r="1896" spans="9:10">
      <c r="I1896" s="304"/>
      <c r="J1896" s="304"/>
    </row>
    <row r="1897" spans="9:10">
      <c r="I1897" s="304"/>
      <c r="J1897" s="304"/>
    </row>
    <row r="1898" spans="9:10">
      <c r="I1898" s="304"/>
      <c r="J1898" s="304"/>
    </row>
    <row r="1899" spans="9:10">
      <c r="I1899" s="304"/>
      <c r="J1899" s="304"/>
    </row>
    <row r="1900" spans="9:10">
      <c r="I1900" s="304"/>
      <c r="J1900" s="304"/>
    </row>
    <row r="1901" spans="9:10">
      <c r="I1901" s="304"/>
      <c r="J1901" s="304"/>
    </row>
    <row r="1902" spans="9:10">
      <c r="I1902" s="304"/>
      <c r="J1902" s="304"/>
    </row>
    <row r="1903" spans="9:10">
      <c r="I1903" s="304"/>
      <c r="J1903" s="304"/>
    </row>
    <row r="1904" spans="9:10">
      <c r="I1904" s="304"/>
      <c r="J1904" s="304"/>
    </row>
    <row r="1905" spans="9:10">
      <c r="I1905" s="304"/>
      <c r="J1905" s="304"/>
    </row>
    <row r="1906" spans="9:10">
      <c r="I1906" s="304"/>
      <c r="J1906" s="304"/>
    </row>
    <row r="1907" spans="9:10">
      <c r="I1907" s="304"/>
      <c r="J1907" s="304"/>
    </row>
    <row r="1908" spans="9:10">
      <c r="I1908" s="304"/>
      <c r="J1908" s="304"/>
    </row>
    <row r="1909" spans="9:10">
      <c r="I1909" s="304"/>
      <c r="J1909" s="304"/>
    </row>
    <row r="1910" spans="9:10">
      <c r="I1910" s="304"/>
      <c r="J1910" s="304"/>
    </row>
    <row r="1911" spans="9:10">
      <c r="I1911" s="304"/>
      <c r="J1911" s="304"/>
    </row>
    <row r="1912" spans="9:10">
      <c r="I1912" s="304"/>
      <c r="J1912" s="304"/>
    </row>
    <row r="1913" spans="9:10">
      <c r="I1913" s="304"/>
      <c r="J1913" s="304"/>
    </row>
    <row r="1914" spans="9:10">
      <c r="I1914" s="304"/>
      <c r="J1914" s="304"/>
    </row>
    <row r="1915" spans="9:10">
      <c r="I1915" s="304"/>
      <c r="J1915" s="304"/>
    </row>
    <row r="1916" spans="9:10">
      <c r="I1916" s="304"/>
      <c r="J1916" s="304"/>
    </row>
    <row r="1917" spans="9:10">
      <c r="I1917" s="304"/>
      <c r="J1917" s="304"/>
    </row>
    <row r="1918" spans="9:10">
      <c r="I1918" s="304"/>
      <c r="J1918" s="304"/>
    </row>
    <row r="1919" spans="9:10">
      <c r="I1919" s="304"/>
      <c r="J1919" s="304"/>
    </row>
    <row r="1920" spans="9:10">
      <c r="I1920" s="304"/>
      <c r="J1920" s="304"/>
    </row>
    <row r="1921" spans="9:10">
      <c r="I1921" s="304"/>
      <c r="J1921" s="304"/>
    </row>
    <row r="1922" spans="9:10">
      <c r="I1922" s="304"/>
      <c r="J1922" s="304"/>
    </row>
    <row r="1923" spans="9:10">
      <c r="I1923" s="304"/>
      <c r="J1923" s="304"/>
    </row>
    <row r="1924" spans="9:10">
      <c r="I1924" s="304"/>
      <c r="J1924" s="304"/>
    </row>
    <row r="1925" spans="9:10">
      <c r="I1925" s="304"/>
      <c r="J1925" s="304"/>
    </row>
    <row r="1926" spans="9:10">
      <c r="I1926" s="304"/>
      <c r="J1926" s="304"/>
    </row>
    <row r="1927" spans="9:10">
      <c r="I1927" s="304"/>
      <c r="J1927" s="304"/>
    </row>
    <row r="1928" spans="9:10">
      <c r="I1928" s="304"/>
      <c r="J1928" s="304"/>
    </row>
    <row r="1929" spans="9:10">
      <c r="I1929" s="304"/>
      <c r="J1929" s="304"/>
    </row>
    <row r="1930" spans="9:10">
      <c r="I1930" s="304"/>
      <c r="J1930" s="304"/>
    </row>
    <row r="1931" spans="9:10">
      <c r="I1931" s="304"/>
      <c r="J1931" s="304"/>
    </row>
    <row r="1932" spans="9:10">
      <c r="I1932" s="304"/>
      <c r="J1932" s="304"/>
    </row>
    <row r="1933" spans="9:10">
      <c r="I1933" s="304"/>
      <c r="J1933" s="304"/>
    </row>
    <row r="1934" spans="9:10">
      <c r="I1934" s="304"/>
      <c r="J1934" s="304"/>
    </row>
    <row r="1935" spans="9:10">
      <c r="I1935" s="304"/>
      <c r="J1935" s="304"/>
    </row>
    <row r="1936" spans="9:10">
      <c r="I1936" s="304"/>
      <c r="J1936" s="304"/>
    </row>
    <row r="1937" spans="9:10">
      <c r="I1937" s="304"/>
      <c r="J1937" s="304"/>
    </row>
    <row r="1938" spans="9:10">
      <c r="I1938" s="304"/>
      <c r="J1938" s="304"/>
    </row>
    <row r="1939" spans="9:10">
      <c r="I1939" s="304"/>
      <c r="J1939" s="304"/>
    </row>
    <row r="1940" spans="9:10">
      <c r="I1940" s="304"/>
      <c r="J1940" s="304"/>
    </row>
    <row r="1941" spans="9:10">
      <c r="I1941" s="304"/>
      <c r="J1941" s="304"/>
    </row>
    <row r="1942" spans="9:10">
      <c r="I1942" s="304"/>
      <c r="J1942" s="304"/>
    </row>
    <row r="1943" spans="9:10">
      <c r="I1943" s="304"/>
      <c r="J1943" s="304"/>
    </row>
    <row r="1944" spans="9:10">
      <c r="I1944" s="304"/>
      <c r="J1944" s="304"/>
    </row>
    <row r="1945" spans="9:10">
      <c r="I1945" s="304"/>
      <c r="J1945" s="304"/>
    </row>
    <row r="1946" spans="9:10">
      <c r="I1946" s="304"/>
      <c r="J1946" s="304"/>
    </row>
    <row r="1947" spans="9:10">
      <c r="I1947" s="304"/>
      <c r="J1947" s="304"/>
    </row>
    <row r="1948" spans="9:10">
      <c r="I1948" s="304"/>
      <c r="J1948" s="304"/>
    </row>
    <row r="1949" spans="9:10">
      <c r="I1949" s="304"/>
      <c r="J1949" s="304"/>
    </row>
    <row r="1950" spans="9:10">
      <c r="I1950" s="304"/>
      <c r="J1950" s="304"/>
    </row>
    <row r="1951" spans="9:10">
      <c r="I1951" s="304"/>
      <c r="J1951" s="304"/>
    </row>
    <row r="1952" spans="9:10">
      <c r="I1952" s="304"/>
      <c r="J1952" s="304"/>
    </row>
    <row r="1953" spans="9:10">
      <c r="I1953" s="304"/>
      <c r="J1953" s="304"/>
    </row>
    <row r="1954" spans="9:10">
      <c r="I1954" s="304"/>
      <c r="J1954" s="304"/>
    </row>
    <row r="1955" spans="9:10">
      <c r="I1955" s="304"/>
      <c r="J1955" s="304"/>
    </row>
    <row r="1956" spans="9:10">
      <c r="I1956" s="304"/>
      <c r="J1956" s="304"/>
    </row>
    <row r="1957" spans="9:10">
      <c r="I1957" s="304"/>
      <c r="J1957" s="304"/>
    </row>
    <row r="1958" spans="9:10">
      <c r="I1958" s="304"/>
      <c r="J1958" s="304"/>
    </row>
    <row r="1959" spans="9:10">
      <c r="I1959" s="304"/>
      <c r="J1959" s="304"/>
    </row>
    <row r="1960" spans="9:10">
      <c r="I1960" s="304"/>
      <c r="J1960" s="304"/>
    </row>
    <row r="1961" spans="9:10">
      <c r="I1961" s="304"/>
      <c r="J1961" s="304"/>
    </row>
    <row r="1962" spans="9:10">
      <c r="I1962" s="304"/>
      <c r="J1962" s="304"/>
    </row>
    <row r="1963" spans="9:10">
      <c r="I1963" s="304"/>
      <c r="J1963" s="304"/>
    </row>
    <row r="1964" spans="9:10">
      <c r="I1964" s="304"/>
      <c r="J1964" s="304"/>
    </row>
    <row r="1965" spans="9:10">
      <c r="I1965" s="304"/>
      <c r="J1965" s="304"/>
    </row>
    <row r="1966" spans="9:10">
      <c r="I1966" s="304"/>
      <c r="J1966" s="304"/>
    </row>
    <row r="1967" spans="9:10">
      <c r="I1967" s="304"/>
      <c r="J1967" s="304"/>
    </row>
    <row r="1968" spans="9:10">
      <c r="I1968" s="304"/>
      <c r="J1968" s="304"/>
    </row>
    <row r="1969" spans="9:10">
      <c r="I1969" s="304"/>
      <c r="J1969" s="304"/>
    </row>
    <row r="1970" spans="9:10">
      <c r="I1970" s="304"/>
      <c r="J1970" s="304"/>
    </row>
    <row r="1971" spans="9:10">
      <c r="I1971" s="304"/>
      <c r="J1971" s="304"/>
    </row>
    <row r="1972" spans="9:10">
      <c r="I1972" s="304"/>
      <c r="J1972" s="304"/>
    </row>
    <row r="1973" spans="9:10">
      <c r="I1973" s="304"/>
      <c r="J1973" s="304"/>
    </row>
    <row r="1974" spans="9:10">
      <c r="I1974" s="304"/>
      <c r="J1974" s="304"/>
    </row>
    <row r="1975" spans="9:10">
      <c r="I1975" s="304"/>
      <c r="J1975" s="304"/>
    </row>
    <row r="1976" spans="9:10">
      <c r="I1976" s="304"/>
      <c r="J1976" s="304"/>
    </row>
    <row r="1977" spans="9:10">
      <c r="I1977" s="304"/>
      <c r="J1977" s="304"/>
    </row>
    <row r="1978" spans="9:10">
      <c r="I1978" s="304"/>
      <c r="J1978" s="304"/>
    </row>
    <row r="1979" spans="9:10">
      <c r="I1979" s="304"/>
      <c r="J1979" s="304"/>
    </row>
    <row r="1980" spans="9:10">
      <c r="I1980" s="304"/>
      <c r="J1980" s="304"/>
    </row>
    <row r="1981" spans="9:10">
      <c r="I1981" s="304"/>
      <c r="J1981" s="304"/>
    </row>
    <row r="1982" spans="9:10">
      <c r="I1982" s="304"/>
      <c r="J1982" s="304"/>
    </row>
    <row r="1983" spans="9:10">
      <c r="I1983" s="304"/>
      <c r="J1983" s="304"/>
    </row>
    <row r="1984" spans="9:10">
      <c r="I1984" s="304"/>
      <c r="J1984" s="304"/>
    </row>
    <row r="1985" spans="9:10">
      <c r="I1985" s="304"/>
      <c r="J1985" s="304"/>
    </row>
    <row r="1986" spans="9:10">
      <c r="I1986" s="304"/>
      <c r="J1986" s="304"/>
    </row>
    <row r="1987" spans="9:10">
      <c r="I1987" s="304"/>
      <c r="J1987" s="304"/>
    </row>
    <row r="1988" spans="9:10">
      <c r="I1988" s="304"/>
      <c r="J1988" s="304"/>
    </row>
    <row r="1989" spans="9:10">
      <c r="I1989" s="304"/>
      <c r="J1989" s="304"/>
    </row>
    <row r="1990" spans="9:10">
      <c r="I1990" s="304"/>
      <c r="J1990" s="304"/>
    </row>
    <row r="1991" spans="9:10">
      <c r="I1991" s="304"/>
      <c r="J1991" s="304"/>
    </row>
    <row r="1992" spans="9:10">
      <c r="I1992" s="304"/>
      <c r="J1992" s="304"/>
    </row>
    <row r="1993" spans="9:10">
      <c r="I1993" s="304"/>
      <c r="J1993" s="304"/>
    </row>
    <row r="1994" spans="9:10">
      <c r="I1994" s="304"/>
      <c r="J1994" s="304"/>
    </row>
    <row r="1995" spans="9:10">
      <c r="I1995" s="304"/>
      <c r="J1995" s="304"/>
    </row>
    <row r="1996" spans="9:10">
      <c r="I1996" s="304"/>
      <c r="J1996" s="304"/>
    </row>
    <row r="1997" spans="9:10">
      <c r="I1997" s="304"/>
      <c r="J1997" s="304"/>
    </row>
    <row r="1998" spans="9:10">
      <c r="I1998" s="304"/>
      <c r="J1998" s="304"/>
    </row>
    <row r="1999" spans="9:10">
      <c r="I1999" s="304"/>
      <c r="J1999" s="304"/>
    </row>
    <row r="2000" spans="9:10">
      <c r="I2000" s="304"/>
      <c r="J2000" s="304"/>
    </row>
    <row r="2001" spans="9:10">
      <c r="I2001" s="304"/>
      <c r="J2001" s="304"/>
    </row>
    <row r="2002" spans="9:10">
      <c r="I2002" s="304"/>
      <c r="J2002" s="304"/>
    </row>
    <row r="2003" spans="9:10">
      <c r="I2003" s="304"/>
      <c r="J2003" s="304"/>
    </row>
    <row r="2004" spans="9:10">
      <c r="I2004" s="304"/>
      <c r="J2004" s="304"/>
    </row>
    <row r="2005" spans="9:10">
      <c r="I2005" s="304"/>
      <c r="J2005" s="304"/>
    </row>
    <row r="2006" spans="9:10">
      <c r="I2006" s="304"/>
      <c r="J2006" s="304"/>
    </row>
    <row r="2007" spans="9:10">
      <c r="I2007" s="304"/>
      <c r="J2007" s="304"/>
    </row>
    <row r="2008" spans="9:10">
      <c r="I2008" s="304"/>
      <c r="J2008" s="304"/>
    </row>
    <row r="2009" spans="9:10">
      <c r="I2009" s="304"/>
      <c r="J2009" s="304"/>
    </row>
    <row r="2010" spans="9:10">
      <c r="I2010" s="304"/>
      <c r="J2010" s="304"/>
    </row>
    <row r="2011" spans="9:10">
      <c r="I2011" s="304"/>
      <c r="J2011" s="304"/>
    </row>
    <row r="2012" spans="9:10">
      <c r="I2012" s="304"/>
      <c r="J2012" s="304"/>
    </row>
    <row r="2013" spans="9:10">
      <c r="I2013" s="304"/>
      <c r="J2013" s="304"/>
    </row>
    <row r="2014" spans="9:10">
      <c r="I2014" s="304"/>
      <c r="J2014" s="304"/>
    </row>
    <row r="2015" spans="9:10">
      <c r="I2015" s="304"/>
      <c r="J2015" s="304"/>
    </row>
    <row r="2016" spans="9:10">
      <c r="I2016" s="304"/>
      <c r="J2016" s="304"/>
    </row>
    <row r="2017" spans="9:10">
      <c r="I2017" s="304"/>
      <c r="J2017" s="304"/>
    </row>
    <row r="2018" spans="9:10">
      <c r="I2018" s="304"/>
      <c r="J2018" s="304"/>
    </row>
    <row r="2019" spans="9:10">
      <c r="I2019" s="304"/>
      <c r="J2019" s="304"/>
    </row>
    <row r="2020" spans="9:10">
      <c r="I2020" s="304"/>
      <c r="J2020" s="304"/>
    </row>
    <row r="2021" spans="9:10">
      <c r="I2021" s="304"/>
      <c r="J2021" s="304"/>
    </row>
    <row r="2022" spans="9:10">
      <c r="I2022" s="304"/>
      <c r="J2022" s="304"/>
    </row>
    <row r="2023" spans="9:10">
      <c r="I2023" s="304"/>
      <c r="J2023" s="304"/>
    </row>
    <row r="2024" spans="9:10">
      <c r="I2024" s="304"/>
      <c r="J2024" s="304"/>
    </row>
    <row r="2025" spans="9:10">
      <c r="I2025" s="304"/>
      <c r="J2025" s="304"/>
    </row>
    <row r="2026" spans="9:10">
      <c r="I2026" s="304"/>
      <c r="J2026" s="304"/>
    </row>
    <row r="2027" spans="9:10">
      <c r="I2027" s="304"/>
      <c r="J2027" s="304"/>
    </row>
    <row r="2028" spans="9:10">
      <c r="I2028" s="304"/>
      <c r="J2028" s="304"/>
    </row>
    <row r="2029" spans="9:10">
      <c r="I2029" s="304"/>
      <c r="J2029" s="304"/>
    </row>
    <row r="2030" spans="9:10">
      <c r="I2030" s="304"/>
      <c r="J2030" s="304"/>
    </row>
    <row r="2031" spans="9:10">
      <c r="I2031" s="304"/>
      <c r="J2031" s="304"/>
    </row>
    <row r="2032" spans="9:10">
      <c r="I2032" s="304"/>
      <c r="J2032" s="304"/>
    </row>
    <row r="2033" spans="9:10">
      <c r="I2033" s="304"/>
      <c r="J2033" s="304"/>
    </row>
    <row r="2034" spans="9:10">
      <c r="I2034" s="304"/>
      <c r="J2034" s="304"/>
    </row>
    <row r="2035" spans="9:10">
      <c r="I2035" s="304"/>
      <c r="J2035" s="304"/>
    </row>
    <row r="2036" spans="9:10">
      <c r="I2036" s="304"/>
      <c r="J2036" s="304"/>
    </row>
    <row r="2037" spans="9:10">
      <c r="I2037" s="304"/>
      <c r="J2037" s="304"/>
    </row>
    <row r="2038" spans="9:10">
      <c r="I2038" s="304"/>
      <c r="J2038" s="304"/>
    </row>
    <row r="2039" spans="9:10">
      <c r="I2039" s="304"/>
      <c r="J2039" s="304"/>
    </row>
    <row r="2040" spans="9:10">
      <c r="I2040" s="304"/>
      <c r="J2040" s="304"/>
    </row>
    <row r="2041" spans="9:10">
      <c r="I2041" s="304"/>
      <c r="J2041" s="304"/>
    </row>
    <row r="2042" spans="9:10">
      <c r="I2042" s="304"/>
      <c r="J2042" s="304"/>
    </row>
    <row r="2043" spans="9:10">
      <c r="I2043" s="304"/>
      <c r="J2043" s="304"/>
    </row>
    <row r="2044" spans="9:10">
      <c r="I2044" s="304"/>
      <c r="J2044" s="304"/>
    </row>
    <row r="2045" spans="9:10">
      <c r="I2045" s="304"/>
      <c r="J2045" s="304"/>
    </row>
    <row r="2046" spans="9:10">
      <c r="I2046" s="304"/>
      <c r="J2046" s="304"/>
    </row>
    <row r="2047" spans="9:10">
      <c r="I2047" s="304"/>
      <c r="J2047" s="304"/>
    </row>
    <row r="2048" spans="9:10">
      <c r="I2048" s="304"/>
      <c r="J2048" s="304"/>
    </row>
    <row r="2049" spans="9:10">
      <c r="I2049" s="304"/>
      <c r="J2049" s="304"/>
    </row>
    <row r="2050" spans="9:10">
      <c r="I2050" s="304"/>
      <c r="J2050" s="304"/>
    </row>
    <row r="2051" spans="9:10">
      <c r="I2051" s="304"/>
      <c r="J2051" s="304"/>
    </row>
    <row r="2052" spans="9:10">
      <c r="I2052" s="304"/>
      <c r="J2052" s="304"/>
    </row>
    <row r="2053" spans="9:10">
      <c r="I2053" s="304"/>
      <c r="J2053" s="304"/>
    </row>
    <row r="2054" spans="9:10">
      <c r="I2054" s="304"/>
      <c r="J2054" s="304"/>
    </row>
    <row r="2055" spans="9:10">
      <c r="I2055" s="304"/>
      <c r="J2055" s="304"/>
    </row>
    <row r="2056" spans="9:10">
      <c r="I2056" s="304"/>
      <c r="J2056" s="304"/>
    </row>
    <row r="2057" spans="9:10">
      <c r="I2057" s="304"/>
      <c r="J2057" s="304"/>
    </row>
    <row r="2058" spans="9:10">
      <c r="I2058" s="304"/>
      <c r="J2058" s="304"/>
    </row>
    <row r="2059" spans="9:10">
      <c r="I2059" s="304"/>
      <c r="J2059" s="304"/>
    </row>
    <row r="2060" spans="9:10">
      <c r="I2060" s="304"/>
      <c r="J2060" s="304"/>
    </row>
    <row r="2061" spans="9:10">
      <c r="I2061" s="304"/>
      <c r="J2061" s="304"/>
    </row>
    <row r="2062" spans="9:10">
      <c r="I2062" s="304"/>
      <c r="J2062" s="304"/>
    </row>
    <row r="2063" spans="9:10">
      <c r="I2063" s="304"/>
      <c r="J2063" s="304"/>
    </row>
    <row r="2064" spans="9:10">
      <c r="I2064" s="304"/>
      <c r="J2064" s="304"/>
    </row>
    <row r="2065" spans="9:10">
      <c r="I2065" s="304"/>
      <c r="J2065" s="304"/>
    </row>
    <row r="2066" spans="9:10">
      <c r="I2066" s="304"/>
      <c r="J2066" s="304"/>
    </row>
    <row r="2067" spans="9:10">
      <c r="I2067" s="304"/>
      <c r="J2067" s="304"/>
    </row>
    <row r="2068" spans="9:10">
      <c r="I2068" s="304"/>
      <c r="J2068" s="304"/>
    </row>
    <row r="2069" spans="9:10">
      <c r="I2069" s="304"/>
      <c r="J2069" s="304"/>
    </row>
    <row r="2070" spans="9:10">
      <c r="I2070" s="304"/>
      <c r="J2070" s="304"/>
    </row>
    <row r="2071" spans="9:10">
      <c r="I2071" s="304"/>
      <c r="J2071" s="304"/>
    </row>
    <row r="2072" spans="9:10">
      <c r="I2072" s="304"/>
      <c r="J2072" s="304"/>
    </row>
    <row r="2073" spans="9:10">
      <c r="I2073" s="304"/>
      <c r="J2073" s="304"/>
    </row>
    <row r="2074" spans="9:10">
      <c r="I2074" s="304"/>
      <c r="J2074" s="304"/>
    </row>
    <row r="2075" spans="9:10">
      <c r="I2075" s="304"/>
      <c r="J2075" s="304"/>
    </row>
    <row r="2076" spans="9:10">
      <c r="I2076" s="304"/>
      <c r="J2076" s="304"/>
    </row>
    <row r="2077" spans="9:10">
      <c r="I2077" s="304"/>
      <c r="J2077" s="304"/>
    </row>
    <row r="2078" spans="9:10">
      <c r="I2078" s="304"/>
      <c r="J2078" s="304"/>
    </row>
    <row r="2079" spans="9:10">
      <c r="I2079" s="304"/>
      <c r="J2079" s="304"/>
    </row>
    <row r="2080" spans="9:10">
      <c r="I2080" s="304"/>
      <c r="J2080" s="304"/>
    </row>
    <row r="2081" spans="9:10">
      <c r="I2081" s="304"/>
      <c r="J2081" s="304"/>
    </row>
    <row r="2082" spans="9:10">
      <c r="I2082" s="304"/>
      <c r="J2082" s="304"/>
    </row>
    <row r="2083" spans="9:10">
      <c r="I2083" s="304"/>
      <c r="J2083" s="304"/>
    </row>
    <row r="2084" spans="9:10">
      <c r="I2084" s="304"/>
      <c r="J2084" s="304"/>
    </row>
    <row r="2085" spans="9:10">
      <c r="I2085" s="304"/>
      <c r="J2085" s="304"/>
    </row>
    <row r="2086" spans="9:10">
      <c r="I2086" s="304"/>
      <c r="J2086" s="304"/>
    </row>
    <row r="2087" spans="9:10">
      <c r="I2087" s="304"/>
      <c r="J2087" s="304"/>
    </row>
    <row r="2088" spans="9:10">
      <c r="I2088" s="304"/>
      <c r="J2088" s="304"/>
    </row>
    <row r="2089" spans="9:10">
      <c r="I2089" s="304"/>
      <c r="J2089" s="304"/>
    </row>
    <row r="2090" spans="9:10">
      <c r="I2090" s="304"/>
      <c r="J2090" s="304"/>
    </row>
    <row r="2091" spans="9:10">
      <c r="I2091" s="304"/>
      <c r="J2091" s="304"/>
    </row>
    <row r="2092" spans="9:10">
      <c r="I2092" s="304"/>
      <c r="J2092" s="304"/>
    </row>
    <row r="2093" spans="9:10">
      <c r="I2093" s="304"/>
      <c r="J2093" s="304"/>
    </row>
    <row r="2094" spans="9:10">
      <c r="I2094" s="304"/>
      <c r="J2094" s="304"/>
    </row>
    <row r="2095" spans="9:10">
      <c r="I2095" s="304"/>
      <c r="J2095" s="304"/>
    </row>
    <row r="2096" spans="9:10">
      <c r="I2096" s="304"/>
      <c r="J2096" s="304"/>
    </row>
    <row r="2097" spans="9:10">
      <c r="I2097" s="304"/>
      <c r="J2097" s="304"/>
    </row>
    <row r="2098" spans="9:10">
      <c r="I2098" s="304"/>
      <c r="J2098" s="304"/>
    </row>
    <row r="2099" spans="9:10">
      <c r="I2099" s="304"/>
      <c r="J2099" s="304"/>
    </row>
    <row r="2100" spans="9:10">
      <c r="I2100" s="304"/>
      <c r="J2100" s="304"/>
    </row>
    <row r="2101" spans="9:10">
      <c r="I2101" s="304"/>
      <c r="J2101" s="304"/>
    </row>
    <row r="2102" spans="9:10">
      <c r="I2102" s="304"/>
      <c r="J2102" s="304"/>
    </row>
    <row r="2103" spans="9:10">
      <c r="I2103" s="304"/>
      <c r="J2103" s="304"/>
    </row>
    <row r="2104" spans="9:10">
      <c r="I2104" s="304"/>
      <c r="J2104" s="304"/>
    </row>
    <row r="2105" spans="9:10">
      <c r="I2105" s="304"/>
      <c r="J2105" s="304"/>
    </row>
    <row r="2106" spans="9:10">
      <c r="I2106" s="304"/>
      <c r="J2106" s="304"/>
    </row>
    <row r="2107" spans="9:10">
      <c r="I2107" s="304"/>
      <c r="J2107" s="304"/>
    </row>
    <row r="2108" spans="9:10">
      <c r="I2108" s="304"/>
      <c r="J2108" s="304"/>
    </row>
    <row r="2109" spans="9:10">
      <c r="I2109" s="304"/>
      <c r="J2109" s="304"/>
    </row>
    <row r="2110" spans="9:10">
      <c r="I2110" s="304"/>
      <c r="J2110" s="304"/>
    </row>
    <row r="2111" spans="9:10">
      <c r="I2111" s="304"/>
      <c r="J2111" s="304"/>
    </row>
    <row r="2112" spans="9:10">
      <c r="I2112" s="304"/>
      <c r="J2112" s="304"/>
    </row>
    <row r="2113" spans="9:10">
      <c r="I2113" s="304"/>
      <c r="J2113" s="304"/>
    </row>
    <row r="2114" spans="9:10">
      <c r="I2114" s="304"/>
      <c r="J2114" s="304"/>
    </row>
    <row r="2115" spans="9:10">
      <c r="I2115" s="304"/>
      <c r="J2115" s="304"/>
    </row>
    <row r="2116" spans="9:10">
      <c r="I2116" s="304"/>
      <c r="J2116" s="304"/>
    </row>
    <row r="2117" spans="9:10">
      <c r="I2117" s="304"/>
      <c r="J2117" s="304"/>
    </row>
    <row r="2118" spans="9:10">
      <c r="I2118" s="304"/>
      <c r="J2118" s="304"/>
    </row>
    <row r="2119" spans="9:10">
      <c r="I2119" s="304"/>
      <c r="J2119" s="304"/>
    </row>
    <row r="2120" spans="9:10">
      <c r="I2120" s="304"/>
      <c r="J2120" s="304"/>
    </row>
    <row r="2121" spans="9:10">
      <c r="I2121" s="304"/>
      <c r="J2121" s="304"/>
    </row>
    <row r="2122" spans="9:10">
      <c r="I2122" s="304"/>
      <c r="J2122" s="304"/>
    </row>
    <row r="2123" spans="9:10">
      <c r="I2123" s="304"/>
      <c r="J2123" s="304"/>
    </row>
    <row r="2124" spans="9:10">
      <c r="I2124" s="304"/>
      <c r="J2124" s="304"/>
    </row>
    <row r="2125" spans="9:10">
      <c r="I2125" s="304"/>
      <c r="J2125" s="304"/>
    </row>
    <row r="2126" spans="9:10">
      <c r="I2126" s="304"/>
      <c r="J2126" s="304"/>
    </row>
    <row r="2127" spans="9:10">
      <c r="I2127" s="304"/>
      <c r="J2127" s="304"/>
    </row>
    <row r="2128" spans="9:10">
      <c r="I2128" s="304"/>
      <c r="J2128" s="304"/>
    </row>
    <row r="2129" spans="9:10">
      <c r="I2129" s="304"/>
      <c r="J2129" s="304"/>
    </row>
    <row r="2130" spans="9:10">
      <c r="I2130" s="304"/>
      <c r="J2130" s="304"/>
    </row>
    <row r="2131" spans="9:10">
      <c r="I2131" s="304"/>
      <c r="J2131" s="304"/>
    </row>
    <row r="2132" spans="9:10">
      <c r="I2132" s="304"/>
      <c r="J2132" s="304"/>
    </row>
    <row r="2133" spans="9:10">
      <c r="I2133" s="304"/>
      <c r="J2133" s="304"/>
    </row>
    <row r="2134" spans="9:10">
      <c r="I2134" s="304"/>
      <c r="J2134" s="304"/>
    </row>
    <row r="2135" spans="9:10">
      <c r="I2135" s="304"/>
      <c r="J2135" s="304"/>
    </row>
    <row r="2136" spans="9:10">
      <c r="I2136" s="304"/>
      <c r="J2136" s="304"/>
    </row>
    <row r="2137" spans="9:10">
      <c r="I2137" s="304"/>
      <c r="J2137" s="304"/>
    </row>
    <row r="2138" spans="9:10">
      <c r="I2138" s="304"/>
      <c r="J2138" s="304"/>
    </row>
    <row r="2139" spans="9:10">
      <c r="I2139" s="304"/>
      <c r="J2139" s="304"/>
    </row>
    <row r="2140" spans="9:10">
      <c r="I2140" s="304"/>
      <c r="J2140" s="304"/>
    </row>
    <row r="2141" spans="9:10">
      <c r="I2141" s="304"/>
      <c r="J2141" s="304"/>
    </row>
    <row r="2142" spans="9:10">
      <c r="I2142" s="304"/>
      <c r="J2142" s="304"/>
    </row>
    <row r="2143" spans="9:10">
      <c r="I2143" s="304"/>
      <c r="J2143" s="304"/>
    </row>
    <row r="2144" spans="9:10">
      <c r="I2144" s="304"/>
      <c r="J2144" s="304"/>
    </row>
    <row r="2145" spans="9:10">
      <c r="I2145" s="304"/>
      <c r="J2145" s="304"/>
    </row>
    <row r="2146" spans="9:10">
      <c r="I2146" s="304"/>
      <c r="J2146" s="304"/>
    </row>
    <row r="2147" spans="9:10">
      <c r="I2147" s="304"/>
      <c r="J2147" s="304"/>
    </row>
    <row r="2148" spans="9:10">
      <c r="I2148" s="304"/>
      <c r="J2148" s="304"/>
    </row>
    <row r="2149" spans="9:10">
      <c r="I2149" s="304"/>
      <c r="J2149" s="304"/>
    </row>
    <row r="2150" spans="9:10">
      <c r="I2150" s="304"/>
      <c r="J2150" s="304"/>
    </row>
    <row r="2151" spans="9:10">
      <c r="I2151" s="304"/>
      <c r="J2151" s="304"/>
    </row>
    <row r="2152" spans="9:10">
      <c r="I2152" s="304"/>
      <c r="J2152" s="304"/>
    </row>
    <row r="2153" spans="9:10">
      <c r="I2153" s="304"/>
      <c r="J2153" s="304"/>
    </row>
    <row r="2154" spans="9:10">
      <c r="I2154" s="304"/>
      <c r="J2154" s="304"/>
    </row>
    <row r="2155" spans="9:10">
      <c r="I2155" s="304"/>
      <c r="J2155" s="304"/>
    </row>
    <row r="2156" spans="9:10">
      <c r="I2156" s="304"/>
      <c r="J2156" s="304"/>
    </row>
    <row r="2157" spans="9:10">
      <c r="I2157" s="304"/>
      <c r="J2157" s="304"/>
    </row>
    <row r="2158" spans="9:10">
      <c r="I2158" s="304"/>
      <c r="J2158" s="304"/>
    </row>
    <row r="2159" spans="9:10">
      <c r="I2159" s="304"/>
      <c r="J2159" s="304"/>
    </row>
    <row r="2160" spans="9:10">
      <c r="I2160" s="304"/>
      <c r="J2160" s="304"/>
    </row>
    <row r="2161" spans="9:10">
      <c r="I2161" s="304"/>
      <c r="J2161" s="304"/>
    </row>
    <row r="2162" spans="9:10">
      <c r="I2162" s="304"/>
      <c r="J2162" s="304"/>
    </row>
    <row r="2163" spans="9:10">
      <c r="I2163" s="304"/>
      <c r="J2163" s="304"/>
    </row>
    <row r="2164" spans="9:10">
      <c r="I2164" s="304"/>
      <c r="J2164" s="304"/>
    </row>
    <row r="2165" spans="9:10">
      <c r="I2165" s="304"/>
      <c r="J2165" s="304"/>
    </row>
    <row r="2166" spans="9:10">
      <c r="I2166" s="304"/>
      <c r="J2166" s="304"/>
    </row>
    <row r="2167" spans="9:10">
      <c r="I2167" s="304"/>
      <c r="J2167" s="304"/>
    </row>
    <row r="2168" spans="9:10">
      <c r="I2168" s="304"/>
      <c r="J2168" s="304"/>
    </row>
    <row r="2169" spans="9:10">
      <c r="I2169" s="304"/>
      <c r="J2169" s="304"/>
    </row>
    <row r="2170" spans="9:10">
      <c r="I2170" s="304"/>
      <c r="J2170" s="304"/>
    </row>
    <row r="2171" spans="9:10">
      <c r="I2171" s="304"/>
      <c r="J2171" s="304"/>
    </row>
    <row r="2172" spans="9:10">
      <c r="I2172" s="304"/>
      <c r="J2172" s="304"/>
    </row>
    <row r="2173" spans="9:10">
      <c r="I2173" s="304"/>
      <c r="J2173" s="304"/>
    </row>
    <row r="2174" spans="9:10">
      <c r="I2174" s="304"/>
      <c r="J2174" s="304"/>
    </row>
    <row r="2175" spans="9:10">
      <c r="I2175" s="304"/>
      <c r="J2175" s="304"/>
    </row>
    <row r="2176" spans="9:10">
      <c r="I2176" s="304"/>
      <c r="J2176" s="304"/>
    </row>
    <row r="2177" spans="9:10">
      <c r="I2177" s="304"/>
      <c r="J2177" s="304"/>
    </row>
    <row r="2178" spans="9:10">
      <c r="I2178" s="304"/>
      <c r="J2178" s="304"/>
    </row>
    <row r="2179" spans="9:10">
      <c r="I2179" s="304"/>
      <c r="J2179" s="304"/>
    </row>
    <row r="2180" spans="9:10">
      <c r="I2180" s="304"/>
      <c r="J2180" s="304"/>
    </row>
    <row r="2181" spans="9:10">
      <c r="I2181" s="304"/>
      <c r="J2181" s="304"/>
    </row>
    <row r="2182" spans="9:10">
      <c r="I2182" s="304"/>
      <c r="J2182" s="304"/>
    </row>
    <row r="2183" spans="9:10">
      <c r="I2183" s="304"/>
      <c r="J2183" s="304"/>
    </row>
    <row r="2184" spans="9:10">
      <c r="I2184" s="304"/>
      <c r="J2184" s="304"/>
    </row>
    <row r="2185" spans="9:10">
      <c r="I2185" s="304"/>
      <c r="J2185" s="304"/>
    </row>
    <row r="2186" spans="9:10">
      <c r="I2186" s="304"/>
      <c r="J2186" s="304"/>
    </row>
    <row r="2187" spans="9:10">
      <c r="I2187" s="304"/>
      <c r="J2187" s="304"/>
    </row>
    <row r="2188" spans="9:10">
      <c r="I2188" s="304"/>
      <c r="J2188" s="304"/>
    </row>
    <row r="2189" spans="9:10">
      <c r="I2189" s="304"/>
      <c r="J2189" s="304"/>
    </row>
    <row r="2190" spans="9:10">
      <c r="I2190" s="304"/>
      <c r="J2190" s="304"/>
    </row>
    <row r="2191" spans="9:10">
      <c r="I2191" s="304"/>
      <c r="J2191" s="304"/>
    </row>
    <row r="2192" spans="9:10">
      <c r="I2192" s="304"/>
      <c r="J2192" s="304"/>
    </row>
    <row r="2193" spans="9:10">
      <c r="I2193" s="304"/>
      <c r="J2193" s="304"/>
    </row>
    <row r="2194" spans="9:10">
      <c r="I2194" s="304"/>
      <c r="J2194" s="304"/>
    </row>
    <row r="2195" spans="9:10">
      <c r="I2195" s="304"/>
      <c r="J2195" s="304"/>
    </row>
    <row r="2196" spans="9:10">
      <c r="I2196" s="304"/>
      <c r="J2196" s="304"/>
    </row>
    <row r="2197" spans="9:10">
      <c r="I2197" s="304"/>
      <c r="J2197" s="304"/>
    </row>
    <row r="2198" spans="9:10">
      <c r="I2198" s="304"/>
      <c r="J2198" s="304"/>
    </row>
    <row r="2199" spans="9:10">
      <c r="I2199" s="304"/>
      <c r="J2199" s="304"/>
    </row>
    <row r="2200" spans="9:10">
      <c r="I2200" s="304"/>
      <c r="J2200" s="304"/>
    </row>
    <row r="2201" spans="9:10">
      <c r="I2201" s="304"/>
      <c r="J2201" s="304"/>
    </row>
    <row r="2202" spans="9:10">
      <c r="I2202" s="304"/>
      <c r="J2202" s="304"/>
    </row>
    <row r="2203" spans="9:10">
      <c r="I2203" s="304"/>
      <c r="J2203" s="304"/>
    </row>
    <row r="2204" spans="9:10">
      <c r="I2204" s="304"/>
      <c r="J2204" s="304"/>
    </row>
    <row r="2205" spans="9:10">
      <c r="I2205" s="304"/>
      <c r="J2205" s="304"/>
    </row>
    <row r="2206" spans="9:10">
      <c r="I2206" s="304"/>
      <c r="J2206" s="304"/>
    </row>
    <row r="2207" spans="9:10">
      <c r="I2207" s="304"/>
      <c r="J2207" s="304"/>
    </row>
    <row r="2208" spans="9:10">
      <c r="I2208" s="304"/>
      <c r="J2208" s="304"/>
    </row>
    <row r="2209" spans="9:10">
      <c r="I2209" s="304"/>
      <c r="J2209" s="304"/>
    </row>
    <row r="2210" spans="9:10">
      <c r="I2210" s="304"/>
      <c r="J2210" s="304"/>
    </row>
    <row r="2211" spans="9:10">
      <c r="I2211" s="304"/>
      <c r="J2211" s="304"/>
    </row>
    <row r="2212" spans="9:10">
      <c r="I2212" s="304"/>
      <c r="J2212" s="304"/>
    </row>
    <row r="2213" spans="9:10">
      <c r="I2213" s="304"/>
      <c r="J2213" s="304"/>
    </row>
    <row r="2214" spans="9:10">
      <c r="I2214" s="304"/>
      <c r="J2214" s="304"/>
    </row>
    <row r="2215" spans="9:10">
      <c r="I2215" s="304"/>
      <c r="J2215" s="304"/>
    </row>
    <row r="2216" spans="9:10">
      <c r="I2216" s="304"/>
      <c r="J2216" s="304"/>
    </row>
    <row r="2217" spans="9:10">
      <c r="I2217" s="304"/>
      <c r="J2217" s="304"/>
    </row>
    <row r="2218" spans="9:10">
      <c r="I2218" s="304"/>
      <c r="J2218" s="304"/>
    </row>
    <row r="2219" spans="9:10">
      <c r="I2219" s="304"/>
      <c r="J2219" s="304"/>
    </row>
    <row r="2220" spans="9:10">
      <c r="I2220" s="304"/>
      <c r="J2220" s="304"/>
    </row>
    <row r="2221" spans="9:10">
      <c r="I2221" s="304"/>
      <c r="J2221" s="304"/>
    </row>
    <row r="2222" spans="9:10">
      <c r="I2222" s="304"/>
      <c r="J2222" s="304"/>
    </row>
    <row r="2223" spans="9:10">
      <c r="I2223" s="304"/>
      <c r="J2223" s="304"/>
    </row>
    <row r="2224" spans="9:10">
      <c r="I2224" s="304"/>
      <c r="J2224" s="304"/>
    </row>
    <row r="2225" spans="9:10">
      <c r="I2225" s="304"/>
      <c r="J2225" s="304"/>
    </row>
    <row r="2226" spans="9:10">
      <c r="I2226" s="304"/>
      <c r="J2226" s="304"/>
    </row>
    <row r="2227" spans="9:10">
      <c r="I2227" s="304"/>
      <c r="J2227" s="304"/>
    </row>
    <row r="2228" spans="9:10">
      <c r="I2228" s="304"/>
      <c r="J2228" s="304"/>
    </row>
    <row r="2229" spans="9:10">
      <c r="I2229" s="304"/>
      <c r="J2229" s="304"/>
    </row>
    <row r="2230" spans="9:10">
      <c r="I2230" s="304"/>
      <c r="J2230" s="304"/>
    </row>
    <row r="2231" spans="9:10">
      <c r="I2231" s="304"/>
      <c r="J2231" s="304"/>
    </row>
    <row r="2232" spans="9:10">
      <c r="I2232" s="304"/>
      <c r="J2232" s="304"/>
    </row>
    <row r="2233" spans="9:10">
      <c r="I2233" s="304"/>
      <c r="J2233" s="304"/>
    </row>
    <row r="2234" spans="9:10">
      <c r="I2234" s="304"/>
      <c r="J2234" s="304"/>
    </row>
    <row r="2235" spans="9:10">
      <c r="I2235" s="304"/>
      <c r="J2235" s="304"/>
    </row>
    <row r="2236" spans="9:10">
      <c r="I2236" s="304"/>
      <c r="J2236" s="304"/>
    </row>
    <row r="2237" spans="9:10">
      <c r="I2237" s="304"/>
      <c r="J2237" s="304"/>
    </row>
    <row r="2238" spans="9:10">
      <c r="I2238" s="304"/>
      <c r="J2238" s="304"/>
    </row>
    <row r="2239" spans="9:10">
      <c r="I2239" s="304"/>
      <c r="J2239" s="304"/>
    </row>
    <row r="2240" spans="9:10">
      <c r="I2240" s="304"/>
      <c r="J2240" s="304"/>
    </row>
    <row r="2241" spans="9:10">
      <c r="I2241" s="304"/>
      <c r="J2241" s="304"/>
    </row>
    <row r="2242" spans="9:10">
      <c r="I2242" s="304"/>
      <c r="J2242" s="304"/>
    </row>
    <row r="2243" spans="9:10">
      <c r="I2243" s="304"/>
      <c r="J2243" s="304"/>
    </row>
    <row r="2244" spans="9:10">
      <c r="I2244" s="304"/>
      <c r="J2244" s="304"/>
    </row>
    <row r="2245" spans="9:10">
      <c r="I2245" s="304"/>
      <c r="J2245" s="304"/>
    </row>
    <row r="2246" spans="9:10">
      <c r="I2246" s="304"/>
      <c r="J2246" s="304"/>
    </row>
    <row r="2247" spans="9:10">
      <c r="I2247" s="304"/>
      <c r="J2247" s="304"/>
    </row>
    <row r="2248" spans="9:10">
      <c r="I2248" s="304"/>
      <c r="J2248" s="304"/>
    </row>
    <row r="2249" spans="9:10">
      <c r="I2249" s="304"/>
      <c r="J2249" s="304"/>
    </row>
    <row r="2250" spans="9:10">
      <c r="I2250" s="304"/>
      <c r="J2250" s="304"/>
    </row>
    <row r="2251" spans="9:10">
      <c r="I2251" s="304"/>
      <c r="J2251" s="304"/>
    </row>
    <row r="2252" spans="9:10">
      <c r="I2252" s="304"/>
      <c r="J2252" s="304"/>
    </row>
    <row r="2253" spans="9:10">
      <c r="I2253" s="304"/>
      <c r="J2253" s="304"/>
    </row>
    <row r="2254" spans="9:10">
      <c r="I2254" s="304"/>
      <c r="J2254" s="304"/>
    </row>
    <row r="2255" spans="9:10">
      <c r="I2255" s="304"/>
      <c r="J2255" s="304"/>
    </row>
    <row r="2256" spans="9:10">
      <c r="I2256" s="304"/>
      <c r="J2256" s="304"/>
    </row>
    <row r="2257" spans="9:10">
      <c r="I2257" s="304"/>
      <c r="J2257" s="304"/>
    </row>
    <row r="2258" spans="9:10">
      <c r="I2258" s="304"/>
      <c r="J2258" s="304"/>
    </row>
    <row r="2259" spans="9:10">
      <c r="I2259" s="304"/>
      <c r="J2259" s="304"/>
    </row>
    <row r="2260" spans="9:10">
      <c r="I2260" s="304"/>
      <c r="J2260" s="304"/>
    </row>
    <row r="2261" spans="9:10">
      <c r="I2261" s="304"/>
      <c r="J2261" s="304"/>
    </row>
    <row r="2262" spans="9:10">
      <c r="I2262" s="304"/>
      <c r="J2262" s="304"/>
    </row>
    <row r="2263" spans="9:10">
      <c r="I2263" s="304"/>
      <c r="J2263" s="304"/>
    </row>
    <row r="2264" spans="9:10">
      <c r="I2264" s="304"/>
      <c r="J2264" s="304"/>
    </row>
    <row r="2265" spans="9:10">
      <c r="I2265" s="304"/>
      <c r="J2265" s="304"/>
    </row>
    <row r="2266" spans="9:10">
      <c r="I2266" s="304"/>
      <c r="J2266" s="304"/>
    </row>
    <row r="2267" spans="9:10">
      <c r="I2267" s="304"/>
      <c r="J2267" s="304"/>
    </row>
    <row r="2268" spans="9:10">
      <c r="I2268" s="304"/>
      <c r="J2268" s="304"/>
    </row>
    <row r="2269" spans="9:10">
      <c r="I2269" s="304"/>
      <c r="J2269" s="304"/>
    </row>
    <row r="2270" spans="9:10">
      <c r="I2270" s="304"/>
      <c r="J2270" s="304"/>
    </row>
    <row r="2271" spans="9:10">
      <c r="I2271" s="304"/>
      <c r="J2271" s="304"/>
    </row>
    <row r="2272" spans="9:10">
      <c r="I2272" s="304"/>
      <c r="J2272" s="304"/>
    </row>
    <row r="2273" spans="9:10">
      <c r="I2273" s="304"/>
      <c r="J2273" s="304"/>
    </row>
    <row r="2274" spans="9:10">
      <c r="I2274" s="304"/>
      <c r="J2274" s="304"/>
    </row>
    <row r="2275" spans="9:10">
      <c r="I2275" s="304"/>
      <c r="J2275" s="304"/>
    </row>
    <row r="2276" spans="9:10">
      <c r="I2276" s="304"/>
      <c r="J2276" s="304"/>
    </row>
    <row r="2277" spans="9:10">
      <c r="I2277" s="304"/>
      <c r="J2277" s="304"/>
    </row>
    <row r="2278" spans="9:10">
      <c r="I2278" s="304"/>
      <c r="J2278" s="304"/>
    </row>
    <row r="2279" spans="9:10">
      <c r="I2279" s="304"/>
      <c r="J2279" s="304"/>
    </row>
    <row r="2280" spans="9:10">
      <c r="I2280" s="304"/>
      <c r="J2280" s="304"/>
    </row>
    <row r="2281" spans="9:10">
      <c r="I2281" s="304"/>
      <c r="J2281" s="304"/>
    </row>
    <row r="2282" spans="9:10">
      <c r="I2282" s="304"/>
      <c r="J2282" s="304"/>
    </row>
    <row r="2283" spans="9:10">
      <c r="I2283" s="304"/>
      <c r="J2283" s="304"/>
    </row>
    <row r="2284" spans="9:10">
      <c r="I2284" s="304"/>
      <c r="J2284" s="304"/>
    </row>
    <row r="2285" spans="9:10">
      <c r="I2285" s="304"/>
      <c r="J2285" s="304"/>
    </row>
    <row r="2286" spans="9:10">
      <c r="I2286" s="304"/>
      <c r="J2286" s="304"/>
    </row>
    <row r="2287" spans="9:10">
      <c r="I2287" s="304"/>
      <c r="J2287" s="304"/>
    </row>
    <row r="2288" spans="9:10">
      <c r="I2288" s="304"/>
      <c r="J2288" s="304"/>
    </row>
    <row r="2289" spans="9:10">
      <c r="I2289" s="304"/>
      <c r="J2289" s="304"/>
    </row>
    <row r="2290" spans="9:10">
      <c r="I2290" s="304"/>
      <c r="J2290" s="304"/>
    </row>
    <row r="2291" spans="9:10">
      <c r="I2291" s="304"/>
      <c r="J2291" s="304"/>
    </row>
    <row r="2292" spans="9:10">
      <c r="I2292" s="304"/>
      <c r="J2292" s="304"/>
    </row>
    <row r="2293" spans="9:10">
      <c r="I2293" s="304"/>
      <c r="J2293" s="304"/>
    </row>
    <row r="2294" spans="9:10">
      <c r="I2294" s="304"/>
      <c r="J2294" s="304"/>
    </row>
    <row r="2295" spans="9:10">
      <c r="I2295" s="304"/>
      <c r="J2295" s="304"/>
    </row>
    <row r="2296" spans="9:10">
      <c r="I2296" s="304"/>
      <c r="J2296" s="304"/>
    </row>
    <row r="2297" spans="9:10">
      <c r="I2297" s="304"/>
      <c r="J2297" s="304"/>
    </row>
    <row r="2298" spans="9:10">
      <c r="I2298" s="304"/>
      <c r="J2298" s="304"/>
    </row>
    <row r="2299" spans="9:10">
      <c r="I2299" s="304"/>
      <c r="J2299" s="304"/>
    </row>
    <row r="2300" spans="9:10">
      <c r="I2300" s="304"/>
      <c r="J2300" s="304"/>
    </row>
    <row r="2301" spans="9:10">
      <c r="I2301" s="304"/>
      <c r="J2301" s="304"/>
    </row>
    <row r="2302" spans="9:10">
      <c r="I2302" s="304"/>
      <c r="J2302" s="304"/>
    </row>
    <row r="2303" spans="9:10">
      <c r="I2303" s="304"/>
      <c r="J2303" s="304"/>
    </row>
    <row r="2304" spans="9:10">
      <c r="I2304" s="304"/>
      <c r="J2304" s="304"/>
    </row>
    <row r="2305" spans="9:10">
      <c r="I2305" s="304"/>
      <c r="J2305" s="304"/>
    </row>
    <row r="2306" spans="9:10">
      <c r="I2306" s="304"/>
      <c r="J2306" s="304"/>
    </row>
    <row r="2307" spans="9:10">
      <c r="I2307" s="304"/>
      <c r="J2307" s="304"/>
    </row>
    <row r="2308" spans="9:10">
      <c r="I2308" s="304"/>
      <c r="J2308" s="304"/>
    </row>
    <row r="2309" spans="9:10">
      <c r="I2309" s="304"/>
      <c r="J2309" s="304"/>
    </row>
    <row r="2310" spans="9:10">
      <c r="I2310" s="304"/>
      <c r="J2310" s="304"/>
    </row>
    <row r="2311" spans="9:10">
      <c r="I2311" s="304"/>
      <c r="J2311" s="304"/>
    </row>
    <row r="2312" spans="9:10">
      <c r="I2312" s="304"/>
      <c r="J2312" s="304"/>
    </row>
    <row r="2313" spans="9:10">
      <c r="I2313" s="304"/>
      <c r="J2313" s="304"/>
    </row>
    <row r="2314" spans="9:10">
      <c r="I2314" s="304"/>
      <c r="J2314" s="304"/>
    </row>
    <row r="2315" spans="9:10">
      <c r="I2315" s="304"/>
      <c r="J2315" s="304"/>
    </row>
    <row r="2316" spans="9:10">
      <c r="I2316" s="304"/>
      <c r="J2316" s="304"/>
    </row>
    <row r="2317" spans="9:10">
      <c r="I2317" s="304"/>
      <c r="J2317" s="304"/>
    </row>
    <row r="2318" spans="9:10">
      <c r="I2318" s="304"/>
      <c r="J2318" s="304"/>
    </row>
    <row r="2319" spans="9:10">
      <c r="I2319" s="304"/>
      <c r="J2319" s="304"/>
    </row>
    <row r="2320" spans="9:10">
      <c r="I2320" s="304"/>
      <c r="J2320" s="304"/>
    </row>
    <row r="2321" spans="9:10">
      <c r="I2321" s="304"/>
      <c r="J2321" s="304"/>
    </row>
    <row r="2322" spans="9:10">
      <c r="I2322" s="304"/>
      <c r="J2322" s="304"/>
    </row>
    <row r="2323" spans="9:10">
      <c r="I2323" s="304"/>
      <c r="J2323" s="304"/>
    </row>
    <row r="2324" spans="9:10">
      <c r="I2324" s="304"/>
      <c r="J2324" s="304"/>
    </row>
    <row r="2325" spans="9:10">
      <c r="I2325" s="304"/>
      <c r="J2325" s="304"/>
    </row>
    <row r="2326" spans="9:10">
      <c r="I2326" s="304"/>
      <c r="J2326" s="304"/>
    </row>
    <row r="2327" spans="9:10">
      <c r="I2327" s="304"/>
      <c r="J2327" s="304"/>
    </row>
    <row r="2328" spans="9:10">
      <c r="I2328" s="304"/>
      <c r="J2328" s="304"/>
    </row>
    <row r="2329" spans="9:10">
      <c r="I2329" s="304"/>
      <c r="J2329" s="304"/>
    </row>
    <row r="2330" spans="9:10">
      <c r="I2330" s="304"/>
      <c r="J2330" s="304"/>
    </row>
    <row r="2331" spans="9:10">
      <c r="I2331" s="304"/>
      <c r="J2331" s="304"/>
    </row>
    <row r="2332" spans="9:10">
      <c r="I2332" s="304"/>
      <c r="J2332" s="304"/>
    </row>
    <row r="2333" spans="9:10">
      <c r="I2333" s="304"/>
      <c r="J2333" s="304"/>
    </row>
    <row r="2334" spans="9:10">
      <c r="I2334" s="304"/>
      <c r="J2334" s="304"/>
    </row>
    <row r="2335" spans="9:10">
      <c r="I2335" s="304"/>
      <c r="J2335" s="304"/>
    </row>
    <row r="2336" spans="9:10">
      <c r="I2336" s="304"/>
      <c r="J2336" s="304"/>
    </row>
    <row r="2337" spans="9:10">
      <c r="I2337" s="304"/>
      <c r="J2337" s="304"/>
    </row>
    <row r="2338" spans="9:10">
      <c r="I2338" s="304"/>
      <c r="J2338" s="304"/>
    </row>
    <row r="2339" spans="9:10">
      <c r="I2339" s="304"/>
      <c r="J2339" s="304"/>
    </row>
    <row r="2340" spans="9:10">
      <c r="I2340" s="304"/>
      <c r="J2340" s="304"/>
    </row>
    <row r="2341" spans="9:10">
      <c r="I2341" s="304"/>
      <c r="J2341" s="304"/>
    </row>
    <row r="2342" spans="9:10">
      <c r="I2342" s="304"/>
      <c r="J2342" s="304"/>
    </row>
    <row r="2343" spans="9:10">
      <c r="I2343" s="304"/>
      <c r="J2343" s="304"/>
    </row>
    <row r="2344" spans="9:10">
      <c r="I2344" s="304"/>
      <c r="J2344" s="304"/>
    </row>
    <row r="2345" spans="9:10">
      <c r="I2345" s="304"/>
      <c r="J2345" s="304"/>
    </row>
    <row r="2346" spans="9:10">
      <c r="I2346" s="304"/>
      <c r="J2346" s="304"/>
    </row>
    <row r="2347" spans="9:10">
      <c r="I2347" s="304"/>
      <c r="J2347" s="304"/>
    </row>
    <row r="2348" spans="9:10">
      <c r="I2348" s="304"/>
      <c r="J2348" s="304"/>
    </row>
    <row r="2349" spans="9:10">
      <c r="I2349" s="304"/>
      <c r="J2349" s="304"/>
    </row>
    <row r="2350" spans="9:10">
      <c r="I2350" s="304"/>
      <c r="J2350" s="304"/>
    </row>
    <row r="2351" spans="9:10">
      <c r="I2351" s="304"/>
      <c r="J2351" s="304"/>
    </row>
    <row r="2352" spans="9:10">
      <c r="I2352" s="304"/>
      <c r="J2352" s="304"/>
    </row>
    <row r="2353" spans="9:10">
      <c r="I2353" s="304"/>
      <c r="J2353" s="304"/>
    </row>
    <row r="2354" spans="9:10">
      <c r="I2354" s="304"/>
      <c r="J2354" s="304"/>
    </row>
    <row r="2355" spans="9:10">
      <c r="I2355" s="304"/>
      <c r="J2355" s="304"/>
    </row>
    <row r="2356" spans="9:10">
      <c r="I2356" s="304"/>
      <c r="J2356" s="304"/>
    </row>
    <row r="2357" spans="9:10">
      <c r="I2357" s="304"/>
      <c r="J2357" s="304"/>
    </row>
    <row r="2358" spans="9:10">
      <c r="I2358" s="304"/>
      <c r="J2358" s="304"/>
    </row>
    <row r="2359" spans="9:10">
      <c r="I2359" s="304"/>
      <c r="J2359" s="304"/>
    </row>
    <row r="2360" spans="9:10">
      <c r="I2360" s="304"/>
      <c r="J2360" s="304"/>
    </row>
    <row r="2361" spans="9:10">
      <c r="I2361" s="304"/>
      <c r="J2361" s="304"/>
    </row>
    <row r="2362" spans="9:10">
      <c r="I2362" s="304"/>
      <c r="J2362" s="304"/>
    </row>
    <row r="2363" spans="9:10">
      <c r="I2363" s="304"/>
      <c r="J2363" s="304"/>
    </row>
    <row r="2364" spans="9:10">
      <c r="I2364" s="304"/>
      <c r="J2364" s="304"/>
    </row>
    <row r="2365" spans="9:10">
      <c r="I2365" s="304"/>
      <c r="J2365" s="304"/>
    </row>
    <row r="2366" spans="9:10">
      <c r="I2366" s="304"/>
      <c r="J2366" s="304"/>
    </row>
    <row r="2367" spans="9:10">
      <c r="I2367" s="304"/>
      <c r="J2367" s="304"/>
    </row>
    <row r="2368" spans="9:10">
      <c r="I2368" s="304"/>
      <c r="J2368" s="304"/>
    </row>
    <row r="2369" spans="9:10">
      <c r="I2369" s="304"/>
      <c r="J2369" s="304"/>
    </row>
    <row r="2370" spans="9:10">
      <c r="I2370" s="304"/>
      <c r="J2370" s="304"/>
    </row>
    <row r="2371" spans="9:10">
      <c r="I2371" s="304"/>
      <c r="J2371" s="304"/>
    </row>
    <row r="2372" spans="9:10">
      <c r="I2372" s="304"/>
      <c r="J2372" s="304"/>
    </row>
    <row r="2373" spans="9:10">
      <c r="I2373" s="304"/>
      <c r="J2373" s="304"/>
    </row>
    <row r="2374" spans="9:10">
      <c r="I2374" s="304"/>
      <c r="J2374" s="304"/>
    </row>
    <row r="2375" spans="9:10">
      <c r="I2375" s="304"/>
      <c r="J2375" s="304"/>
    </row>
    <row r="2376" spans="9:10">
      <c r="I2376" s="304"/>
      <c r="J2376" s="304"/>
    </row>
    <row r="2377" spans="9:10">
      <c r="I2377" s="304"/>
      <c r="J2377" s="304"/>
    </row>
    <row r="2378" spans="9:10">
      <c r="I2378" s="304"/>
      <c r="J2378" s="304"/>
    </row>
    <row r="2379" spans="9:10">
      <c r="I2379" s="304"/>
      <c r="J2379" s="304"/>
    </row>
    <row r="2380" spans="9:10">
      <c r="I2380" s="304"/>
      <c r="J2380" s="304"/>
    </row>
    <row r="2381" spans="9:10">
      <c r="I2381" s="304"/>
      <c r="J2381" s="304"/>
    </row>
    <row r="2382" spans="9:10">
      <c r="I2382" s="304"/>
      <c r="J2382" s="304"/>
    </row>
    <row r="2383" spans="9:10">
      <c r="I2383" s="304"/>
      <c r="J2383" s="304"/>
    </row>
    <row r="2384" spans="9:10">
      <c r="I2384" s="304"/>
      <c r="J2384" s="304"/>
    </row>
    <row r="2385" spans="9:10">
      <c r="I2385" s="304"/>
      <c r="J2385" s="304"/>
    </row>
    <row r="2386" spans="9:10">
      <c r="I2386" s="304"/>
      <c r="J2386" s="304"/>
    </row>
    <row r="2387" spans="9:10">
      <c r="I2387" s="304"/>
      <c r="J2387" s="304"/>
    </row>
    <row r="2388" spans="9:10">
      <c r="I2388" s="304"/>
      <c r="J2388" s="304"/>
    </row>
    <row r="2389" spans="9:10">
      <c r="I2389" s="304"/>
      <c r="J2389" s="304"/>
    </row>
    <row r="2390" spans="9:10">
      <c r="I2390" s="304"/>
      <c r="J2390" s="304"/>
    </row>
    <row r="2391" spans="9:10">
      <c r="I2391" s="304"/>
      <c r="J2391" s="304"/>
    </row>
    <row r="2392" spans="9:10">
      <c r="I2392" s="304"/>
      <c r="J2392" s="304"/>
    </row>
    <row r="2393" spans="9:10">
      <c r="I2393" s="304"/>
      <c r="J2393" s="304"/>
    </row>
    <row r="2394" spans="9:10">
      <c r="I2394" s="304"/>
      <c r="J2394" s="304"/>
    </row>
    <row r="2395" spans="9:10">
      <c r="I2395" s="304"/>
      <c r="J2395" s="304"/>
    </row>
    <row r="2396" spans="9:10">
      <c r="I2396" s="304"/>
      <c r="J2396" s="304"/>
    </row>
    <row r="2397" spans="9:10">
      <c r="I2397" s="304"/>
      <c r="J2397" s="304"/>
    </row>
    <row r="2398" spans="9:10">
      <c r="I2398" s="304"/>
      <c r="J2398" s="304"/>
    </row>
    <row r="2399" spans="9:10">
      <c r="I2399" s="304"/>
      <c r="J2399" s="304"/>
    </row>
    <row r="2400" spans="9:10">
      <c r="I2400" s="304"/>
      <c r="J2400" s="304"/>
    </row>
    <row r="2401" spans="9:10">
      <c r="I2401" s="304"/>
      <c r="J2401" s="304"/>
    </row>
    <row r="2402" spans="9:10">
      <c r="I2402" s="304"/>
      <c r="J2402" s="304"/>
    </row>
    <row r="2403" spans="9:10">
      <c r="I2403" s="304"/>
      <c r="J2403" s="304"/>
    </row>
    <row r="2404" spans="9:10">
      <c r="I2404" s="304"/>
      <c r="J2404" s="304"/>
    </row>
    <row r="2405" spans="9:10">
      <c r="I2405" s="304"/>
      <c r="J2405" s="304"/>
    </row>
    <row r="2406" spans="9:10">
      <c r="I2406" s="304"/>
      <c r="J2406" s="304"/>
    </row>
    <row r="2407" spans="9:10">
      <c r="I2407" s="304"/>
      <c r="J2407" s="304"/>
    </row>
    <row r="2408" spans="9:10">
      <c r="I2408" s="304"/>
      <c r="J2408" s="304"/>
    </row>
    <row r="2409" spans="9:10">
      <c r="I2409" s="304"/>
      <c r="J2409" s="304"/>
    </row>
    <row r="2410" spans="9:10">
      <c r="I2410" s="304"/>
      <c r="J2410" s="304"/>
    </row>
    <row r="2411" spans="9:10">
      <c r="I2411" s="304"/>
      <c r="J2411" s="304"/>
    </row>
    <row r="2412" spans="9:10">
      <c r="I2412" s="304"/>
      <c r="J2412" s="304"/>
    </row>
    <row r="2413" spans="9:10">
      <c r="I2413" s="304"/>
      <c r="J2413" s="304"/>
    </row>
    <row r="2414" spans="9:10">
      <c r="I2414" s="304"/>
      <c r="J2414" s="304"/>
    </row>
    <row r="2415" spans="9:10">
      <c r="I2415" s="304"/>
      <c r="J2415" s="304"/>
    </row>
    <row r="2416" spans="9:10">
      <c r="I2416" s="304"/>
      <c r="J2416" s="304"/>
    </row>
    <row r="2417" spans="9:10">
      <c r="I2417" s="304"/>
      <c r="J2417" s="304"/>
    </row>
    <row r="2418" spans="9:10">
      <c r="I2418" s="304"/>
      <c r="J2418" s="304"/>
    </row>
    <row r="2419" spans="9:10">
      <c r="I2419" s="304"/>
      <c r="J2419" s="304"/>
    </row>
    <row r="2420" spans="9:10">
      <c r="I2420" s="304"/>
      <c r="J2420" s="304"/>
    </row>
    <row r="2421" spans="9:10">
      <c r="I2421" s="304"/>
      <c r="J2421" s="304"/>
    </row>
    <row r="2422" spans="9:10">
      <c r="I2422" s="304"/>
      <c r="J2422" s="304"/>
    </row>
    <row r="2423" spans="9:10">
      <c r="I2423" s="304"/>
      <c r="J2423" s="304"/>
    </row>
    <row r="2424" spans="9:10">
      <c r="I2424" s="304"/>
      <c r="J2424" s="304"/>
    </row>
    <row r="2425" spans="9:10">
      <c r="I2425" s="304"/>
      <c r="J2425" s="304"/>
    </row>
    <row r="2426" spans="9:10">
      <c r="I2426" s="304"/>
      <c r="J2426" s="304"/>
    </row>
    <row r="2427" spans="9:10">
      <c r="I2427" s="304"/>
      <c r="J2427" s="304"/>
    </row>
    <row r="2428" spans="9:10">
      <c r="I2428" s="304"/>
      <c r="J2428" s="304"/>
    </row>
    <row r="2429" spans="9:10">
      <c r="I2429" s="304"/>
      <c r="J2429" s="304"/>
    </row>
    <row r="2430" spans="9:10">
      <c r="I2430" s="304"/>
      <c r="J2430" s="304"/>
    </row>
    <row r="2431" spans="9:10">
      <c r="I2431" s="304"/>
      <c r="J2431" s="304"/>
    </row>
    <row r="2432" spans="9:10">
      <c r="I2432" s="304"/>
      <c r="J2432" s="304"/>
    </row>
    <row r="2433" spans="9:10">
      <c r="I2433" s="304"/>
      <c r="J2433" s="304"/>
    </row>
    <row r="2434" spans="9:10">
      <c r="I2434" s="304"/>
      <c r="J2434" s="304"/>
    </row>
    <row r="2435" spans="9:10">
      <c r="I2435" s="304"/>
      <c r="J2435" s="304"/>
    </row>
    <row r="2436" spans="9:10">
      <c r="I2436" s="304"/>
      <c r="J2436" s="304"/>
    </row>
    <row r="2437" spans="9:10">
      <c r="I2437" s="304"/>
      <c r="J2437" s="304"/>
    </row>
    <row r="2438" spans="9:10">
      <c r="I2438" s="304"/>
      <c r="J2438" s="304"/>
    </row>
    <row r="2439" spans="9:10">
      <c r="I2439" s="304"/>
      <c r="J2439" s="304"/>
    </row>
    <row r="2440" spans="9:10">
      <c r="I2440" s="304"/>
      <c r="J2440" s="304"/>
    </row>
    <row r="2441" spans="9:10">
      <c r="I2441" s="304"/>
      <c r="J2441" s="304"/>
    </row>
    <row r="2442" spans="9:10">
      <c r="I2442" s="304"/>
      <c r="J2442" s="304"/>
    </row>
    <row r="2443" spans="9:10">
      <c r="I2443" s="304"/>
      <c r="J2443" s="304"/>
    </row>
    <row r="2444" spans="9:10">
      <c r="I2444" s="304"/>
      <c r="J2444" s="304"/>
    </row>
    <row r="2445" spans="9:10">
      <c r="I2445" s="304"/>
      <c r="J2445" s="304"/>
    </row>
    <row r="2446" spans="9:10">
      <c r="I2446" s="304"/>
      <c r="J2446" s="304"/>
    </row>
    <row r="2447" spans="9:10">
      <c r="I2447" s="304"/>
      <c r="J2447" s="304"/>
    </row>
    <row r="2448" spans="9:10">
      <c r="I2448" s="304"/>
      <c r="J2448" s="304"/>
    </row>
    <row r="2449" spans="9:10">
      <c r="I2449" s="304"/>
      <c r="J2449" s="304"/>
    </row>
    <row r="2450" spans="9:10">
      <c r="I2450" s="304"/>
      <c r="J2450" s="304"/>
    </row>
    <row r="2451" spans="9:10">
      <c r="I2451" s="304"/>
      <c r="J2451" s="304"/>
    </row>
    <row r="2452" spans="9:10">
      <c r="I2452" s="304"/>
      <c r="J2452" s="304"/>
    </row>
    <row r="2453" spans="9:10">
      <c r="I2453" s="304"/>
      <c r="J2453" s="304"/>
    </row>
    <row r="2454" spans="9:10">
      <c r="I2454" s="304"/>
      <c r="J2454" s="304"/>
    </row>
    <row r="2455" spans="9:10">
      <c r="I2455" s="304"/>
      <c r="J2455" s="304"/>
    </row>
    <row r="2456" spans="9:10">
      <c r="I2456" s="304"/>
      <c r="J2456" s="304"/>
    </row>
    <row r="2457" spans="9:10">
      <c r="I2457" s="304"/>
      <c r="J2457" s="304"/>
    </row>
    <row r="2458" spans="9:10">
      <c r="I2458" s="304"/>
      <c r="J2458" s="304"/>
    </row>
    <row r="2459" spans="9:10">
      <c r="I2459" s="304"/>
      <c r="J2459" s="304"/>
    </row>
    <row r="2460" spans="9:10">
      <c r="I2460" s="304"/>
      <c r="J2460" s="304"/>
    </row>
    <row r="2461" spans="9:10">
      <c r="I2461" s="304"/>
      <c r="J2461" s="304"/>
    </row>
    <row r="2462" spans="9:10">
      <c r="I2462" s="304"/>
      <c r="J2462" s="304"/>
    </row>
    <row r="2463" spans="9:10">
      <c r="I2463" s="304"/>
      <c r="J2463" s="304"/>
    </row>
    <row r="2464" spans="9:10">
      <c r="I2464" s="304"/>
      <c r="J2464" s="304"/>
    </row>
    <row r="2465" spans="9:10">
      <c r="I2465" s="304"/>
      <c r="J2465" s="304"/>
    </row>
    <row r="2466" spans="9:10">
      <c r="I2466" s="304"/>
      <c r="J2466" s="304"/>
    </row>
    <row r="2467" spans="9:10">
      <c r="I2467" s="304"/>
      <c r="J2467" s="304"/>
    </row>
    <row r="2468" spans="9:10">
      <c r="I2468" s="304"/>
      <c r="J2468" s="304"/>
    </row>
    <row r="2469" spans="9:10">
      <c r="I2469" s="304"/>
      <c r="J2469" s="304"/>
    </row>
    <row r="2470" spans="9:10">
      <c r="I2470" s="304"/>
      <c r="J2470" s="304"/>
    </row>
    <row r="2471" spans="9:10">
      <c r="I2471" s="304"/>
      <c r="J2471" s="304"/>
    </row>
    <row r="2472" spans="9:10">
      <c r="I2472" s="304"/>
      <c r="J2472" s="304"/>
    </row>
    <row r="2473" spans="9:10">
      <c r="I2473" s="304"/>
      <c r="J2473" s="304"/>
    </row>
    <row r="2474" spans="9:10">
      <c r="I2474" s="304"/>
      <c r="J2474" s="304"/>
    </row>
    <row r="2475" spans="9:10">
      <c r="I2475" s="304"/>
      <c r="J2475" s="304"/>
    </row>
    <row r="2476" spans="9:10">
      <c r="I2476" s="304"/>
      <c r="J2476" s="304"/>
    </row>
    <row r="2477" spans="9:10">
      <c r="I2477" s="304"/>
      <c r="J2477" s="304"/>
    </row>
    <row r="2478" spans="9:10">
      <c r="I2478" s="304"/>
      <c r="J2478" s="304"/>
    </row>
    <row r="2479" spans="9:10">
      <c r="I2479" s="304"/>
      <c r="J2479" s="304"/>
    </row>
    <row r="2480" spans="9:10">
      <c r="I2480" s="304"/>
      <c r="J2480" s="304"/>
    </row>
    <row r="2481" spans="9:10">
      <c r="I2481" s="304"/>
      <c r="J2481" s="304"/>
    </row>
    <row r="2482" spans="9:10">
      <c r="I2482" s="304"/>
      <c r="J2482" s="304"/>
    </row>
    <row r="2483" spans="9:10">
      <c r="I2483" s="304"/>
      <c r="J2483" s="304"/>
    </row>
    <row r="2484" spans="9:10">
      <c r="I2484" s="304"/>
      <c r="J2484" s="304"/>
    </row>
    <row r="2485" spans="9:10">
      <c r="I2485" s="304"/>
      <c r="J2485" s="304"/>
    </row>
    <row r="2486" spans="9:10">
      <c r="I2486" s="304"/>
      <c r="J2486" s="304"/>
    </row>
    <row r="2487" spans="9:10">
      <c r="I2487" s="304"/>
      <c r="J2487" s="304"/>
    </row>
    <row r="2488" spans="9:10">
      <c r="I2488" s="304"/>
      <c r="J2488" s="304"/>
    </row>
    <row r="2489" spans="9:10">
      <c r="I2489" s="304"/>
      <c r="J2489" s="304"/>
    </row>
    <row r="2490" spans="9:10">
      <c r="I2490" s="304"/>
      <c r="J2490" s="304"/>
    </row>
    <row r="2491" spans="9:10">
      <c r="I2491" s="304"/>
      <c r="J2491" s="304"/>
    </row>
    <row r="2492" spans="9:10">
      <c r="I2492" s="304"/>
      <c r="J2492" s="304"/>
    </row>
    <row r="2493" spans="9:10">
      <c r="I2493" s="304"/>
      <c r="J2493" s="304"/>
    </row>
    <row r="2494" spans="9:10">
      <c r="I2494" s="304"/>
      <c r="J2494" s="304"/>
    </row>
    <row r="2495" spans="9:10">
      <c r="I2495" s="304"/>
      <c r="J2495" s="304"/>
    </row>
    <row r="2496" spans="9:10">
      <c r="I2496" s="304"/>
      <c r="J2496" s="304"/>
    </row>
    <row r="2497" spans="9:10">
      <c r="I2497" s="304"/>
      <c r="J2497" s="304"/>
    </row>
    <row r="2498" spans="9:10">
      <c r="I2498" s="304"/>
      <c r="J2498" s="304"/>
    </row>
    <row r="2499" spans="9:10">
      <c r="I2499" s="304"/>
      <c r="J2499" s="304"/>
    </row>
    <row r="2500" spans="9:10">
      <c r="I2500" s="304"/>
      <c r="J2500" s="304"/>
    </row>
    <row r="2501" spans="9:10">
      <c r="I2501" s="304"/>
      <c r="J2501" s="304"/>
    </row>
    <row r="2502" spans="9:10">
      <c r="I2502" s="304"/>
      <c r="J2502" s="304"/>
    </row>
    <row r="2503" spans="9:10">
      <c r="I2503" s="304"/>
      <c r="J2503" s="304"/>
    </row>
    <row r="2504" spans="9:10">
      <c r="I2504" s="304"/>
      <c r="J2504" s="304"/>
    </row>
    <row r="2505" spans="9:10">
      <c r="I2505" s="304"/>
      <c r="J2505" s="304"/>
    </row>
    <row r="2506" spans="9:10">
      <c r="I2506" s="304"/>
      <c r="J2506" s="304"/>
    </row>
    <row r="2507" spans="9:10">
      <c r="I2507" s="304"/>
      <c r="J2507" s="304"/>
    </row>
    <row r="2508" spans="9:10">
      <c r="I2508" s="304"/>
      <c r="J2508" s="304"/>
    </row>
    <row r="2509" spans="9:10">
      <c r="I2509" s="304"/>
      <c r="J2509" s="304"/>
    </row>
    <row r="2510" spans="9:10">
      <c r="I2510" s="304"/>
      <c r="J2510" s="304"/>
    </row>
    <row r="2511" spans="9:10">
      <c r="I2511" s="304"/>
      <c r="J2511" s="304"/>
    </row>
    <row r="2512" spans="9:10">
      <c r="I2512" s="304"/>
      <c r="J2512" s="304"/>
    </row>
    <row r="2513" spans="9:10">
      <c r="I2513" s="304"/>
      <c r="J2513" s="304"/>
    </row>
    <row r="2514" spans="9:10">
      <c r="I2514" s="304"/>
      <c r="J2514" s="304"/>
    </row>
    <row r="2515" spans="9:10">
      <c r="I2515" s="304"/>
      <c r="J2515" s="304"/>
    </row>
    <row r="2516" spans="9:10">
      <c r="I2516" s="304"/>
      <c r="J2516" s="304"/>
    </row>
    <row r="2517" spans="9:10">
      <c r="I2517" s="304"/>
      <c r="J2517" s="304"/>
    </row>
    <row r="2518" spans="9:10">
      <c r="I2518" s="304"/>
      <c r="J2518" s="304"/>
    </row>
    <row r="2519" spans="9:10">
      <c r="I2519" s="304"/>
      <c r="J2519" s="304"/>
    </row>
    <row r="2520" spans="9:10">
      <c r="I2520" s="304"/>
      <c r="J2520" s="304"/>
    </row>
    <row r="2521" spans="9:10">
      <c r="I2521" s="304"/>
      <c r="J2521" s="304"/>
    </row>
    <row r="2522" spans="9:10">
      <c r="I2522" s="304"/>
      <c r="J2522" s="304"/>
    </row>
    <row r="2523" spans="9:10">
      <c r="I2523" s="304"/>
      <c r="J2523" s="304"/>
    </row>
    <row r="2524" spans="9:10">
      <c r="I2524" s="304"/>
      <c r="J2524" s="304"/>
    </row>
    <row r="2525" spans="9:10">
      <c r="I2525" s="304"/>
      <c r="J2525" s="304"/>
    </row>
    <row r="2526" spans="9:10">
      <c r="I2526" s="304"/>
      <c r="J2526" s="304"/>
    </row>
    <row r="2527" spans="9:10">
      <c r="I2527" s="304"/>
      <c r="J2527" s="304"/>
    </row>
    <row r="2528" spans="9:10">
      <c r="I2528" s="304"/>
      <c r="J2528" s="304"/>
    </row>
    <row r="2529" spans="9:10">
      <c r="I2529" s="304"/>
      <c r="J2529" s="304"/>
    </row>
    <row r="2530" spans="9:10">
      <c r="I2530" s="304"/>
      <c r="J2530" s="304"/>
    </row>
    <row r="2531" spans="9:10">
      <c r="I2531" s="304"/>
      <c r="J2531" s="304"/>
    </row>
    <row r="2532" spans="9:10">
      <c r="I2532" s="304"/>
      <c r="J2532" s="304"/>
    </row>
    <row r="2533" spans="9:10">
      <c r="I2533" s="304"/>
      <c r="J2533" s="304"/>
    </row>
    <row r="2534" spans="9:10">
      <c r="I2534" s="304"/>
      <c r="J2534" s="304"/>
    </row>
    <row r="2535" spans="9:10">
      <c r="I2535" s="304"/>
      <c r="J2535" s="304"/>
    </row>
    <row r="2536" spans="9:10">
      <c r="I2536" s="304"/>
      <c r="J2536" s="304"/>
    </row>
    <row r="2537" spans="9:10">
      <c r="I2537" s="304"/>
      <c r="J2537" s="304"/>
    </row>
    <row r="2538" spans="9:10">
      <c r="I2538" s="304"/>
      <c r="J2538" s="304"/>
    </row>
    <row r="2539" spans="9:10">
      <c r="I2539" s="304"/>
      <c r="J2539" s="304"/>
    </row>
    <row r="2540" spans="9:10">
      <c r="I2540" s="304"/>
      <c r="J2540" s="304"/>
    </row>
    <row r="2541" spans="9:10">
      <c r="I2541" s="304"/>
      <c r="J2541" s="304"/>
    </row>
    <row r="2542" spans="9:10">
      <c r="I2542" s="304"/>
      <c r="J2542" s="304"/>
    </row>
    <row r="2543" spans="9:10">
      <c r="I2543" s="304"/>
      <c r="J2543" s="304"/>
    </row>
    <row r="2544" spans="9:10">
      <c r="I2544" s="304"/>
      <c r="J2544" s="304"/>
    </row>
    <row r="2545" spans="9:10">
      <c r="I2545" s="304"/>
      <c r="J2545" s="304"/>
    </row>
    <row r="2546" spans="9:10">
      <c r="I2546" s="304"/>
      <c r="J2546" s="304"/>
    </row>
    <row r="2547" spans="9:10">
      <c r="I2547" s="304"/>
      <c r="J2547" s="304"/>
    </row>
    <row r="2548" spans="9:10">
      <c r="I2548" s="304"/>
      <c r="J2548" s="304"/>
    </row>
    <row r="2549" spans="9:10">
      <c r="I2549" s="304"/>
      <c r="J2549" s="304"/>
    </row>
    <row r="2550" spans="9:10">
      <c r="I2550" s="304"/>
      <c r="J2550" s="304"/>
    </row>
    <row r="2551" spans="9:10">
      <c r="I2551" s="304"/>
      <c r="J2551" s="304"/>
    </row>
    <row r="2552" spans="9:10">
      <c r="I2552" s="304"/>
      <c r="J2552" s="304"/>
    </row>
    <row r="2553" spans="9:10">
      <c r="I2553" s="304"/>
      <c r="J2553" s="304"/>
    </row>
    <row r="2554" spans="9:10">
      <c r="I2554" s="304"/>
      <c r="J2554" s="304"/>
    </row>
    <row r="2555" spans="9:10">
      <c r="I2555" s="304"/>
      <c r="J2555" s="304"/>
    </row>
    <row r="2556" spans="9:10">
      <c r="I2556" s="304"/>
      <c r="J2556" s="304"/>
    </row>
    <row r="2557" spans="9:10">
      <c r="I2557" s="304"/>
      <c r="J2557" s="304"/>
    </row>
    <row r="2558" spans="9:10">
      <c r="I2558" s="304"/>
      <c r="J2558" s="304"/>
    </row>
    <row r="2559" spans="9:10">
      <c r="I2559" s="304"/>
      <c r="J2559" s="304"/>
    </row>
    <row r="2560" spans="9:10">
      <c r="I2560" s="304"/>
      <c r="J2560" s="304"/>
    </row>
    <row r="2561" spans="9:10">
      <c r="I2561" s="304"/>
      <c r="J2561" s="304"/>
    </row>
    <row r="2562" spans="9:10">
      <c r="I2562" s="304"/>
      <c r="J2562" s="304"/>
    </row>
    <row r="2563" spans="9:10">
      <c r="I2563" s="304"/>
      <c r="J2563" s="304"/>
    </row>
    <row r="2564" spans="9:10">
      <c r="I2564" s="304"/>
      <c r="J2564" s="304"/>
    </row>
    <row r="2565" spans="9:10">
      <c r="I2565" s="304"/>
      <c r="J2565" s="304"/>
    </row>
    <row r="2566" spans="9:10">
      <c r="I2566" s="304"/>
      <c r="J2566" s="304"/>
    </row>
    <row r="2567" spans="9:10">
      <c r="I2567" s="304"/>
      <c r="J2567" s="304"/>
    </row>
    <row r="2568" spans="9:10">
      <c r="I2568" s="304"/>
      <c r="J2568" s="304"/>
    </row>
    <row r="2569" spans="9:10">
      <c r="I2569" s="304"/>
      <c r="J2569" s="304"/>
    </row>
    <row r="2570" spans="9:10">
      <c r="I2570" s="304"/>
      <c r="J2570" s="304"/>
    </row>
    <row r="2571" spans="9:10">
      <c r="I2571" s="304"/>
      <c r="J2571" s="304"/>
    </row>
    <row r="2572" spans="9:10">
      <c r="I2572" s="304"/>
      <c r="J2572" s="304"/>
    </row>
    <row r="2573" spans="9:10">
      <c r="I2573" s="304"/>
      <c r="J2573" s="304"/>
    </row>
    <row r="2574" spans="9:10">
      <c r="I2574" s="304"/>
      <c r="J2574" s="304"/>
    </row>
    <row r="2575" spans="9:10">
      <c r="I2575" s="304"/>
      <c r="J2575" s="304"/>
    </row>
    <row r="2576" spans="9:10">
      <c r="I2576" s="304"/>
      <c r="J2576" s="304"/>
    </row>
    <row r="2577" spans="9:10">
      <c r="I2577" s="304"/>
      <c r="J2577" s="304"/>
    </row>
    <row r="2578" spans="9:10">
      <c r="I2578" s="304"/>
      <c r="J2578" s="304"/>
    </row>
    <row r="2579" spans="9:10">
      <c r="I2579" s="304"/>
      <c r="J2579" s="304"/>
    </row>
    <row r="2580" spans="9:10">
      <c r="I2580" s="304"/>
      <c r="J2580" s="304"/>
    </row>
    <row r="2581" spans="9:10">
      <c r="I2581" s="304"/>
      <c r="J2581" s="304"/>
    </row>
    <row r="2582" spans="9:10">
      <c r="I2582" s="304"/>
      <c r="J2582" s="304"/>
    </row>
    <row r="2583" spans="9:10">
      <c r="I2583" s="304"/>
      <c r="J2583" s="304"/>
    </row>
    <row r="2584" spans="9:10">
      <c r="I2584" s="304"/>
      <c r="J2584" s="304"/>
    </row>
    <row r="2585" spans="9:10">
      <c r="I2585" s="304"/>
      <c r="J2585" s="304"/>
    </row>
    <row r="2586" spans="9:10">
      <c r="I2586" s="304"/>
      <c r="J2586" s="304"/>
    </row>
    <row r="2587" spans="9:10">
      <c r="I2587" s="304"/>
      <c r="J2587" s="304"/>
    </row>
    <row r="2588" spans="9:10">
      <c r="I2588" s="304"/>
      <c r="J2588" s="304"/>
    </row>
    <row r="2589" spans="9:10">
      <c r="I2589" s="304"/>
      <c r="J2589" s="304"/>
    </row>
    <row r="2590" spans="9:10">
      <c r="I2590" s="304"/>
      <c r="J2590" s="304"/>
    </row>
    <row r="2591" spans="9:10">
      <c r="I2591" s="304"/>
      <c r="J2591" s="304"/>
    </row>
    <row r="2592" spans="9:10">
      <c r="I2592" s="304"/>
      <c r="J2592" s="304"/>
    </row>
    <row r="2593" spans="9:10">
      <c r="I2593" s="304"/>
      <c r="J2593" s="304"/>
    </row>
    <row r="2594" spans="9:10">
      <c r="I2594" s="304"/>
      <c r="J2594" s="304"/>
    </row>
    <row r="2595" spans="9:10">
      <c r="I2595" s="304"/>
      <c r="J2595" s="304"/>
    </row>
    <row r="2596" spans="9:10">
      <c r="I2596" s="304"/>
      <c r="J2596" s="304"/>
    </row>
    <row r="2597" spans="9:10">
      <c r="I2597" s="304"/>
      <c r="J2597" s="304"/>
    </row>
    <row r="2598" spans="9:10">
      <c r="I2598" s="304"/>
      <c r="J2598" s="304"/>
    </row>
    <row r="2599" spans="9:10">
      <c r="I2599" s="304"/>
      <c r="J2599" s="304"/>
    </row>
    <row r="2600" spans="9:10">
      <c r="I2600" s="304"/>
      <c r="J2600" s="304"/>
    </row>
    <row r="2601" spans="9:10">
      <c r="I2601" s="304"/>
      <c r="J2601" s="304"/>
    </row>
    <row r="2602" spans="9:10">
      <c r="I2602" s="304"/>
      <c r="J2602" s="304"/>
    </row>
    <row r="2603" spans="9:10">
      <c r="I2603" s="304"/>
      <c r="J2603" s="304"/>
    </row>
    <row r="2604" spans="9:10">
      <c r="I2604" s="304"/>
      <c r="J2604" s="304"/>
    </row>
    <row r="2605" spans="9:10">
      <c r="I2605" s="304"/>
      <c r="J2605" s="304"/>
    </row>
    <row r="2606" spans="9:10">
      <c r="I2606" s="304"/>
      <c r="J2606" s="304"/>
    </row>
    <row r="2607" spans="9:10">
      <c r="I2607" s="304"/>
      <c r="J2607" s="304"/>
    </row>
    <row r="2608" spans="9:10">
      <c r="I2608" s="304"/>
      <c r="J2608" s="304"/>
    </row>
    <row r="2609" spans="9:10">
      <c r="I2609" s="304"/>
      <c r="J2609" s="304"/>
    </row>
    <row r="2610" spans="9:10">
      <c r="I2610" s="304"/>
      <c r="J2610" s="304"/>
    </row>
    <row r="2611" spans="9:10">
      <c r="I2611" s="304"/>
      <c r="J2611" s="304"/>
    </row>
    <row r="2612" spans="9:10">
      <c r="I2612" s="304"/>
      <c r="J2612" s="304"/>
    </row>
    <row r="2613" spans="9:10">
      <c r="I2613" s="304"/>
      <c r="J2613" s="304"/>
    </row>
    <row r="2614" spans="9:10">
      <c r="I2614" s="304"/>
      <c r="J2614" s="304"/>
    </row>
    <row r="2615" spans="9:10">
      <c r="I2615" s="304"/>
      <c r="J2615" s="304"/>
    </row>
    <row r="2616" spans="9:10">
      <c r="I2616" s="304"/>
      <c r="J2616" s="304"/>
    </row>
    <row r="2617" spans="9:10">
      <c r="I2617" s="304"/>
      <c r="J2617" s="304"/>
    </row>
    <row r="2618" spans="9:10">
      <c r="I2618" s="304"/>
      <c r="J2618" s="304"/>
    </row>
    <row r="2619" spans="9:10">
      <c r="I2619" s="304"/>
      <c r="J2619" s="304"/>
    </row>
    <row r="2620" spans="9:10">
      <c r="I2620" s="304"/>
      <c r="J2620" s="304"/>
    </row>
    <row r="2621" spans="9:10">
      <c r="I2621" s="304"/>
      <c r="J2621" s="304"/>
    </row>
    <row r="2622" spans="9:10">
      <c r="I2622" s="304"/>
      <c r="J2622" s="304"/>
    </row>
    <row r="2623" spans="9:10">
      <c r="I2623" s="304"/>
      <c r="J2623" s="304"/>
    </row>
    <row r="2624" spans="9:10">
      <c r="I2624" s="304"/>
      <c r="J2624" s="304"/>
    </row>
    <row r="2625" spans="9:10">
      <c r="I2625" s="304"/>
      <c r="J2625" s="304"/>
    </row>
    <row r="2626" spans="9:10">
      <c r="I2626" s="304"/>
      <c r="J2626" s="304"/>
    </row>
    <row r="2627" spans="9:10">
      <c r="I2627" s="304"/>
      <c r="J2627" s="304"/>
    </row>
    <row r="2628" spans="9:10">
      <c r="I2628" s="304"/>
      <c r="J2628" s="304"/>
    </row>
    <row r="2629" spans="9:10">
      <c r="I2629" s="304"/>
      <c r="J2629" s="304"/>
    </row>
    <row r="2630" spans="9:10">
      <c r="I2630" s="304"/>
      <c r="J2630" s="304"/>
    </row>
    <row r="2631" spans="9:10">
      <c r="I2631" s="304"/>
      <c r="J2631" s="304"/>
    </row>
    <row r="2632" spans="9:10">
      <c r="I2632" s="304"/>
      <c r="J2632" s="304"/>
    </row>
    <row r="2633" spans="9:10">
      <c r="I2633" s="304"/>
      <c r="J2633" s="304"/>
    </row>
    <row r="2634" spans="9:10">
      <c r="I2634" s="304"/>
      <c r="J2634" s="304"/>
    </row>
    <row r="2635" spans="9:10">
      <c r="I2635" s="304"/>
      <c r="J2635" s="304"/>
    </row>
    <row r="2636" spans="9:10">
      <c r="I2636" s="304"/>
      <c r="J2636" s="304"/>
    </row>
    <row r="2637" spans="9:10">
      <c r="I2637" s="304"/>
      <c r="J2637" s="304"/>
    </row>
    <row r="2638" spans="9:10">
      <c r="I2638" s="304"/>
      <c r="J2638" s="304"/>
    </row>
    <row r="2639" spans="9:10">
      <c r="I2639" s="304"/>
      <c r="J2639" s="304"/>
    </row>
    <row r="2640" spans="9:10">
      <c r="I2640" s="304"/>
      <c r="J2640" s="304"/>
    </row>
    <row r="2641" spans="9:10">
      <c r="I2641" s="304"/>
      <c r="J2641" s="304"/>
    </row>
    <row r="2642" spans="9:10">
      <c r="I2642" s="304"/>
      <c r="J2642" s="304"/>
    </row>
    <row r="2643" spans="9:10">
      <c r="I2643" s="304"/>
      <c r="J2643" s="304"/>
    </row>
    <row r="2644" spans="9:10">
      <c r="I2644" s="304"/>
      <c r="J2644" s="304"/>
    </row>
    <row r="2645" spans="9:10">
      <c r="I2645" s="304"/>
      <c r="J2645" s="304"/>
    </row>
    <row r="2646" spans="9:10">
      <c r="I2646" s="304"/>
      <c r="J2646" s="304"/>
    </row>
    <row r="2647" spans="9:10">
      <c r="I2647" s="304"/>
      <c r="J2647" s="304"/>
    </row>
    <row r="2648" spans="9:10">
      <c r="I2648" s="304"/>
      <c r="J2648" s="304"/>
    </row>
    <row r="2649" spans="9:10">
      <c r="I2649" s="304"/>
      <c r="J2649" s="304"/>
    </row>
    <row r="2650" spans="9:10">
      <c r="I2650" s="304"/>
      <c r="J2650" s="304"/>
    </row>
    <row r="2651" spans="9:10">
      <c r="I2651" s="304"/>
      <c r="J2651" s="304"/>
    </row>
    <row r="2652" spans="9:10">
      <c r="I2652" s="304"/>
      <c r="J2652" s="304"/>
    </row>
    <row r="2653" spans="9:10">
      <c r="I2653" s="304"/>
      <c r="J2653" s="304"/>
    </row>
    <row r="2654" spans="9:10">
      <c r="I2654" s="304"/>
      <c r="J2654" s="304"/>
    </row>
    <row r="2655" spans="9:10">
      <c r="I2655" s="304"/>
      <c r="J2655" s="304"/>
    </row>
    <row r="2656" spans="9:10">
      <c r="I2656" s="304"/>
      <c r="J2656" s="304"/>
    </row>
    <row r="2657" spans="9:10">
      <c r="I2657" s="304"/>
      <c r="J2657" s="304"/>
    </row>
    <row r="2658" spans="9:10">
      <c r="I2658" s="304"/>
      <c r="J2658" s="304"/>
    </row>
    <row r="2659" spans="9:10">
      <c r="I2659" s="304"/>
      <c r="J2659" s="304"/>
    </row>
    <row r="2660" spans="9:10">
      <c r="I2660" s="304"/>
      <c r="J2660" s="304"/>
    </row>
    <row r="2661" spans="9:10">
      <c r="I2661" s="304"/>
      <c r="J2661" s="304"/>
    </row>
    <row r="2662" spans="9:10">
      <c r="I2662" s="304"/>
      <c r="J2662" s="304"/>
    </row>
    <row r="2663" spans="9:10">
      <c r="I2663" s="304"/>
      <c r="J2663" s="304"/>
    </row>
    <row r="2664" spans="9:10">
      <c r="I2664" s="304"/>
      <c r="J2664" s="304"/>
    </row>
    <row r="2665" spans="9:10">
      <c r="I2665" s="304"/>
      <c r="J2665" s="304"/>
    </row>
    <row r="2666" spans="9:10">
      <c r="I2666" s="304"/>
      <c r="J2666" s="304"/>
    </row>
    <row r="2667" spans="9:10">
      <c r="I2667" s="304"/>
      <c r="J2667" s="304"/>
    </row>
    <row r="2668" spans="9:10">
      <c r="I2668" s="304"/>
      <c r="J2668" s="304"/>
    </row>
    <row r="2669" spans="9:10">
      <c r="I2669" s="304"/>
      <c r="J2669" s="304"/>
    </row>
    <row r="2670" spans="9:10">
      <c r="I2670" s="304"/>
      <c r="J2670" s="304"/>
    </row>
    <row r="2671" spans="9:10">
      <c r="I2671" s="304"/>
      <c r="J2671" s="304"/>
    </row>
    <row r="2672" spans="9:10">
      <c r="I2672" s="304"/>
      <c r="J2672" s="304"/>
    </row>
    <row r="2673" spans="9:10">
      <c r="I2673" s="304"/>
      <c r="J2673" s="304"/>
    </row>
    <row r="2674" spans="9:10">
      <c r="I2674" s="304"/>
      <c r="J2674" s="304"/>
    </row>
    <row r="2675" spans="9:10">
      <c r="I2675" s="304"/>
      <c r="J2675" s="304"/>
    </row>
    <row r="2676" spans="9:10">
      <c r="I2676" s="304"/>
      <c r="J2676" s="304"/>
    </row>
    <row r="2677" spans="9:10">
      <c r="I2677" s="304"/>
      <c r="J2677" s="304"/>
    </row>
    <row r="2678" spans="9:10">
      <c r="I2678" s="304"/>
      <c r="J2678" s="304"/>
    </row>
    <row r="2679" spans="9:10">
      <c r="I2679" s="304"/>
      <c r="J2679" s="304"/>
    </row>
    <row r="2680" spans="9:10">
      <c r="I2680" s="304"/>
      <c r="J2680" s="304"/>
    </row>
    <row r="2681" spans="9:10">
      <c r="I2681" s="304"/>
      <c r="J2681" s="304"/>
    </row>
    <row r="2682" spans="9:10">
      <c r="I2682" s="304"/>
      <c r="J2682" s="304"/>
    </row>
    <row r="2683" spans="9:10">
      <c r="I2683" s="304"/>
      <c r="J2683" s="304"/>
    </row>
    <row r="2684" spans="9:10">
      <c r="I2684" s="304"/>
      <c r="J2684" s="304"/>
    </row>
    <row r="2685" spans="9:10">
      <c r="I2685" s="304"/>
      <c r="J2685" s="304"/>
    </row>
    <row r="2686" spans="9:10">
      <c r="I2686" s="304"/>
      <c r="J2686" s="304"/>
    </row>
    <row r="2687" spans="9:10">
      <c r="I2687" s="304"/>
      <c r="J2687" s="304"/>
    </row>
    <row r="2688" spans="9:10">
      <c r="I2688" s="304"/>
      <c r="J2688" s="304"/>
    </row>
    <row r="2689" spans="9:10">
      <c r="I2689" s="304"/>
      <c r="J2689" s="304"/>
    </row>
    <row r="2690" spans="9:10">
      <c r="I2690" s="304"/>
      <c r="J2690" s="304"/>
    </row>
    <row r="2691" spans="9:10">
      <c r="I2691" s="304"/>
      <c r="J2691" s="304"/>
    </row>
    <row r="2692" spans="9:10">
      <c r="I2692" s="304"/>
      <c r="J2692" s="304"/>
    </row>
    <row r="2693" spans="9:10">
      <c r="I2693" s="304"/>
      <c r="J2693" s="304"/>
    </row>
    <row r="2694" spans="9:10">
      <c r="I2694" s="304"/>
      <c r="J2694" s="304"/>
    </row>
    <row r="2695" spans="9:10">
      <c r="I2695" s="304"/>
      <c r="J2695" s="304"/>
    </row>
    <row r="2696" spans="9:10">
      <c r="I2696" s="304"/>
      <c r="J2696" s="304"/>
    </row>
    <row r="2697" spans="9:10">
      <c r="I2697" s="304"/>
      <c r="J2697" s="304"/>
    </row>
    <row r="2698" spans="9:10">
      <c r="I2698" s="304"/>
      <c r="J2698" s="304"/>
    </row>
    <row r="2699" spans="9:10">
      <c r="I2699" s="304"/>
      <c r="J2699" s="304"/>
    </row>
    <row r="2700" spans="9:10">
      <c r="I2700" s="304"/>
      <c r="J2700" s="304"/>
    </row>
    <row r="2701" spans="9:10">
      <c r="I2701" s="304"/>
      <c r="J2701" s="304"/>
    </row>
    <row r="2702" spans="9:10">
      <c r="I2702" s="304"/>
      <c r="J2702" s="304"/>
    </row>
    <row r="2703" spans="9:10">
      <c r="I2703" s="304"/>
      <c r="J2703" s="304"/>
    </row>
    <row r="2704" spans="9:10">
      <c r="I2704" s="304"/>
      <c r="J2704" s="304"/>
    </row>
    <row r="2705" spans="9:10">
      <c r="I2705" s="304"/>
      <c r="J2705" s="304"/>
    </row>
    <row r="2706" spans="9:10">
      <c r="I2706" s="304"/>
      <c r="J2706" s="304"/>
    </row>
    <row r="2707" spans="9:10">
      <c r="I2707" s="304"/>
      <c r="J2707" s="304"/>
    </row>
    <row r="2708" spans="9:10">
      <c r="I2708" s="304"/>
      <c r="J2708" s="304"/>
    </row>
    <row r="2709" spans="9:10">
      <c r="I2709" s="304"/>
      <c r="J2709" s="304"/>
    </row>
    <row r="2710" spans="9:10">
      <c r="I2710" s="304"/>
      <c r="J2710" s="304"/>
    </row>
    <row r="2711" spans="9:10">
      <c r="I2711" s="304"/>
      <c r="J2711" s="304"/>
    </row>
    <row r="2712" spans="9:10">
      <c r="I2712" s="304"/>
      <c r="J2712" s="304"/>
    </row>
    <row r="2713" spans="9:10">
      <c r="I2713" s="304"/>
      <c r="J2713" s="304"/>
    </row>
    <row r="2714" spans="9:10">
      <c r="I2714" s="304"/>
      <c r="J2714" s="304"/>
    </row>
    <row r="2715" spans="9:10">
      <c r="I2715" s="304"/>
      <c r="J2715" s="304"/>
    </row>
    <row r="2716" spans="9:10">
      <c r="I2716" s="304"/>
      <c r="J2716" s="304"/>
    </row>
    <row r="2717" spans="9:10">
      <c r="I2717" s="304"/>
      <c r="J2717" s="304"/>
    </row>
    <row r="2718" spans="9:10">
      <c r="I2718" s="304"/>
      <c r="J2718" s="304"/>
    </row>
    <row r="2719" spans="9:10">
      <c r="I2719" s="304"/>
      <c r="J2719" s="304"/>
    </row>
    <row r="2720" spans="9:10">
      <c r="I2720" s="304"/>
      <c r="J2720" s="304"/>
    </row>
    <row r="2721" spans="9:10">
      <c r="I2721" s="304"/>
      <c r="J2721" s="304"/>
    </row>
    <row r="2722" spans="9:10">
      <c r="I2722" s="304"/>
      <c r="J2722" s="304"/>
    </row>
    <row r="2723" spans="9:10">
      <c r="I2723" s="304"/>
      <c r="J2723" s="304"/>
    </row>
    <row r="2724" spans="9:10">
      <c r="I2724" s="304"/>
      <c r="J2724" s="304"/>
    </row>
    <row r="2725" spans="9:10">
      <c r="I2725" s="304"/>
      <c r="J2725" s="304"/>
    </row>
    <row r="2726" spans="9:10">
      <c r="I2726" s="304"/>
      <c r="J2726" s="304"/>
    </row>
    <row r="2727" spans="9:10">
      <c r="I2727" s="304"/>
      <c r="J2727" s="304"/>
    </row>
    <row r="2728" spans="9:10">
      <c r="I2728" s="304"/>
      <c r="J2728" s="304"/>
    </row>
    <row r="2729" spans="9:10">
      <c r="I2729" s="304"/>
      <c r="J2729" s="304"/>
    </row>
    <row r="2730" spans="9:10">
      <c r="I2730" s="304"/>
      <c r="J2730" s="304"/>
    </row>
    <row r="2731" spans="9:10">
      <c r="I2731" s="304"/>
      <c r="J2731" s="304"/>
    </row>
    <row r="2732" spans="9:10">
      <c r="I2732" s="304"/>
      <c r="J2732" s="304"/>
    </row>
    <row r="2733" spans="9:10">
      <c r="I2733" s="304"/>
      <c r="J2733" s="304"/>
    </row>
    <row r="2734" spans="9:10">
      <c r="I2734" s="304"/>
      <c r="J2734" s="304"/>
    </row>
    <row r="2735" spans="9:10">
      <c r="I2735" s="304"/>
      <c r="J2735" s="304"/>
    </row>
    <row r="2736" spans="9:10">
      <c r="I2736" s="304"/>
      <c r="J2736" s="304"/>
    </row>
    <row r="2737" spans="9:10">
      <c r="I2737" s="304"/>
      <c r="J2737" s="304"/>
    </row>
    <row r="2738" spans="9:10">
      <c r="I2738" s="304"/>
      <c r="J2738" s="304"/>
    </row>
    <row r="2739" spans="9:10">
      <c r="I2739" s="304"/>
      <c r="J2739" s="304"/>
    </row>
    <row r="2740" spans="9:10">
      <c r="I2740" s="304"/>
      <c r="J2740" s="304"/>
    </row>
    <row r="2741" spans="9:10">
      <c r="I2741" s="304"/>
      <c r="J2741" s="304"/>
    </row>
    <row r="2742" spans="9:10">
      <c r="I2742" s="304"/>
      <c r="J2742" s="304"/>
    </row>
    <row r="2743" spans="9:10">
      <c r="I2743" s="304"/>
      <c r="J2743" s="304"/>
    </row>
    <row r="2744" spans="9:10">
      <c r="I2744" s="304"/>
      <c r="J2744" s="304"/>
    </row>
    <row r="2745" spans="9:10">
      <c r="I2745" s="304"/>
      <c r="J2745" s="304"/>
    </row>
    <row r="2746" spans="9:10">
      <c r="I2746" s="304"/>
      <c r="J2746" s="304"/>
    </row>
    <row r="2747" spans="9:10">
      <c r="I2747" s="304"/>
      <c r="J2747" s="304"/>
    </row>
    <row r="2748" spans="9:10">
      <c r="I2748" s="304"/>
      <c r="J2748" s="304"/>
    </row>
    <row r="2749" spans="9:10">
      <c r="I2749" s="304"/>
      <c r="J2749" s="304"/>
    </row>
    <row r="2750" spans="9:10">
      <c r="I2750" s="304"/>
      <c r="J2750" s="304"/>
    </row>
    <row r="2751" spans="9:10">
      <c r="I2751" s="304"/>
      <c r="J2751" s="304"/>
    </row>
    <row r="2752" spans="9:10">
      <c r="I2752" s="304"/>
      <c r="J2752" s="304"/>
    </row>
    <row r="2753" spans="9:10">
      <c r="I2753" s="304"/>
      <c r="J2753" s="304"/>
    </row>
    <row r="2754" spans="9:10">
      <c r="I2754" s="304"/>
      <c r="J2754" s="304"/>
    </row>
    <row r="2755" spans="9:10">
      <c r="I2755" s="304"/>
      <c r="J2755" s="304"/>
    </row>
    <row r="2756" spans="9:10">
      <c r="I2756" s="304"/>
      <c r="J2756" s="304"/>
    </row>
    <row r="2757" spans="9:10">
      <c r="I2757" s="304"/>
      <c r="J2757" s="304"/>
    </row>
    <row r="2758" spans="9:10">
      <c r="I2758" s="304"/>
      <c r="J2758" s="304"/>
    </row>
    <row r="2759" spans="9:10">
      <c r="I2759" s="304"/>
      <c r="J2759" s="304"/>
    </row>
    <row r="2760" spans="9:10">
      <c r="I2760" s="304"/>
      <c r="J2760" s="304"/>
    </row>
    <row r="2761" spans="9:10">
      <c r="I2761" s="304"/>
      <c r="J2761" s="304"/>
    </row>
    <row r="2762" spans="9:10">
      <c r="I2762" s="304"/>
      <c r="J2762" s="304"/>
    </row>
    <row r="2763" spans="9:10">
      <c r="I2763" s="304"/>
      <c r="J2763" s="304"/>
    </row>
    <row r="2764" spans="9:10">
      <c r="I2764" s="304"/>
      <c r="J2764" s="304"/>
    </row>
    <row r="2765" spans="9:10">
      <c r="I2765" s="304"/>
      <c r="J2765" s="304"/>
    </row>
    <row r="2766" spans="9:10">
      <c r="I2766" s="304"/>
      <c r="J2766" s="304"/>
    </row>
    <row r="2767" spans="9:10">
      <c r="I2767" s="304"/>
      <c r="J2767" s="304"/>
    </row>
    <row r="2768" spans="9:10">
      <c r="I2768" s="304"/>
      <c r="J2768" s="304"/>
    </row>
    <row r="2769" spans="9:10">
      <c r="I2769" s="304"/>
      <c r="J2769" s="304"/>
    </row>
    <row r="2770" spans="9:10">
      <c r="I2770" s="304"/>
      <c r="J2770" s="304"/>
    </row>
    <row r="2771" spans="9:10">
      <c r="I2771" s="304"/>
      <c r="J2771" s="304"/>
    </row>
    <row r="2772" spans="9:10">
      <c r="I2772" s="304"/>
      <c r="J2772" s="304"/>
    </row>
    <row r="2773" spans="9:10">
      <c r="I2773" s="304"/>
      <c r="J2773" s="304"/>
    </row>
    <row r="2774" spans="9:10">
      <c r="I2774" s="304"/>
      <c r="J2774" s="304"/>
    </row>
    <row r="2775" spans="9:10">
      <c r="I2775" s="304"/>
      <c r="J2775" s="304"/>
    </row>
    <row r="2776" spans="9:10">
      <c r="I2776" s="304"/>
      <c r="J2776" s="304"/>
    </row>
    <row r="2777" spans="9:10">
      <c r="I2777" s="304"/>
      <c r="J2777" s="304"/>
    </row>
    <row r="2778" spans="9:10">
      <c r="I2778" s="304"/>
      <c r="J2778" s="304"/>
    </row>
    <row r="2779" spans="9:10">
      <c r="I2779" s="304"/>
      <c r="J2779" s="304"/>
    </row>
    <row r="2780" spans="9:10">
      <c r="I2780" s="304"/>
      <c r="J2780" s="304"/>
    </row>
    <row r="2781" spans="9:10">
      <c r="I2781" s="304"/>
      <c r="J2781" s="304"/>
    </row>
    <row r="2782" spans="9:10">
      <c r="I2782" s="304"/>
      <c r="J2782" s="304"/>
    </row>
    <row r="2783" spans="9:10">
      <c r="I2783" s="304"/>
      <c r="J2783" s="304"/>
    </row>
    <row r="2784" spans="9:10">
      <c r="I2784" s="304"/>
      <c r="J2784" s="304"/>
    </row>
    <row r="2785" spans="9:10">
      <c r="I2785" s="304"/>
      <c r="J2785" s="304"/>
    </row>
    <row r="2786" spans="9:10">
      <c r="I2786" s="304"/>
      <c r="J2786" s="304"/>
    </row>
    <row r="2787" spans="9:10">
      <c r="I2787" s="304"/>
      <c r="J2787" s="304"/>
    </row>
    <row r="2788" spans="9:10">
      <c r="I2788" s="304"/>
      <c r="J2788" s="304"/>
    </row>
    <row r="2789" spans="9:10">
      <c r="I2789" s="304"/>
      <c r="J2789" s="304"/>
    </row>
    <row r="2790" spans="9:10">
      <c r="I2790" s="304"/>
      <c r="J2790" s="304"/>
    </row>
    <row r="2791" spans="9:10">
      <c r="I2791" s="304"/>
      <c r="J2791" s="304"/>
    </row>
    <row r="2792" spans="9:10">
      <c r="I2792" s="304"/>
      <c r="J2792" s="304"/>
    </row>
    <row r="2793" spans="9:10">
      <c r="I2793" s="304"/>
      <c r="J2793" s="304"/>
    </row>
    <row r="2794" spans="9:10">
      <c r="I2794" s="304"/>
      <c r="J2794" s="304"/>
    </row>
    <row r="2795" spans="9:10">
      <c r="I2795" s="304"/>
      <c r="J2795" s="304"/>
    </row>
    <row r="2796" spans="9:10">
      <c r="I2796" s="304"/>
      <c r="J2796" s="304"/>
    </row>
    <row r="2797" spans="9:10">
      <c r="I2797" s="304"/>
      <c r="J2797" s="304"/>
    </row>
    <row r="2798" spans="9:10">
      <c r="I2798" s="304"/>
      <c r="J2798" s="304"/>
    </row>
    <row r="2799" spans="9:10">
      <c r="I2799" s="304"/>
      <c r="J2799" s="304"/>
    </row>
    <row r="2800" spans="9:10">
      <c r="I2800" s="304"/>
      <c r="J2800" s="304"/>
    </row>
    <row r="2801" spans="9:10">
      <c r="I2801" s="304"/>
      <c r="J2801" s="304"/>
    </row>
    <row r="2802" spans="9:10">
      <c r="I2802" s="304"/>
      <c r="J2802" s="304"/>
    </row>
    <row r="2803" spans="9:10">
      <c r="I2803" s="304"/>
      <c r="J2803" s="304"/>
    </row>
    <row r="2804" spans="9:10">
      <c r="I2804" s="304"/>
      <c r="J2804" s="304"/>
    </row>
    <row r="2805" spans="9:10">
      <c r="I2805" s="304"/>
      <c r="J2805" s="304"/>
    </row>
    <row r="2806" spans="9:10">
      <c r="I2806" s="304"/>
      <c r="J2806" s="304"/>
    </row>
    <row r="2807" spans="9:10">
      <c r="I2807" s="304"/>
      <c r="J2807" s="304"/>
    </row>
    <row r="2808" spans="9:10">
      <c r="I2808" s="304"/>
      <c r="J2808" s="304"/>
    </row>
    <row r="2809" spans="9:10">
      <c r="I2809" s="304"/>
      <c r="J2809" s="304"/>
    </row>
    <row r="2810" spans="9:10">
      <c r="I2810" s="304"/>
      <c r="J2810" s="304"/>
    </row>
    <row r="2811" spans="9:10">
      <c r="I2811" s="304"/>
      <c r="J2811" s="304"/>
    </row>
    <row r="2812" spans="9:10">
      <c r="I2812" s="304"/>
      <c r="J2812" s="304"/>
    </row>
    <row r="2813" spans="9:10">
      <c r="I2813" s="304"/>
      <c r="J2813" s="304"/>
    </row>
    <row r="2814" spans="9:10">
      <c r="I2814" s="304"/>
      <c r="J2814" s="304"/>
    </row>
    <row r="2815" spans="9:10">
      <c r="I2815" s="304"/>
      <c r="J2815" s="304"/>
    </row>
    <row r="2816" spans="9:10">
      <c r="I2816" s="304"/>
      <c r="J2816" s="304"/>
    </row>
    <row r="2817" spans="9:10">
      <c r="I2817" s="304"/>
      <c r="J2817" s="304"/>
    </row>
    <row r="2818" spans="9:10">
      <c r="I2818" s="304"/>
      <c r="J2818" s="304"/>
    </row>
    <row r="2819" spans="9:10">
      <c r="I2819" s="304"/>
      <c r="J2819" s="304"/>
    </row>
    <row r="2820" spans="9:10">
      <c r="I2820" s="304"/>
      <c r="J2820" s="304"/>
    </row>
    <row r="2821" spans="9:10">
      <c r="I2821" s="304"/>
      <c r="J2821" s="304"/>
    </row>
    <row r="2822" spans="9:10">
      <c r="I2822" s="304"/>
      <c r="J2822" s="304"/>
    </row>
    <row r="2823" spans="9:10">
      <c r="I2823" s="304"/>
      <c r="J2823" s="304"/>
    </row>
    <row r="2824" spans="9:10">
      <c r="I2824" s="304"/>
      <c r="J2824" s="304"/>
    </row>
    <row r="2825" spans="9:10">
      <c r="I2825" s="304"/>
      <c r="J2825" s="304"/>
    </row>
    <row r="2826" spans="9:10">
      <c r="I2826" s="304"/>
      <c r="J2826" s="304"/>
    </row>
    <row r="2827" spans="9:10">
      <c r="I2827" s="304"/>
      <c r="J2827" s="304"/>
    </row>
    <row r="2828" spans="9:10">
      <c r="I2828" s="304"/>
      <c r="J2828" s="304"/>
    </row>
    <row r="2829" spans="9:10">
      <c r="I2829" s="304"/>
      <c r="J2829" s="304"/>
    </row>
    <row r="2830" spans="9:10">
      <c r="J2830" s="304"/>
    </row>
    <row r="2831" spans="9:10">
      <c r="J2831" s="304"/>
    </row>
    <row r="2832" spans="9:10">
      <c r="J2832" s="304"/>
    </row>
    <row r="2833" spans="10:10">
      <c r="J2833" s="304"/>
    </row>
    <row r="2834" spans="10:10">
      <c r="J2834" s="304"/>
    </row>
    <row r="2835" spans="10:10">
      <c r="J2835" s="304"/>
    </row>
    <row r="2836" spans="10:10">
      <c r="J2836" s="304"/>
    </row>
    <row r="2837" spans="10:10">
      <c r="J2837" s="304"/>
    </row>
    <row r="2838" spans="10:10">
      <c r="J2838" s="304"/>
    </row>
    <row r="2839" spans="10:10">
      <c r="J2839" s="304"/>
    </row>
    <row r="2840" spans="10:10">
      <c r="J2840" s="304"/>
    </row>
    <row r="2841" spans="10:10">
      <c r="J2841" s="304"/>
    </row>
    <row r="2842" spans="10:10">
      <c r="J2842" s="304"/>
    </row>
    <row r="2843" spans="10:10">
      <c r="J2843" s="304"/>
    </row>
    <row r="2844" spans="10:10">
      <c r="J2844" s="304"/>
    </row>
    <row r="2845" spans="10:10">
      <c r="J2845" s="304"/>
    </row>
    <row r="2846" spans="10:10">
      <c r="J2846" s="304"/>
    </row>
    <row r="2847" spans="10:10">
      <c r="J2847" s="304"/>
    </row>
    <row r="2848" spans="10:10">
      <c r="J2848" s="304"/>
    </row>
    <row r="2849" spans="10:10">
      <c r="J2849" s="304"/>
    </row>
    <row r="2850" spans="10:10">
      <c r="J2850" s="304"/>
    </row>
    <row r="2851" spans="10:10">
      <c r="J2851" s="304"/>
    </row>
    <row r="2852" spans="10:10">
      <c r="J2852" s="304"/>
    </row>
    <row r="2853" spans="10:10">
      <c r="J2853" s="304"/>
    </row>
    <row r="2854" spans="10:10">
      <c r="J2854" s="304"/>
    </row>
    <row r="2855" spans="10:10">
      <c r="J2855" s="304"/>
    </row>
    <row r="2856" spans="10:10">
      <c r="J2856" s="304"/>
    </row>
    <row r="2857" spans="10:10">
      <c r="J2857" s="304"/>
    </row>
    <row r="2858" spans="10:10">
      <c r="J2858" s="304"/>
    </row>
    <row r="2859" spans="10:10">
      <c r="J2859" s="304"/>
    </row>
    <row r="2860" spans="10:10">
      <c r="J2860" s="304"/>
    </row>
    <row r="2861" spans="10:10">
      <c r="J2861" s="304"/>
    </row>
    <row r="2862" spans="10:10">
      <c r="J2862" s="304"/>
    </row>
    <row r="2863" spans="10:10">
      <c r="J2863" s="304"/>
    </row>
    <row r="2864" spans="10:10">
      <c r="J2864" s="304"/>
    </row>
    <row r="2865" spans="10:10">
      <c r="J2865" s="304"/>
    </row>
    <row r="2866" spans="10:10">
      <c r="J2866" s="304"/>
    </row>
    <row r="2867" spans="10:10">
      <c r="J2867" s="304"/>
    </row>
    <row r="2868" spans="10:10">
      <c r="J2868" s="304"/>
    </row>
    <row r="2869" spans="10:10">
      <c r="J2869" s="304"/>
    </row>
    <row r="2870" spans="10:10">
      <c r="J2870" s="304"/>
    </row>
    <row r="2871" spans="10:10">
      <c r="J2871" s="304"/>
    </row>
    <row r="2872" spans="10:10">
      <c r="J2872" s="304"/>
    </row>
    <row r="2873" spans="10:10">
      <c r="J2873" s="304"/>
    </row>
    <row r="2874" spans="10:10">
      <c r="J2874" s="304"/>
    </row>
    <row r="2875" spans="10:10">
      <c r="J2875" s="304"/>
    </row>
    <row r="2876" spans="10:10">
      <c r="J2876" s="304"/>
    </row>
    <row r="2877" spans="10:10">
      <c r="J2877" s="304"/>
    </row>
    <row r="2878" spans="10:10">
      <c r="J2878" s="304"/>
    </row>
    <row r="2879" spans="10:10">
      <c r="J2879" s="304"/>
    </row>
    <row r="2880" spans="10:10">
      <c r="J2880" s="304"/>
    </row>
    <row r="2881" spans="10:10">
      <c r="J2881" s="304"/>
    </row>
    <row r="2882" spans="10:10">
      <c r="J2882" s="304"/>
    </row>
    <row r="2883" spans="10:10">
      <c r="J2883" s="304"/>
    </row>
    <row r="2884" spans="10:10">
      <c r="J2884" s="304"/>
    </row>
    <row r="2885" spans="10:10">
      <c r="J2885" s="304"/>
    </row>
    <row r="2886" spans="10:10">
      <c r="J2886" s="304"/>
    </row>
    <row r="2887" spans="10:10">
      <c r="J2887" s="304"/>
    </row>
    <row r="2888" spans="10:10">
      <c r="J2888" s="304"/>
    </row>
    <row r="2889" spans="10:10">
      <c r="J2889" s="304"/>
    </row>
    <row r="2890" spans="10:10">
      <c r="J2890" s="304"/>
    </row>
    <row r="2891" spans="10:10">
      <c r="J2891" s="304"/>
    </row>
    <row r="2892" spans="10:10">
      <c r="J2892" s="304"/>
    </row>
    <row r="2893" spans="10:10">
      <c r="J2893" s="304"/>
    </row>
    <row r="2894" spans="10:10">
      <c r="J2894" s="304"/>
    </row>
    <row r="2895" spans="10:10">
      <c r="J2895" s="304"/>
    </row>
    <row r="2896" spans="10:10">
      <c r="J2896" s="304"/>
    </row>
    <row r="2897" spans="10:10">
      <c r="J2897" s="304"/>
    </row>
    <row r="2898" spans="10:10">
      <c r="J2898" s="304"/>
    </row>
    <row r="2899" spans="10:10">
      <c r="J2899" s="304"/>
    </row>
    <row r="2900" spans="10:10">
      <c r="J2900" s="304"/>
    </row>
    <row r="2901" spans="10:10">
      <c r="J2901" s="304"/>
    </row>
    <row r="2902" spans="10:10">
      <c r="J2902" s="304"/>
    </row>
    <row r="2903" spans="10:10">
      <c r="J2903" s="304"/>
    </row>
    <row r="2904" spans="10:10">
      <c r="J2904" s="304"/>
    </row>
    <row r="2905" spans="10:10">
      <c r="J2905" s="304"/>
    </row>
    <row r="2906" spans="10:10">
      <c r="J2906" s="304"/>
    </row>
    <row r="2907" spans="10:10">
      <c r="J2907" s="304"/>
    </row>
    <row r="2908" spans="10:10">
      <c r="J2908" s="304"/>
    </row>
    <row r="2909" spans="10:10">
      <c r="J2909" s="304"/>
    </row>
    <row r="2910" spans="10:10">
      <c r="J2910" s="304"/>
    </row>
    <row r="2911" spans="10:10">
      <c r="J2911" s="304"/>
    </row>
    <row r="2912" spans="10:10">
      <c r="J2912" s="304"/>
    </row>
    <row r="2913" spans="10:10">
      <c r="J2913" s="304"/>
    </row>
    <row r="2914" spans="10:10">
      <c r="J2914" s="304"/>
    </row>
    <row r="2915" spans="10:10">
      <c r="J2915" s="304"/>
    </row>
    <row r="2916" spans="10:10">
      <c r="J2916" s="304"/>
    </row>
    <row r="2917" spans="10:10">
      <c r="J2917" s="304"/>
    </row>
    <row r="2918" spans="10:10">
      <c r="J2918" s="304"/>
    </row>
    <row r="2919" spans="10:10">
      <c r="J2919" s="304"/>
    </row>
    <row r="2920" spans="10:10">
      <c r="J2920" s="304"/>
    </row>
    <row r="2921" spans="10:10">
      <c r="J2921" s="304"/>
    </row>
    <row r="2922" spans="10:10">
      <c r="J2922" s="304"/>
    </row>
    <row r="2923" spans="10:10">
      <c r="J2923" s="304"/>
    </row>
    <row r="2924" spans="10:10">
      <c r="J2924" s="304"/>
    </row>
    <row r="2925" spans="10:10">
      <c r="J2925" s="304"/>
    </row>
    <row r="2926" spans="10:10">
      <c r="J2926" s="304"/>
    </row>
    <row r="2927" spans="10:10">
      <c r="J2927" s="304"/>
    </row>
    <row r="2928" spans="10:10">
      <c r="J2928" s="304"/>
    </row>
    <row r="2929" spans="10:10">
      <c r="J2929" s="304"/>
    </row>
    <row r="2930" spans="10:10">
      <c r="J2930" s="304"/>
    </row>
    <row r="2931" spans="10:10">
      <c r="J2931" s="304"/>
    </row>
    <row r="2932" spans="10:10">
      <c r="J2932" s="304"/>
    </row>
    <row r="2933" spans="10:10">
      <c r="J2933" s="304"/>
    </row>
    <row r="2934" spans="10:10">
      <c r="J2934" s="304"/>
    </row>
    <row r="2935" spans="10:10">
      <c r="J2935" s="304"/>
    </row>
    <row r="2936" spans="10:10">
      <c r="J2936" s="304"/>
    </row>
    <row r="2937" spans="10:10">
      <c r="J2937" s="304"/>
    </row>
    <row r="2938" spans="10:10">
      <c r="J2938" s="304"/>
    </row>
    <row r="2939" spans="10:10">
      <c r="J2939" s="304"/>
    </row>
    <row r="2940" spans="10:10">
      <c r="J2940" s="304"/>
    </row>
    <row r="2941" spans="10:10">
      <c r="J2941" s="304"/>
    </row>
    <row r="2942" spans="10:10">
      <c r="J2942" s="304"/>
    </row>
    <row r="2943" spans="10:10">
      <c r="J2943" s="304"/>
    </row>
    <row r="2944" spans="10:10">
      <c r="J2944" s="304"/>
    </row>
    <row r="2945" spans="10:10">
      <c r="J2945" s="304"/>
    </row>
    <row r="2946" spans="10:10">
      <c r="J2946" s="304"/>
    </row>
    <row r="2947" spans="10:10">
      <c r="J2947" s="304"/>
    </row>
    <row r="2948" spans="10:10">
      <c r="J2948" s="304"/>
    </row>
    <row r="2949" spans="10:10">
      <c r="J2949" s="304"/>
    </row>
    <row r="2950" spans="10:10">
      <c r="J2950" s="304"/>
    </row>
    <row r="2951" spans="10:10">
      <c r="J2951" s="304"/>
    </row>
    <row r="2952" spans="10:10">
      <c r="J2952" s="304"/>
    </row>
    <row r="2953" spans="10:10">
      <c r="J2953" s="304"/>
    </row>
    <row r="2954" spans="10:10">
      <c r="J2954" s="304"/>
    </row>
    <row r="2955" spans="10:10">
      <c r="J2955" s="304"/>
    </row>
    <row r="2956" spans="10:10">
      <c r="J2956" s="304"/>
    </row>
    <row r="2957" spans="10:10">
      <c r="J2957" s="304"/>
    </row>
    <row r="2958" spans="10:10">
      <c r="J2958" s="304"/>
    </row>
    <row r="2959" spans="10:10">
      <c r="J2959" s="304"/>
    </row>
    <row r="2960" spans="10:10">
      <c r="J2960" s="304"/>
    </row>
    <row r="2961" spans="10:10">
      <c r="J2961" s="304"/>
    </row>
    <row r="2962" spans="10:10">
      <c r="J2962" s="304"/>
    </row>
    <row r="2963" spans="10:10">
      <c r="J2963" s="304"/>
    </row>
    <row r="2964" spans="10:10">
      <c r="J2964" s="304"/>
    </row>
    <row r="2965" spans="10:10">
      <c r="J2965" s="304"/>
    </row>
    <row r="2966" spans="10:10">
      <c r="J2966" s="304"/>
    </row>
    <row r="2967" spans="10:10">
      <c r="J2967" s="304"/>
    </row>
    <row r="2968" spans="10:10">
      <c r="J2968" s="304"/>
    </row>
    <row r="2969" spans="10:10">
      <c r="J2969" s="304"/>
    </row>
    <row r="2970" spans="10:10">
      <c r="J2970" s="304"/>
    </row>
    <row r="2971" spans="10:10">
      <c r="J2971" s="304"/>
    </row>
    <row r="2972" spans="10:10">
      <c r="J2972" s="304"/>
    </row>
    <row r="2973" spans="10:10">
      <c r="J2973" s="304"/>
    </row>
    <row r="2974" spans="10:10">
      <c r="J2974" s="304"/>
    </row>
    <row r="2975" spans="10:10">
      <c r="J2975" s="304"/>
    </row>
    <row r="2976" spans="10:10">
      <c r="J2976" s="304"/>
    </row>
    <row r="2977" spans="10:10">
      <c r="J2977" s="304"/>
    </row>
    <row r="2978" spans="10:10">
      <c r="J2978" s="304"/>
    </row>
    <row r="2979" spans="10:10">
      <c r="J2979" s="304"/>
    </row>
    <row r="2980" spans="10:10">
      <c r="J2980" s="304"/>
    </row>
    <row r="2981" spans="10:10">
      <c r="J2981" s="304"/>
    </row>
    <row r="2982" spans="10:10">
      <c r="J2982" s="304"/>
    </row>
    <row r="2983" spans="10:10">
      <c r="J2983" s="304"/>
    </row>
    <row r="2984" spans="10:10">
      <c r="J2984" s="304"/>
    </row>
    <row r="2985" spans="10:10">
      <c r="J2985" s="304"/>
    </row>
    <row r="2986" spans="10:10">
      <c r="J2986" s="304"/>
    </row>
    <row r="2987" spans="10:10">
      <c r="J2987" s="304"/>
    </row>
    <row r="2988" spans="10:10">
      <c r="J2988" s="304"/>
    </row>
    <row r="2989" spans="10:10">
      <c r="J2989" s="304"/>
    </row>
    <row r="2990" spans="10:10">
      <c r="J2990" s="304"/>
    </row>
    <row r="2991" spans="10:10">
      <c r="J2991" s="304"/>
    </row>
    <row r="2992" spans="10:10">
      <c r="J2992" s="304"/>
    </row>
    <row r="2993" spans="10:10">
      <c r="J2993" s="304"/>
    </row>
    <row r="2994" spans="10:10">
      <c r="J2994" s="304"/>
    </row>
    <row r="2995" spans="10:10">
      <c r="J2995" s="304"/>
    </row>
    <row r="2996" spans="10:10">
      <c r="J2996" s="304"/>
    </row>
    <row r="2997" spans="10:10">
      <c r="J2997" s="304"/>
    </row>
    <row r="2998" spans="10:10">
      <c r="J2998" s="304"/>
    </row>
    <row r="2999" spans="10:10">
      <c r="J2999" s="304"/>
    </row>
    <row r="3000" spans="10:10">
      <c r="J3000" s="304"/>
    </row>
    <row r="3001" spans="10:10">
      <c r="J3001" s="304"/>
    </row>
    <row r="3002" spans="10:10">
      <c r="J3002" s="304"/>
    </row>
    <row r="3003" spans="10:10">
      <c r="J3003" s="304"/>
    </row>
    <row r="3004" spans="10:10">
      <c r="J3004" s="304"/>
    </row>
    <row r="3005" spans="10:10">
      <c r="J3005" s="304"/>
    </row>
    <row r="3006" spans="10:10">
      <c r="J3006" s="304"/>
    </row>
    <row r="3007" spans="10:10">
      <c r="J3007" s="304"/>
    </row>
    <row r="3008" spans="10:10">
      <c r="J3008" s="304"/>
    </row>
    <row r="3009" spans="10:10">
      <c r="J3009" s="304"/>
    </row>
    <row r="3010" spans="10:10">
      <c r="J3010" s="304"/>
    </row>
    <row r="3011" spans="10:10">
      <c r="J3011" s="304"/>
    </row>
    <row r="3012" spans="10:10">
      <c r="J3012" s="304"/>
    </row>
    <row r="3013" spans="10:10">
      <c r="J3013" s="304"/>
    </row>
    <row r="3014" spans="10:10">
      <c r="J3014" s="304"/>
    </row>
    <row r="3015" spans="10:10">
      <c r="J3015" s="304"/>
    </row>
    <row r="3016" spans="10:10">
      <c r="J3016" s="304"/>
    </row>
    <row r="3017" spans="10:10">
      <c r="J3017" s="304"/>
    </row>
    <row r="3018" spans="10:10">
      <c r="J3018" s="304"/>
    </row>
    <row r="3019" spans="10:10">
      <c r="J3019" s="304"/>
    </row>
    <row r="3020" spans="10:10">
      <c r="J3020" s="304"/>
    </row>
    <row r="3021" spans="10:10">
      <c r="J3021" s="304"/>
    </row>
    <row r="3022" spans="10:10">
      <c r="J3022" s="304"/>
    </row>
    <row r="3023" spans="10:10">
      <c r="J3023" s="304"/>
    </row>
    <row r="3024" spans="10:10">
      <c r="J3024" s="304"/>
    </row>
    <row r="3025" spans="10:10">
      <c r="J3025" s="304"/>
    </row>
    <row r="3026" spans="10:10">
      <c r="J3026" s="304"/>
    </row>
    <row r="3027" spans="10:10">
      <c r="J3027" s="304"/>
    </row>
    <row r="3028" spans="10:10">
      <c r="J3028" s="304"/>
    </row>
    <row r="3029" spans="10:10">
      <c r="J3029" s="304"/>
    </row>
    <row r="3030" spans="10:10">
      <c r="J3030" s="304"/>
    </row>
    <row r="3031" spans="10:10">
      <c r="J3031" s="304"/>
    </row>
    <row r="3032" spans="10:10">
      <c r="J3032" s="304"/>
    </row>
    <row r="3033" spans="10:10">
      <c r="J3033" s="304"/>
    </row>
    <row r="3034" spans="10:10">
      <c r="J3034" s="304"/>
    </row>
    <row r="3035" spans="10:10">
      <c r="J3035" s="304"/>
    </row>
    <row r="3036" spans="10:10">
      <c r="J3036" s="304"/>
    </row>
    <row r="3037" spans="10:10">
      <c r="J3037" s="304"/>
    </row>
    <row r="3038" spans="10:10">
      <c r="J3038" s="304"/>
    </row>
    <row r="3039" spans="10:10">
      <c r="J3039" s="304"/>
    </row>
    <row r="3040" spans="10:10">
      <c r="J3040" s="304"/>
    </row>
    <row r="3041" spans="10:10">
      <c r="J3041" s="304"/>
    </row>
    <row r="3042" spans="10:10">
      <c r="J3042" s="304"/>
    </row>
    <row r="3043" spans="10:10">
      <c r="J3043" s="304"/>
    </row>
    <row r="3044" spans="10:10">
      <c r="J3044" s="304"/>
    </row>
    <row r="3045" spans="10:10">
      <c r="J3045" s="304"/>
    </row>
    <row r="3046" spans="10:10">
      <c r="J3046" s="304"/>
    </row>
    <row r="3047" spans="10:10">
      <c r="J3047" s="304"/>
    </row>
    <row r="3048" spans="10:10">
      <c r="J3048" s="304"/>
    </row>
    <row r="3049" spans="10:10">
      <c r="J3049" s="304"/>
    </row>
    <row r="3050" spans="10:10">
      <c r="J3050" s="304"/>
    </row>
    <row r="3051" spans="10:10">
      <c r="J3051" s="304"/>
    </row>
    <row r="3052" spans="10:10">
      <c r="J3052" s="304"/>
    </row>
    <row r="3053" spans="10:10">
      <c r="J3053" s="304"/>
    </row>
    <row r="3054" spans="10:10">
      <c r="J3054" s="304"/>
    </row>
    <row r="3055" spans="10:10">
      <c r="J3055" s="304"/>
    </row>
    <row r="3056" spans="10:10">
      <c r="J3056" s="304"/>
    </row>
    <row r="3057" spans="10:10">
      <c r="J3057" s="304"/>
    </row>
    <row r="3058" spans="10:10">
      <c r="J3058" s="304"/>
    </row>
    <row r="3059" spans="10:10">
      <c r="J3059" s="304"/>
    </row>
    <row r="3060" spans="10:10">
      <c r="J3060" s="304"/>
    </row>
    <row r="3061" spans="10:10">
      <c r="J3061" s="304"/>
    </row>
    <row r="3062" spans="10:10">
      <c r="J3062" s="304"/>
    </row>
    <row r="3063" spans="10:10">
      <c r="J3063" s="304"/>
    </row>
    <row r="3064" spans="10:10">
      <c r="J3064" s="304"/>
    </row>
    <row r="3065" spans="10:10">
      <c r="J3065" s="304"/>
    </row>
    <row r="3066" spans="10:10">
      <c r="J3066" s="304"/>
    </row>
    <row r="3067" spans="10:10">
      <c r="J3067" s="304"/>
    </row>
    <row r="3068" spans="10:10">
      <c r="J3068" s="304"/>
    </row>
    <row r="3069" spans="10:10">
      <c r="J3069" s="304"/>
    </row>
    <row r="3070" spans="10:10">
      <c r="J3070" s="304"/>
    </row>
    <row r="3071" spans="10:10">
      <c r="J3071" s="304"/>
    </row>
    <row r="3072" spans="10:10">
      <c r="J3072" s="304"/>
    </row>
    <row r="3073" spans="10:10">
      <c r="J3073" s="304"/>
    </row>
    <row r="3074" spans="10:10">
      <c r="J3074" s="304"/>
    </row>
    <row r="3075" spans="10:10">
      <c r="J3075" s="304"/>
    </row>
    <row r="3076" spans="10:10">
      <c r="J3076" s="304"/>
    </row>
    <row r="3077" spans="10:10">
      <c r="J3077" s="304"/>
    </row>
    <row r="3078" spans="10:10">
      <c r="J3078" s="304"/>
    </row>
    <row r="3079" spans="10:10">
      <c r="J3079" s="304"/>
    </row>
    <row r="3080" spans="10:10">
      <c r="J3080" s="304"/>
    </row>
    <row r="3081" spans="10:10">
      <c r="J3081" s="304"/>
    </row>
    <row r="3082" spans="10:10">
      <c r="J3082" s="304"/>
    </row>
    <row r="3083" spans="10:10">
      <c r="J3083" s="304"/>
    </row>
    <row r="3084" spans="10:10">
      <c r="J3084" s="304"/>
    </row>
    <row r="3085" spans="10:10">
      <c r="J3085" s="304"/>
    </row>
    <row r="3086" spans="10:10">
      <c r="J3086" s="304"/>
    </row>
    <row r="3087" spans="10:10">
      <c r="J3087" s="304"/>
    </row>
    <row r="3088" spans="10:10">
      <c r="J3088" s="304"/>
    </row>
    <row r="3089" spans="10:10">
      <c r="J3089" s="304"/>
    </row>
    <row r="3090" spans="10:10">
      <c r="J3090" s="304"/>
    </row>
    <row r="3091" spans="10:10">
      <c r="J3091" s="304"/>
    </row>
    <row r="3092" spans="10:10">
      <c r="J3092" s="304"/>
    </row>
    <row r="3093" spans="10:10">
      <c r="J3093" s="304"/>
    </row>
    <row r="3094" spans="10:10">
      <c r="J3094" s="304"/>
    </row>
    <row r="3095" spans="10:10">
      <c r="J3095" s="304"/>
    </row>
    <row r="3096" spans="10:10">
      <c r="J3096" s="304"/>
    </row>
    <row r="3097" spans="10:10">
      <c r="J3097" s="304"/>
    </row>
    <row r="3098" spans="10:10">
      <c r="J3098" s="304"/>
    </row>
    <row r="3099" spans="10:10">
      <c r="J3099" s="304"/>
    </row>
    <row r="3100" spans="10:10">
      <c r="J3100" s="304"/>
    </row>
    <row r="3101" spans="10:10">
      <c r="J3101" s="304"/>
    </row>
    <row r="3102" spans="10:10">
      <c r="J3102" s="304"/>
    </row>
    <row r="3103" spans="10:10">
      <c r="J3103" s="304"/>
    </row>
    <row r="3104" spans="10:10">
      <c r="J3104" s="304"/>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487"/>
  <sheetViews>
    <sheetView zoomScaleNormal="100" workbookViewId="0">
      <pane xSplit="1" ySplit="3" topLeftCell="CC4" activePane="bottomRight" state="frozen"/>
      <selection pane="topRight" activeCell="N1" sqref="N1"/>
      <selection pane="bottomLeft" activeCell="A4" sqref="A4"/>
      <selection pane="bottomRight" activeCell="A11" sqref="A11"/>
    </sheetView>
  </sheetViews>
  <sheetFormatPr defaultRowHeight="12.75"/>
  <cols>
    <col min="1" max="1" width="48" style="280" customWidth="1"/>
    <col min="2" max="2" width="11.140625" style="280" hidden="1" customWidth="1"/>
    <col min="3" max="3" width="11.5703125" style="280" hidden="1" customWidth="1"/>
    <col min="4" max="4" width="12" style="280" hidden="1" customWidth="1"/>
    <col min="5" max="5" width="0" style="280" hidden="1" customWidth="1"/>
    <col min="6" max="6" width="10.7109375" style="280" hidden="1" customWidth="1"/>
    <col min="7" max="7" width="0" style="280" hidden="1" customWidth="1"/>
    <col min="8" max="8" width="10.42578125" style="280" hidden="1" customWidth="1"/>
    <col min="9" max="13" width="0" style="280" hidden="1" customWidth="1"/>
    <col min="14" max="14" width="10.28515625" style="280" hidden="1" customWidth="1"/>
    <col min="15" max="15" width="10.42578125" style="280" hidden="1" customWidth="1"/>
    <col min="16" max="16" width="10.140625" style="280" hidden="1" customWidth="1"/>
    <col min="17" max="19" width="0" style="280" hidden="1" customWidth="1"/>
    <col min="20" max="20" width="10.42578125" style="280" hidden="1" customWidth="1"/>
    <col min="21" max="25" width="0" style="280" hidden="1" customWidth="1"/>
    <col min="26" max="26" width="10.28515625" style="280" hidden="1" customWidth="1"/>
    <col min="27" max="31" width="0" style="280" hidden="1" customWidth="1"/>
    <col min="32" max="32" width="10.42578125" style="280" hidden="1" customWidth="1"/>
    <col min="33" max="34" width="0" style="280" hidden="1" customWidth="1"/>
    <col min="35" max="37" width="8.85546875" style="280" hidden="1" customWidth="1"/>
    <col min="38" max="38" width="10" style="280" hidden="1" customWidth="1"/>
    <col min="39" max="39" width="0" style="280" hidden="1" customWidth="1"/>
    <col min="40" max="41" width="9.7109375" style="280" hidden="1" customWidth="1"/>
    <col min="42" max="43" width="0" style="280" hidden="1" customWidth="1"/>
    <col min="44" max="45" width="11.140625" style="280" hidden="1" customWidth="1"/>
    <col min="46" max="46" width="10" style="280" hidden="1" customWidth="1"/>
    <col min="47" max="47" width="10.5703125" style="280" hidden="1" customWidth="1"/>
    <col min="48" max="48" width="10.7109375" style="280" hidden="1" customWidth="1"/>
    <col min="49" max="49" width="9.7109375" style="280" hidden="1" customWidth="1"/>
    <col min="50" max="50" width="10.5703125" style="280" hidden="1" customWidth="1"/>
    <col min="51" max="51" width="10.42578125" style="280" hidden="1" customWidth="1"/>
    <col min="52" max="54" width="0" style="280" hidden="1" customWidth="1"/>
    <col min="55" max="55" width="9.5703125" style="280" hidden="1" customWidth="1"/>
    <col min="56" max="56" width="0" style="280" hidden="1" customWidth="1"/>
    <col min="57" max="57" width="15.7109375" style="280" hidden="1" customWidth="1"/>
    <col min="58" max="58" width="0.28515625" style="280" hidden="1" customWidth="1"/>
    <col min="59" max="69" width="15.7109375" style="280" hidden="1" customWidth="1"/>
    <col min="70" max="70" width="14.42578125" style="280" hidden="1" customWidth="1"/>
    <col min="71" max="75" width="13.5703125" style="280" hidden="1" customWidth="1"/>
    <col min="76" max="80" width="12.5703125" style="280" hidden="1" customWidth="1"/>
    <col min="81" max="93" width="12.5703125" style="280" customWidth="1"/>
    <col min="94" max="256" width="9.140625" style="280"/>
    <col min="257" max="257" width="48" style="280" customWidth="1"/>
    <col min="258" max="336" width="0" style="280" hidden="1" customWidth="1"/>
    <col min="337" max="349" width="12.5703125" style="280" customWidth="1"/>
    <col min="350" max="512" width="9.140625" style="280"/>
    <col min="513" max="513" width="48" style="280" customWidth="1"/>
    <col min="514" max="592" width="0" style="280" hidden="1" customWidth="1"/>
    <col min="593" max="605" width="12.5703125" style="280" customWidth="1"/>
    <col min="606" max="768" width="9.140625" style="280"/>
    <col min="769" max="769" width="48" style="280" customWidth="1"/>
    <col min="770" max="848" width="0" style="280" hidden="1" customWidth="1"/>
    <col min="849" max="861" width="12.5703125" style="280" customWidth="1"/>
    <col min="862" max="1024" width="9.140625" style="280"/>
    <col min="1025" max="1025" width="48" style="280" customWidth="1"/>
    <col min="1026" max="1104" width="0" style="280" hidden="1" customWidth="1"/>
    <col min="1105" max="1117" width="12.5703125" style="280" customWidth="1"/>
    <col min="1118" max="1280" width="9.140625" style="280"/>
    <col min="1281" max="1281" width="48" style="280" customWidth="1"/>
    <col min="1282" max="1360" width="0" style="280" hidden="1" customWidth="1"/>
    <col min="1361" max="1373" width="12.5703125" style="280" customWidth="1"/>
    <col min="1374" max="1536" width="9.140625" style="280"/>
    <col min="1537" max="1537" width="48" style="280" customWidth="1"/>
    <col min="1538" max="1616" width="0" style="280" hidden="1" customWidth="1"/>
    <col min="1617" max="1629" width="12.5703125" style="280" customWidth="1"/>
    <col min="1630" max="1792" width="9.140625" style="280"/>
    <col min="1793" max="1793" width="48" style="280" customWidth="1"/>
    <col min="1794" max="1872" width="0" style="280" hidden="1" customWidth="1"/>
    <col min="1873" max="1885" width="12.5703125" style="280" customWidth="1"/>
    <col min="1886" max="2048" width="9.140625" style="280"/>
    <col min="2049" max="2049" width="48" style="280" customWidth="1"/>
    <col min="2050" max="2128" width="0" style="280" hidden="1" customWidth="1"/>
    <col min="2129" max="2141" width="12.5703125" style="280" customWidth="1"/>
    <col min="2142" max="2304" width="9.140625" style="280"/>
    <col min="2305" max="2305" width="48" style="280" customWidth="1"/>
    <col min="2306" max="2384" width="0" style="280" hidden="1" customWidth="1"/>
    <col min="2385" max="2397" width="12.5703125" style="280" customWidth="1"/>
    <col min="2398" max="2560" width="9.140625" style="280"/>
    <col min="2561" max="2561" width="48" style="280" customWidth="1"/>
    <col min="2562" max="2640" width="0" style="280" hidden="1" customWidth="1"/>
    <col min="2641" max="2653" width="12.5703125" style="280" customWidth="1"/>
    <col min="2654" max="2816" width="9.140625" style="280"/>
    <col min="2817" max="2817" width="48" style="280" customWidth="1"/>
    <col min="2818" max="2896" width="0" style="280" hidden="1" customWidth="1"/>
    <col min="2897" max="2909" width="12.5703125" style="280" customWidth="1"/>
    <col min="2910" max="3072" width="9.140625" style="280"/>
    <col min="3073" max="3073" width="48" style="280" customWidth="1"/>
    <col min="3074" max="3152" width="0" style="280" hidden="1" customWidth="1"/>
    <col min="3153" max="3165" width="12.5703125" style="280" customWidth="1"/>
    <col min="3166" max="3328" width="9.140625" style="280"/>
    <col min="3329" max="3329" width="48" style="280" customWidth="1"/>
    <col min="3330" max="3408" width="0" style="280" hidden="1" customWidth="1"/>
    <col min="3409" max="3421" width="12.5703125" style="280" customWidth="1"/>
    <col min="3422" max="3584" width="9.140625" style="280"/>
    <col min="3585" max="3585" width="48" style="280" customWidth="1"/>
    <col min="3586" max="3664" width="0" style="280" hidden="1" customWidth="1"/>
    <col min="3665" max="3677" width="12.5703125" style="280" customWidth="1"/>
    <col min="3678" max="3840" width="9.140625" style="280"/>
    <col min="3841" max="3841" width="48" style="280" customWidth="1"/>
    <col min="3842" max="3920" width="0" style="280" hidden="1" customWidth="1"/>
    <col min="3921" max="3933" width="12.5703125" style="280" customWidth="1"/>
    <col min="3934" max="4096" width="9.140625" style="280"/>
    <col min="4097" max="4097" width="48" style="280" customWidth="1"/>
    <col min="4098" max="4176" width="0" style="280" hidden="1" customWidth="1"/>
    <col min="4177" max="4189" width="12.5703125" style="280" customWidth="1"/>
    <col min="4190" max="4352" width="9.140625" style="280"/>
    <col min="4353" max="4353" width="48" style="280" customWidth="1"/>
    <col min="4354" max="4432" width="0" style="280" hidden="1" customWidth="1"/>
    <col min="4433" max="4445" width="12.5703125" style="280" customWidth="1"/>
    <col min="4446" max="4608" width="9.140625" style="280"/>
    <col min="4609" max="4609" width="48" style="280" customWidth="1"/>
    <col min="4610" max="4688" width="0" style="280" hidden="1" customWidth="1"/>
    <col min="4689" max="4701" width="12.5703125" style="280" customWidth="1"/>
    <col min="4702" max="4864" width="9.140625" style="280"/>
    <col min="4865" max="4865" width="48" style="280" customWidth="1"/>
    <col min="4866" max="4944" width="0" style="280" hidden="1" customWidth="1"/>
    <col min="4945" max="4957" width="12.5703125" style="280" customWidth="1"/>
    <col min="4958" max="5120" width="9.140625" style="280"/>
    <col min="5121" max="5121" width="48" style="280" customWidth="1"/>
    <col min="5122" max="5200" width="0" style="280" hidden="1" customWidth="1"/>
    <col min="5201" max="5213" width="12.5703125" style="280" customWidth="1"/>
    <col min="5214" max="5376" width="9.140625" style="280"/>
    <col min="5377" max="5377" width="48" style="280" customWidth="1"/>
    <col min="5378" max="5456" width="0" style="280" hidden="1" customWidth="1"/>
    <col min="5457" max="5469" width="12.5703125" style="280" customWidth="1"/>
    <col min="5470" max="5632" width="9.140625" style="280"/>
    <col min="5633" max="5633" width="48" style="280" customWidth="1"/>
    <col min="5634" max="5712" width="0" style="280" hidden="1" customWidth="1"/>
    <col min="5713" max="5725" width="12.5703125" style="280" customWidth="1"/>
    <col min="5726" max="5888" width="9.140625" style="280"/>
    <col min="5889" max="5889" width="48" style="280" customWidth="1"/>
    <col min="5890" max="5968" width="0" style="280" hidden="1" customWidth="1"/>
    <col min="5969" max="5981" width="12.5703125" style="280" customWidth="1"/>
    <col min="5982" max="6144" width="9.140625" style="280"/>
    <col min="6145" max="6145" width="48" style="280" customWidth="1"/>
    <col min="6146" max="6224" width="0" style="280" hidden="1" customWidth="1"/>
    <col min="6225" max="6237" width="12.5703125" style="280" customWidth="1"/>
    <col min="6238" max="6400" width="9.140625" style="280"/>
    <col min="6401" max="6401" width="48" style="280" customWidth="1"/>
    <col min="6402" max="6480" width="0" style="280" hidden="1" customWidth="1"/>
    <col min="6481" max="6493" width="12.5703125" style="280" customWidth="1"/>
    <col min="6494" max="6656" width="9.140625" style="280"/>
    <col min="6657" max="6657" width="48" style="280" customWidth="1"/>
    <col min="6658" max="6736" width="0" style="280" hidden="1" customWidth="1"/>
    <col min="6737" max="6749" width="12.5703125" style="280" customWidth="1"/>
    <col min="6750" max="6912" width="9.140625" style="280"/>
    <col min="6913" max="6913" width="48" style="280" customWidth="1"/>
    <col min="6914" max="6992" width="0" style="280" hidden="1" customWidth="1"/>
    <col min="6993" max="7005" width="12.5703125" style="280" customWidth="1"/>
    <col min="7006" max="7168" width="9.140625" style="280"/>
    <col min="7169" max="7169" width="48" style="280" customWidth="1"/>
    <col min="7170" max="7248" width="0" style="280" hidden="1" customWidth="1"/>
    <col min="7249" max="7261" width="12.5703125" style="280" customWidth="1"/>
    <col min="7262" max="7424" width="9.140625" style="280"/>
    <col min="7425" max="7425" width="48" style="280" customWidth="1"/>
    <col min="7426" max="7504" width="0" style="280" hidden="1" customWidth="1"/>
    <col min="7505" max="7517" width="12.5703125" style="280" customWidth="1"/>
    <col min="7518" max="7680" width="9.140625" style="280"/>
    <col min="7681" max="7681" width="48" style="280" customWidth="1"/>
    <col min="7682" max="7760" width="0" style="280" hidden="1" customWidth="1"/>
    <col min="7761" max="7773" width="12.5703125" style="280" customWidth="1"/>
    <col min="7774" max="7936" width="9.140625" style="280"/>
    <col min="7937" max="7937" width="48" style="280" customWidth="1"/>
    <col min="7938" max="8016" width="0" style="280" hidden="1" customWidth="1"/>
    <col min="8017" max="8029" width="12.5703125" style="280" customWidth="1"/>
    <col min="8030" max="8192" width="9.140625" style="280"/>
    <col min="8193" max="8193" width="48" style="280" customWidth="1"/>
    <col min="8194" max="8272" width="0" style="280" hidden="1" customWidth="1"/>
    <col min="8273" max="8285" width="12.5703125" style="280" customWidth="1"/>
    <col min="8286" max="8448" width="9.140625" style="280"/>
    <col min="8449" max="8449" width="48" style="280" customWidth="1"/>
    <col min="8450" max="8528" width="0" style="280" hidden="1" customWidth="1"/>
    <col min="8529" max="8541" width="12.5703125" style="280" customWidth="1"/>
    <col min="8542" max="8704" width="9.140625" style="280"/>
    <col min="8705" max="8705" width="48" style="280" customWidth="1"/>
    <col min="8706" max="8784" width="0" style="280" hidden="1" customWidth="1"/>
    <col min="8785" max="8797" width="12.5703125" style="280" customWidth="1"/>
    <col min="8798" max="8960" width="9.140625" style="280"/>
    <col min="8961" max="8961" width="48" style="280" customWidth="1"/>
    <col min="8962" max="9040" width="0" style="280" hidden="1" customWidth="1"/>
    <col min="9041" max="9053" width="12.5703125" style="280" customWidth="1"/>
    <col min="9054" max="9216" width="9.140625" style="280"/>
    <col min="9217" max="9217" width="48" style="280" customWidth="1"/>
    <col min="9218" max="9296" width="0" style="280" hidden="1" customWidth="1"/>
    <col min="9297" max="9309" width="12.5703125" style="280" customWidth="1"/>
    <col min="9310" max="9472" width="9.140625" style="280"/>
    <col min="9473" max="9473" width="48" style="280" customWidth="1"/>
    <col min="9474" max="9552" width="0" style="280" hidden="1" customWidth="1"/>
    <col min="9553" max="9565" width="12.5703125" style="280" customWidth="1"/>
    <col min="9566" max="9728" width="9.140625" style="280"/>
    <col min="9729" max="9729" width="48" style="280" customWidth="1"/>
    <col min="9730" max="9808" width="0" style="280" hidden="1" customWidth="1"/>
    <col min="9809" max="9821" width="12.5703125" style="280" customWidth="1"/>
    <col min="9822" max="9984" width="9.140625" style="280"/>
    <col min="9985" max="9985" width="48" style="280" customWidth="1"/>
    <col min="9986" max="10064" width="0" style="280" hidden="1" customWidth="1"/>
    <col min="10065" max="10077" width="12.5703125" style="280" customWidth="1"/>
    <col min="10078" max="10240" width="9.140625" style="280"/>
    <col min="10241" max="10241" width="48" style="280" customWidth="1"/>
    <col min="10242" max="10320" width="0" style="280" hidden="1" customWidth="1"/>
    <col min="10321" max="10333" width="12.5703125" style="280" customWidth="1"/>
    <col min="10334" max="10496" width="9.140625" style="280"/>
    <col min="10497" max="10497" width="48" style="280" customWidth="1"/>
    <col min="10498" max="10576" width="0" style="280" hidden="1" customWidth="1"/>
    <col min="10577" max="10589" width="12.5703125" style="280" customWidth="1"/>
    <col min="10590" max="10752" width="9.140625" style="280"/>
    <col min="10753" max="10753" width="48" style="280" customWidth="1"/>
    <col min="10754" max="10832" width="0" style="280" hidden="1" customWidth="1"/>
    <col min="10833" max="10845" width="12.5703125" style="280" customWidth="1"/>
    <col min="10846" max="11008" width="9.140625" style="280"/>
    <col min="11009" max="11009" width="48" style="280" customWidth="1"/>
    <col min="11010" max="11088" width="0" style="280" hidden="1" customWidth="1"/>
    <col min="11089" max="11101" width="12.5703125" style="280" customWidth="1"/>
    <col min="11102" max="11264" width="9.140625" style="280"/>
    <col min="11265" max="11265" width="48" style="280" customWidth="1"/>
    <col min="11266" max="11344" width="0" style="280" hidden="1" customWidth="1"/>
    <col min="11345" max="11357" width="12.5703125" style="280" customWidth="1"/>
    <col min="11358" max="11520" width="9.140625" style="280"/>
    <col min="11521" max="11521" width="48" style="280" customWidth="1"/>
    <col min="11522" max="11600" width="0" style="280" hidden="1" customWidth="1"/>
    <col min="11601" max="11613" width="12.5703125" style="280" customWidth="1"/>
    <col min="11614" max="11776" width="9.140625" style="280"/>
    <col min="11777" max="11777" width="48" style="280" customWidth="1"/>
    <col min="11778" max="11856" width="0" style="280" hidden="1" customWidth="1"/>
    <col min="11857" max="11869" width="12.5703125" style="280" customWidth="1"/>
    <col min="11870" max="12032" width="9.140625" style="280"/>
    <col min="12033" max="12033" width="48" style="280" customWidth="1"/>
    <col min="12034" max="12112" width="0" style="280" hidden="1" customWidth="1"/>
    <col min="12113" max="12125" width="12.5703125" style="280" customWidth="1"/>
    <col min="12126" max="12288" width="9.140625" style="280"/>
    <col min="12289" max="12289" width="48" style="280" customWidth="1"/>
    <col min="12290" max="12368" width="0" style="280" hidden="1" customWidth="1"/>
    <col min="12369" max="12381" width="12.5703125" style="280" customWidth="1"/>
    <col min="12382" max="12544" width="9.140625" style="280"/>
    <col min="12545" max="12545" width="48" style="280" customWidth="1"/>
    <col min="12546" max="12624" width="0" style="280" hidden="1" customWidth="1"/>
    <col min="12625" max="12637" width="12.5703125" style="280" customWidth="1"/>
    <col min="12638" max="12800" width="9.140625" style="280"/>
    <col min="12801" max="12801" width="48" style="280" customWidth="1"/>
    <col min="12802" max="12880" width="0" style="280" hidden="1" customWidth="1"/>
    <col min="12881" max="12893" width="12.5703125" style="280" customWidth="1"/>
    <col min="12894" max="13056" width="9.140625" style="280"/>
    <col min="13057" max="13057" width="48" style="280" customWidth="1"/>
    <col min="13058" max="13136" width="0" style="280" hidden="1" customWidth="1"/>
    <col min="13137" max="13149" width="12.5703125" style="280" customWidth="1"/>
    <col min="13150" max="13312" width="9.140625" style="280"/>
    <col min="13313" max="13313" width="48" style="280" customWidth="1"/>
    <col min="13314" max="13392" width="0" style="280" hidden="1" customWidth="1"/>
    <col min="13393" max="13405" width="12.5703125" style="280" customWidth="1"/>
    <col min="13406" max="13568" width="9.140625" style="280"/>
    <col min="13569" max="13569" width="48" style="280" customWidth="1"/>
    <col min="13570" max="13648" width="0" style="280" hidden="1" customWidth="1"/>
    <col min="13649" max="13661" width="12.5703125" style="280" customWidth="1"/>
    <col min="13662" max="13824" width="9.140625" style="280"/>
    <col min="13825" max="13825" width="48" style="280" customWidth="1"/>
    <col min="13826" max="13904" width="0" style="280" hidden="1" customWidth="1"/>
    <col min="13905" max="13917" width="12.5703125" style="280" customWidth="1"/>
    <col min="13918" max="14080" width="9.140625" style="280"/>
    <col min="14081" max="14081" width="48" style="280" customWidth="1"/>
    <col min="14082" max="14160" width="0" style="280" hidden="1" customWidth="1"/>
    <col min="14161" max="14173" width="12.5703125" style="280" customWidth="1"/>
    <col min="14174" max="14336" width="9.140625" style="280"/>
    <col min="14337" max="14337" width="48" style="280" customWidth="1"/>
    <col min="14338" max="14416" width="0" style="280" hidden="1" customWidth="1"/>
    <col min="14417" max="14429" width="12.5703125" style="280" customWidth="1"/>
    <col min="14430" max="14592" width="9.140625" style="280"/>
    <col min="14593" max="14593" width="48" style="280" customWidth="1"/>
    <col min="14594" max="14672" width="0" style="280" hidden="1" customWidth="1"/>
    <col min="14673" max="14685" width="12.5703125" style="280" customWidth="1"/>
    <col min="14686" max="14848" width="9.140625" style="280"/>
    <col min="14849" max="14849" width="48" style="280" customWidth="1"/>
    <col min="14850" max="14928" width="0" style="280" hidden="1" customWidth="1"/>
    <col min="14929" max="14941" width="12.5703125" style="280" customWidth="1"/>
    <col min="14942" max="15104" width="9.140625" style="280"/>
    <col min="15105" max="15105" width="48" style="280" customWidth="1"/>
    <col min="15106" max="15184" width="0" style="280" hidden="1" customWidth="1"/>
    <col min="15185" max="15197" width="12.5703125" style="280" customWidth="1"/>
    <col min="15198" max="15360" width="9.140625" style="280"/>
    <col min="15361" max="15361" width="48" style="280" customWidth="1"/>
    <col min="15362" max="15440" width="0" style="280" hidden="1" customWidth="1"/>
    <col min="15441" max="15453" width="12.5703125" style="280" customWidth="1"/>
    <col min="15454" max="15616" width="9.140625" style="280"/>
    <col min="15617" max="15617" width="48" style="280" customWidth="1"/>
    <col min="15618" max="15696" width="0" style="280" hidden="1" customWidth="1"/>
    <col min="15697" max="15709" width="12.5703125" style="280" customWidth="1"/>
    <col min="15710" max="15872" width="9.140625" style="280"/>
    <col min="15873" max="15873" width="48" style="280" customWidth="1"/>
    <col min="15874" max="15952" width="0" style="280" hidden="1" customWidth="1"/>
    <col min="15953" max="15965" width="12.5703125" style="280" customWidth="1"/>
    <col min="15966" max="16128" width="9.140625" style="280"/>
    <col min="16129" max="16129" width="48" style="280" customWidth="1"/>
    <col min="16130" max="16208" width="0" style="280" hidden="1" customWidth="1"/>
    <col min="16209" max="16221" width="12.5703125" style="280" customWidth="1"/>
    <col min="16222" max="16384" width="9.140625" style="280"/>
  </cols>
  <sheetData>
    <row r="1" spans="1:93" ht="16.5">
      <c r="A1" s="164" t="s">
        <v>496</v>
      </c>
      <c r="B1" s="129"/>
      <c r="C1" s="129"/>
      <c r="D1" s="129"/>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129"/>
      <c r="AS1" s="129"/>
      <c r="AT1" s="129"/>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row>
    <row r="2" spans="1:93" ht="16.5" thickBot="1">
      <c r="A2" s="351"/>
      <c r="B2" s="129"/>
      <c r="C2" s="129"/>
      <c r="D2" s="352"/>
      <c r="E2" s="350"/>
      <c r="F2" s="352"/>
      <c r="G2" s="352"/>
      <c r="H2" s="350"/>
      <c r="I2" s="352"/>
      <c r="J2" s="350"/>
      <c r="K2" s="350"/>
      <c r="L2" s="350"/>
      <c r="M2" s="350"/>
      <c r="N2" s="350"/>
      <c r="O2" s="350"/>
      <c r="P2" s="352"/>
      <c r="Q2" s="350"/>
      <c r="R2" s="350"/>
      <c r="S2" s="350"/>
      <c r="T2" s="350"/>
      <c r="U2" s="350"/>
      <c r="V2" s="350"/>
      <c r="W2" s="350"/>
      <c r="X2" s="350"/>
      <c r="Y2" s="350"/>
      <c r="Z2" s="350"/>
      <c r="AA2" s="350"/>
      <c r="AB2" s="350"/>
      <c r="AC2" s="352"/>
      <c r="AD2" s="350"/>
      <c r="AE2" s="352"/>
      <c r="AF2" s="352"/>
      <c r="AG2" s="350"/>
      <c r="AH2" s="350"/>
      <c r="AI2" s="350"/>
      <c r="AJ2" s="350"/>
      <c r="AK2" s="352"/>
      <c r="AL2" s="350"/>
      <c r="AM2" s="350"/>
      <c r="AN2" s="352"/>
      <c r="AO2" s="350"/>
      <c r="AP2" s="350"/>
      <c r="AQ2" s="350"/>
      <c r="AR2" s="142"/>
      <c r="AS2" s="129"/>
      <c r="AT2" s="129"/>
      <c r="AU2" s="350"/>
      <c r="AV2" s="142"/>
      <c r="AW2" s="353"/>
      <c r="AX2" s="353"/>
      <c r="AY2" s="353"/>
      <c r="AZ2" s="353"/>
      <c r="BA2" s="353"/>
      <c r="BB2" s="353"/>
      <c r="BC2" s="353"/>
      <c r="BD2" s="353"/>
      <c r="BE2" s="353"/>
      <c r="BF2" s="353"/>
      <c r="BG2" s="350"/>
      <c r="BH2" s="353"/>
      <c r="BI2" s="350"/>
      <c r="BJ2" s="353"/>
      <c r="BK2" s="353"/>
      <c r="BL2" s="353"/>
      <c r="BM2" s="350"/>
      <c r="BN2" s="353"/>
      <c r="BO2" s="350"/>
      <c r="BP2" s="350"/>
      <c r="BQ2" s="353"/>
      <c r="BR2" s="353"/>
      <c r="BS2" s="353"/>
      <c r="BT2" s="353"/>
      <c r="BU2" s="353"/>
      <c r="BV2" s="353"/>
      <c r="BW2" s="353"/>
      <c r="BX2" s="353"/>
      <c r="BY2" s="353"/>
      <c r="BZ2" s="353"/>
      <c r="CA2" s="353"/>
      <c r="CB2" s="353"/>
      <c r="CC2" s="354"/>
      <c r="CD2" s="355"/>
      <c r="CE2" s="355"/>
      <c r="CF2" s="355"/>
      <c r="CG2" s="355"/>
      <c r="CH2" s="355"/>
      <c r="CI2" s="354"/>
      <c r="CJ2" s="354"/>
      <c r="CK2" s="356"/>
      <c r="CL2" s="356"/>
      <c r="CM2" s="356"/>
      <c r="CN2" s="356"/>
      <c r="CO2" s="356" t="s">
        <v>12</v>
      </c>
    </row>
    <row r="3" spans="1:93" ht="16.350000000000001" customHeight="1" thickTop="1" thickBot="1">
      <c r="A3" s="357" t="s">
        <v>386</v>
      </c>
      <c r="B3" s="358">
        <v>38504</v>
      </c>
      <c r="C3" s="359">
        <v>38534</v>
      </c>
      <c r="D3" s="360">
        <v>38565</v>
      </c>
      <c r="E3" s="361">
        <v>38596</v>
      </c>
      <c r="F3" s="360">
        <v>38626</v>
      </c>
      <c r="G3" s="360">
        <v>38657</v>
      </c>
      <c r="H3" s="360">
        <v>38687</v>
      </c>
      <c r="I3" s="360">
        <v>38718</v>
      </c>
      <c r="J3" s="360">
        <v>38749</v>
      </c>
      <c r="K3" s="361">
        <v>38777</v>
      </c>
      <c r="L3" s="360">
        <v>38808</v>
      </c>
      <c r="M3" s="360">
        <v>38838</v>
      </c>
      <c r="N3" s="360">
        <v>38869</v>
      </c>
      <c r="O3" s="361">
        <v>38899</v>
      </c>
      <c r="P3" s="360">
        <v>38930</v>
      </c>
      <c r="Q3" s="360">
        <v>38961</v>
      </c>
      <c r="R3" s="361">
        <v>38991</v>
      </c>
      <c r="S3" s="360">
        <v>39022</v>
      </c>
      <c r="T3" s="360">
        <v>39052</v>
      </c>
      <c r="U3" s="362">
        <v>39083</v>
      </c>
      <c r="V3" s="362">
        <v>39114</v>
      </c>
      <c r="W3" s="362">
        <v>39142</v>
      </c>
      <c r="X3" s="362">
        <v>39173</v>
      </c>
      <c r="Y3" s="362">
        <v>39203</v>
      </c>
      <c r="Z3" s="362">
        <v>39234</v>
      </c>
      <c r="AA3" s="362">
        <v>39264</v>
      </c>
      <c r="AB3" s="362">
        <v>39295</v>
      </c>
      <c r="AC3" s="362">
        <v>39326</v>
      </c>
      <c r="AD3" s="362">
        <v>39356</v>
      </c>
      <c r="AE3" s="362">
        <v>39387</v>
      </c>
      <c r="AF3" s="362">
        <v>39417</v>
      </c>
      <c r="AG3" s="362">
        <v>39448</v>
      </c>
      <c r="AH3" s="362">
        <v>39479</v>
      </c>
      <c r="AI3" s="362">
        <v>39508</v>
      </c>
      <c r="AJ3" s="362">
        <v>39539</v>
      </c>
      <c r="AK3" s="362">
        <v>39569</v>
      </c>
      <c r="AL3" s="362">
        <v>39600</v>
      </c>
      <c r="AM3" s="362">
        <v>39630</v>
      </c>
      <c r="AN3" s="362">
        <v>39661</v>
      </c>
      <c r="AO3" s="362">
        <v>39692</v>
      </c>
      <c r="AP3" s="362">
        <v>39722</v>
      </c>
      <c r="AQ3" s="362">
        <v>39753</v>
      </c>
      <c r="AR3" s="358">
        <v>39783</v>
      </c>
      <c r="AS3" s="358">
        <v>39814</v>
      </c>
      <c r="AT3" s="358">
        <v>39853</v>
      </c>
      <c r="AU3" s="358">
        <v>39881</v>
      </c>
      <c r="AV3" s="358">
        <v>39912</v>
      </c>
      <c r="AW3" s="363">
        <v>39942</v>
      </c>
      <c r="AX3" s="363">
        <v>39973</v>
      </c>
      <c r="AY3" s="363">
        <v>40003</v>
      </c>
      <c r="AZ3" s="363">
        <v>40034</v>
      </c>
      <c r="BA3" s="363">
        <v>40065</v>
      </c>
      <c r="BB3" s="363">
        <v>40095</v>
      </c>
      <c r="BC3" s="363">
        <v>40126</v>
      </c>
      <c r="BD3" s="363">
        <v>40156</v>
      </c>
      <c r="BE3" s="363">
        <v>40187</v>
      </c>
      <c r="BF3" s="363">
        <v>40218</v>
      </c>
      <c r="BG3" s="363">
        <v>40246</v>
      </c>
      <c r="BH3" s="363">
        <v>40277</v>
      </c>
      <c r="BI3" s="363">
        <v>40307</v>
      </c>
      <c r="BJ3" s="363">
        <v>40338</v>
      </c>
      <c r="BK3" s="363">
        <v>40368</v>
      </c>
      <c r="BL3" s="363">
        <v>40399</v>
      </c>
      <c r="BM3" s="363">
        <v>40430</v>
      </c>
      <c r="BN3" s="364" t="s">
        <v>356</v>
      </c>
      <c r="BO3" s="364" t="s">
        <v>497</v>
      </c>
      <c r="BP3" s="364" t="s">
        <v>498</v>
      </c>
      <c r="BQ3" s="364" t="s">
        <v>499</v>
      </c>
      <c r="BR3" s="364">
        <v>40575</v>
      </c>
      <c r="BS3" s="364">
        <v>40603</v>
      </c>
      <c r="BT3" s="364">
        <v>40634</v>
      </c>
      <c r="BU3" s="364">
        <v>40664</v>
      </c>
      <c r="BV3" s="364">
        <v>40695</v>
      </c>
      <c r="BW3" s="364">
        <v>40725</v>
      </c>
      <c r="BX3" s="364">
        <v>40756</v>
      </c>
      <c r="BY3" s="364">
        <v>40787</v>
      </c>
      <c r="BZ3" s="364">
        <v>40817</v>
      </c>
      <c r="CA3" s="364">
        <v>40848</v>
      </c>
      <c r="CB3" s="364">
        <v>40878</v>
      </c>
      <c r="CC3" s="364">
        <v>40909</v>
      </c>
      <c r="CD3" s="364">
        <v>40940</v>
      </c>
      <c r="CE3" s="364">
        <v>40969</v>
      </c>
      <c r="CF3" s="364">
        <v>41000</v>
      </c>
      <c r="CG3" s="364">
        <v>41030</v>
      </c>
      <c r="CH3" s="364">
        <v>41061</v>
      </c>
      <c r="CI3" s="364">
        <v>41091</v>
      </c>
      <c r="CJ3" s="364">
        <v>41122</v>
      </c>
      <c r="CK3" s="364">
        <v>41153</v>
      </c>
      <c r="CL3" s="364">
        <v>41183</v>
      </c>
      <c r="CM3" s="364">
        <v>41214</v>
      </c>
      <c r="CN3" s="364">
        <v>41244</v>
      </c>
      <c r="CO3" s="364">
        <v>41275</v>
      </c>
    </row>
    <row r="4" spans="1:93" ht="21" customHeight="1" thickTop="1">
      <c r="A4" s="365" t="s">
        <v>397</v>
      </c>
      <c r="B4" s="366">
        <v>7345.4913986934589</v>
      </c>
      <c r="C4" s="367">
        <v>7531.8395667485602</v>
      </c>
      <c r="D4" s="198">
        <v>7335.7852072345695</v>
      </c>
      <c r="E4" s="210">
        <v>7904.6126914552005</v>
      </c>
      <c r="F4" s="198">
        <v>7848.7531799304998</v>
      </c>
      <c r="G4" s="198">
        <v>7623.2581692748108</v>
      </c>
      <c r="H4" s="367">
        <v>7989.5967294912807</v>
      </c>
      <c r="I4" s="367">
        <v>7999.8353108993188</v>
      </c>
      <c r="J4" s="198">
        <v>7598.7227322044992</v>
      </c>
      <c r="K4" s="210">
        <v>7574.7225746160748</v>
      </c>
      <c r="L4" s="198">
        <v>7452.7798256555943</v>
      </c>
      <c r="M4" s="198">
        <v>7438.3021187001723</v>
      </c>
      <c r="N4" s="198">
        <v>7844.4049486156382</v>
      </c>
      <c r="O4" s="210">
        <v>8514.6616202365913</v>
      </c>
      <c r="P4" s="198">
        <v>8540.3393322357224</v>
      </c>
      <c r="Q4" s="198">
        <v>7870.6834208845994</v>
      </c>
      <c r="R4" s="368">
        <v>7049.2249522224993</v>
      </c>
      <c r="S4" s="198">
        <v>7247.5642858422998</v>
      </c>
      <c r="T4" s="198">
        <v>7736.2856641049993</v>
      </c>
      <c r="U4" s="200">
        <v>7323.1811838683789</v>
      </c>
      <c r="V4" s="200">
        <v>7145.0940294786169</v>
      </c>
      <c r="W4" s="200">
        <v>6723.0958649366003</v>
      </c>
      <c r="X4" s="200">
        <v>6764.686924614879</v>
      </c>
      <c r="Y4" s="200">
        <v>6746.6737972092178</v>
      </c>
      <c r="Z4" s="200">
        <v>6851.7240930283997</v>
      </c>
      <c r="AA4" s="200">
        <v>7038.2681390582566</v>
      </c>
      <c r="AB4" s="200">
        <v>7209.1246228901327</v>
      </c>
      <c r="AC4" s="200">
        <v>6835.0073988716013</v>
      </c>
      <c r="AD4" s="200">
        <v>7347.0733112097014</v>
      </c>
      <c r="AE4" s="200">
        <v>7207.6971087416669</v>
      </c>
      <c r="AF4" s="200">
        <v>9504.8579286612512</v>
      </c>
      <c r="AG4" s="200">
        <v>9077.6021887352017</v>
      </c>
      <c r="AH4" s="200">
        <v>8367.9104018260005</v>
      </c>
      <c r="AI4" s="200">
        <v>8777.3273127571974</v>
      </c>
      <c r="AJ4" s="200">
        <v>9148.1078086604011</v>
      </c>
      <c r="AK4" s="200">
        <v>9141.4265807759984</v>
      </c>
      <c r="AL4" s="200">
        <v>9248.1128217293008</v>
      </c>
      <c r="AM4" s="261">
        <v>9826.1113371430019</v>
      </c>
      <c r="AN4" s="261">
        <v>9211.2912869184001</v>
      </c>
      <c r="AO4" s="261">
        <v>10040.610854071101</v>
      </c>
      <c r="AP4" s="261">
        <v>11042.825340053099</v>
      </c>
      <c r="AQ4" s="261">
        <v>11337.249227759512</v>
      </c>
      <c r="AR4" s="366">
        <v>12033.491818864621</v>
      </c>
      <c r="AS4" s="366">
        <v>11603.658607119998</v>
      </c>
      <c r="AT4" s="366">
        <v>10732.4054462524</v>
      </c>
      <c r="AU4" s="366">
        <v>11768.312493008001</v>
      </c>
      <c r="AV4" s="366">
        <v>11497.417782589002</v>
      </c>
      <c r="AW4" s="369">
        <v>11537.362559857598</v>
      </c>
      <c r="AX4" s="369">
        <v>12221.6180075764</v>
      </c>
      <c r="AY4" s="369">
        <v>12342.1656849789</v>
      </c>
      <c r="AZ4" s="369">
        <v>13258.842710158204</v>
      </c>
      <c r="BA4" s="369">
        <v>12299.813742014601</v>
      </c>
      <c r="BB4" s="369">
        <v>12388.7715043427</v>
      </c>
      <c r="BC4" s="369">
        <v>12433.54086759544</v>
      </c>
      <c r="BD4" s="369">
        <v>12678.566889178202</v>
      </c>
      <c r="BE4" s="370">
        <v>12967.775489326299</v>
      </c>
      <c r="BF4" s="370">
        <v>13131.523268157775</v>
      </c>
      <c r="BG4" s="370">
        <v>13182.25941531872</v>
      </c>
      <c r="BH4" s="370">
        <v>13063.836328450601</v>
      </c>
      <c r="BI4" s="370">
        <v>13386.798435317798</v>
      </c>
      <c r="BJ4" s="370">
        <v>14560.199880812777</v>
      </c>
      <c r="BK4" s="370">
        <v>12976.340279048389</v>
      </c>
      <c r="BL4" s="370">
        <v>14172.241080191134</v>
      </c>
      <c r="BM4" s="370">
        <v>14685.688135307433</v>
      </c>
      <c r="BN4" s="370">
        <v>15005.716175792335</v>
      </c>
      <c r="BO4" s="370">
        <v>15003.464583781033</v>
      </c>
      <c r="BP4" s="370">
        <v>14468.138209593166</v>
      </c>
      <c r="BQ4" s="370">
        <v>13689.370093494466</v>
      </c>
      <c r="BR4" s="370">
        <v>13876.200949639491</v>
      </c>
      <c r="BS4" s="370">
        <v>13919.254869353617</v>
      </c>
      <c r="BT4" s="370">
        <v>14594.908170461689</v>
      </c>
      <c r="BU4" s="370">
        <v>14388.642019590179</v>
      </c>
      <c r="BV4" s="370">
        <v>13726.883930169755</v>
      </c>
      <c r="BW4" s="370">
        <v>15353.413558884475</v>
      </c>
      <c r="BX4" s="370">
        <v>15699.156513783499</v>
      </c>
      <c r="BY4" s="370">
        <v>15795.0750797745</v>
      </c>
      <c r="BZ4" s="370">
        <v>15878.9</v>
      </c>
      <c r="CA4" s="370">
        <v>15789.186492460702</v>
      </c>
      <c r="CB4" s="370">
        <v>16126.0886783144</v>
      </c>
      <c r="CC4" s="370">
        <v>16599.675062896946</v>
      </c>
      <c r="CD4" s="370">
        <v>16340.584549594476</v>
      </c>
      <c r="CE4" s="370">
        <v>15017.889985251633</v>
      </c>
      <c r="CF4" s="370">
        <v>15029.613866499927</v>
      </c>
      <c r="CG4" s="370">
        <v>15369.276232010279</v>
      </c>
      <c r="CH4" s="370">
        <v>15681.410294747</v>
      </c>
      <c r="CI4" s="370">
        <v>16320.642602344422</v>
      </c>
      <c r="CJ4" s="370">
        <v>16412.937692386644</v>
      </c>
      <c r="CK4" s="370">
        <v>16795.060683477899</v>
      </c>
      <c r="CL4" s="370">
        <v>16473.038777185153</v>
      </c>
      <c r="CM4" s="370">
        <v>17314.672810717457</v>
      </c>
      <c r="CN4" s="370">
        <v>18064.141561415308</v>
      </c>
      <c r="CO4" s="370">
        <v>17507.095010699031</v>
      </c>
    </row>
    <row r="5" spans="1:93">
      <c r="A5" s="371" t="s">
        <v>398</v>
      </c>
      <c r="B5" s="372"/>
      <c r="C5" s="260"/>
      <c r="D5" s="260"/>
      <c r="E5" s="207"/>
      <c r="F5" s="260"/>
      <c r="G5" s="260"/>
      <c r="H5" s="260"/>
      <c r="I5" s="260"/>
      <c r="J5" s="260"/>
      <c r="K5" s="207"/>
      <c r="L5" s="260"/>
      <c r="M5" s="260"/>
      <c r="N5" s="260"/>
      <c r="O5" s="207"/>
      <c r="P5" s="260"/>
      <c r="Q5" s="260"/>
      <c r="R5" s="207"/>
      <c r="S5" s="260"/>
      <c r="T5" s="260"/>
      <c r="U5" s="373"/>
      <c r="V5" s="373"/>
      <c r="W5" s="373"/>
      <c r="X5" s="373"/>
      <c r="Y5" s="373"/>
      <c r="Z5" s="373"/>
      <c r="AA5" s="373"/>
      <c r="AB5" s="373"/>
      <c r="AC5" s="373"/>
      <c r="AD5" s="373"/>
      <c r="AE5" s="373"/>
      <c r="AF5" s="373"/>
      <c r="AG5" s="373"/>
      <c r="AH5" s="373"/>
      <c r="AI5" s="373"/>
      <c r="AJ5" s="373"/>
      <c r="AK5" s="373"/>
      <c r="AL5" s="373"/>
      <c r="AM5" s="261"/>
      <c r="AN5" s="261"/>
      <c r="AO5" s="261"/>
      <c r="AP5" s="261"/>
      <c r="AQ5" s="261"/>
      <c r="AR5" s="372"/>
      <c r="AS5" s="372"/>
      <c r="AT5" s="372"/>
      <c r="AU5" s="372"/>
      <c r="AV5" s="372"/>
      <c r="AW5" s="201"/>
      <c r="AX5" s="201"/>
      <c r="AY5" s="201"/>
      <c r="AZ5" s="201"/>
      <c r="BA5" s="201"/>
      <c r="BB5" s="201"/>
      <c r="BC5" s="201"/>
      <c r="BD5" s="201"/>
      <c r="BE5" s="374"/>
      <c r="BF5" s="374"/>
      <c r="BG5" s="374"/>
      <c r="BH5" s="374"/>
      <c r="BI5" s="374"/>
      <c r="BJ5" s="374"/>
      <c r="BK5" s="374"/>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row>
    <row r="6" spans="1:93">
      <c r="A6" s="371" t="s">
        <v>399</v>
      </c>
      <c r="B6" s="372">
        <v>4370.7299203099992</v>
      </c>
      <c r="C6" s="260">
        <v>4323.8554170199995</v>
      </c>
      <c r="D6" s="260">
        <v>4292.1159254200002</v>
      </c>
      <c r="E6" s="207">
        <v>4689.9094079102006</v>
      </c>
      <c r="F6" s="260">
        <v>4495.6720426616002</v>
      </c>
      <c r="G6" s="260">
        <v>4366.3040840202875</v>
      </c>
      <c r="H6" s="260">
        <v>4786.4868422316003</v>
      </c>
      <c r="I6" s="260">
        <v>4993.8081464247598</v>
      </c>
      <c r="J6" s="260">
        <v>4790.7005062644994</v>
      </c>
      <c r="K6" s="207">
        <v>4914.2536862087991</v>
      </c>
      <c r="L6" s="260">
        <v>4881.4822933305941</v>
      </c>
      <c r="M6" s="260">
        <v>4854.6419675026727</v>
      </c>
      <c r="N6" s="260">
        <v>5105.3808355556384</v>
      </c>
      <c r="O6" s="207">
        <v>5474.2172920265921</v>
      </c>
      <c r="P6" s="260">
        <v>5536.0967956957229</v>
      </c>
      <c r="Q6" s="260">
        <v>4862.4684583595999</v>
      </c>
      <c r="R6" s="207">
        <v>4465.7456297024992</v>
      </c>
      <c r="S6" s="260">
        <v>4312.9186979797996</v>
      </c>
      <c r="T6" s="260">
        <v>4556.131249905</v>
      </c>
      <c r="U6" s="373">
        <v>4720.5797024283802</v>
      </c>
      <c r="V6" s="373">
        <v>4707.1345624486175</v>
      </c>
      <c r="W6" s="373">
        <v>4215.6078598466001</v>
      </c>
      <c r="X6" s="373">
        <v>4272.5918114948781</v>
      </c>
      <c r="Y6" s="373">
        <v>4035.038303729219</v>
      </c>
      <c r="Z6" s="373">
        <v>4128.9577768183999</v>
      </c>
      <c r="AA6" s="373">
        <v>4103.7642567882549</v>
      </c>
      <c r="AB6" s="373">
        <v>4025.1771553201324</v>
      </c>
      <c r="AC6" s="373">
        <v>3780.3828302116003</v>
      </c>
      <c r="AD6" s="373">
        <v>3899.8604576597004</v>
      </c>
      <c r="AE6" s="373">
        <v>3872.8509141516665</v>
      </c>
      <c r="AF6" s="373">
        <v>5375.2728675512508</v>
      </c>
      <c r="AG6" s="373">
        <v>5636.7090192952001</v>
      </c>
      <c r="AH6" s="373">
        <v>5201.4440444659995</v>
      </c>
      <c r="AI6" s="373">
        <v>4996.4140955471994</v>
      </c>
      <c r="AJ6" s="373">
        <v>5390.5534820503999</v>
      </c>
      <c r="AK6" s="373">
        <v>5377.043477706</v>
      </c>
      <c r="AL6" s="373">
        <v>5487.7118382393001</v>
      </c>
      <c r="AM6" s="262">
        <v>5552.1091964430007</v>
      </c>
      <c r="AN6" s="262">
        <v>5216.9822497083996</v>
      </c>
      <c r="AO6" s="262">
        <v>5447.3569319177004</v>
      </c>
      <c r="AP6" s="262">
        <v>5668.3898299978</v>
      </c>
      <c r="AQ6" s="262">
        <v>5930.9691786439998</v>
      </c>
      <c r="AR6" s="372">
        <v>6551.8138669764003</v>
      </c>
      <c r="AS6" s="372">
        <v>6479.8904258999992</v>
      </c>
      <c r="AT6" s="372">
        <v>6403.119384983599</v>
      </c>
      <c r="AU6" s="372">
        <v>7157.0655215983998</v>
      </c>
      <c r="AV6" s="372">
        <v>6882.3367099530014</v>
      </c>
      <c r="AW6" s="201">
        <v>6613.5759396931999</v>
      </c>
      <c r="AX6" s="201">
        <v>7036.3608777972004</v>
      </c>
      <c r="AY6" s="201">
        <v>7009.8077130161009</v>
      </c>
      <c r="AZ6" s="201">
        <v>7132.8145208325004</v>
      </c>
      <c r="BA6" s="201">
        <v>6251.2562820278008</v>
      </c>
      <c r="BB6" s="201">
        <v>6093.6134419927994</v>
      </c>
      <c r="BC6" s="201">
        <v>6100.6264666391999</v>
      </c>
      <c r="BD6" s="201">
        <v>6654.8429190156012</v>
      </c>
      <c r="BE6" s="374">
        <v>6943.3987936104013</v>
      </c>
      <c r="BF6" s="374">
        <v>6782.731771522499</v>
      </c>
      <c r="BG6" s="374">
        <v>6807.7454515099998</v>
      </c>
      <c r="BH6" s="374">
        <v>6475.6326600967004</v>
      </c>
      <c r="BI6" s="374">
        <v>6500.6610102193008</v>
      </c>
      <c r="BJ6" s="374">
        <v>6584.1377497066005</v>
      </c>
      <c r="BK6" s="374">
        <v>6329.3304995195995</v>
      </c>
      <c r="BL6" s="374">
        <v>6576.4615278647007</v>
      </c>
      <c r="BM6" s="374">
        <v>6479.6058624232001</v>
      </c>
      <c r="BN6" s="374">
        <v>6561.3156319817999</v>
      </c>
      <c r="BO6" s="374">
        <v>6477.0626906327998</v>
      </c>
      <c r="BP6" s="374">
        <v>6528.7985947214001</v>
      </c>
      <c r="BQ6" s="374">
        <v>6589.5129304363991</v>
      </c>
      <c r="BR6" s="374">
        <v>6559.5246140866993</v>
      </c>
      <c r="BS6" s="374">
        <v>6658.1929827439999</v>
      </c>
      <c r="BT6" s="374">
        <v>6662.0088622149497</v>
      </c>
      <c r="BU6" s="374">
        <v>6066.9568600943994</v>
      </c>
      <c r="BV6" s="374">
        <v>6124.3831808054001</v>
      </c>
      <c r="BW6" s="374">
        <v>6529.1913200449999</v>
      </c>
      <c r="BX6" s="374">
        <v>6600.9464487944997</v>
      </c>
      <c r="BY6" s="374">
        <v>6364.4998691746996</v>
      </c>
      <c r="BZ6" s="374">
        <v>6349.7</v>
      </c>
      <c r="CA6" s="374">
        <v>6308.0139900163995</v>
      </c>
      <c r="CB6" s="374">
        <v>6044.1974124824001</v>
      </c>
      <c r="CC6" s="374">
        <v>6341.9923835599993</v>
      </c>
      <c r="CD6" s="374">
        <v>6285.2277418739404</v>
      </c>
      <c r="CE6" s="374">
        <v>6082.926019859975</v>
      </c>
      <c r="CF6" s="374">
        <v>6335.7700357709609</v>
      </c>
      <c r="CG6" s="374">
        <v>6716.4708608245674</v>
      </c>
      <c r="CH6" s="374">
        <v>7097.3893903238404</v>
      </c>
      <c r="CI6" s="374">
        <v>7571.9813189940069</v>
      </c>
      <c r="CJ6" s="374">
        <v>7442.0839899803805</v>
      </c>
      <c r="CK6" s="374">
        <v>7142.8922370595901</v>
      </c>
      <c r="CL6" s="374">
        <v>6869.9380813100006</v>
      </c>
      <c r="CM6" s="374">
        <v>7192.52901587</v>
      </c>
      <c r="CN6" s="374">
        <v>7114.0137198900002</v>
      </c>
      <c r="CO6" s="374">
        <v>6883.8815633599988</v>
      </c>
    </row>
    <row r="7" spans="1:93">
      <c r="A7" s="371" t="s">
        <v>400</v>
      </c>
      <c r="B7" s="372">
        <v>947.71407808999993</v>
      </c>
      <c r="C7" s="260">
        <v>888.25672714999996</v>
      </c>
      <c r="D7" s="260">
        <v>894.59133156999997</v>
      </c>
      <c r="E7" s="207">
        <v>808.46376236000015</v>
      </c>
      <c r="F7" s="260">
        <v>760.30456875999994</v>
      </c>
      <c r="G7" s="260">
        <v>691.09963296000001</v>
      </c>
      <c r="H7" s="260">
        <v>703.49796226000001</v>
      </c>
      <c r="I7" s="260">
        <v>1100.5213783199999</v>
      </c>
      <c r="J7" s="260">
        <v>846.72288403999994</v>
      </c>
      <c r="K7" s="207">
        <v>880.52077351000003</v>
      </c>
      <c r="L7" s="260">
        <v>935.92604272000005</v>
      </c>
      <c r="M7" s="260">
        <v>722.06079064999994</v>
      </c>
      <c r="N7" s="260">
        <v>706.18664161000004</v>
      </c>
      <c r="O7" s="207">
        <v>813.69968423</v>
      </c>
      <c r="P7" s="260">
        <v>731.17343831999995</v>
      </c>
      <c r="Q7" s="260">
        <v>743.58479609000005</v>
      </c>
      <c r="R7" s="207">
        <v>670.50531777999993</v>
      </c>
      <c r="S7" s="260">
        <v>647.10581165999997</v>
      </c>
      <c r="T7" s="260">
        <v>899.91180695000003</v>
      </c>
      <c r="U7" s="373">
        <v>660.67174766999995</v>
      </c>
      <c r="V7" s="373">
        <v>595.99635827999998</v>
      </c>
      <c r="W7" s="373">
        <v>790.72846633999995</v>
      </c>
      <c r="X7" s="373">
        <v>768.83103670000003</v>
      </c>
      <c r="Y7" s="373">
        <v>760.86141576</v>
      </c>
      <c r="Z7" s="373">
        <v>608.70071227999995</v>
      </c>
      <c r="AA7" s="373">
        <v>686.03519133000009</v>
      </c>
      <c r="AB7" s="373">
        <v>638.57694258000004</v>
      </c>
      <c r="AC7" s="373">
        <v>625.02238913999997</v>
      </c>
      <c r="AD7" s="373">
        <v>572.14731293</v>
      </c>
      <c r="AE7" s="373">
        <v>588.39648282000019</v>
      </c>
      <c r="AF7" s="373">
        <v>561.94402072000003</v>
      </c>
      <c r="AG7" s="373">
        <v>491.69037447000005</v>
      </c>
      <c r="AH7" s="373">
        <v>404.17246085000005</v>
      </c>
      <c r="AI7" s="373">
        <v>1052.8532324</v>
      </c>
      <c r="AJ7" s="373">
        <v>1079.00945247</v>
      </c>
      <c r="AK7" s="373">
        <v>1028.23917175</v>
      </c>
      <c r="AL7" s="373">
        <v>992.26630272</v>
      </c>
      <c r="AM7" s="262">
        <v>1010.10531451</v>
      </c>
      <c r="AN7" s="262">
        <v>1056.9215584400001</v>
      </c>
      <c r="AO7" s="262">
        <v>1026.3791025200001</v>
      </c>
      <c r="AP7" s="262">
        <v>1210.84515521</v>
      </c>
      <c r="AQ7" s="262">
        <v>1417.8552750300003</v>
      </c>
      <c r="AR7" s="372">
        <v>666.98173649519993</v>
      </c>
      <c r="AS7" s="372">
        <v>762.87199767999994</v>
      </c>
      <c r="AT7" s="372">
        <v>736.79466325999999</v>
      </c>
      <c r="AU7" s="372">
        <v>1016.7911232228</v>
      </c>
      <c r="AV7" s="372">
        <v>1017.8522659400001</v>
      </c>
      <c r="AW7" s="201">
        <v>986.7281722724</v>
      </c>
      <c r="AX7" s="201">
        <v>1090.0841711399999</v>
      </c>
      <c r="AY7" s="201">
        <v>1117.5570805899999</v>
      </c>
      <c r="AZ7" s="201">
        <v>1242.1857621718998</v>
      </c>
      <c r="BA7" s="201">
        <v>1130.6207459157999</v>
      </c>
      <c r="BB7" s="201">
        <v>1180.9600675199999</v>
      </c>
      <c r="BC7" s="201">
        <v>1179.2927186999998</v>
      </c>
      <c r="BD7" s="201">
        <v>1194.4314657499999</v>
      </c>
      <c r="BE7" s="374">
        <v>1283.3959922957001</v>
      </c>
      <c r="BF7" s="374">
        <v>1170.1192027449999</v>
      </c>
      <c r="BG7" s="374">
        <v>1037.2159888900001</v>
      </c>
      <c r="BH7" s="374">
        <v>977.25371406560009</v>
      </c>
      <c r="BI7" s="374">
        <v>973.93286234000004</v>
      </c>
      <c r="BJ7" s="374">
        <v>1609.17291312</v>
      </c>
      <c r="BK7" s="374">
        <v>1343.6732333334</v>
      </c>
      <c r="BL7" s="374">
        <v>1380.5472245097001</v>
      </c>
      <c r="BM7" s="374">
        <v>1585.4924234523999</v>
      </c>
      <c r="BN7" s="374">
        <v>1401.6625373600002</v>
      </c>
      <c r="BO7" s="374">
        <v>1356.8478927136002</v>
      </c>
      <c r="BP7" s="374">
        <v>1259.7261644150999</v>
      </c>
      <c r="BQ7" s="374">
        <v>1236.5469993167001</v>
      </c>
      <c r="BR7" s="374">
        <v>1297.8113549047998</v>
      </c>
      <c r="BS7" s="374">
        <v>1254.7770420416</v>
      </c>
      <c r="BT7" s="374">
        <v>2359.4374312179998</v>
      </c>
      <c r="BU7" s="374">
        <v>2492.8735255574061</v>
      </c>
      <c r="BV7" s="374">
        <v>2596.1876437210285</v>
      </c>
      <c r="BW7" s="374">
        <v>2592.3674039123198</v>
      </c>
      <c r="BX7" s="374">
        <v>2737.081852884</v>
      </c>
      <c r="BY7" s="374">
        <v>2671.7097182817001</v>
      </c>
      <c r="BZ7" s="374">
        <v>2644.4</v>
      </c>
      <c r="CA7" s="374">
        <v>2608.12796746</v>
      </c>
      <c r="CB7" s="374">
        <v>2547.7241215800004</v>
      </c>
      <c r="CC7" s="374">
        <v>2605.7748322424</v>
      </c>
      <c r="CD7" s="374">
        <v>2581.5688966204902</v>
      </c>
      <c r="CE7" s="374">
        <v>1922.9857331599999</v>
      </c>
      <c r="CF7" s="374">
        <v>1851.1474936136021</v>
      </c>
      <c r="CG7" s="374">
        <v>1823.2372807956165</v>
      </c>
      <c r="CH7" s="374">
        <v>1863.3675000000001</v>
      </c>
      <c r="CI7" s="374">
        <v>1995.3255854899999</v>
      </c>
      <c r="CJ7" s="374">
        <v>1971.91117252</v>
      </c>
      <c r="CK7" s="374">
        <v>1869.7525880599999</v>
      </c>
      <c r="CL7" s="374">
        <v>1778.58311007</v>
      </c>
      <c r="CM7" s="374">
        <v>1799.8706586599997</v>
      </c>
      <c r="CN7" s="374">
        <v>1849.45383186</v>
      </c>
      <c r="CO7" s="374">
        <v>1850.2427751099999</v>
      </c>
    </row>
    <row r="8" spans="1:93">
      <c r="A8" s="371" t="s">
        <v>401</v>
      </c>
      <c r="B8" s="372">
        <v>14.049424</v>
      </c>
      <c r="C8" s="260">
        <v>12.630751</v>
      </c>
      <c r="D8" s="260">
        <v>13.428654000000002</v>
      </c>
      <c r="E8" s="207">
        <v>15.132339000000002</v>
      </c>
      <c r="F8" s="260">
        <v>15.919357</v>
      </c>
      <c r="G8" s="260">
        <v>16.155488000000002</v>
      </c>
      <c r="H8" s="260">
        <v>18.95864688</v>
      </c>
      <c r="I8" s="260">
        <v>16.23104</v>
      </c>
      <c r="J8" s="260">
        <v>18.155421829999998</v>
      </c>
      <c r="K8" s="207">
        <v>19.179758240000002</v>
      </c>
      <c r="L8" s="260">
        <v>14.546299400000001</v>
      </c>
      <c r="M8" s="260">
        <v>18.68868582</v>
      </c>
      <c r="N8" s="260">
        <v>17.235568000000001</v>
      </c>
      <c r="O8" s="207">
        <v>19.27239694</v>
      </c>
      <c r="P8" s="260">
        <v>20.66539998</v>
      </c>
      <c r="Q8" s="260">
        <v>21.927378019999999</v>
      </c>
      <c r="R8" s="207">
        <v>22.397614709999999</v>
      </c>
      <c r="S8" s="260">
        <v>23.981740869999999</v>
      </c>
      <c r="T8" s="260">
        <v>20.001068149999998</v>
      </c>
      <c r="U8" s="373">
        <v>24.183884350000003</v>
      </c>
      <c r="V8" s="373">
        <v>24.915300250000001</v>
      </c>
      <c r="W8" s="373">
        <v>22.119072719999998</v>
      </c>
      <c r="X8" s="373">
        <v>21.157603429999998</v>
      </c>
      <c r="Y8" s="373">
        <v>19.039158240000003</v>
      </c>
      <c r="Z8" s="373">
        <v>17.498148050000001</v>
      </c>
      <c r="AA8" s="373">
        <v>19.131903319999999</v>
      </c>
      <c r="AB8" s="373">
        <v>20.453608450000001</v>
      </c>
      <c r="AC8" s="373">
        <v>14.772791420000001</v>
      </c>
      <c r="AD8" s="373">
        <v>15.45467451</v>
      </c>
      <c r="AE8" s="373">
        <v>17.127844370000002</v>
      </c>
      <c r="AF8" s="373">
        <v>17.43549646</v>
      </c>
      <c r="AG8" s="373">
        <v>16.568486069999999</v>
      </c>
      <c r="AH8" s="373">
        <v>19.166698499999999</v>
      </c>
      <c r="AI8" s="373">
        <v>18.96211533</v>
      </c>
      <c r="AJ8" s="373">
        <v>19.512489689999999</v>
      </c>
      <c r="AK8" s="373">
        <v>19.53939733</v>
      </c>
      <c r="AL8" s="373">
        <v>18.170410780000001</v>
      </c>
      <c r="AM8" s="262">
        <v>16.670075489999999</v>
      </c>
      <c r="AN8" s="262">
        <v>16.5553715</v>
      </c>
      <c r="AO8" s="262">
        <v>16.17877979</v>
      </c>
      <c r="AP8" s="262">
        <v>17.015526240000003</v>
      </c>
      <c r="AQ8" s="262">
        <v>17.004971179999998</v>
      </c>
      <c r="AR8" s="372">
        <v>16.321624359999998</v>
      </c>
      <c r="AS8" s="372">
        <v>15.42724069</v>
      </c>
      <c r="AT8" s="372">
        <v>14.555907769999999</v>
      </c>
      <c r="AU8" s="372">
        <v>15.6637319</v>
      </c>
      <c r="AV8" s="372">
        <v>15.142991530000002</v>
      </c>
      <c r="AW8" s="201">
        <v>62.480838718800001</v>
      </c>
      <c r="AX8" s="201">
        <v>62.640613819999999</v>
      </c>
      <c r="AY8" s="201">
        <v>64.983649409999998</v>
      </c>
      <c r="AZ8" s="201">
        <v>65.705261149999998</v>
      </c>
      <c r="BA8" s="201">
        <v>65.608467560000008</v>
      </c>
      <c r="BB8" s="201">
        <v>67.104993690000001</v>
      </c>
      <c r="BC8" s="201">
        <v>65.936608300000003</v>
      </c>
      <c r="BD8" s="201">
        <v>66.269063799999998</v>
      </c>
      <c r="BE8" s="374">
        <v>67.142427653699997</v>
      </c>
      <c r="BF8" s="374">
        <v>66.769846042500006</v>
      </c>
      <c r="BG8" s="374">
        <v>16.314983609999999</v>
      </c>
      <c r="BH8" s="374">
        <v>15.66918912</v>
      </c>
      <c r="BI8" s="374">
        <v>14.70712675</v>
      </c>
      <c r="BJ8" s="374">
        <v>14.14735907</v>
      </c>
      <c r="BK8" s="374">
        <v>12.02554349</v>
      </c>
      <c r="BL8" s="374">
        <v>11.767226539999999</v>
      </c>
      <c r="BM8" s="374">
        <v>12.49390421</v>
      </c>
      <c r="BN8" s="374">
        <v>10.334915929999999</v>
      </c>
      <c r="BO8" s="374">
        <v>11.426193269999999</v>
      </c>
      <c r="BP8" s="374">
        <v>11.68602375</v>
      </c>
      <c r="BQ8" s="374">
        <v>12.068280640000001</v>
      </c>
      <c r="BR8" s="374">
        <v>11.92550069</v>
      </c>
      <c r="BS8" s="374">
        <v>11.200466629999999</v>
      </c>
      <c r="BT8" s="374">
        <v>9.2935320500000014</v>
      </c>
      <c r="BU8" s="374">
        <v>10.469897289999999</v>
      </c>
      <c r="BV8" s="374">
        <v>11.684196596219998</v>
      </c>
      <c r="BW8" s="374">
        <v>11.23606889</v>
      </c>
      <c r="BX8" s="374">
        <v>10.350129000000001</v>
      </c>
      <c r="BY8" s="374">
        <v>11.4813106123</v>
      </c>
      <c r="BZ8" s="374">
        <v>11.5</v>
      </c>
      <c r="CA8" s="374">
        <v>9.9080165299999994</v>
      </c>
      <c r="CB8" s="374">
        <v>13.356135</v>
      </c>
      <c r="CC8" s="374">
        <v>13.194072049727998</v>
      </c>
      <c r="CD8" s="374">
        <v>13.667905460907999</v>
      </c>
      <c r="CE8" s="374">
        <v>14.509243358094825</v>
      </c>
      <c r="CF8" s="374">
        <v>15.483963649663997</v>
      </c>
      <c r="CG8" s="374">
        <v>12.491698636283333</v>
      </c>
      <c r="CH8" s="374">
        <v>12.567417749999999</v>
      </c>
      <c r="CI8" s="374">
        <v>11.97007224</v>
      </c>
      <c r="CJ8" s="374">
        <v>10.528653850000001</v>
      </c>
      <c r="CK8" s="374">
        <v>9.1565461500000005</v>
      </c>
      <c r="CL8" s="374">
        <v>8.4030496899999996</v>
      </c>
      <c r="CM8" s="374">
        <v>10.43707256442779</v>
      </c>
      <c r="CN8" s="374">
        <v>12.215941920000001</v>
      </c>
      <c r="CO8" s="374">
        <v>11.37133736</v>
      </c>
    </row>
    <row r="9" spans="1:93">
      <c r="A9" s="371" t="s">
        <v>402</v>
      </c>
      <c r="B9" s="372">
        <v>19.434546000000001</v>
      </c>
      <c r="C9" s="260">
        <v>21.991353700000001</v>
      </c>
      <c r="D9" s="260">
        <v>24.904605510000003</v>
      </c>
      <c r="E9" s="207">
        <v>20.44278006</v>
      </c>
      <c r="F9" s="260">
        <v>26.744178240000004</v>
      </c>
      <c r="G9" s="260">
        <v>27.471033890000001</v>
      </c>
      <c r="H9" s="260">
        <v>31.25423623</v>
      </c>
      <c r="I9" s="260">
        <v>14.37098275</v>
      </c>
      <c r="J9" s="260">
        <v>14.743625040000001</v>
      </c>
      <c r="K9" s="207">
        <v>15.38837155</v>
      </c>
      <c r="L9" s="260">
        <v>14.317133999999999</v>
      </c>
      <c r="M9" s="260">
        <v>15.369480529999999</v>
      </c>
      <c r="N9" s="260">
        <v>14.123897019999999</v>
      </c>
      <c r="O9" s="207">
        <v>13.827830909999999</v>
      </c>
      <c r="P9" s="260">
        <v>15.908692479999999</v>
      </c>
      <c r="Q9" s="260">
        <v>14.163014530000002</v>
      </c>
      <c r="R9" s="207">
        <v>15.938348299999999</v>
      </c>
      <c r="S9" s="260">
        <v>14.927327640000001</v>
      </c>
      <c r="T9" s="260">
        <v>15.37474287</v>
      </c>
      <c r="U9" s="373">
        <v>16.239639539999999</v>
      </c>
      <c r="V9" s="373">
        <v>15.00314176</v>
      </c>
      <c r="W9" s="373">
        <v>15.303271949999999</v>
      </c>
      <c r="X9" s="373">
        <v>13.790674790000001</v>
      </c>
      <c r="Y9" s="373">
        <v>12.73285454</v>
      </c>
      <c r="Z9" s="373">
        <v>13.541893530000001</v>
      </c>
      <c r="AA9" s="373">
        <v>12.95515335</v>
      </c>
      <c r="AB9" s="373">
        <v>16.082966370000001</v>
      </c>
      <c r="AC9" s="373">
        <v>14.496600379999999</v>
      </c>
      <c r="AD9" s="373">
        <v>12.776230910000001</v>
      </c>
      <c r="AE9" s="373">
        <v>15.368706900000001</v>
      </c>
      <c r="AF9" s="373">
        <v>13.117615220000001</v>
      </c>
      <c r="AG9" s="373">
        <v>12.448867310000001</v>
      </c>
      <c r="AH9" s="373">
        <v>11.553555950000002</v>
      </c>
      <c r="AI9" s="373">
        <v>13.22084695</v>
      </c>
      <c r="AJ9" s="373">
        <v>12.993818859999999</v>
      </c>
      <c r="AK9" s="373">
        <v>11.6259444</v>
      </c>
      <c r="AL9" s="373">
        <v>9.9342030099999992</v>
      </c>
      <c r="AM9" s="262">
        <v>8.7160712100000008</v>
      </c>
      <c r="AN9" s="262">
        <v>9.0718181500000004</v>
      </c>
      <c r="AO9" s="262">
        <v>8.9005056099999997</v>
      </c>
      <c r="AP9" s="262">
        <v>9.6434757500000003</v>
      </c>
      <c r="AQ9" s="262">
        <v>10.434982339999999</v>
      </c>
      <c r="AR9" s="372">
        <v>11.25451874</v>
      </c>
      <c r="AS9" s="372">
        <v>17.118735280000003</v>
      </c>
      <c r="AT9" s="372">
        <v>13.757401400000001</v>
      </c>
      <c r="AU9" s="372">
        <v>16.082168519999996</v>
      </c>
      <c r="AV9" s="372">
        <v>17.78960064</v>
      </c>
      <c r="AW9" s="201">
        <v>20.382275069999999</v>
      </c>
      <c r="AX9" s="201">
        <v>18.270174609999994</v>
      </c>
      <c r="AY9" s="201">
        <v>3.2451047400000004</v>
      </c>
      <c r="AZ9" s="201">
        <v>3.3936212000000001</v>
      </c>
      <c r="BA9" s="201">
        <v>3.9056801300000004</v>
      </c>
      <c r="BB9" s="201">
        <v>4.0478866499999997</v>
      </c>
      <c r="BC9" s="201">
        <v>0.98379643000000006</v>
      </c>
      <c r="BD9" s="201">
        <v>0.91681897000000001</v>
      </c>
      <c r="BE9" s="374">
        <v>0.90502258999999996</v>
      </c>
      <c r="BF9" s="374">
        <v>0.96775080000000002</v>
      </c>
      <c r="BG9" s="374">
        <v>0.94771501999999996</v>
      </c>
      <c r="BH9" s="374">
        <v>0.95334095000000008</v>
      </c>
      <c r="BI9" s="374">
        <v>2.5305252299999998</v>
      </c>
      <c r="BJ9" s="374">
        <v>2.8388067100000001</v>
      </c>
      <c r="BK9" s="374">
        <v>3.3241337799999999</v>
      </c>
      <c r="BL9" s="374">
        <v>3.9113232999999998</v>
      </c>
      <c r="BM9" s="374">
        <v>3.8188926200000002</v>
      </c>
      <c r="BN9" s="374">
        <v>4.0777373199999998</v>
      </c>
      <c r="BO9" s="374">
        <v>2.33587794</v>
      </c>
      <c r="BP9" s="374">
        <v>2.79008491</v>
      </c>
      <c r="BQ9" s="374">
        <v>2.7442425799999999</v>
      </c>
      <c r="BR9" s="374">
        <v>2.8827066400000003</v>
      </c>
      <c r="BS9" s="374">
        <v>2.5677454800000001</v>
      </c>
      <c r="BT9" s="374">
        <v>3.3443891299999997</v>
      </c>
      <c r="BU9" s="374">
        <v>3.4035821400000001</v>
      </c>
      <c r="BV9" s="374">
        <v>3.2135207000000001</v>
      </c>
      <c r="BW9" s="374">
        <v>3.0636965799999998</v>
      </c>
      <c r="BX9" s="374">
        <v>2.8388852999999998</v>
      </c>
      <c r="BY9" s="374">
        <v>3.4044560099999996</v>
      </c>
      <c r="BZ9" s="374">
        <v>2.5</v>
      </c>
      <c r="CA9" s="374">
        <v>0.30669008999999997</v>
      </c>
      <c r="CB9" s="374">
        <v>0.64684775000000005</v>
      </c>
      <c r="CC9" s="374">
        <v>2.1253180631701722</v>
      </c>
      <c r="CD9" s="374">
        <v>1.16510812</v>
      </c>
      <c r="CE9" s="374">
        <v>2.0125944200000001</v>
      </c>
      <c r="CF9" s="374">
        <v>1.3303883700000001</v>
      </c>
      <c r="CG9" s="374">
        <v>5.16278478</v>
      </c>
      <c r="CH9" s="374">
        <v>5.2631020900000003</v>
      </c>
      <c r="CI9" s="374">
        <v>4.95825491</v>
      </c>
      <c r="CJ9" s="374">
        <v>5.3599682500000005</v>
      </c>
      <c r="CK9" s="374">
        <v>5.4523421099999991</v>
      </c>
      <c r="CL9" s="374">
        <v>7.8116119999999983E-2</v>
      </c>
      <c r="CM9" s="374">
        <v>3.4598458700000001</v>
      </c>
      <c r="CN9" s="374">
        <v>4.1738916999999995</v>
      </c>
      <c r="CO9" s="374">
        <v>3.9772062699999999</v>
      </c>
    </row>
    <row r="10" spans="1:93">
      <c r="A10" s="371" t="s">
        <v>403</v>
      </c>
      <c r="B10" s="372">
        <v>680.74645148000002</v>
      </c>
      <c r="C10" s="260">
        <v>669.58498656000006</v>
      </c>
      <c r="D10" s="260">
        <v>721.68721933000006</v>
      </c>
      <c r="E10" s="207">
        <v>704.17222448999996</v>
      </c>
      <c r="F10" s="260">
        <v>689.42629768999996</v>
      </c>
      <c r="G10" s="260">
        <v>678.83808231000012</v>
      </c>
      <c r="H10" s="260">
        <v>671.85362325000006</v>
      </c>
      <c r="I10" s="260">
        <v>678.17775860999984</v>
      </c>
      <c r="J10" s="260">
        <v>659.00284986999998</v>
      </c>
      <c r="K10" s="207">
        <v>624.54959976999999</v>
      </c>
      <c r="L10" s="260">
        <v>623.39722935999998</v>
      </c>
      <c r="M10" s="260">
        <v>635.91024102999995</v>
      </c>
      <c r="N10" s="260">
        <v>626.03130603</v>
      </c>
      <c r="O10" s="207">
        <v>654.03063631000009</v>
      </c>
      <c r="P10" s="260">
        <v>667.06512477000001</v>
      </c>
      <c r="Q10" s="260">
        <v>637.90905760999999</v>
      </c>
      <c r="R10" s="207">
        <v>653.09075022000002</v>
      </c>
      <c r="S10" s="260">
        <v>666.38343436000014</v>
      </c>
      <c r="T10" s="260">
        <v>734.75414365000006</v>
      </c>
      <c r="U10" s="373">
        <v>704.01534222999999</v>
      </c>
      <c r="V10" s="373">
        <v>684.69541763999996</v>
      </c>
      <c r="W10" s="373">
        <v>691.91620799999998</v>
      </c>
      <c r="X10" s="373">
        <v>683.57086580999999</v>
      </c>
      <c r="Y10" s="373">
        <v>698.22884531999989</v>
      </c>
      <c r="Z10" s="373">
        <v>708.16269356999999</v>
      </c>
      <c r="AA10" s="373">
        <v>648.46042792000003</v>
      </c>
      <c r="AB10" s="373">
        <v>616.73928117999992</v>
      </c>
      <c r="AC10" s="373">
        <v>591.97554236999997</v>
      </c>
      <c r="AD10" s="373">
        <v>605.11727158000008</v>
      </c>
      <c r="AE10" s="373">
        <v>610.58692802999997</v>
      </c>
      <c r="AF10" s="373">
        <v>769.48864221000008</v>
      </c>
      <c r="AG10" s="373">
        <v>759.57411053999999</v>
      </c>
      <c r="AH10" s="373">
        <v>701.56265627999994</v>
      </c>
      <c r="AI10" s="373">
        <v>669.39741194999988</v>
      </c>
      <c r="AJ10" s="373">
        <v>740.11895875999994</v>
      </c>
      <c r="AK10" s="373">
        <v>698.99451021000004</v>
      </c>
      <c r="AL10" s="373">
        <v>692.32486569000002</v>
      </c>
      <c r="AM10" s="262">
        <v>764.58137678000003</v>
      </c>
      <c r="AN10" s="262">
        <v>761.36681661000011</v>
      </c>
      <c r="AO10" s="262">
        <v>796.97338425999999</v>
      </c>
      <c r="AP10" s="262">
        <v>858.12948381460001</v>
      </c>
      <c r="AQ10" s="262">
        <v>897.0049568206</v>
      </c>
      <c r="AR10" s="372">
        <v>1457.9946032740002</v>
      </c>
      <c r="AS10" s="372">
        <v>1296.6949313599998</v>
      </c>
      <c r="AT10" s="372">
        <v>1332.3579162115998</v>
      </c>
      <c r="AU10" s="372">
        <v>1317.9513012627999</v>
      </c>
      <c r="AV10" s="372">
        <v>1339.421396531</v>
      </c>
      <c r="AW10" s="201">
        <v>1357.3729559440001</v>
      </c>
      <c r="AX10" s="201">
        <v>1471.3503510420001</v>
      </c>
      <c r="AY10" s="201">
        <v>1404.8140691218998</v>
      </c>
      <c r="AZ10" s="201">
        <v>1434.9690486898999</v>
      </c>
      <c r="BA10" s="201">
        <v>1380.0718601475999</v>
      </c>
      <c r="BB10" s="201">
        <v>1407.801637795</v>
      </c>
      <c r="BC10" s="201">
        <v>1410.7351433904</v>
      </c>
      <c r="BD10" s="201">
        <v>1357.7031272818001</v>
      </c>
      <c r="BE10" s="374">
        <v>1425.9896374364002</v>
      </c>
      <c r="BF10" s="374">
        <v>1394.7213508025</v>
      </c>
      <c r="BG10" s="374">
        <v>1289.646278312</v>
      </c>
      <c r="BH10" s="374">
        <v>1279.9922310587999</v>
      </c>
      <c r="BI10" s="374">
        <v>1333.6415901597002</v>
      </c>
      <c r="BJ10" s="374">
        <v>1347.8243981810001</v>
      </c>
      <c r="BK10" s="374">
        <v>1333.1018977438002</v>
      </c>
      <c r="BL10" s="374">
        <v>1057.4966753783999</v>
      </c>
      <c r="BM10" s="374">
        <v>1085.7487767309999</v>
      </c>
      <c r="BN10" s="374">
        <v>1055.0548767943999</v>
      </c>
      <c r="BO10" s="374">
        <v>1055.8706959776</v>
      </c>
      <c r="BP10" s="374">
        <v>1062.2065091504001</v>
      </c>
      <c r="BQ10" s="374">
        <v>934.55127172570008</v>
      </c>
      <c r="BR10" s="374">
        <v>954.87956761839996</v>
      </c>
      <c r="BS10" s="374">
        <v>994.19406403279993</v>
      </c>
      <c r="BT10" s="374">
        <v>996.61983492583488</v>
      </c>
      <c r="BU10" s="374">
        <v>934.16697285658597</v>
      </c>
      <c r="BV10" s="374">
        <v>1038.2528140550039</v>
      </c>
      <c r="BW10" s="374">
        <v>1019.210718515685</v>
      </c>
      <c r="BX10" s="374">
        <v>982.39189505050001</v>
      </c>
      <c r="BY10" s="374">
        <v>1000.3535430119</v>
      </c>
      <c r="BZ10" s="374">
        <v>926.1</v>
      </c>
      <c r="CA10" s="374">
        <v>911.28902409290004</v>
      </c>
      <c r="CB10" s="374">
        <v>1415.3755182940001</v>
      </c>
      <c r="CC10" s="374">
        <v>1411.178157913281</v>
      </c>
      <c r="CD10" s="374">
        <v>1415.0680699612901</v>
      </c>
      <c r="CE10" s="374">
        <v>1512.4050718441963</v>
      </c>
      <c r="CF10" s="374">
        <v>1612.6384349413279</v>
      </c>
      <c r="CG10" s="374">
        <v>1560.1921296366065</v>
      </c>
      <c r="CH10" s="374">
        <v>1921.6772129017158</v>
      </c>
      <c r="CI10" s="374">
        <v>1889.8323416632547</v>
      </c>
      <c r="CJ10" s="374">
        <v>1929.002978808642</v>
      </c>
      <c r="CK10" s="374">
        <v>1860.8523967775998</v>
      </c>
      <c r="CL10" s="374">
        <v>1729.0895120966359</v>
      </c>
      <c r="CM10" s="374">
        <v>1871.0706141359376</v>
      </c>
      <c r="CN10" s="374">
        <v>1897.3329362216323</v>
      </c>
      <c r="CO10" s="374">
        <v>1783.0843833568979</v>
      </c>
    </row>
    <row r="11" spans="1:93">
      <c r="A11" s="371" t="s">
        <v>404</v>
      </c>
      <c r="B11" s="372">
        <v>57.798629949999999</v>
      </c>
      <c r="C11" s="260">
        <v>51.700971169999995</v>
      </c>
      <c r="D11" s="260">
        <v>49.256198470000008</v>
      </c>
      <c r="E11" s="207">
        <v>49.36767734</v>
      </c>
      <c r="F11" s="260">
        <v>50.872078359999996</v>
      </c>
      <c r="G11" s="260">
        <v>54.562780589999996</v>
      </c>
      <c r="H11" s="260">
        <v>58.534968980000002</v>
      </c>
      <c r="I11" s="260">
        <v>59.416303890000002</v>
      </c>
      <c r="J11" s="260">
        <v>63.125296670000004</v>
      </c>
      <c r="K11" s="207">
        <v>62.886076810000006</v>
      </c>
      <c r="L11" s="260">
        <v>50.058069839999987</v>
      </c>
      <c r="M11" s="260">
        <v>51.92119254</v>
      </c>
      <c r="N11" s="260">
        <v>48.029054439999996</v>
      </c>
      <c r="O11" s="207">
        <v>49.198509870000002</v>
      </c>
      <c r="P11" s="260">
        <v>48.009204990000001</v>
      </c>
      <c r="Q11" s="260">
        <v>43.050701940000003</v>
      </c>
      <c r="R11" s="207">
        <v>48.613263120000006</v>
      </c>
      <c r="S11" s="260">
        <v>47.472828039999996</v>
      </c>
      <c r="T11" s="260">
        <v>53.312322280000004</v>
      </c>
      <c r="U11" s="373">
        <v>51.812994189999998</v>
      </c>
      <c r="V11" s="373">
        <v>51.391255610000002</v>
      </c>
      <c r="W11" s="373">
        <v>44.031219050000004</v>
      </c>
      <c r="X11" s="373">
        <v>42.034925229999999</v>
      </c>
      <c r="Y11" s="373">
        <v>43.431987530000001</v>
      </c>
      <c r="Z11" s="373">
        <v>52.73871504000001</v>
      </c>
      <c r="AA11" s="373">
        <v>55.471890520000002</v>
      </c>
      <c r="AB11" s="373">
        <v>55.895976870000005</v>
      </c>
      <c r="AC11" s="373">
        <v>53.713909140000005</v>
      </c>
      <c r="AD11" s="373">
        <v>59.263937799999994</v>
      </c>
      <c r="AE11" s="373">
        <v>58.65993094000001</v>
      </c>
      <c r="AF11" s="373">
        <v>62.744424140000007</v>
      </c>
      <c r="AG11" s="373">
        <v>73.224120570000011</v>
      </c>
      <c r="AH11" s="373">
        <v>82.383440840000006</v>
      </c>
      <c r="AI11" s="373">
        <v>92.614042930000011</v>
      </c>
      <c r="AJ11" s="373">
        <v>96.124649969999993</v>
      </c>
      <c r="AK11" s="373">
        <v>99.667327090000001</v>
      </c>
      <c r="AL11" s="373">
        <v>114.18458379999998</v>
      </c>
      <c r="AM11" s="262">
        <v>110.61494218000001</v>
      </c>
      <c r="AN11" s="262">
        <v>108.29413239</v>
      </c>
      <c r="AO11" s="262">
        <v>117.71123702</v>
      </c>
      <c r="AP11" s="262">
        <v>122.22364185520001</v>
      </c>
      <c r="AQ11" s="262">
        <v>125.19706089</v>
      </c>
      <c r="AR11" s="372">
        <v>141.73660931560002</v>
      </c>
      <c r="AS11" s="372">
        <v>137.56350472</v>
      </c>
      <c r="AT11" s="372">
        <v>140.07364025999999</v>
      </c>
      <c r="AU11" s="372">
        <v>132.19475150380001</v>
      </c>
      <c r="AV11" s="372">
        <v>135.71728740900002</v>
      </c>
      <c r="AW11" s="201">
        <v>133.7734744384</v>
      </c>
      <c r="AX11" s="201">
        <v>135.0620454168</v>
      </c>
      <c r="AY11" s="201">
        <v>132.00445559080001</v>
      </c>
      <c r="AZ11" s="201">
        <v>130.7704204115</v>
      </c>
      <c r="BA11" s="201">
        <v>127.47570119480001</v>
      </c>
      <c r="BB11" s="201">
        <v>127.08448812859999</v>
      </c>
      <c r="BC11" s="201">
        <v>133.39653014960001</v>
      </c>
      <c r="BD11" s="201">
        <v>124.53656030579999</v>
      </c>
      <c r="BE11" s="374">
        <v>127.72038237570001</v>
      </c>
      <c r="BF11" s="374">
        <v>114.779105735</v>
      </c>
      <c r="BG11" s="374">
        <v>118.75586125600002</v>
      </c>
      <c r="BH11" s="374">
        <v>117.03129830920003</v>
      </c>
      <c r="BI11" s="374">
        <v>121.24610390220001</v>
      </c>
      <c r="BJ11" s="374">
        <v>138.6959368613</v>
      </c>
      <c r="BK11" s="374">
        <v>139.9814070255</v>
      </c>
      <c r="BL11" s="374">
        <v>142.58327622070001</v>
      </c>
      <c r="BM11" s="374">
        <v>142.02858426219998</v>
      </c>
      <c r="BN11" s="374">
        <v>211.901367908</v>
      </c>
      <c r="BO11" s="374">
        <v>216.39152313199997</v>
      </c>
      <c r="BP11" s="374">
        <v>222.77367906120003</v>
      </c>
      <c r="BQ11" s="374">
        <v>210.76319128770001</v>
      </c>
      <c r="BR11" s="374">
        <v>222.58779522530003</v>
      </c>
      <c r="BS11" s="374">
        <v>216.09899116839995</v>
      </c>
      <c r="BT11" s="374">
        <v>220.52534513946497</v>
      </c>
      <c r="BU11" s="374">
        <v>215.80126499413001</v>
      </c>
      <c r="BV11" s="374">
        <v>215.738260927336</v>
      </c>
      <c r="BW11" s="374">
        <v>224.41069014882004</v>
      </c>
      <c r="BX11" s="374">
        <v>231.87547430749999</v>
      </c>
      <c r="BY11" s="374">
        <v>212.5</v>
      </c>
      <c r="BZ11" s="374">
        <v>209.4</v>
      </c>
      <c r="CA11" s="374">
        <v>192.1683350234</v>
      </c>
      <c r="CB11" s="374">
        <v>192.10295291720001</v>
      </c>
      <c r="CC11" s="374">
        <v>188.83597411753999</v>
      </c>
      <c r="CD11" s="374">
        <v>194.081023142324</v>
      </c>
      <c r="CE11" s="374">
        <v>196.57433001807919</v>
      </c>
      <c r="CF11" s="374">
        <v>183.32370457449662</v>
      </c>
      <c r="CG11" s="374">
        <v>187.46372827056564</v>
      </c>
      <c r="CH11" s="374">
        <v>197.593067813549</v>
      </c>
      <c r="CI11" s="374">
        <v>191.01849727684083</v>
      </c>
      <c r="CJ11" s="374">
        <v>176.34674955509598</v>
      </c>
      <c r="CK11" s="374">
        <v>176.14991748109898</v>
      </c>
      <c r="CL11" s="374">
        <v>140.219479282344</v>
      </c>
      <c r="CM11" s="374">
        <v>140.80877388959249</v>
      </c>
      <c r="CN11" s="374">
        <v>136.64911419256532</v>
      </c>
      <c r="CO11" s="374">
        <v>169.48792703671199</v>
      </c>
    </row>
    <row r="12" spans="1:93">
      <c r="A12" s="371" t="s">
        <v>405</v>
      </c>
      <c r="B12" s="372">
        <v>736.55948827000009</v>
      </c>
      <c r="C12" s="260">
        <v>733.52918764999993</v>
      </c>
      <c r="D12" s="260">
        <v>732.15930138999988</v>
      </c>
      <c r="E12" s="207">
        <v>718.26600730999996</v>
      </c>
      <c r="F12" s="260">
        <v>741.51070261999996</v>
      </c>
      <c r="G12" s="260">
        <v>699.68836633000012</v>
      </c>
      <c r="H12" s="260">
        <v>723.17987817999983</v>
      </c>
      <c r="I12" s="260">
        <v>715.33115117</v>
      </c>
      <c r="J12" s="260">
        <v>649.21072432000005</v>
      </c>
      <c r="K12" s="207">
        <v>662.48318692000009</v>
      </c>
      <c r="L12" s="260">
        <v>659.55422504000001</v>
      </c>
      <c r="M12" s="260">
        <v>652.43408654999996</v>
      </c>
      <c r="N12" s="260">
        <v>684.40910025000005</v>
      </c>
      <c r="O12" s="207">
        <v>681.76122988999998</v>
      </c>
      <c r="P12" s="260">
        <v>655.08935042999997</v>
      </c>
      <c r="Q12" s="260">
        <v>672.50805530000002</v>
      </c>
      <c r="R12" s="207">
        <v>629.89446720000001</v>
      </c>
      <c r="S12" s="260">
        <v>642.35362208000004</v>
      </c>
      <c r="T12" s="260">
        <v>645.46264953999992</v>
      </c>
      <c r="U12" s="373">
        <v>644.42085243999998</v>
      </c>
      <c r="V12" s="373">
        <v>659.30571644000008</v>
      </c>
      <c r="W12" s="373">
        <v>652.08803773</v>
      </c>
      <c r="X12" s="373">
        <v>666.60781406000001</v>
      </c>
      <c r="Y12" s="373">
        <v>612.23725543000012</v>
      </c>
      <c r="Z12" s="373">
        <v>606.74979399000006</v>
      </c>
      <c r="AA12" s="373">
        <v>658.20387760000017</v>
      </c>
      <c r="AB12" s="373">
        <v>634.25186406000012</v>
      </c>
      <c r="AC12" s="373">
        <v>621.77348896000001</v>
      </c>
      <c r="AD12" s="373">
        <v>597.18443334000017</v>
      </c>
      <c r="AE12" s="373">
        <v>604.06508178000001</v>
      </c>
      <c r="AF12" s="373">
        <v>592.73015972999997</v>
      </c>
      <c r="AG12" s="373">
        <v>586.53402099000004</v>
      </c>
      <c r="AH12" s="373">
        <v>559.58719701999996</v>
      </c>
      <c r="AI12" s="373">
        <v>476.72935605999993</v>
      </c>
      <c r="AJ12" s="373">
        <v>502.93494873999998</v>
      </c>
      <c r="AK12" s="373">
        <v>537.31934782999997</v>
      </c>
      <c r="AL12" s="373">
        <v>553.25571288000003</v>
      </c>
      <c r="AM12" s="262">
        <v>540.59114454999997</v>
      </c>
      <c r="AN12" s="262">
        <v>534.92488765999997</v>
      </c>
      <c r="AO12" s="262">
        <v>563.67607465000003</v>
      </c>
      <c r="AP12" s="262">
        <v>572.62253351940001</v>
      </c>
      <c r="AQ12" s="262">
        <v>620.83133577800004</v>
      </c>
      <c r="AR12" s="372">
        <v>635.01948180479997</v>
      </c>
      <c r="AS12" s="372">
        <v>629.05823623000003</v>
      </c>
      <c r="AT12" s="372">
        <v>636.79703982039985</v>
      </c>
      <c r="AU12" s="372">
        <v>647.02661767480004</v>
      </c>
      <c r="AV12" s="372">
        <v>684.62955795499988</v>
      </c>
      <c r="AW12" s="201">
        <v>719.73253946999989</v>
      </c>
      <c r="AX12" s="201">
        <v>742.39140043880013</v>
      </c>
      <c r="AY12" s="201">
        <v>731.42000312129994</v>
      </c>
      <c r="AZ12" s="201">
        <v>744.22710117619999</v>
      </c>
      <c r="BA12" s="201">
        <v>739.24643505360007</v>
      </c>
      <c r="BB12" s="201">
        <v>770.79922536080005</v>
      </c>
      <c r="BC12" s="201">
        <v>705.54872499199985</v>
      </c>
      <c r="BD12" s="201">
        <v>740.56789657180002</v>
      </c>
      <c r="BE12" s="374">
        <v>708.05870449049996</v>
      </c>
      <c r="BF12" s="374">
        <v>747.56181083499996</v>
      </c>
      <c r="BG12" s="374">
        <v>707.116794196</v>
      </c>
      <c r="BH12" s="374">
        <v>749.76267161210001</v>
      </c>
      <c r="BI12" s="374">
        <v>725.81760791569991</v>
      </c>
      <c r="BJ12" s="374">
        <v>709.43820582499995</v>
      </c>
      <c r="BK12" s="374">
        <v>712.46557459990015</v>
      </c>
      <c r="BL12" s="374">
        <v>725.25088453220008</v>
      </c>
      <c r="BM12" s="374">
        <v>727.1123359828</v>
      </c>
      <c r="BN12" s="374">
        <v>725.70540007039995</v>
      </c>
      <c r="BO12" s="374">
        <v>717.79814981079994</v>
      </c>
      <c r="BP12" s="374">
        <v>687.52573383869992</v>
      </c>
      <c r="BQ12" s="374">
        <v>702.98647806710005</v>
      </c>
      <c r="BR12" s="374">
        <v>715.6634967798999</v>
      </c>
      <c r="BS12" s="374">
        <v>670.98375989599992</v>
      </c>
      <c r="BT12" s="374">
        <v>682.25407335522493</v>
      </c>
      <c r="BU12" s="374">
        <v>648.51952493912597</v>
      </c>
      <c r="BV12" s="374">
        <v>680.94136569235604</v>
      </c>
      <c r="BW12" s="374">
        <v>668.99178862628514</v>
      </c>
      <c r="BX12" s="374">
        <v>672.07739708100007</v>
      </c>
      <c r="BY12" s="374">
        <v>668.64570158989989</v>
      </c>
      <c r="BZ12" s="374">
        <v>649.6</v>
      </c>
      <c r="CA12" s="374">
        <v>660.89445722499988</v>
      </c>
      <c r="CB12" s="374">
        <v>680.24610450759997</v>
      </c>
      <c r="CC12" s="374">
        <v>678.06300706501997</v>
      </c>
      <c r="CD12" s="374">
        <v>664.99371280055595</v>
      </c>
      <c r="CE12" s="374">
        <v>682.06778971792824</v>
      </c>
      <c r="CF12" s="374">
        <v>768.32163354912802</v>
      </c>
      <c r="CG12" s="374">
        <v>806.29086588268001</v>
      </c>
      <c r="CH12" s="374">
        <v>820.32353652082361</v>
      </c>
      <c r="CI12" s="374">
        <v>819.4342101903311</v>
      </c>
      <c r="CJ12" s="374">
        <v>842.94216275869996</v>
      </c>
      <c r="CK12" s="374">
        <v>879.73007721813997</v>
      </c>
      <c r="CL12" s="374">
        <v>982.22519685475902</v>
      </c>
      <c r="CM12" s="374">
        <v>1034.298166190423</v>
      </c>
      <c r="CN12" s="374">
        <v>1036.6675062895583</v>
      </c>
      <c r="CO12" s="374">
        <v>1005.5915681087619</v>
      </c>
    </row>
    <row r="13" spans="1:93">
      <c r="A13" s="371" t="s">
        <v>406</v>
      </c>
      <c r="B13" s="372">
        <v>124.99176263000001</v>
      </c>
      <c r="C13" s="260">
        <v>100.59934063</v>
      </c>
      <c r="D13" s="260">
        <v>96.104119199999985</v>
      </c>
      <c r="E13" s="207">
        <v>96.434326549999994</v>
      </c>
      <c r="F13" s="260">
        <v>102.57009767999999</v>
      </c>
      <c r="G13" s="260">
        <v>111.20738567000002</v>
      </c>
      <c r="H13" s="260">
        <v>108.26677868</v>
      </c>
      <c r="I13" s="260">
        <v>95.878963939999991</v>
      </c>
      <c r="J13" s="260">
        <v>96.056776199999987</v>
      </c>
      <c r="K13" s="207">
        <v>82.736083859999979</v>
      </c>
      <c r="L13" s="260">
        <v>94.30735731</v>
      </c>
      <c r="M13" s="260">
        <v>85.249180559999999</v>
      </c>
      <c r="N13" s="260">
        <v>84.315589570000014</v>
      </c>
      <c r="O13" s="207">
        <v>81.524654609999999</v>
      </c>
      <c r="P13" s="260">
        <v>81.552380179999986</v>
      </c>
      <c r="Q13" s="260">
        <v>70.030845889999995</v>
      </c>
      <c r="R13" s="207">
        <v>82.14990997999999</v>
      </c>
      <c r="S13" s="260">
        <v>95.893809729999987</v>
      </c>
      <c r="T13" s="260">
        <v>99.634526409999992</v>
      </c>
      <c r="U13" s="373">
        <v>82.180210620000011</v>
      </c>
      <c r="V13" s="373">
        <v>85.123405480000002</v>
      </c>
      <c r="W13" s="373">
        <v>82.378181710000007</v>
      </c>
      <c r="X13" s="373">
        <v>83.383140409999996</v>
      </c>
      <c r="Y13" s="373">
        <v>83.189585030000003</v>
      </c>
      <c r="Z13" s="373">
        <v>203.43200723999999</v>
      </c>
      <c r="AA13" s="373">
        <v>210.60283288999997</v>
      </c>
      <c r="AB13" s="373">
        <v>327.30192291999998</v>
      </c>
      <c r="AC13" s="373">
        <v>340.70001848999999</v>
      </c>
      <c r="AD13" s="373">
        <v>364.2029410099999</v>
      </c>
      <c r="AE13" s="373">
        <v>414.12622721000002</v>
      </c>
      <c r="AF13" s="373">
        <v>366.37088190999998</v>
      </c>
      <c r="AG13" s="373">
        <v>366.22597855000004</v>
      </c>
      <c r="AH13" s="373">
        <v>376.10401789999997</v>
      </c>
      <c r="AI13" s="373">
        <v>261.87489035999999</v>
      </c>
      <c r="AJ13" s="373">
        <v>258.90894800000001</v>
      </c>
      <c r="AK13" s="373">
        <v>267.37542157000001</v>
      </c>
      <c r="AL13" s="373">
        <v>253.91107115</v>
      </c>
      <c r="AM13" s="262">
        <v>306.93055080999994</v>
      </c>
      <c r="AN13" s="262">
        <v>310.25036755000002</v>
      </c>
      <c r="AO13" s="262">
        <v>304.63853637</v>
      </c>
      <c r="AP13" s="262">
        <v>381.22095930250003</v>
      </c>
      <c r="AQ13" s="262">
        <v>375.82525960859999</v>
      </c>
      <c r="AR13" s="372">
        <v>397.97667611240007</v>
      </c>
      <c r="AS13" s="372">
        <v>345.01958476999999</v>
      </c>
      <c r="AT13" s="372">
        <v>383.71042763759999</v>
      </c>
      <c r="AU13" s="372">
        <v>392.25145249920001</v>
      </c>
      <c r="AV13" s="372">
        <v>394.06686827499999</v>
      </c>
      <c r="AW13" s="201">
        <v>396.89350050080003</v>
      </c>
      <c r="AX13" s="201">
        <v>381.26019078359997</v>
      </c>
      <c r="AY13" s="201">
        <v>432.2654234963</v>
      </c>
      <c r="AZ13" s="201">
        <v>462.09608323589998</v>
      </c>
      <c r="BA13" s="201">
        <v>432.05621180100002</v>
      </c>
      <c r="BB13" s="201">
        <v>432.62795254669999</v>
      </c>
      <c r="BC13" s="201">
        <v>424.6698621004</v>
      </c>
      <c r="BD13" s="201">
        <v>422.19112018859994</v>
      </c>
      <c r="BE13" s="374">
        <v>418.29761927589999</v>
      </c>
      <c r="BF13" s="374">
        <v>427.33094676999997</v>
      </c>
      <c r="BG13" s="374">
        <v>424.25368464000013</v>
      </c>
      <c r="BH13" s="374">
        <v>431.18664024780003</v>
      </c>
      <c r="BI13" s="374">
        <v>421.68830201479994</v>
      </c>
      <c r="BJ13" s="374">
        <v>404.74183823589999</v>
      </c>
      <c r="BK13" s="374">
        <v>382.35444202460002</v>
      </c>
      <c r="BL13" s="374">
        <v>367.32697576689992</v>
      </c>
      <c r="BM13" s="374">
        <v>369.04821826259996</v>
      </c>
      <c r="BN13" s="374">
        <v>367.74702733149934</v>
      </c>
      <c r="BO13" s="374">
        <v>353.2147062528</v>
      </c>
      <c r="BP13" s="374">
        <v>361.21162379259999</v>
      </c>
      <c r="BQ13" s="374">
        <v>360.46925125820002</v>
      </c>
      <c r="BR13" s="374">
        <v>364.30881772500004</v>
      </c>
      <c r="BS13" s="374">
        <v>364.58810433759999</v>
      </c>
      <c r="BT13" s="374">
        <v>349.76246279848658</v>
      </c>
      <c r="BU13" s="374">
        <v>371.95163168112396</v>
      </c>
      <c r="BV13" s="374">
        <v>355.24788302362998</v>
      </c>
      <c r="BW13" s="374">
        <v>358.34234129950005</v>
      </c>
      <c r="BX13" s="374">
        <v>349.4097120655</v>
      </c>
      <c r="BY13" s="374">
        <v>342.20560558789998</v>
      </c>
      <c r="BZ13" s="374">
        <v>331.7</v>
      </c>
      <c r="CA13" s="374">
        <v>339.21530205670007</v>
      </c>
      <c r="CB13" s="374">
        <v>313.04275183919992</v>
      </c>
      <c r="CC13" s="374">
        <v>421.38628428000004</v>
      </c>
      <c r="CD13" s="374">
        <v>431.76649684064597</v>
      </c>
      <c r="CE13" s="374">
        <v>412.15124626731057</v>
      </c>
      <c r="CF13" s="374">
        <v>443.99343500499992</v>
      </c>
      <c r="CG13" s="374">
        <v>435.97044923314991</v>
      </c>
      <c r="CH13" s="374">
        <v>390.56419416065233</v>
      </c>
      <c r="CI13" s="374">
        <v>376.15364261080305</v>
      </c>
      <c r="CJ13" s="374">
        <v>371.62584581360994</v>
      </c>
      <c r="CK13" s="374">
        <v>365.94107834347204</v>
      </c>
      <c r="CL13" s="374">
        <v>395.12587268021218</v>
      </c>
      <c r="CM13" s="374">
        <v>397.74819277674101</v>
      </c>
      <c r="CN13" s="374">
        <v>366.99379088711333</v>
      </c>
      <c r="CO13" s="374">
        <v>422.02499986979905</v>
      </c>
    </row>
    <row r="14" spans="1:93">
      <c r="A14" s="371" t="s">
        <v>407</v>
      </c>
      <c r="B14" s="372">
        <v>393.46709796345954</v>
      </c>
      <c r="C14" s="260">
        <v>729.69083186856005</v>
      </c>
      <c r="D14" s="260">
        <v>511.53785234457001</v>
      </c>
      <c r="E14" s="207">
        <v>802.42416643500007</v>
      </c>
      <c r="F14" s="260">
        <v>965.73385734999999</v>
      </c>
      <c r="G14" s="260">
        <v>977.93131550452119</v>
      </c>
      <c r="H14" s="260">
        <v>887.56379279967996</v>
      </c>
      <c r="I14" s="260">
        <v>326.09958579455997</v>
      </c>
      <c r="J14" s="260">
        <v>461.00464797000001</v>
      </c>
      <c r="K14" s="207">
        <v>312.725037747275</v>
      </c>
      <c r="L14" s="260">
        <v>179.191174655</v>
      </c>
      <c r="M14" s="260">
        <v>402.0264935175</v>
      </c>
      <c r="N14" s="260">
        <v>558.69295613999998</v>
      </c>
      <c r="O14" s="207">
        <v>727.12938545000009</v>
      </c>
      <c r="P14" s="260">
        <v>784.7789453900001</v>
      </c>
      <c r="Q14" s="260">
        <v>805.04111314499994</v>
      </c>
      <c r="R14" s="207">
        <v>460.8896512099999</v>
      </c>
      <c r="S14" s="260">
        <v>796.52701348250002</v>
      </c>
      <c r="T14" s="260">
        <v>711.70315434999998</v>
      </c>
      <c r="U14" s="373">
        <v>419.0768104</v>
      </c>
      <c r="V14" s="373">
        <v>321.52887156999998</v>
      </c>
      <c r="W14" s="373">
        <v>208.92354759</v>
      </c>
      <c r="X14" s="373">
        <v>212.71905268999998</v>
      </c>
      <c r="Y14" s="373">
        <v>481.91439163000001</v>
      </c>
      <c r="Z14" s="373">
        <v>511.94235250999998</v>
      </c>
      <c r="AA14" s="373">
        <v>643.64260533999993</v>
      </c>
      <c r="AB14" s="373">
        <v>874.64490513999988</v>
      </c>
      <c r="AC14" s="373">
        <v>792.16982875999997</v>
      </c>
      <c r="AD14" s="373">
        <v>1221.0660514700003</v>
      </c>
      <c r="AE14" s="373">
        <v>1026.5149925400001</v>
      </c>
      <c r="AF14" s="373">
        <v>1745.7538207200002</v>
      </c>
      <c r="AG14" s="373">
        <v>1134.6272109400002</v>
      </c>
      <c r="AH14" s="373">
        <v>1011.93633002</v>
      </c>
      <c r="AI14" s="373">
        <v>1195.26132123</v>
      </c>
      <c r="AJ14" s="373">
        <v>1047.95106012</v>
      </c>
      <c r="AK14" s="373">
        <v>1101.6219828899998</v>
      </c>
      <c r="AL14" s="373">
        <v>1126.35383346</v>
      </c>
      <c r="AM14" s="262">
        <v>1515.79266517</v>
      </c>
      <c r="AN14" s="262">
        <v>1196.9240849099999</v>
      </c>
      <c r="AO14" s="262">
        <v>1758.7963019334002</v>
      </c>
      <c r="AP14" s="262">
        <v>2202.7347343635997</v>
      </c>
      <c r="AQ14" s="262">
        <v>1942.12620746831</v>
      </c>
      <c r="AR14" s="372">
        <v>2154.3927017862202</v>
      </c>
      <c r="AS14" s="372">
        <v>1920.0139504899998</v>
      </c>
      <c r="AT14" s="372">
        <v>1071.2390649091999</v>
      </c>
      <c r="AU14" s="372">
        <v>1073.2858248262</v>
      </c>
      <c r="AV14" s="372">
        <v>1010.4611043560001</v>
      </c>
      <c r="AW14" s="201">
        <v>1246.42286375</v>
      </c>
      <c r="AX14" s="201">
        <v>1284.198182528</v>
      </c>
      <c r="AY14" s="201">
        <v>1446.0681858925</v>
      </c>
      <c r="AZ14" s="201">
        <v>2042.6808912903</v>
      </c>
      <c r="BA14" s="201">
        <v>2169.5723581840002</v>
      </c>
      <c r="BB14" s="201">
        <v>2304.7318106588</v>
      </c>
      <c r="BC14" s="201">
        <v>2412.351016893841</v>
      </c>
      <c r="BD14" s="201">
        <v>2117.1079172946002</v>
      </c>
      <c r="BE14" s="374">
        <v>1992.8669095979999</v>
      </c>
      <c r="BF14" s="374">
        <v>2426.5414829052747</v>
      </c>
      <c r="BG14" s="374">
        <v>2780.2626578847203</v>
      </c>
      <c r="BH14" s="374">
        <v>3016.3545829903978</v>
      </c>
      <c r="BI14" s="374">
        <v>3292.5733067860956</v>
      </c>
      <c r="BJ14" s="374">
        <v>3749.202673102976</v>
      </c>
      <c r="BK14" s="374">
        <v>2720.0835475315939</v>
      </c>
      <c r="BL14" s="374">
        <v>3906.8959660785349</v>
      </c>
      <c r="BM14" s="374">
        <v>4280.3391373632367</v>
      </c>
      <c r="BN14" s="374">
        <v>4667.9166810962361</v>
      </c>
      <c r="BO14" s="374">
        <v>4812.5168540514314</v>
      </c>
      <c r="BP14" s="374">
        <v>4331.4197959537687</v>
      </c>
      <c r="BQ14" s="374">
        <v>3639.7274481826666</v>
      </c>
      <c r="BR14" s="374">
        <v>3746.6170959693918</v>
      </c>
      <c r="BS14" s="374">
        <v>3746.651713023216</v>
      </c>
      <c r="BT14" s="374">
        <v>3311.6622396297294</v>
      </c>
      <c r="BU14" s="374">
        <v>3644.4987600374097</v>
      </c>
      <c r="BV14" s="374">
        <v>2701.1350646487799</v>
      </c>
      <c r="BW14" s="374">
        <v>3946.4995308668658</v>
      </c>
      <c r="BX14" s="374">
        <v>4112.0847193005002</v>
      </c>
      <c r="BY14" s="374">
        <v>4520.2751633702992</v>
      </c>
      <c r="BZ14" s="374">
        <v>4753.8999999999996</v>
      </c>
      <c r="CA14" s="374">
        <v>4759.2627099663005</v>
      </c>
      <c r="CB14" s="374">
        <v>4919.3968339439998</v>
      </c>
      <c r="CC14" s="374">
        <v>4937.1250336058083</v>
      </c>
      <c r="CD14" s="374">
        <v>4753.0455947743221</v>
      </c>
      <c r="CE14" s="374">
        <v>4192.2579566060494</v>
      </c>
      <c r="CF14" s="374">
        <v>3817.6047770257474</v>
      </c>
      <c r="CG14" s="374">
        <v>3821.9964339508133</v>
      </c>
      <c r="CH14" s="374">
        <v>3372.6648731864179</v>
      </c>
      <c r="CI14" s="374">
        <v>3459.9686789691864</v>
      </c>
      <c r="CJ14" s="374">
        <v>3663.1361708502159</v>
      </c>
      <c r="CK14" s="374">
        <v>4485.1335002779979</v>
      </c>
      <c r="CL14" s="374">
        <v>4569.3763590812014</v>
      </c>
      <c r="CM14" s="374">
        <v>4864.4504707603373</v>
      </c>
      <c r="CN14" s="374">
        <v>5646.6408284544377</v>
      </c>
      <c r="CO14" s="374">
        <v>5377.4332502268617</v>
      </c>
    </row>
    <row r="15" spans="1:93" ht="7.7" customHeight="1">
      <c r="A15" s="365"/>
      <c r="B15" s="366"/>
      <c r="C15" s="198"/>
      <c r="D15" s="198"/>
      <c r="E15" s="210"/>
      <c r="F15" s="198"/>
      <c r="G15" s="198"/>
      <c r="H15" s="260"/>
      <c r="I15" s="260"/>
      <c r="J15" s="260"/>
      <c r="K15" s="207"/>
      <c r="L15" s="260"/>
      <c r="M15" s="260"/>
      <c r="N15" s="260"/>
      <c r="O15" s="207"/>
      <c r="P15" s="260"/>
      <c r="Q15" s="260"/>
      <c r="R15" s="207"/>
      <c r="S15" s="260"/>
      <c r="T15" s="260"/>
      <c r="U15" s="373"/>
      <c r="V15" s="373"/>
      <c r="W15" s="373"/>
      <c r="X15" s="373"/>
      <c r="Y15" s="373"/>
      <c r="Z15" s="373"/>
      <c r="AA15" s="373"/>
      <c r="AB15" s="373"/>
      <c r="AC15" s="373"/>
      <c r="AD15" s="373"/>
      <c r="AE15" s="373"/>
      <c r="AF15" s="373"/>
      <c r="AG15" s="373"/>
      <c r="AH15" s="373"/>
      <c r="AI15" s="373"/>
      <c r="AJ15" s="373"/>
      <c r="AK15" s="373"/>
      <c r="AL15" s="373"/>
      <c r="AM15" s="261"/>
      <c r="AN15" s="261"/>
      <c r="AO15" s="261"/>
      <c r="AP15" s="261"/>
      <c r="AQ15" s="261"/>
      <c r="AR15" s="366"/>
      <c r="AS15" s="366"/>
      <c r="AT15" s="366"/>
      <c r="AU15" s="366"/>
      <c r="AV15" s="366"/>
      <c r="AW15" s="369"/>
      <c r="AX15" s="369"/>
      <c r="AY15" s="369"/>
      <c r="AZ15" s="369"/>
      <c r="BA15" s="369"/>
      <c r="BB15" s="369"/>
      <c r="BC15" s="369"/>
      <c r="BD15" s="369"/>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row>
    <row r="16" spans="1:93">
      <c r="A16" s="365" t="s">
        <v>408</v>
      </c>
      <c r="B16" s="366">
        <v>14397.702758701704</v>
      </c>
      <c r="C16" s="198">
        <v>14563.462937684602</v>
      </c>
      <c r="D16" s="198">
        <v>14472.510563321543</v>
      </c>
      <c r="E16" s="210">
        <v>14474.722307242801</v>
      </c>
      <c r="F16" s="198">
        <v>14676.282794245801</v>
      </c>
      <c r="G16" s="198">
        <v>14528.859925789762</v>
      </c>
      <c r="H16" s="198">
        <v>14752.448025040005</v>
      </c>
      <c r="I16" s="198">
        <v>14765.763216959047</v>
      </c>
      <c r="J16" s="198">
        <v>14912.580981303501</v>
      </c>
      <c r="K16" s="210">
        <v>14682.895543182678</v>
      </c>
      <c r="L16" s="198">
        <v>14882.106521112893</v>
      </c>
      <c r="M16" s="198">
        <v>15050.517765799295</v>
      </c>
      <c r="N16" s="198">
        <v>14975.836911448299</v>
      </c>
      <c r="O16" s="210">
        <v>15133.933188828225</v>
      </c>
      <c r="P16" s="198">
        <v>15122.114728785033</v>
      </c>
      <c r="Q16" s="198">
        <v>15077.721255990416</v>
      </c>
      <c r="R16" s="210">
        <v>15025.212989781701</v>
      </c>
      <c r="S16" s="198">
        <v>15041.424354925799</v>
      </c>
      <c r="T16" s="198">
        <v>15217.004064520437</v>
      </c>
      <c r="U16" s="200">
        <v>15241.599663304485</v>
      </c>
      <c r="V16" s="200">
        <v>15498.465158734349</v>
      </c>
      <c r="W16" s="200">
        <v>15270.149565517795</v>
      </c>
      <c r="X16" s="200">
        <v>15615.984538204531</v>
      </c>
      <c r="Y16" s="200">
        <v>15224.697446500923</v>
      </c>
      <c r="Z16" s="200">
        <v>14944.946969909397</v>
      </c>
      <c r="AA16" s="200">
        <v>14548.691784253941</v>
      </c>
      <c r="AB16" s="200">
        <v>14921.44589574569</v>
      </c>
      <c r="AC16" s="200">
        <v>14607.599237262431</v>
      </c>
      <c r="AD16" s="200">
        <v>15290.082207660482</v>
      </c>
      <c r="AE16" s="200">
        <v>15167.591749738871</v>
      </c>
      <c r="AF16" s="200">
        <v>16091.480954991712</v>
      </c>
      <c r="AG16" s="200">
        <v>16556.187443218758</v>
      </c>
      <c r="AH16" s="200">
        <v>16794.42328766064</v>
      </c>
      <c r="AI16" s="200">
        <v>17055.484155719409</v>
      </c>
      <c r="AJ16" s="200">
        <v>17284.657231407644</v>
      </c>
      <c r="AK16" s="200">
        <v>17240.73411076728</v>
      </c>
      <c r="AL16" s="200">
        <v>17304.474743809158</v>
      </c>
      <c r="AM16" s="261">
        <v>17566.017126143288</v>
      </c>
      <c r="AN16" s="261">
        <v>17744.17903489892</v>
      </c>
      <c r="AO16" s="261">
        <v>17813.335701909473</v>
      </c>
      <c r="AP16" s="261">
        <v>18173.430967658791</v>
      </c>
      <c r="AQ16" s="261">
        <v>17710.176963903075</v>
      </c>
      <c r="AR16" s="366">
        <v>18312.458554939876</v>
      </c>
      <c r="AS16" s="366">
        <v>18362.431617292001</v>
      </c>
      <c r="AT16" s="366">
        <v>18040.682518560487</v>
      </c>
      <c r="AU16" s="366">
        <v>18332.824024042882</v>
      </c>
      <c r="AV16" s="366">
        <v>18418.686036869203</v>
      </c>
      <c r="AW16" s="369">
        <v>18304.094176246159</v>
      </c>
      <c r="AX16" s="369">
        <v>18042.488859817357</v>
      </c>
      <c r="AY16" s="369">
        <v>18380.367824377303</v>
      </c>
      <c r="AZ16" s="369">
        <v>17689.675412525783</v>
      </c>
      <c r="BA16" s="369">
        <v>16794.68587281249</v>
      </c>
      <c r="BB16" s="369">
        <v>16663.181123100254</v>
      </c>
      <c r="BC16" s="369">
        <v>16832.802247679443</v>
      </c>
      <c r="BD16" s="369">
        <v>17641.896696754182</v>
      </c>
      <c r="BE16" s="370">
        <v>17337.28331738713</v>
      </c>
      <c r="BF16" s="370">
        <v>17027.196857685653</v>
      </c>
      <c r="BG16" s="370">
        <v>17208.825495829649</v>
      </c>
      <c r="BH16" s="370">
        <v>17328.763866388719</v>
      </c>
      <c r="BI16" s="370">
        <v>17732.235850287918</v>
      </c>
      <c r="BJ16" s="370">
        <v>17667.271328935018</v>
      </c>
      <c r="BK16" s="370">
        <v>17368.374724600464</v>
      </c>
      <c r="BL16" s="370">
        <v>17439.685550028644</v>
      </c>
      <c r="BM16" s="370">
        <v>16571.563763933595</v>
      </c>
      <c r="BN16" s="370">
        <v>16581.344802860585</v>
      </c>
      <c r="BO16" s="370">
        <v>17318.910047721074</v>
      </c>
      <c r="BP16" s="370">
        <v>17889.427473524574</v>
      </c>
      <c r="BQ16" s="370">
        <v>17666.337489129019</v>
      </c>
      <c r="BR16" s="370">
        <v>17897.869212677637</v>
      </c>
      <c r="BS16" s="370">
        <v>17239.688573105897</v>
      </c>
      <c r="BT16" s="370">
        <v>17689.790007494168</v>
      </c>
      <c r="BU16" s="370">
        <v>17370.685373160471</v>
      </c>
      <c r="BV16" s="370">
        <v>18187.009044939608</v>
      </c>
      <c r="BW16" s="370">
        <v>17969.011446690689</v>
      </c>
      <c r="BX16" s="370">
        <v>17894.282418790499</v>
      </c>
      <c r="BY16" s="370">
        <v>17887.590081791597</v>
      </c>
      <c r="BZ16" s="370">
        <v>17730.8</v>
      </c>
      <c r="CA16" s="370">
        <v>18238.233616766498</v>
      </c>
      <c r="CB16" s="370">
        <v>18200.154738766221</v>
      </c>
      <c r="CC16" s="370">
        <v>18225.265376002375</v>
      </c>
      <c r="CD16" s="370">
        <v>17911.535468539587</v>
      </c>
      <c r="CE16" s="375">
        <v>18336.599999999999</v>
      </c>
      <c r="CF16" s="375">
        <v>18860.857220203667</v>
      </c>
      <c r="CG16" s="375">
        <v>18724.284276744344</v>
      </c>
      <c r="CH16" s="375">
        <v>18993.828575017273</v>
      </c>
      <c r="CI16" s="375">
        <v>18856.082224317812</v>
      </c>
      <c r="CJ16" s="375">
        <v>18226.248924643169</v>
      </c>
      <c r="CK16" s="375">
        <v>17922.009393716118</v>
      </c>
      <c r="CL16" s="375">
        <v>18449.240533725009</v>
      </c>
      <c r="CM16" s="375">
        <v>18406.742793950925</v>
      </c>
      <c r="CN16" s="375">
        <v>18851.370357228552</v>
      </c>
      <c r="CO16" s="375">
        <v>18820.777822266718</v>
      </c>
    </row>
    <row r="17" spans="1:93">
      <c r="A17" s="371" t="s">
        <v>398</v>
      </c>
      <c r="B17" s="366"/>
      <c r="C17" s="198"/>
      <c r="D17" s="198"/>
      <c r="E17" s="210"/>
      <c r="F17" s="198"/>
      <c r="G17" s="198"/>
      <c r="H17" s="260"/>
      <c r="I17" s="260"/>
      <c r="J17" s="260"/>
      <c r="K17" s="207"/>
      <c r="L17" s="260"/>
      <c r="M17" s="260"/>
      <c r="N17" s="260"/>
      <c r="O17" s="207"/>
      <c r="P17" s="260"/>
      <c r="Q17" s="260"/>
      <c r="R17" s="207"/>
      <c r="S17" s="260"/>
      <c r="T17" s="260"/>
      <c r="U17" s="373"/>
      <c r="V17" s="373"/>
      <c r="W17" s="373"/>
      <c r="X17" s="373"/>
      <c r="Y17" s="373"/>
      <c r="Z17" s="373"/>
      <c r="AA17" s="373"/>
      <c r="AB17" s="373"/>
      <c r="AC17" s="373"/>
      <c r="AD17" s="373"/>
      <c r="AE17" s="373"/>
      <c r="AF17" s="373"/>
      <c r="AG17" s="373"/>
      <c r="AH17" s="373"/>
      <c r="AI17" s="373"/>
      <c r="AJ17" s="373"/>
      <c r="AK17" s="373"/>
      <c r="AL17" s="373"/>
      <c r="AM17" s="261"/>
      <c r="AN17" s="261"/>
      <c r="AO17" s="261"/>
      <c r="AP17" s="261"/>
      <c r="AQ17" s="261"/>
      <c r="AR17" s="366"/>
      <c r="AS17" s="366"/>
      <c r="AT17" s="366"/>
      <c r="AU17" s="366"/>
      <c r="AV17" s="366"/>
      <c r="AW17" s="369"/>
      <c r="AX17" s="369"/>
      <c r="AY17" s="369"/>
      <c r="AZ17" s="369"/>
      <c r="BA17" s="369"/>
      <c r="BB17" s="369"/>
      <c r="BC17" s="369"/>
      <c r="BD17" s="369"/>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row>
    <row r="18" spans="1:93">
      <c r="A18" s="371" t="s">
        <v>409</v>
      </c>
      <c r="B18" s="372">
        <v>6421.5669358070018</v>
      </c>
      <c r="C18" s="260">
        <v>6324.8184922919991</v>
      </c>
      <c r="D18" s="260">
        <v>6371.0477290004001</v>
      </c>
      <c r="E18" s="207">
        <v>6554.8259338320004</v>
      </c>
      <c r="F18" s="260">
        <v>6648.9115428212008</v>
      </c>
      <c r="G18" s="260">
        <v>6566.3850310941998</v>
      </c>
      <c r="H18" s="260">
        <v>6642.6921455748006</v>
      </c>
      <c r="I18" s="260">
        <v>6604.9865242252445</v>
      </c>
      <c r="J18" s="260">
        <v>6822.0359224335007</v>
      </c>
      <c r="K18" s="207">
        <v>6689.3096847376</v>
      </c>
      <c r="L18" s="260">
        <v>6721.9565971809998</v>
      </c>
      <c r="M18" s="260">
        <v>6862.5780050755002</v>
      </c>
      <c r="N18" s="260">
        <v>6820.5352194177094</v>
      </c>
      <c r="O18" s="207">
        <v>6819.1119500296691</v>
      </c>
      <c r="P18" s="260">
        <v>6886.3012160430526</v>
      </c>
      <c r="Q18" s="260">
        <v>6843.6949376955008</v>
      </c>
      <c r="R18" s="207">
        <v>6554.6688527165006</v>
      </c>
      <c r="S18" s="260">
        <v>6517.0629405798009</v>
      </c>
      <c r="T18" s="260">
        <v>6568.8573449567493</v>
      </c>
      <c r="U18" s="373">
        <v>6516.1230905130424</v>
      </c>
      <c r="V18" s="373">
        <v>6520.1931501356066</v>
      </c>
      <c r="W18" s="373">
        <v>6629.6218291027453</v>
      </c>
      <c r="X18" s="373">
        <v>6810.5689520588994</v>
      </c>
      <c r="Y18" s="373">
        <v>6700.0719927361843</v>
      </c>
      <c r="Z18" s="373">
        <v>6548.0026839607963</v>
      </c>
      <c r="AA18" s="373">
        <v>6314.7983003977479</v>
      </c>
      <c r="AB18" s="373">
        <v>6408.6252358217107</v>
      </c>
      <c r="AC18" s="373">
        <v>6255.3272419045661</v>
      </c>
      <c r="AD18" s="373">
        <v>6429.6105864651399</v>
      </c>
      <c r="AE18" s="373">
        <v>6357.2907393572859</v>
      </c>
      <c r="AF18" s="373">
        <v>7361.6034084000376</v>
      </c>
      <c r="AG18" s="373">
        <v>7270.1615865240356</v>
      </c>
      <c r="AH18" s="373">
        <v>7623.1731606270005</v>
      </c>
      <c r="AI18" s="373">
        <v>8037.3410016076441</v>
      </c>
      <c r="AJ18" s="373">
        <v>8212.9837632107647</v>
      </c>
      <c r="AK18" s="373">
        <v>8161.7759606005493</v>
      </c>
      <c r="AL18" s="373">
        <v>8152.5967676630316</v>
      </c>
      <c r="AM18" s="262">
        <v>8059.8936745689307</v>
      </c>
      <c r="AN18" s="262">
        <v>8031.350902160355</v>
      </c>
      <c r="AO18" s="262">
        <v>7974.3109327657749</v>
      </c>
      <c r="AP18" s="262">
        <v>7821.4871787800812</v>
      </c>
      <c r="AQ18" s="262">
        <v>7787.2960040641483</v>
      </c>
      <c r="AR18" s="372">
        <v>7867.5998575879366</v>
      </c>
      <c r="AS18" s="372">
        <v>8061.4666057450013</v>
      </c>
      <c r="AT18" s="372">
        <v>7780.0449218222884</v>
      </c>
      <c r="AU18" s="372">
        <v>8106.7174095898663</v>
      </c>
      <c r="AV18" s="372">
        <v>7937.2986054946632</v>
      </c>
      <c r="AW18" s="201">
        <v>8007.4023657049584</v>
      </c>
      <c r="AX18" s="201">
        <v>7529.9051182653884</v>
      </c>
      <c r="AY18" s="201">
        <v>7214.8248920225087</v>
      </c>
      <c r="AZ18" s="201">
        <v>6927.5923620349549</v>
      </c>
      <c r="BA18" s="201">
        <v>5994.527374635627</v>
      </c>
      <c r="BB18" s="201">
        <v>6045.0747059950345</v>
      </c>
      <c r="BC18" s="201">
        <v>6085.9102960288637</v>
      </c>
      <c r="BD18" s="201">
        <v>6405.9975328534301</v>
      </c>
      <c r="BE18" s="374">
        <v>6244.6843003303948</v>
      </c>
      <c r="BF18" s="374">
        <v>6397.8654384449483</v>
      </c>
      <c r="BG18" s="374">
        <v>6226.9517763919494</v>
      </c>
      <c r="BH18" s="374">
        <v>6190.4963562449038</v>
      </c>
      <c r="BI18" s="374">
        <v>6810.3479113568246</v>
      </c>
      <c r="BJ18" s="374">
        <v>6590.4276584183735</v>
      </c>
      <c r="BK18" s="374">
        <v>6442.2696922167615</v>
      </c>
      <c r="BL18" s="374">
        <v>6455.2528551067753</v>
      </c>
      <c r="BM18" s="374">
        <v>5759.2007563906336</v>
      </c>
      <c r="BN18" s="374">
        <v>5721.1899039115324</v>
      </c>
      <c r="BO18" s="374">
        <v>5817.4626954150817</v>
      </c>
      <c r="BP18" s="374">
        <v>5971.2514640402314</v>
      </c>
      <c r="BQ18" s="374">
        <v>5788.0685281992774</v>
      </c>
      <c r="BR18" s="374">
        <v>6156.854308899965</v>
      </c>
      <c r="BS18" s="374">
        <v>5401.1851574942084</v>
      </c>
      <c r="BT18" s="374">
        <v>5531.6975477769574</v>
      </c>
      <c r="BU18" s="374">
        <v>5626.458207612528</v>
      </c>
      <c r="BV18" s="374">
        <v>5766.7220968955589</v>
      </c>
      <c r="BW18" s="374">
        <v>5590.0182437192234</v>
      </c>
      <c r="BX18" s="374">
        <v>5567.5620432105006</v>
      </c>
      <c r="BY18" s="374">
        <v>5364.3451603548001</v>
      </c>
      <c r="BZ18" s="374">
        <v>5557.7</v>
      </c>
      <c r="CA18" s="374">
        <v>5629.8125112545495</v>
      </c>
      <c r="CB18" s="374">
        <v>5588.2290762989933</v>
      </c>
      <c r="CC18" s="374">
        <v>5999.9534053156622</v>
      </c>
      <c r="CD18" s="374">
        <v>6027.8838510367423</v>
      </c>
      <c r="CE18" s="374">
        <v>6017.9516201170054</v>
      </c>
      <c r="CF18" s="374">
        <v>5970.0875244988547</v>
      </c>
      <c r="CG18" s="374">
        <v>6078.982363871939</v>
      </c>
      <c r="CH18" s="374">
        <v>5906.6396216331241</v>
      </c>
      <c r="CI18" s="374">
        <v>5754.7191249039515</v>
      </c>
      <c r="CJ18" s="374">
        <v>5437.9036514713725</v>
      </c>
      <c r="CK18" s="374">
        <v>5522.3246382217003</v>
      </c>
      <c r="CL18" s="374">
        <v>5409.1874846480841</v>
      </c>
      <c r="CM18" s="374">
        <v>5621.3093491614281</v>
      </c>
      <c r="CN18" s="374">
        <v>5628.5579339821779</v>
      </c>
      <c r="CO18" s="374">
        <v>5577.9067141799442</v>
      </c>
    </row>
    <row r="19" spans="1:93">
      <c r="A19" s="371" t="s">
        <v>410</v>
      </c>
      <c r="B19" s="372">
        <v>138.85489210999998</v>
      </c>
      <c r="C19" s="260">
        <v>148.27613513999998</v>
      </c>
      <c r="D19" s="260">
        <v>134.61671380000001</v>
      </c>
      <c r="E19" s="207">
        <v>212.21990994000004</v>
      </c>
      <c r="F19" s="260">
        <v>203.86604867000003</v>
      </c>
      <c r="G19" s="260">
        <v>195.07282011000001</v>
      </c>
      <c r="H19" s="260">
        <v>194.46434327</v>
      </c>
      <c r="I19" s="260">
        <v>182.35921720000002</v>
      </c>
      <c r="J19" s="260">
        <v>187.11961367000001</v>
      </c>
      <c r="K19" s="207">
        <v>186.248871044634</v>
      </c>
      <c r="L19" s="260">
        <v>186.83081534621698</v>
      </c>
      <c r="M19" s="260">
        <v>261.26687662272701</v>
      </c>
      <c r="N19" s="260">
        <v>251.97590023405999</v>
      </c>
      <c r="O19" s="207">
        <v>250.42081688153598</v>
      </c>
      <c r="P19" s="260">
        <v>245.74961753455798</v>
      </c>
      <c r="Q19" s="260">
        <v>253.9876882717553</v>
      </c>
      <c r="R19" s="207">
        <v>246.27251674849072</v>
      </c>
      <c r="S19" s="260">
        <v>258.24201954692779</v>
      </c>
      <c r="T19" s="260">
        <v>285.54596537306321</v>
      </c>
      <c r="U19" s="373">
        <v>291.70370172516505</v>
      </c>
      <c r="V19" s="373">
        <v>289.30634968537498</v>
      </c>
      <c r="W19" s="373">
        <v>281.54203621612021</v>
      </c>
      <c r="X19" s="373">
        <v>277.71979933924433</v>
      </c>
      <c r="Y19" s="373">
        <v>273.06253809039998</v>
      </c>
      <c r="Z19" s="373">
        <v>275.55471638</v>
      </c>
      <c r="AA19" s="373">
        <v>279.48515727999995</v>
      </c>
      <c r="AB19" s="373">
        <v>273.79721754000002</v>
      </c>
      <c r="AC19" s="373">
        <v>274.85158557</v>
      </c>
      <c r="AD19" s="373">
        <v>277.61515961999999</v>
      </c>
      <c r="AE19" s="373">
        <v>280.64877481000002</v>
      </c>
      <c r="AF19" s="373">
        <v>259.23729545999998</v>
      </c>
      <c r="AG19" s="373">
        <v>263.80886972000002</v>
      </c>
      <c r="AH19" s="373">
        <v>278.75498353999996</v>
      </c>
      <c r="AI19" s="373">
        <v>272.14435952999997</v>
      </c>
      <c r="AJ19" s="373">
        <v>284.53463255999998</v>
      </c>
      <c r="AK19" s="373">
        <v>292.99033835</v>
      </c>
      <c r="AL19" s="373">
        <v>301.15040127000003</v>
      </c>
      <c r="AM19" s="262">
        <v>303.41409723999999</v>
      </c>
      <c r="AN19" s="262">
        <v>313.75466595999995</v>
      </c>
      <c r="AO19" s="262">
        <v>333.50107079999998</v>
      </c>
      <c r="AP19" s="262">
        <v>333.93883268000002</v>
      </c>
      <c r="AQ19" s="262">
        <v>336.66601273999999</v>
      </c>
      <c r="AR19" s="372">
        <v>347.86006934999995</v>
      </c>
      <c r="AS19" s="372">
        <v>343.27714986000001</v>
      </c>
      <c r="AT19" s="372">
        <v>351.28159313999998</v>
      </c>
      <c r="AU19" s="372">
        <v>353.17584396999996</v>
      </c>
      <c r="AV19" s="372">
        <v>329.26821924000001</v>
      </c>
      <c r="AW19" s="201">
        <v>319.52140267999999</v>
      </c>
      <c r="AX19" s="201">
        <v>318.31586227999998</v>
      </c>
      <c r="AY19" s="201">
        <v>299.70672017999999</v>
      </c>
      <c r="AZ19" s="201">
        <v>296.46223694999998</v>
      </c>
      <c r="BA19" s="201">
        <v>346.90650737999999</v>
      </c>
      <c r="BB19" s="201">
        <v>334.84625619000008</v>
      </c>
      <c r="BC19" s="201">
        <v>332.80006118000006</v>
      </c>
      <c r="BD19" s="201">
        <v>328.18962663000002</v>
      </c>
      <c r="BE19" s="374">
        <v>329.87078210999994</v>
      </c>
      <c r="BF19" s="374">
        <v>330.90261285000003</v>
      </c>
      <c r="BG19" s="374">
        <v>321.10917204000003</v>
      </c>
      <c r="BH19" s="374">
        <v>313.49613416000005</v>
      </c>
      <c r="BI19" s="374">
        <v>318.70521374000003</v>
      </c>
      <c r="BJ19" s="374">
        <v>319.53355345000006</v>
      </c>
      <c r="BK19" s="374">
        <v>323.04984411999999</v>
      </c>
      <c r="BL19" s="374">
        <v>316.07159110000003</v>
      </c>
      <c r="BM19" s="374">
        <v>312.38706424999998</v>
      </c>
      <c r="BN19" s="374">
        <v>304.43262015000005</v>
      </c>
      <c r="BO19" s="374">
        <v>319.20538561000001</v>
      </c>
      <c r="BP19" s="374">
        <v>313.23055116</v>
      </c>
      <c r="BQ19" s="374">
        <v>308.35861617</v>
      </c>
      <c r="BR19" s="374">
        <v>305.43852349000002</v>
      </c>
      <c r="BS19" s="374">
        <v>292.23232858999995</v>
      </c>
      <c r="BT19" s="374">
        <v>314.92990200999998</v>
      </c>
      <c r="BU19" s="374">
        <v>303.39258532999997</v>
      </c>
      <c r="BV19" s="374">
        <v>302.99810619000004</v>
      </c>
      <c r="BW19" s="374">
        <v>308.04860961000003</v>
      </c>
      <c r="BX19" s="374">
        <v>300.13066400000002</v>
      </c>
      <c r="BY19" s="374">
        <v>298.19146899999998</v>
      </c>
      <c r="BZ19" s="374">
        <v>300.2</v>
      </c>
      <c r="CA19" s="374">
        <v>290.87225574000001</v>
      </c>
      <c r="CB19" s="374">
        <v>298.00061706999998</v>
      </c>
      <c r="CC19" s="374">
        <v>308.50319135000007</v>
      </c>
      <c r="CD19" s="374">
        <v>280.54186390000007</v>
      </c>
      <c r="CE19" s="374">
        <v>277.91630965339851</v>
      </c>
      <c r="CF19" s="374">
        <v>280.25982320999998</v>
      </c>
      <c r="CG19" s="374">
        <v>287.12474550000007</v>
      </c>
      <c r="CH19" s="374">
        <v>290.47107575000001</v>
      </c>
      <c r="CI19" s="374">
        <v>280.67816888999999</v>
      </c>
      <c r="CJ19" s="374">
        <v>289.21275774999998</v>
      </c>
      <c r="CK19" s="374">
        <v>293.32046170000001</v>
      </c>
      <c r="CL19" s="374">
        <v>290.97091080000001</v>
      </c>
      <c r="CM19" s="374">
        <v>337.16702921000001</v>
      </c>
      <c r="CN19" s="374">
        <v>332.18999671</v>
      </c>
      <c r="CO19" s="374">
        <v>320.54604092999995</v>
      </c>
    </row>
    <row r="20" spans="1:93">
      <c r="A20" s="371" t="s">
        <v>411</v>
      </c>
      <c r="B20" s="372">
        <v>276.44491083000003</v>
      </c>
      <c r="C20" s="260">
        <v>306.37750648000002</v>
      </c>
      <c r="D20" s="260">
        <v>243.57221333999999</v>
      </c>
      <c r="E20" s="207">
        <v>312.08794169000004</v>
      </c>
      <c r="F20" s="260">
        <v>257.62005626000001</v>
      </c>
      <c r="G20" s="260">
        <v>258.52928133999995</v>
      </c>
      <c r="H20" s="260">
        <v>241.98951268000002</v>
      </c>
      <c r="I20" s="260">
        <v>268.19179783999999</v>
      </c>
      <c r="J20" s="260">
        <v>271.56523262999997</v>
      </c>
      <c r="K20" s="207">
        <v>275.36472774999999</v>
      </c>
      <c r="L20" s="260">
        <v>273.00855947000002</v>
      </c>
      <c r="M20" s="260">
        <v>251.21573462999999</v>
      </c>
      <c r="N20" s="260">
        <v>261.69274497999999</v>
      </c>
      <c r="O20" s="207">
        <v>244.57882626999998</v>
      </c>
      <c r="P20" s="260">
        <v>247.15877481999999</v>
      </c>
      <c r="Q20" s="260">
        <v>242.4983488</v>
      </c>
      <c r="R20" s="207">
        <v>215.29967088999999</v>
      </c>
      <c r="S20" s="260">
        <v>231.59919538999998</v>
      </c>
      <c r="T20" s="260">
        <v>221.87802015</v>
      </c>
      <c r="U20" s="373">
        <v>221.94243396999997</v>
      </c>
      <c r="V20" s="373">
        <v>218.45564302999998</v>
      </c>
      <c r="W20" s="373">
        <v>225.60243971</v>
      </c>
      <c r="X20" s="373">
        <v>243.12970761999998</v>
      </c>
      <c r="Y20" s="373">
        <v>208.83149059000002</v>
      </c>
      <c r="Z20" s="373">
        <v>213.14265925999999</v>
      </c>
      <c r="AA20" s="373">
        <v>193.02688688999999</v>
      </c>
      <c r="AB20" s="373">
        <v>184.71315658999998</v>
      </c>
      <c r="AC20" s="373">
        <v>184.38120856</v>
      </c>
      <c r="AD20" s="373">
        <v>196.54537557</v>
      </c>
      <c r="AE20" s="373">
        <v>175.26371760000001</v>
      </c>
      <c r="AF20" s="373">
        <v>180.53157415999999</v>
      </c>
      <c r="AG20" s="373">
        <v>176.39680085000001</v>
      </c>
      <c r="AH20" s="373">
        <v>161.96219213000001</v>
      </c>
      <c r="AI20" s="373">
        <v>146.83943991000001</v>
      </c>
      <c r="AJ20" s="373">
        <v>140.25392563</v>
      </c>
      <c r="AK20" s="373">
        <v>169.75915180999999</v>
      </c>
      <c r="AL20" s="373">
        <v>122.29730456999999</v>
      </c>
      <c r="AM20" s="262">
        <v>129.57640012000002</v>
      </c>
      <c r="AN20" s="262">
        <v>138.44886511999999</v>
      </c>
      <c r="AO20" s="262">
        <v>131.93976994000002</v>
      </c>
      <c r="AP20" s="262">
        <v>190.75842560640001</v>
      </c>
      <c r="AQ20" s="262">
        <v>145.63941756559998</v>
      </c>
      <c r="AR20" s="372">
        <v>180.75238203399999</v>
      </c>
      <c r="AS20" s="372">
        <v>199.89060917</v>
      </c>
      <c r="AT20" s="372">
        <v>157.22392909279998</v>
      </c>
      <c r="AU20" s="372">
        <v>148.55100460719999</v>
      </c>
      <c r="AV20" s="372">
        <v>141.68522031500001</v>
      </c>
      <c r="AW20" s="201">
        <v>138.00797469919996</v>
      </c>
      <c r="AX20" s="201">
        <v>144.03070833840002</v>
      </c>
      <c r="AY20" s="201">
        <v>132.16810322700002</v>
      </c>
      <c r="AZ20" s="201">
        <v>132.93069107860001</v>
      </c>
      <c r="BA20" s="201">
        <v>120.0495119334</v>
      </c>
      <c r="BB20" s="201">
        <v>143.6611872606</v>
      </c>
      <c r="BC20" s="201">
        <v>125.2573348836</v>
      </c>
      <c r="BD20" s="201">
        <v>129.90427214179999</v>
      </c>
      <c r="BE20" s="374">
        <v>131.7232828464</v>
      </c>
      <c r="BF20" s="374">
        <v>138.23574976499998</v>
      </c>
      <c r="BG20" s="374">
        <v>134.48523317600001</v>
      </c>
      <c r="BH20" s="374">
        <v>131.6389728966</v>
      </c>
      <c r="BI20" s="374">
        <v>133.76119466109998</v>
      </c>
      <c r="BJ20" s="374">
        <v>132.67537961599999</v>
      </c>
      <c r="BK20" s="374">
        <v>122.1311442624</v>
      </c>
      <c r="BL20" s="374">
        <v>120.9588318551</v>
      </c>
      <c r="BM20" s="374">
        <v>165.34910955439997</v>
      </c>
      <c r="BN20" s="374">
        <v>127.77340628764999</v>
      </c>
      <c r="BO20" s="374">
        <v>141.08880407999999</v>
      </c>
      <c r="BP20" s="374">
        <v>133.22813752940002</v>
      </c>
      <c r="BQ20" s="374">
        <v>146.51341037620003</v>
      </c>
      <c r="BR20" s="374">
        <v>127.8827389123</v>
      </c>
      <c r="BS20" s="374">
        <v>105.11272488319999</v>
      </c>
      <c r="BT20" s="374">
        <v>136.940728540815</v>
      </c>
      <c r="BU20" s="374">
        <v>136.51535997118</v>
      </c>
      <c r="BV20" s="374">
        <v>106.550901257608</v>
      </c>
      <c r="BW20" s="374">
        <v>102.339795572185</v>
      </c>
      <c r="BX20" s="374">
        <v>155.47867213699999</v>
      </c>
      <c r="BY20" s="374">
        <v>91.68703838479999</v>
      </c>
      <c r="BZ20" s="374">
        <v>98.7</v>
      </c>
      <c r="CA20" s="374">
        <v>128.0294903315</v>
      </c>
      <c r="CB20" s="374">
        <v>137.38499084599999</v>
      </c>
      <c r="CC20" s="374">
        <v>114.37812670229999</v>
      </c>
      <c r="CD20" s="374">
        <v>117.72582863228601</v>
      </c>
      <c r="CE20" s="374">
        <v>172.62476131544253</v>
      </c>
      <c r="CF20" s="374">
        <v>175.64843573153996</v>
      </c>
      <c r="CG20" s="374">
        <v>181.36596354</v>
      </c>
      <c r="CH20" s="374">
        <v>170.23130646999999</v>
      </c>
      <c r="CI20" s="374">
        <v>184.36512755999996</v>
      </c>
      <c r="CJ20" s="374">
        <v>173.68868190999999</v>
      </c>
      <c r="CK20" s="374">
        <v>143.40061158999998</v>
      </c>
      <c r="CL20" s="374">
        <v>149.84601866</v>
      </c>
      <c r="CM20" s="374">
        <v>136.75497342</v>
      </c>
      <c r="CN20" s="374">
        <v>134.60706868</v>
      </c>
      <c r="CO20" s="374">
        <v>135.42411009</v>
      </c>
    </row>
    <row r="21" spans="1:93">
      <c r="A21" s="371" t="s">
        <v>412</v>
      </c>
      <c r="B21" s="372">
        <v>104.40851929999999</v>
      </c>
      <c r="C21" s="260">
        <v>104.55040751</v>
      </c>
      <c r="D21" s="260">
        <v>99.609989259999992</v>
      </c>
      <c r="E21" s="207">
        <v>105.21279042999998</v>
      </c>
      <c r="F21" s="260">
        <v>106.52636661</v>
      </c>
      <c r="G21" s="260">
        <v>101.78248473000001</v>
      </c>
      <c r="H21" s="260">
        <v>88.594561300000009</v>
      </c>
      <c r="I21" s="260">
        <v>88.440827249999998</v>
      </c>
      <c r="J21" s="260">
        <v>93.159487220000003</v>
      </c>
      <c r="K21" s="207">
        <v>90.942473019999994</v>
      </c>
      <c r="L21" s="260">
        <v>92.302947590000002</v>
      </c>
      <c r="M21" s="260">
        <v>86.172839010000004</v>
      </c>
      <c r="N21" s="260">
        <v>89.038623099999995</v>
      </c>
      <c r="O21" s="207">
        <v>89.623108579999993</v>
      </c>
      <c r="P21" s="260">
        <v>90.958911860000001</v>
      </c>
      <c r="Q21" s="260">
        <v>92.694062560000006</v>
      </c>
      <c r="R21" s="207">
        <v>101.79013646000001</v>
      </c>
      <c r="S21" s="260">
        <v>105.82229007000001</v>
      </c>
      <c r="T21" s="260">
        <v>101.88911985999999</v>
      </c>
      <c r="U21" s="373">
        <v>103.65953629999998</v>
      </c>
      <c r="V21" s="373">
        <v>105.28219946000002</v>
      </c>
      <c r="W21" s="373">
        <v>103.44274334000001</v>
      </c>
      <c r="X21" s="373">
        <v>117.68621528999999</v>
      </c>
      <c r="Y21" s="373">
        <v>116.94500146999999</v>
      </c>
      <c r="Z21" s="373">
        <v>107.16600543000001</v>
      </c>
      <c r="AA21" s="373">
        <v>120.31747409011601</v>
      </c>
      <c r="AB21" s="373">
        <v>104.43781644999999</v>
      </c>
      <c r="AC21" s="373">
        <v>105.22339774000001</v>
      </c>
      <c r="AD21" s="373">
        <v>113.11469551999998</v>
      </c>
      <c r="AE21" s="373">
        <v>106.51552876</v>
      </c>
      <c r="AF21" s="373">
        <v>99.130529420000016</v>
      </c>
      <c r="AG21" s="373">
        <v>90.549549930000012</v>
      </c>
      <c r="AH21" s="373">
        <v>103.08974633</v>
      </c>
      <c r="AI21" s="373">
        <v>104.77013700000001</v>
      </c>
      <c r="AJ21" s="373">
        <v>103.78381627999998</v>
      </c>
      <c r="AK21" s="373">
        <v>106.40519684</v>
      </c>
      <c r="AL21" s="373">
        <v>110.62750362</v>
      </c>
      <c r="AM21" s="262">
        <v>109.99691215999999</v>
      </c>
      <c r="AN21" s="262">
        <v>119.24129906</v>
      </c>
      <c r="AO21" s="262">
        <v>126.19268574000002</v>
      </c>
      <c r="AP21" s="262">
        <v>130.19509137890003</v>
      </c>
      <c r="AQ21" s="262">
        <v>137.41955950100001</v>
      </c>
      <c r="AR21" s="372">
        <v>134.95348494439997</v>
      </c>
      <c r="AS21" s="372">
        <v>119.36787475999999</v>
      </c>
      <c r="AT21" s="372">
        <v>138.80503167159998</v>
      </c>
      <c r="AU21" s="372">
        <v>160.85609504920001</v>
      </c>
      <c r="AV21" s="372">
        <v>187.89963060700001</v>
      </c>
      <c r="AW21" s="201">
        <v>198.8907039792</v>
      </c>
      <c r="AX21" s="201">
        <v>208.31462698159999</v>
      </c>
      <c r="AY21" s="201">
        <v>214.79564748409999</v>
      </c>
      <c r="AZ21" s="201">
        <v>223.45061589190004</v>
      </c>
      <c r="BA21" s="201">
        <v>240.51518051020003</v>
      </c>
      <c r="BB21" s="201">
        <v>242.07196230279999</v>
      </c>
      <c r="BC21" s="201">
        <v>262.89564620319999</v>
      </c>
      <c r="BD21" s="201">
        <v>263.97111212239997</v>
      </c>
      <c r="BE21" s="374">
        <v>153.41545305390002</v>
      </c>
      <c r="BF21" s="374">
        <v>187.27949836500002</v>
      </c>
      <c r="BG21" s="374">
        <v>185.63011042000002</v>
      </c>
      <c r="BH21" s="374">
        <v>221.1950818848</v>
      </c>
      <c r="BI21" s="374">
        <v>233.47199871740003</v>
      </c>
      <c r="BJ21" s="374">
        <v>253.37233183610002</v>
      </c>
      <c r="BK21" s="374">
        <v>310.5742006365</v>
      </c>
      <c r="BL21" s="374">
        <v>339.23365504960003</v>
      </c>
      <c r="BM21" s="374">
        <v>328.87973178179999</v>
      </c>
      <c r="BN21" s="374">
        <v>302.32173629719995</v>
      </c>
      <c r="BO21" s="374">
        <v>293.95450070480001</v>
      </c>
      <c r="BP21" s="374">
        <v>297.48632536280002</v>
      </c>
      <c r="BQ21" s="374">
        <v>324.12527294900002</v>
      </c>
      <c r="BR21" s="374">
        <v>316.87560830360002</v>
      </c>
      <c r="BS21" s="374">
        <v>330.63767776919997</v>
      </c>
      <c r="BT21" s="374">
        <v>327.65265361113501</v>
      </c>
      <c r="BU21" s="374">
        <v>331.20310557582002</v>
      </c>
      <c r="BV21" s="374">
        <v>334.06467780099598</v>
      </c>
      <c r="BW21" s="374">
        <v>330.22554825527504</v>
      </c>
      <c r="BX21" s="374">
        <v>330.05576037399999</v>
      </c>
      <c r="BY21" s="374">
        <v>312.96608815159993</v>
      </c>
      <c r="BZ21" s="374">
        <v>297.39999999999998</v>
      </c>
      <c r="CA21" s="374">
        <v>299.28382770249993</v>
      </c>
      <c r="CB21" s="374">
        <v>199.54072833200001</v>
      </c>
      <c r="CC21" s="374">
        <v>194.22678723857496</v>
      </c>
      <c r="CD21" s="374">
        <v>200.81396609369997</v>
      </c>
      <c r="CE21" s="374">
        <v>282.79977310974158</v>
      </c>
      <c r="CF21" s="374">
        <v>288.90716723071398</v>
      </c>
      <c r="CG21" s="374">
        <v>284.26708552843002</v>
      </c>
      <c r="CH21" s="374">
        <v>285.86565267000003</v>
      </c>
      <c r="CI21" s="374">
        <v>316.78720421000003</v>
      </c>
      <c r="CJ21" s="374">
        <v>318.78490196999996</v>
      </c>
      <c r="CK21" s="374">
        <v>322.03550030999997</v>
      </c>
      <c r="CL21" s="374">
        <v>317.66498896000002</v>
      </c>
      <c r="CM21" s="374">
        <v>290.90532217999998</v>
      </c>
      <c r="CN21" s="374">
        <v>279.58508832000001</v>
      </c>
      <c r="CO21" s="374">
        <v>292.5331597</v>
      </c>
    </row>
    <row r="22" spans="1:93">
      <c r="A22" s="371" t="s">
        <v>413</v>
      </c>
      <c r="B22" s="372">
        <v>0.80228100000000002</v>
      </c>
      <c r="C22" s="260">
        <v>30.47741418</v>
      </c>
      <c r="D22" s="260">
        <v>28.236809300000001</v>
      </c>
      <c r="E22" s="207">
        <v>34.175090300000001</v>
      </c>
      <c r="F22" s="260">
        <v>34.517989890000003</v>
      </c>
      <c r="G22" s="260">
        <v>30.331252599999999</v>
      </c>
      <c r="H22" s="260">
        <v>6.4989061799999996</v>
      </c>
      <c r="I22" s="260">
        <v>0.82735038000000005</v>
      </c>
      <c r="J22" s="260">
        <v>0.83010527000000001</v>
      </c>
      <c r="K22" s="207">
        <v>0.84329633999999998</v>
      </c>
      <c r="L22" s="260">
        <v>2.6548009999999997E-2</v>
      </c>
      <c r="M22" s="260">
        <v>0</v>
      </c>
      <c r="N22" s="260">
        <v>1.0000000000000001E-5</v>
      </c>
      <c r="O22" s="207">
        <v>1.0000000000000001E-5</v>
      </c>
      <c r="P22" s="260">
        <v>1.0000000000000001E-5</v>
      </c>
      <c r="Q22" s="260">
        <v>1.0000000000000001E-5</v>
      </c>
      <c r="R22" s="207">
        <v>1.0000000000000001E-5</v>
      </c>
      <c r="S22" s="260">
        <v>0</v>
      </c>
      <c r="T22" s="260">
        <v>0</v>
      </c>
      <c r="U22" s="373">
        <v>1.0000000000000001E-5</v>
      </c>
      <c r="V22" s="373">
        <v>0</v>
      </c>
      <c r="W22" s="373">
        <v>0</v>
      </c>
      <c r="X22" s="373">
        <v>1.9000000000000001E-5</v>
      </c>
      <c r="Y22" s="373">
        <v>4.5000000000000003E-5</v>
      </c>
      <c r="Z22" s="373">
        <v>1.0000000000000001E-5</v>
      </c>
      <c r="AA22" s="373">
        <v>1.0000000000000001E-5</v>
      </c>
      <c r="AB22" s="373">
        <v>1.0000000000000001E-5</v>
      </c>
      <c r="AC22" s="373">
        <v>1.0000000000000001E-5</v>
      </c>
      <c r="AD22" s="373">
        <v>6.0000000000000002E-5</v>
      </c>
      <c r="AE22" s="373">
        <v>1.0000000000000001E-5</v>
      </c>
      <c r="AF22" s="373">
        <v>1.0000000000000001E-5</v>
      </c>
      <c r="AG22" s="373">
        <v>1.3000100000000001</v>
      </c>
      <c r="AH22" s="373">
        <v>1.8382238500000001</v>
      </c>
      <c r="AI22" s="373">
        <v>1.7880243399999998</v>
      </c>
      <c r="AJ22" s="373">
        <v>1.8053049500000002</v>
      </c>
      <c r="AK22" s="373">
        <v>1.7497909599999999</v>
      </c>
      <c r="AL22" s="373">
        <v>1.7736643999999999</v>
      </c>
      <c r="AM22" s="262">
        <v>1.75069304</v>
      </c>
      <c r="AN22" s="262">
        <v>2.4556074100000003</v>
      </c>
      <c r="AO22" s="262">
        <v>1.6972376400000002</v>
      </c>
      <c r="AP22" s="262">
        <v>1.6654160999999998</v>
      </c>
      <c r="AQ22" s="262">
        <v>1.6799050499999999</v>
      </c>
      <c r="AR22" s="372">
        <v>1.63032793</v>
      </c>
      <c r="AS22" s="372">
        <v>1.59566527</v>
      </c>
      <c r="AT22" s="372">
        <v>3.4489414299999996</v>
      </c>
      <c r="AU22" s="372">
        <v>5.1512396599999999</v>
      </c>
      <c r="AV22" s="372">
        <v>5.2326767599999995</v>
      </c>
      <c r="AW22" s="201">
        <v>5.2159201699999995</v>
      </c>
      <c r="AX22" s="201">
        <v>5.04778196</v>
      </c>
      <c r="AY22" s="201">
        <v>5.0302559599999999</v>
      </c>
      <c r="AZ22" s="201">
        <v>4.765384870000001</v>
      </c>
      <c r="BA22" s="201">
        <v>4.8406996500000004</v>
      </c>
      <c r="BB22" s="201">
        <v>3.6540787400000001</v>
      </c>
      <c r="BC22" s="201">
        <v>3.2082282000000002</v>
      </c>
      <c r="BD22" s="201">
        <v>3.4738220000000002</v>
      </c>
      <c r="BE22" s="374">
        <v>3.8759674699999995</v>
      </c>
      <c r="BF22" s="374">
        <v>3.3882234799999997</v>
      </c>
      <c r="BG22" s="374">
        <v>2.5465515700000001</v>
      </c>
      <c r="BH22" s="374">
        <v>2.5474292000000003</v>
      </c>
      <c r="BI22" s="374">
        <v>2.56356121</v>
      </c>
      <c r="BJ22" s="374">
        <v>2.4115855900000001</v>
      </c>
      <c r="BK22" s="374">
        <v>3.73856067</v>
      </c>
      <c r="BL22" s="374">
        <v>2.7912285300000002</v>
      </c>
      <c r="BM22" s="374">
        <v>2.5167162800000002</v>
      </c>
      <c r="BN22" s="374">
        <v>2.2000520799999999</v>
      </c>
      <c r="BO22" s="374">
        <v>2.3533573399999996</v>
      </c>
      <c r="BP22" s="374">
        <v>1.7544579100000002</v>
      </c>
      <c r="BQ22" s="374">
        <v>2.2750947699999999</v>
      </c>
      <c r="BR22" s="374">
        <v>1.76657446</v>
      </c>
      <c r="BS22" s="374">
        <v>1.2005348900000001</v>
      </c>
      <c r="BT22" s="374">
        <v>1.19714582</v>
      </c>
      <c r="BU22" s="374">
        <v>1.2018406500000001</v>
      </c>
      <c r="BV22" s="374">
        <v>1.15193429</v>
      </c>
      <c r="BW22" s="374">
        <v>1.1729191800000001</v>
      </c>
      <c r="BX22" s="374">
        <v>1.1391100000000001</v>
      </c>
      <c r="BY22" s="374">
        <v>0.97723400000000005</v>
      </c>
      <c r="BZ22" s="374">
        <v>1</v>
      </c>
      <c r="CA22" s="374">
        <v>0.96363017000000006</v>
      </c>
      <c r="CB22" s="374">
        <v>5.1566000000000001E-2</v>
      </c>
      <c r="CC22" s="374">
        <v>2.5902000000000001E-2</v>
      </c>
      <c r="CD22" s="374">
        <v>0.65682448000000004</v>
      </c>
      <c r="CE22" s="374">
        <v>0.64907747999999998</v>
      </c>
      <c r="CF22" s="374">
        <v>0.64907747999999998</v>
      </c>
      <c r="CG22" s="374">
        <v>0.64907747999999998</v>
      </c>
      <c r="CH22" s="374">
        <v>9.9999999999999995E-7</v>
      </c>
      <c r="CI22" s="374">
        <v>9.9999999999999995E-7</v>
      </c>
      <c r="CJ22" s="374">
        <v>9.9999999999999995E-7</v>
      </c>
      <c r="CK22" s="374">
        <v>9.9999999999999995E-7</v>
      </c>
      <c r="CL22" s="374">
        <v>9.9999999999999995E-7</v>
      </c>
      <c r="CM22" s="374">
        <v>9.9999999999999995E-7</v>
      </c>
      <c r="CN22" s="374">
        <v>9.9999999999999995E-7</v>
      </c>
      <c r="CO22" s="374">
        <v>9.9999999999999995E-7</v>
      </c>
    </row>
    <row r="23" spans="1:93">
      <c r="A23" s="371" t="s">
        <v>414</v>
      </c>
      <c r="B23" s="372">
        <v>397.37325458999999</v>
      </c>
      <c r="C23" s="260">
        <v>440.0416755466</v>
      </c>
      <c r="D23" s="260">
        <v>416.84627105280003</v>
      </c>
      <c r="E23" s="207">
        <v>403.43990376530002</v>
      </c>
      <c r="F23" s="260">
        <v>389.61606318360003</v>
      </c>
      <c r="G23" s="260">
        <v>387.40364539940271</v>
      </c>
      <c r="H23" s="260">
        <v>380.80788193368005</v>
      </c>
      <c r="I23" s="260">
        <v>401.92548791999991</v>
      </c>
      <c r="J23" s="260">
        <v>417.49977844</v>
      </c>
      <c r="K23" s="207">
        <v>411.77040956999991</v>
      </c>
      <c r="L23" s="260">
        <v>421.01123243000001</v>
      </c>
      <c r="M23" s="260">
        <v>414.16137191000001</v>
      </c>
      <c r="N23" s="260">
        <v>406.80213193999998</v>
      </c>
      <c r="O23" s="207">
        <v>448.87123583999994</v>
      </c>
      <c r="P23" s="260">
        <v>434.71602054999994</v>
      </c>
      <c r="Q23" s="260">
        <v>439.26353495000001</v>
      </c>
      <c r="R23" s="207">
        <v>446.04778716999999</v>
      </c>
      <c r="S23" s="260">
        <v>424.80619050000007</v>
      </c>
      <c r="T23" s="260">
        <v>386.41341379999994</v>
      </c>
      <c r="U23" s="373">
        <v>404.75871373000001</v>
      </c>
      <c r="V23" s="373">
        <v>451.34536354999995</v>
      </c>
      <c r="W23" s="373">
        <v>432.90256550999999</v>
      </c>
      <c r="X23" s="373">
        <v>433.91339428000009</v>
      </c>
      <c r="Y23" s="373">
        <v>430.06845709000004</v>
      </c>
      <c r="Z23" s="373">
        <v>451.58788683000006</v>
      </c>
      <c r="AA23" s="373">
        <v>462.30552366000006</v>
      </c>
      <c r="AB23" s="373">
        <v>476.50485927999989</v>
      </c>
      <c r="AC23" s="373">
        <v>487.83124775000005</v>
      </c>
      <c r="AD23" s="373">
        <v>474.28347342000006</v>
      </c>
      <c r="AE23" s="373">
        <v>481.91130635000002</v>
      </c>
      <c r="AF23" s="373">
        <v>450.66651252000003</v>
      </c>
      <c r="AG23" s="373">
        <v>476.29153692999995</v>
      </c>
      <c r="AH23" s="373">
        <v>481.82690164999997</v>
      </c>
      <c r="AI23" s="373">
        <v>450.63480302999994</v>
      </c>
      <c r="AJ23" s="373">
        <v>456.31691065000007</v>
      </c>
      <c r="AK23" s="373">
        <v>442.74806686999995</v>
      </c>
      <c r="AL23" s="373">
        <v>435.75535047000011</v>
      </c>
      <c r="AM23" s="262">
        <v>434.12344214999996</v>
      </c>
      <c r="AN23" s="262">
        <v>392.83384061000004</v>
      </c>
      <c r="AO23" s="262">
        <v>300.06065562000009</v>
      </c>
      <c r="AP23" s="262">
        <v>313.47057155270005</v>
      </c>
      <c r="AQ23" s="262">
        <v>301.66235242680006</v>
      </c>
      <c r="AR23" s="372">
        <v>289.3890851868</v>
      </c>
      <c r="AS23" s="372">
        <v>299.20155597000002</v>
      </c>
      <c r="AT23" s="372">
        <v>307.84168060039997</v>
      </c>
      <c r="AU23" s="372">
        <v>315.39379493960013</v>
      </c>
      <c r="AV23" s="372">
        <v>329.30126683200001</v>
      </c>
      <c r="AW23" s="201">
        <v>288.9383625808</v>
      </c>
      <c r="AX23" s="201">
        <v>285.6641759904</v>
      </c>
      <c r="AY23" s="201">
        <v>285.52321575740001</v>
      </c>
      <c r="AZ23" s="201">
        <v>265.38096317279997</v>
      </c>
      <c r="BA23" s="201">
        <v>273.23339098180008</v>
      </c>
      <c r="BB23" s="201">
        <v>253.19607303139998</v>
      </c>
      <c r="BC23" s="201">
        <v>255.30524102480001</v>
      </c>
      <c r="BD23" s="201">
        <v>237.30354997120003</v>
      </c>
      <c r="BE23" s="374">
        <v>229.02613880929994</v>
      </c>
      <c r="BF23" s="374">
        <v>235.64916328749999</v>
      </c>
      <c r="BG23" s="374">
        <v>253.051802662</v>
      </c>
      <c r="BH23" s="374">
        <v>264.62823741969999</v>
      </c>
      <c r="BI23" s="374">
        <v>271.7334230427</v>
      </c>
      <c r="BJ23" s="374">
        <v>294.55360238010002</v>
      </c>
      <c r="BK23" s="374">
        <v>289.9087328201</v>
      </c>
      <c r="BL23" s="374">
        <v>274.11675496870004</v>
      </c>
      <c r="BM23" s="374">
        <v>271.40652114020003</v>
      </c>
      <c r="BN23" s="374">
        <v>285.87902104239998</v>
      </c>
      <c r="BO23" s="374">
        <v>293.76630642160001</v>
      </c>
      <c r="BP23" s="374">
        <v>265.2829050583</v>
      </c>
      <c r="BQ23" s="374">
        <v>275.26740752710003</v>
      </c>
      <c r="BR23" s="374">
        <v>270.47845282630004</v>
      </c>
      <c r="BS23" s="374">
        <v>271.17107371319997</v>
      </c>
      <c r="BT23" s="374">
        <v>266.89291761395998</v>
      </c>
      <c r="BU23" s="374">
        <v>260.05588035618399</v>
      </c>
      <c r="BV23" s="374">
        <v>246.45162972027003</v>
      </c>
      <c r="BW23" s="374">
        <v>236.05168733431498</v>
      </c>
      <c r="BX23" s="374">
        <v>229.08141812849999</v>
      </c>
      <c r="BY23" s="374">
        <v>212.44440123770002</v>
      </c>
      <c r="BZ23" s="374">
        <v>204.2</v>
      </c>
      <c r="CA23" s="374">
        <v>205.43826764050002</v>
      </c>
      <c r="CB23" s="374">
        <v>207.23729352519996</v>
      </c>
      <c r="CC23" s="374">
        <v>207.67818392268404</v>
      </c>
      <c r="CD23" s="374">
        <v>228.54023590715195</v>
      </c>
      <c r="CE23" s="374">
        <v>225.77899969316297</v>
      </c>
      <c r="CF23" s="374">
        <v>232.17427038175236</v>
      </c>
      <c r="CG23" s="374">
        <v>220.97420564333663</v>
      </c>
      <c r="CH23" s="374">
        <v>236.23857048615312</v>
      </c>
      <c r="CI23" s="374">
        <v>235.40662781709332</v>
      </c>
      <c r="CJ23" s="374">
        <v>219.78260889760602</v>
      </c>
      <c r="CK23" s="374">
        <v>231.18659102806001</v>
      </c>
      <c r="CL23" s="374">
        <v>232.779097414874</v>
      </c>
      <c r="CM23" s="374">
        <v>243.011401699998</v>
      </c>
      <c r="CN23" s="374">
        <v>224.30223216611734</v>
      </c>
      <c r="CO23" s="374">
        <v>249.46328228032903</v>
      </c>
    </row>
    <row r="24" spans="1:93">
      <c r="A24" s="371" t="s">
        <v>415</v>
      </c>
      <c r="B24" s="372">
        <v>910.52295066000011</v>
      </c>
      <c r="C24" s="260">
        <v>946.23703324999997</v>
      </c>
      <c r="D24" s="260">
        <v>946.07028086000003</v>
      </c>
      <c r="E24" s="207">
        <v>778.97302276999994</v>
      </c>
      <c r="F24" s="260">
        <v>780.76738892999992</v>
      </c>
      <c r="G24" s="260">
        <v>836.92314060000001</v>
      </c>
      <c r="H24" s="260">
        <v>853.03320702999997</v>
      </c>
      <c r="I24" s="260">
        <v>899.80568004999998</v>
      </c>
      <c r="J24" s="260">
        <v>913.01527264000015</v>
      </c>
      <c r="K24" s="207">
        <v>895.70124750000025</v>
      </c>
      <c r="L24" s="260">
        <v>879.75268698000014</v>
      </c>
      <c r="M24" s="260">
        <v>873.79155099000002</v>
      </c>
      <c r="N24" s="260">
        <v>854.11602243000004</v>
      </c>
      <c r="O24" s="207">
        <v>871.43537901000013</v>
      </c>
      <c r="P24" s="260">
        <v>836.13967690999993</v>
      </c>
      <c r="Q24" s="260">
        <v>807.90934457999992</v>
      </c>
      <c r="R24" s="207">
        <v>795.93072956000003</v>
      </c>
      <c r="S24" s="260">
        <v>769.29634325999996</v>
      </c>
      <c r="T24" s="260">
        <v>790.82085855000003</v>
      </c>
      <c r="U24" s="373">
        <v>813.43019205999997</v>
      </c>
      <c r="V24" s="373">
        <v>804.49209078000013</v>
      </c>
      <c r="W24" s="373">
        <v>772.5942690600001</v>
      </c>
      <c r="X24" s="373">
        <v>754.09949637999989</v>
      </c>
      <c r="Y24" s="373">
        <v>711.97998602999996</v>
      </c>
      <c r="Z24" s="373">
        <v>713.79004568000005</v>
      </c>
      <c r="AA24" s="373">
        <v>750.02149987999996</v>
      </c>
      <c r="AB24" s="373">
        <v>736.94564173999993</v>
      </c>
      <c r="AC24" s="373">
        <v>724.60248029999991</v>
      </c>
      <c r="AD24" s="373">
        <v>711.62751149999986</v>
      </c>
      <c r="AE24" s="373">
        <v>714.89963088999991</v>
      </c>
      <c r="AF24" s="373">
        <v>724.10077414</v>
      </c>
      <c r="AG24" s="373">
        <v>713.7732903399999</v>
      </c>
      <c r="AH24" s="373">
        <v>693.68404306000002</v>
      </c>
      <c r="AI24" s="373">
        <v>649.31595695999999</v>
      </c>
      <c r="AJ24" s="373">
        <v>658.43852566999999</v>
      </c>
      <c r="AK24" s="373">
        <v>616.49682905999987</v>
      </c>
      <c r="AL24" s="373">
        <v>614.57651317999978</v>
      </c>
      <c r="AM24" s="262">
        <v>602.62944450999998</v>
      </c>
      <c r="AN24" s="262">
        <v>626.56622527000002</v>
      </c>
      <c r="AO24" s="262">
        <v>641.2660831799999</v>
      </c>
      <c r="AP24" s="262">
        <v>814.35686249420007</v>
      </c>
      <c r="AQ24" s="262">
        <v>793.48873911499993</v>
      </c>
      <c r="AR24" s="372">
        <v>824.42682403920003</v>
      </c>
      <c r="AS24" s="372">
        <v>805.64309489999982</v>
      </c>
      <c r="AT24" s="372">
        <v>807.38785070400002</v>
      </c>
      <c r="AU24" s="372">
        <v>806.47307684359987</v>
      </c>
      <c r="AV24" s="372">
        <v>853.60913497000001</v>
      </c>
      <c r="AW24" s="201">
        <v>830.17530601880003</v>
      </c>
      <c r="AX24" s="201">
        <v>832.71961218279989</v>
      </c>
      <c r="AY24" s="201">
        <v>812.25391012479997</v>
      </c>
      <c r="AZ24" s="201">
        <v>807.95125932830001</v>
      </c>
      <c r="BA24" s="201">
        <v>817.13474315760004</v>
      </c>
      <c r="BB24" s="201">
        <v>790.40151680539998</v>
      </c>
      <c r="BC24" s="201">
        <v>819.53788119359979</v>
      </c>
      <c r="BD24" s="201">
        <v>971.62186614059999</v>
      </c>
      <c r="BE24" s="374">
        <v>982.66974293440001</v>
      </c>
      <c r="BF24" s="374">
        <v>990.1482344499999</v>
      </c>
      <c r="BG24" s="374">
        <v>955.79545839400009</v>
      </c>
      <c r="BH24" s="374">
        <v>1022.5976903499001</v>
      </c>
      <c r="BI24" s="374">
        <v>1038.2356263586</v>
      </c>
      <c r="BJ24" s="374">
        <v>1008.6153885551998</v>
      </c>
      <c r="BK24" s="374">
        <v>999.80705009930011</v>
      </c>
      <c r="BL24" s="374">
        <v>1033.5171342601004</v>
      </c>
      <c r="BM24" s="374">
        <v>1043.3940282200001</v>
      </c>
      <c r="BN24" s="374">
        <v>1023.3434777845001</v>
      </c>
      <c r="BO24" s="374">
        <v>1035.3106493512003</v>
      </c>
      <c r="BP24" s="374">
        <v>1031.3313668433</v>
      </c>
      <c r="BQ24" s="374">
        <v>1033.5339158576999</v>
      </c>
      <c r="BR24" s="374">
        <v>1015.1898079394</v>
      </c>
      <c r="BS24" s="374">
        <v>1011.87914269</v>
      </c>
      <c r="BT24" s="374">
        <v>1033.8272659149718</v>
      </c>
      <c r="BU24" s="374">
        <v>1018.5757075495941</v>
      </c>
      <c r="BV24" s="374">
        <v>1018.850536995846</v>
      </c>
      <c r="BW24" s="374">
        <v>1041.345205824035</v>
      </c>
      <c r="BX24" s="374">
        <v>1077.4130218140001</v>
      </c>
      <c r="BY24" s="374">
        <v>1065.3526947838</v>
      </c>
      <c r="BZ24" s="374">
        <v>1076.7</v>
      </c>
      <c r="CA24" s="374">
        <v>1053.2084324807001</v>
      </c>
      <c r="CB24" s="374">
        <v>1033.8153763808</v>
      </c>
      <c r="CC24" s="374">
        <v>1056.9001107786103</v>
      </c>
      <c r="CD24" s="374">
        <v>1053.8271978771359</v>
      </c>
      <c r="CE24" s="374">
        <v>1101.8588021599999</v>
      </c>
      <c r="CF24" s="374">
        <v>1101.7069342499999</v>
      </c>
      <c r="CG24" s="374">
        <v>1131.2434705999999</v>
      </c>
      <c r="CH24" s="374">
        <v>1139.5048297899996</v>
      </c>
      <c r="CI24" s="374">
        <v>1170.7630978100001</v>
      </c>
      <c r="CJ24" s="374">
        <v>1213.6160808700001</v>
      </c>
      <c r="CK24" s="374">
        <v>1243.3684314300003</v>
      </c>
      <c r="CL24" s="374">
        <v>1203.81601452</v>
      </c>
      <c r="CM24" s="374">
        <v>1119.0341412</v>
      </c>
      <c r="CN24" s="374">
        <v>1106.4422757700002</v>
      </c>
      <c r="CO24" s="374">
        <v>1109.2194839599999</v>
      </c>
    </row>
    <row r="25" spans="1:93">
      <c r="A25" s="371" t="s">
        <v>416</v>
      </c>
      <c r="B25" s="372">
        <v>349.5838636200001</v>
      </c>
      <c r="C25" s="260">
        <v>381.58419513000007</v>
      </c>
      <c r="D25" s="260">
        <v>345.22730449000005</v>
      </c>
      <c r="E25" s="207">
        <v>364.20730191000001</v>
      </c>
      <c r="F25" s="260">
        <v>392.64291809999997</v>
      </c>
      <c r="G25" s="260">
        <v>371.64065326000002</v>
      </c>
      <c r="H25" s="260">
        <v>386.69017022000003</v>
      </c>
      <c r="I25" s="260">
        <v>389.08370517999992</v>
      </c>
      <c r="J25" s="260">
        <v>388.04698978000005</v>
      </c>
      <c r="K25" s="207">
        <v>374.94031618000002</v>
      </c>
      <c r="L25" s="260">
        <v>387.34871066000011</v>
      </c>
      <c r="M25" s="260">
        <v>391.21954827000002</v>
      </c>
      <c r="N25" s="260">
        <v>394.95257374000005</v>
      </c>
      <c r="O25" s="207">
        <v>449.73408968000001</v>
      </c>
      <c r="P25" s="260">
        <v>425.44409610000002</v>
      </c>
      <c r="Q25" s="260">
        <v>419.98520794000001</v>
      </c>
      <c r="R25" s="207">
        <v>448.72128531999999</v>
      </c>
      <c r="S25" s="260">
        <v>499.72984506</v>
      </c>
      <c r="T25" s="260">
        <v>444.33647447999994</v>
      </c>
      <c r="U25" s="373">
        <v>476.79070765</v>
      </c>
      <c r="V25" s="373">
        <v>474.86611438000006</v>
      </c>
      <c r="W25" s="373">
        <v>434.19925030000007</v>
      </c>
      <c r="X25" s="373">
        <v>387.23735848999996</v>
      </c>
      <c r="Y25" s="373">
        <v>398.30967823999993</v>
      </c>
      <c r="Z25" s="373">
        <v>394.06549207</v>
      </c>
      <c r="AA25" s="373">
        <v>419.92197926999989</v>
      </c>
      <c r="AB25" s="373">
        <v>347.96323026000005</v>
      </c>
      <c r="AC25" s="373">
        <v>344.51752061000008</v>
      </c>
      <c r="AD25" s="373">
        <v>330.12536820000003</v>
      </c>
      <c r="AE25" s="373">
        <v>341.35883003999999</v>
      </c>
      <c r="AF25" s="373">
        <v>345.52169050999998</v>
      </c>
      <c r="AG25" s="373">
        <v>392.53185898999999</v>
      </c>
      <c r="AH25" s="373">
        <v>394.26805704999992</v>
      </c>
      <c r="AI25" s="373">
        <v>444.21185464000001</v>
      </c>
      <c r="AJ25" s="373">
        <v>440.41348549000003</v>
      </c>
      <c r="AK25" s="373">
        <v>452.15205901899998</v>
      </c>
      <c r="AL25" s="373">
        <v>449.38061389329999</v>
      </c>
      <c r="AM25" s="262">
        <v>459.80072096712502</v>
      </c>
      <c r="AN25" s="262">
        <v>446.795973086728</v>
      </c>
      <c r="AO25" s="262">
        <v>503.21548736248496</v>
      </c>
      <c r="AP25" s="262">
        <v>533.62951280253299</v>
      </c>
      <c r="AQ25" s="262">
        <v>560.89018828217399</v>
      </c>
      <c r="AR25" s="372">
        <v>634.15570742199998</v>
      </c>
      <c r="AS25" s="372">
        <v>627.16898501300011</v>
      </c>
      <c r="AT25" s="372">
        <v>674.09105965683204</v>
      </c>
      <c r="AU25" s="372">
        <v>640.58055344027207</v>
      </c>
      <c r="AV25" s="372">
        <v>629.07751012096014</v>
      </c>
      <c r="AW25" s="201">
        <v>575.82417927239999</v>
      </c>
      <c r="AX25" s="201">
        <v>575.22101026040002</v>
      </c>
      <c r="AY25" s="201">
        <v>661.61724320280007</v>
      </c>
      <c r="AZ25" s="201">
        <v>630.88827327939998</v>
      </c>
      <c r="BA25" s="201">
        <v>645.15228053479996</v>
      </c>
      <c r="BB25" s="201">
        <v>676.26767594210003</v>
      </c>
      <c r="BC25" s="201">
        <v>650.42292694159994</v>
      </c>
      <c r="BD25" s="201">
        <v>711.52481523260008</v>
      </c>
      <c r="BE25" s="374">
        <v>778.96898550130004</v>
      </c>
      <c r="BF25" s="374">
        <v>813.61437877499998</v>
      </c>
      <c r="BG25" s="374">
        <v>801.08239368400007</v>
      </c>
      <c r="BH25" s="374">
        <v>846.6308202936001</v>
      </c>
      <c r="BI25" s="374">
        <v>880.04170309370022</v>
      </c>
      <c r="BJ25" s="374">
        <v>916.31820387300002</v>
      </c>
      <c r="BK25" s="374">
        <v>847.34622856279998</v>
      </c>
      <c r="BL25" s="374">
        <v>858.13637922550004</v>
      </c>
      <c r="BM25" s="374">
        <v>865.50869905139996</v>
      </c>
      <c r="BN25" s="374">
        <v>838.35208333573848</v>
      </c>
      <c r="BO25" s="374">
        <v>840.41745006050007</v>
      </c>
      <c r="BP25" s="374">
        <v>786.84377799060007</v>
      </c>
      <c r="BQ25" s="374">
        <v>878.99880511160018</v>
      </c>
      <c r="BR25" s="374">
        <v>902.82385893909998</v>
      </c>
      <c r="BS25" s="374">
        <v>932.54664263200004</v>
      </c>
      <c r="BT25" s="374">
        <v>945.32580996797503</v>
      </c>
      <c r="BU25" s="374">
        <v>993.57863903124598</v>
      </c>
      <c r="BV25" s="374">
        <v>977.37493899353012</v>
      </c>
      <c r="BW25" s="374">
        <v>951.70568371354011</v>
      </c>
      <c r="BX25" s="374">
        <v>948.21345411100003</v>
      </c>
      <c r="BY25" s="374">
        <v>982.79033317299991</v>
      </c>
      <c r="BZ25" s="374">
        <v>997.9</v>
      </c>
      <c r="CA25" s="374">
        <v>999.75565409100011</v>
      </c>
      <c r="CB25" s="374">
        <v>998.83943063159995</v>
      </c>
      <c r="CC25" s="374">
        <v>1009.7262123204999</v>
      </c>
      <c r="CD25" s="374">
        <v>992.10993666511797</v>
      </c>
      <c r="CE25" s="374">
        <v>1153.702097918572</v>
      </c>
      <c r="CF25" s="374">
        <v>1160.0101035208684</v>
      </c>
      <c r="CG25" s="374">
        <v>1208.7401356203966</v>
      </c>
      <c r="CH25" s="374">
        <v>1342.8787727604213</v>
      </c>
      <c r="CI25" s="374">
        <v>1192.2574060846823</v>
      </c>
      <c r="CJ25" s="374">
        <v>1194.5438976470539</v>
      </c>
      <c r="CK25" s="374">
        <v>1193.9307357339412</v>
      </c>
      <c r="CL25" s="374">
        <v>1359.3799376390964</v>
      </c>
      <c r="CM25" s="374">
        <v>1341.8404377858965</v>
      </c>
      <c r="CN25" s="374">
        <v>1355.0331538285266</v>
      </c>
      <c r="CO25" s="374">
        <v>1403.395074962842</v>
      </c>
    </row>
    <row r="26" spans="1:93">
      <c r="A26" s="371" t="s">
        <v>417</v>
      </c>
      <c r="B26" s="372">
        <v>2363.6979685556757</v>
      </c>
      <c r="C26" s="260">
        <v>2490.2006593228002</v>
      </c>
      <c r="D26" s="260">
        <v>2384.9380532999999</v>
      </c>
      <c r="E26" s="207">
        <v>2443.5400831499996</v>
      </c>
      <c r="F26" s="260">
        <v>2562.59365411</v>
      </c>
      <c r="G26" s="260">
        <v>2515.3131755599998</v>
      </c>
      <c r="H26" s="260">
        <v>2857.7457099200001</v>
      </c>
      <c r="I26" s="260">
        <v>2727.07123512</v>
      </c>
      <c r="J26" s="260">
        <v>2572.29923285</v>
      </c>
      <c r="K26" s="207">
        <v>2523.8280641275001</v>
      </c>
      <c r="L26" s="260">
        <v>2714.2746140874997</v>
      </c>
      <c r="M26" s="260">
        <v>2690.15770634</v>
      </c>
      <c r="N26" s="260">
        <v>2779.1720238299999</v>
      </c>
      <c r="O26" s="207">
        <v>2758.4331251500003</v>
      </c>
      <c r="P26" s="260">
        <v>2663.0990472900003</v>
      </c>
      <c r="Q26" s="260">
        <v>2641.1541482299999</v>
      </c>
      <c r="R26" s="207">
        <v>2748.5789794799998</v>
      </c>
      <c r="S26" s="260">
        <v>2778.9492123799996</v>
      </c>
      <c r="T26" s="260">
        <v>2893.6518598800003</v>
      </c>
      <c r="U26" s="373">
        <v>2871.17907255</v>
      </c>
      <c r="V26" s="373">
        <v>2932.26702097</v>
      </c>
      <c r="W26" s="373">
        <v>2754.9733427299993</v>
      </c>
      <c r="X26" s="373">
        <v>2871.3124255999996</v>
      </c>
      <c r="Y26" s="373">
        <v>2711.0704768999999</v>
      </c>
      <c r="Z26" s="373">
        <v>2760.9661566299997</v>
      </c>
      <c r="AA26" s="373">
        <v>2454.5476632399996</v>
      </c>
      <c r="AB26" s="373">
        <v>2717.0946421299996</v>
      </c>
      <c r="AC26" s="373">
        <v>2681.1607323600001</v>
      </c>
      <c r="AD26" s="373">
        <v>3040.2554009700002</v>
      </c>
      <c r="AE26" s="373">
        <v>3101.2892397099999</v>
      </c>
      <c r="AF26" s="373">
        <v>3079.2995641399998</v>
      </c>
      <c r="AG26" s="373">
        <v>3400.1454348299999</v>
      </c>
      <c r="AH26" s="373">
        <v>3340.8715155300001</v>
      </c>
      <c r="AI26" s="373">
        <v>3483.7399008900002</v>
      </c>
      <c r="AJ26" s="373">
        <v>3433.9557724599999</v>
      </c>
      <c r="AK26" s="373">
        <v>3370.6981678899997</v>
      </c>
      <c r="AL26" s="373">
        <v>3418.6193387499993</v>
      </c>
      <c r="AM26" s="262">
        <v>3644.5871086299994</v>
      </c>
      <c r="AN26" s="262">
        <v>3768.7207680599995</v>
      </c>
      <c r="AO26" s="262">
        <v>3737.56939121</v>
      </c>
      <c r="AP26" s="262">
        <v>3941.5406501008006</v>
      </c>
      <c r="AQ26" s="262">
        <v>3536.4350238832008</v>
      </c>
      <c r="AR26" s="372">
        <v>3642.5338103963995</v>
      </c>
      <c r="AS26" s="372">
        <v>3493.7771045</v>
      </c>
      <c r="AT26" s="372">
        <v>3340.7957776932003</v>
      </c>
      <c r="AU26" s="372">
        <v>3203.9466502721998</v>
      </c>
      <c r="AV26" s="372">
        <v>3312.9222928489994</v>
      </c>
      <c r="AW26" s="201">
        <v>3211.3458633143996</v>
      </c>
      <c r="AX26" s="201">
        <v>3178.7274950044002</v>
      </c>
      <c r="AY26" s="201">
        <v>3599.6290979411001</v>
      </c>
      <c r="AZ26" s="201">
        <v>3441.4286314036003</v>
      </c>
      <c r="BA26" s="201">
        <v>3381.0350028454</v>
      </c>
      <c r="BB26" s="201">
        <v>3292.3944738406994</v>
      </c>
      <c r="BC26" s="201">
        <v>3237.7080664887999</v>
      </c>
      <c r="BD26" s="201">
        <v>3380.7336175388004</v>
      </c>
      <c r="BE26" s="374">
        <v>3206.1246475112002</v>
      </c>
      <c r="BF26" s="374">
        <v>2809.5316792800004</v>
      </c>
      <c r="BG26" s="374">
        <v>3048.3363028500003</v>
      </c>
      <c r="BH26" s="374">
        <v>2944.4484472599001</v>
      </c>
      <c r="BI26" s="374">
        <v>2888.7957699859999</v>
      </c>
      <c r="BJ26" s="374">
        <v>3219.7583810821002</v>
      </c>
      <c r="BK26" s="374">
        <v>3046.9909263137001</v>
      </c>
      <c r="BL26" s="374">
        <v>2938.3740002628997</v>
      </c>
      <c r="BM26" s="374">
        <v>2696.1059933732004</v>
      </c>
      <c r="BN26" s="374">
        <v>2804.6461911065003</v>
      </c>
      <c r="BO26" s="374">
        <v>3142.0902128212001</v>
      </c>
      <c r="BP26" s="374">
        <v>3583.8641318090999</v>
      </c>
      <c r="BQ26" s="374">
        <v>3358.4287600749003</v>
      </c>
      <c r="BR26" s="374">
        <v>3252.1962490735</v>
      </c>
      <c r="BS26" s="374">
        <v>3189.3708814188003</v>
      </c>
      <c r="BT26" s="374">
        <v>3330.9031613059201</v>
      </c>
      <c r="BU26" s="374">
        <v>2957.3563713709837</v>
      </c>
      <c r="BV26" s="374">
        <v>3671.0438955459963</v>
      </c>
      <c r="BW26" s="374">
        <v>3606.6569796742206</v>
      </c>
      <c r="BX26" s="374">
        <v>3521.8149184145</v>
      </c>
      <c r="BY26" s="374">
        <v>3594.8836878897991</v>
      </c>
      <c r="BZ26" s="374">
        <v>3544.1</v>
      </c>
      <c r="CA26" s="374">
        <v>3773.1625763252996</v>
      </c>
      <c r="CB26" s="374">
        <v>3865.0737581836001</v>
      </c>
      <c r="CC26" s="374">
        <v>3630.7657072709767</v>
      </c>
      <c r="CD26" s="374">
        <v>3369.4383622078481</v>
      </c>
      <c r="CE26" s="374">
        <v>3358.6691236622587</v>
      </c>
      <c r="CF26" s="374">
        <v>3647.6030256101285</v>
      </c>
      <c r="CG26" s="374">
        <v>3618.3747553283333</v>
      </c>
      <c r="CH26" s="374">
        <v>3995.4466879357951</v>
      </c>
      <c r="CI26" s="374">
        <v>3935.4932035916463</v>
      </c>
      <c r="CJ26" s="374">
        <v>3711.3314375502018</v>
      </c>
      <c r="CK26" s="374">
        <v>3370.778237534686</v>
      </c>
      <c r="CL26" s="374">
        <v>3663.2413532621367</v>
      </c>
      <c r="CM26" s="374">
        <v>3553.5031679239587</v>
      </c>
      <c r="CN26" s="374">
        <v>4054.7225420760014</v>
      </c>
      <c r="CO26" s="374">
        <v>3961.2851472260427</v>
      </c>
    </row>
    <row r="27" spans="1:93">
      <c r="A27" s="371" t="s">
        <v>418</v>
      </c>
      <c r="B27" s="372">
        <v>176.59226850081083</v>
      </c>
      <c r="C27" s="260">
        <v>201.93284895424</v>
      </c>
      <c r="D27" s="260">
        <v>193.29467437603</v>
      </c>
      <c r="E27" s="207">
        <v>168.56809528800002</v>
      </c>
      <c r="F27" s="260">
        <v>189.21288308400003</v>
      </c>
      <c r="G27" s="260">
        <v>185.95629152000001</v>
      </c>
      <c r="H27" s="260">
        <v>183.29567885000003</v>
      </c>
      <c r="I27" s="260">
        <v>203.48886256660001</v>
      </c>
      <c r="J27" s="260">
        <v>207.32335457999997</v>
      </c>
      <c r="K27" s="207">
        <v>203.12131497559997</v>
      </c>
      <c r="L27" s="260">
        <v>179.06845641000001</v>
      </c>
      <c r="M27" s="260">
        <v>184.52059422899998</v>
      </c>
      <c r="N27" s="260">
        <v>172.58193402000001</v>
      </c>
      <c r="O27" s="207">
        <v>189.47010082</v>
      </c>
      <c r="P27" s="260">
        <v>182.45768701</v>
      </c>
      <c r="Q27" s="260">
        <v>189.07941648300002</v>
      </c>
      <c r="R27" s="207">
        <v>196.66622902899999</v>
      </c>
      <c r="S27" s="260">
        <v>209.51591063000001</v>
      </c>
      <c r="T27" s="260">
        <v>226.54121509000001</v>
      </c>
      <c r="U27" s="373">
        <v>210.21094289800001</v>
      </c>
      <c r="V27" s="373">
        <v>220.83309419999995</v>
      </c>
      <c r="W27" s="373">
        <v>207.80221347999998</v>
      </c>
      <c r="X27" s="373">
        <v>204.10965881999999</v>
      </c>
      <c r="Y27" s="373">
        <v>198.33765414999996</v>
      </c>
      <c r="Z27" s="373">
        <v>192.41302737999999</v>
      </c>
      <c r="AA27" s="373">
        <v>196.42294497</v>
      </c>
      <c r="AB27" s="373">
        <v>194.26834905000001</v>
      </c>
      <c r="AC27" s="373">
        <v>197.66117403000001</v>
      </c>
      <c r="AD27" s="373">
        <v>189.06569009999998</v>
      </c>
      <c r="AE27" s="373">
        <v>194.87130588999997</v>
      </c>
      <c r="AF27" s="373">
        <v>188.29923076000003</v>
      </c>
      <c r="AG27" s="373">
        <v>181.17597109999997</v>
      </c>
      <c r="AH27" s="373">
        <v>163.04760561000001</v>
      </c>
      <c r="AI27" s="373">
        <v>154.31566275999998</v>
      </c>
      <c r="AJ27" s="373">
        <v>150.55489198000001</v>
      </c>
      <c r="AK27" s="373">
        <v>149.15617316000004</v>
      </c>
      <c r="AL27" s="373">
        <v>150.49432431</v>
      </c>
      <c r="AM27" s="262">
        <v>139.38545445</v>
      </c>
      <c r="AN27" s="262">
        <v>151.17183906</v>
      </c>
      <c r="AO27" s="262">
        <v>175.53539634999998</v>
      </c>
      <c r="AP27" s="262">
        <v>180.67720570170002</v>
      </c>
      <c r="AQ27" s="262">
        <v>183.02640676960002</v>
      </c>
      <c r="AR27" s="372">
        <v>180.7005194756</v>
      </c>
      <c r="AS27" s="372">
        <v>192.51933147000003</v>
      </c>
      <c r="AT27" s="372">
        <v>182.59103222439998</v>
      </c>
      <c r="AU27" s="372">
        <v>197.28146025260003</v>
      </c>
      <c r="AV27" s="372">
        <v>190.64512558999996</v>
      </c>
      <c r="AW27" s="201">
        <v>191.7951092644</v>
      </c>
      <c r="AX27" s="201">
        <v>186.0658834372</v>
      </c>
      <c r="AY27" s="201">
        <v>198.6709644133</v>
      </c>
      <c r="AZ27" s="201">
        <v>195.74388839629998</v>
      </c>
      <c r="BA27" s="201">
        <v>190.36370776880003</v>
      </c>
      <c r="BB27" s="201">
        <v>192.79535142199998</v>
      </c>
      <c r="BC27" s="201">
        <v>190.22880498879999</v>
      </c>
      <c r="BD27" s="201">
        <v>199.1007554434</v>
      </c>
      <c r="BE27" s="374">
        <v>201.48615796489997</v>
      </c>
      <c r="BF27" s="374">
        <v>240.0386187</v>
      </c>
      <c r="BG27" s="374">
        <v>236.60507316599998</v>
      </c>
      <c r="BH27" s="374">
        <v>233.8183665544</v>
      </c>
      <c r="BI27" s="374">
        <v>232.86536036460001</v>
      </c>
      <c r="BJ27" s="374">
        <v>222.36638881499997</v>
      </c>
      <c r="BK27" s="374">
        <v>237.55416839999998</v>
      </c>
      <c r="BL27" s="374">
        <v>226.73996263000001</v>
      </c>
      <c r="BM27" s="374">
        <v>243.52150372</v>
      </c>
      <c r="BN27" s="374">
        <v>235.20743038524998</v>
      </c>
      <c r="BO27" s="374">
        <v>234.94317896000001</v>
      </c>
      <c r="BP27" s="374">
        <v>246.85239048</v>
      </c>
      <c r="BQ27" s="374">
        <v>238.83289897999995</v>
      </c>
      <c r="BR27" s="374">
        <v>238.23718378000001</v>
      </c>
      <c r="BS27" s="374">
        <v>242.02547070000003</v>
      </c>
      <c r="BT27" s="374">
        <v>281.36017123190999</v>
      </c>
      <c r="BU27" s="374">
        <v>233.26205171999999</v>
      </c>
      <c r="BV27" s="374">
        <v>223.61475667000002</v>
      </c>
      <c r="BW27" s="374">
        <v>224.39622494999998</v>
      </c>
      <c r="BX27" s="374">
        <v>235.83869653999997</v>
      </c>
      <c r="BY27" s="374">
        <v>232.04889793000001</v>
      </c>
      <c r="BZ27" s="374">
        <v>237.3</v>
      </c>
      <c r="CA27" s="374">
        <v>235.64973496999997</v>
      </c>
      <c r="CB27" s="374">
        <v>231.13577302000002</v>
      </c>
      <c r="CC27" s="374">
        <v>239.42636635000002</v>
      </c>
      <c r="CD27" s="374">
        <v>238.94853953280798</v>
      </c>
      <c r="CE27" s="374">
        <v>243.15800648000001</v>
      </c>
      <c r="CF27" s="374">
        <v>234.10488827270771</v>
      </c>
      <c r="CG27" s="374">
        <v>226.54181328858999</v>
      </c>
      <c r="CH27" s="374">
        <v>213.95242040521168</v>
      </c>
      <c r="CI27" s="374">
        <v>233.84193406841652</v>
      </c>
      <c r="CJ27" s="374">
        <v>235.38473750784399</v>
      </c>
      <c r="CK27" s="374">
        <v>247.05226537561902</v>
      </c>
      <c r="CL27" s="374">
        <v>238.09755187232236</v>
      </c>
      <c r="CM27" s="374">
        <v>244.24631655819704</v>
      </c>
      <c r="CN27" s="374">
        <v>240.59277677735736</v>
      </c>
      <c r="CO27" s="374">
        <v>240.18387720309801</v>
      </c>
    </row>
    <row r="28" spans="1:93">
      <c r="A28" s="371" t="s">
        <v>419</v>
      </c>
      <c r="B28" s="372">
        <v>97.614408969999999</v>
      </c>
      <c r="C28" s="260">
        <v>102.61530317999998</v>
      </c>
      <c r="D28" s="260">
        <v>100.63026966999999</v>
      </c>
      <c r="E28" s="207">
        <v>102.4541332</v>
      </c>
      <c r="F28" s="260">
        <v>98.261361329999986</v>
      </c>
      <c r="G28" s="260">
        <v>104.39886517000001</v>
      </c>
      <c r="H28" s="260">
        <v>96.68848552</v>
      </c>
      <c r="I28" s="260">
        <v>94.396002659999994</v>
      </c>
      <c r="J28" s="260">
        <v>89.32269466999999</v>
      </c>
      <c r="K28" s="207">
        <v>81.484388158517987</v>
      </c>
      <c r="L28" s="260">
        <v>75.448553338173994</v>
      </c>
      <c r="M28" s="260">
        <v>81.411835095809991</v>
      </c>
      <c r="N28" s="260">
        <v>69.397369005400989</v>
      </c>
      <c r="O28" s="207">
        <v>68.996006079051995</v>
      </c>
      <c r="P28" s="260">
        <v>72.817767338860008</v>
      </c>
      <c r="Q28" s="260">
        <v>78.667016665579737</v>
      </c>
      <c r="R28" s="207">
        <v>97.081972062534604</v>
      </c>
      <c r="S28" s="260">
        <v>104.36980495326826</v>
      </c>
      <c r="T28" s="260">
        <v>115.9669075457704</v>
      </c>
      <c r="U28" s="373">
        <v>118.1064868258315</v>
      </c>
      <c r="V28" s="373">
        <v>115.329142452735</v>
      </c>
      <c r="W28" s="373">
        <v>112.71279911566002</v>
      </c>
      <c r="X28" s="373">
        <v>105.90337220691613</v>
      </c>
      <c r="Y28" s="373">
        <v>106.497880595642</v>
      </c>
      <c r="Z28" s="373">
        <v>119.02716917999999</v>
      </c>
      <c r="AA28" s="373">
        <v>125.65828155000001</v>
      </c>
      <c r="AB28" s="373">
        <v>126.07304412000001</v>
      </c>
      <c r="AC28" s="373">
        <v>148.01151609999999</v>
      </c>
      <c r="AD28" s="373">
        <v>155.50539436999998</v>
      </c>
      <c r="AE28" s="373">
        <v>147.91883977000001</v>
      </c>
      <c r="AF28" s="373">
        <v>137.37193866999999</v>
      </c>
      <c r="AG28" s="373">
        <v>138.02645962</v>
      </c>
      <c r="AH28" s="373">
        <v>120.93262728000001</v>
      </c>
      <c r="AI28" s="373">
        <v>115.23435868999999</v>
      </c>
      <c r="AJ28" s="373">
        <v>120.96642899</v>
      </c>
      <c r="AK28" s="373">
        <v>144.77964678999999</v>
      </c>
      <c r="AL28" s="373">
        <v>166.28851318</v>
      </c>
      <c r="AM28" s="262">
        <v>155.64705203</v>
      </c>
      <c r="AN28" s="262">
        <v>159.43504797000003</v>
      </c>
      <c r="AO28" s="262">
        <v>151.59736138999997</v>
      </c>
      <c r="AP28" s="262">
        <v>162.76476494720001</v>
      </c>
      <c r="AQ28" s="262">
        <v>175.5978102096</v>
      </c>
      <c r="AR28" s="372">
        <v>149.589691042</v>
      </c>
      <c r="AS28" s="372">
        <v>154.38243273</v>
      </c>
      <c r="AT28" s="372">
        <v>142.1745302052</v>
      </c>
      <c r="AU28" s="372">
        <v>142.09732212081599</v>
      </c>
      <c r="AV28" s="372">
        <v>146.78131220914</v>
      </c>
      <c r="AW28" s="201">
        <v>148.30031303519601</v>
      </c>
      <c r="AX28" s="201">
        <v>149.59228796914999</v>
      </c>
      <c r="AY28" s="201">
        <v>144.36546618389499</v>
      </c>
      <c r="AZ28" s="201">
        <v>145.10835226846902</v>
      </c>
      <c r="BA28" s="201">
        <v>151.332670290512</v>
      </c>
      <c r="BB28" s="201">
        <v>133.33978002792</v>
      </c>
      <c r="BC28" s="201">
        <v>166.03203548303097</v>
      </c>
      <c r="BD28" s="201">
        <v>178.78367809125101</v>
      </c>
      <c r="BE28" s="374">
        <v>225.96230681309402</v>
      </c>
      <c r="BF28" s="374">
        <v>227.16183024827802</v>
      </c>
      <c r="BG28" s="374">
        <v>228.466386159861</v>
      </c>
      <c r="BH28" s="374">
        <v>231.975137686571</v>
      </c>
      <c r="BI28" s="374">
        <v>220.78901456923998</v>
      </c>
      <c r="BJ28" s="374">
        <v>273.459613137948</v>
      </c>
      <c r="BK28" s="374">
        <v>242.30585754926801</v>
      </c>
      <c r="BL28" s="374">
        <v>241.97609148436001</v>
      </c>
      <c r="BM28" s="374">
        <v>264.13208734438797</v>
      </c>
      <c r="BN28" s="374">
        <v>321.51504282691394</v>
      </c>
      <c r="BO28" s="374">
        <v>312.21540729697</v>
      </c>
      <c r="BP28" s="374">
        <v>311.20258982125802</v>
      </c>
      <c r="BQ28" s="374">
        <v>155.43094604219999</v>
      </c>
      <c r="BR28" s="374">
        <v>234.17691871757603</v>
      </c>
      <c r="BS28" s="374">
        <v>176.49389632339202</v>
      </c>
      <c r="BT28" s="374">
        <v>158.48801209582498</v>
      </c>
      <c r="BU28" s="374">
        <v>192.56512307616799</v>
      </c>
      <c r="BV28" s="374">
        <v>182.60654381780202</v>
      </c>
      <c r="BW28" s="374">
        <v>239.76565439396501</v>
      </c>
      <c r="BX28" s="374">
        <v>233.75830020199999</v>
      </c>
      <c r="BY28" s="374">
        <v>228.1199880129</v>
      </c>
      <c r="BZ28" s="374">
        <v>307.10000000000002</v>
      </c>
      <c r="CA28" s="374">
        <v>279.69326941025304</v>
      </c>
      <c r="CB28" s="374">
        <v>163.05112389999999</v>
      </c>
      <c r="CC28" s="374">
        <v>157.77436983561</v>
      </c>
      <c r="CD28" s="374">
        <v>101.504619756536</v>
      </c>
      <c r="CE28" s="374">
        <v>94.444437270082744</v>
      </c>
      <c r="CF28" s="374">
        <v>103.94835462019299</v>
      </c>
      <c r="CG28" s="374">
        <v>90.655576233880012</v>
      </c>
      <c r="CH28" s="374">
        <v>106.57304295735817</v>
      </c>
      <c r="CI28" s="374">
        <v>219.18467607100317</v>
      </c>
      <c r="CJ28" s="374">
        <v>100.46505482277</v>
      </c>
      <c r="CK28" s="374">
        <v>89.28311561999999</v>
      </c>
      <c r="CL28" s="374">
        <v>89.054852999999994</v>
      </c>
      <c r="CM28" s="374">
        <v>92.464651038802998</v>
      </c>
      <c r="CN28" s="374">
        <v>91.468189580000001</v>
      </c>
      <c r="CO28" s="374">
        <v>91.641846270000002</v>
      </c>
    </row>
    <row r="29" spans="1:93">
      <c r="A29" s="371" t="s">
        <v>420</v>
      </c>
      <c r="B29" s="372">
        <v>166.19704274497298</v>
      </c>
      <c r="C29" s="260">
        <v>172.17080784207999</v>
      </c>
      <c r="D29" s="260">
        <v>179.12270492087004</v>
      </c>
      <c r="E29" s="207">
        <v>180.71681740500003</v>
      </c>
      <c r="F29" s="260">
        <v>170.08206123760999</v>
      </c>
      <c r="G29" s="260">
        <v>168.39414530846761</v>
      </c>
      <c r="H29" s="260">
        <v>175.04574935152002</v>
      </c>
      <c r="I29" s="260">
        <v>142.68633977999997</v>
      </c>
      <c r="J29" s="260">
        <v>149.98749404</v>
      </c>
      <c r="K29" s="207">
        <v>167.39403020999998</v>
      </c>
      <c r="L29" s="260">
        <v>173.93170000999999</v>
      </c>
      <c r="M29" s="260">
        <v>166.93003911000002</v>
      </c>
      <c r="N29" s="260">
        <v>164.45018951000003</v>
      </c>
      <c r="O29" s="207">
        <v>169.52541997999998</v>
      </c>
      <c r="P29" s="260">
        <v>164.11554416999999</v>
      </c>
      <c r="Q29" s="260">
        <v>158.92107231</v>
      </c>
      <c r="R29" s="207">
        <v>157.57832245000003</v>
      </c>
      <c r="S29" s="260">
        <v>159.66678271999999</v>
      </c>
      <c r="T29" s="260">
        <v>158.43417059000001</v>
      </c>
      <c r="U29" s="373">
        <v>148.98419639999997</v>
      </c>
      <c r="V29" s="373">
        <v>145.69541749000001</v>
      </c>
      <c r="W29" s="373">
        <v>151.70839975999999</v>
      </c>
      <c r="X29" s="373">
        <v>154.88993690999999</v>
      </c>
      <c r="Y29" s="373">
        <v>156.73571521</v>
      </c>
      <c r="Z29" s="373">
        <v>158.66221405999997</v>
      </c>
      <c r="AA29" s="373">
        <v>166.25601868999999</v>
      </c>
      <c r="AB29" s="373">
        <v>203.69923205000001</v>
      </c>
      <c r="AC29" s="373">
        <v>222.09392018</v>
      </c>
      <c r="AD29" s="373">
        <v>221.21474542000001</v>
      </c>
      <c r="AE29" s="373">
        <v>229.97076128999998</v>
      </c>
      <c r="AF29" s="373">
        <v>219.86278774000002</v>
      </c>
      <c r="AG29" s="373">
        <v>206.73097761</v>
      </c>
      <c r="AH29" s="373">
        <v>207.45089675</v>
      </c>
      <c r="AI29" s="373">
        <v>228.74573941999998</v>
      </c>
      <c r="AJ29" s="373">
        <v>235.40451213999998</v>
      </c>
      <c r="AK29" s="373">
        <v>248.82441001000001</v>
      </c>
      <c r="AL29" s="373">
        <v>240.50498970999999</v>
      </c>
      <c r="AM29" s="262">
        <v>237.53441811000002</v>
      </c>
      <c r="AN29" s="262">
        <v>237.93872151160198</v>
      </c>
      <c r="AO29" s="262">
        <v>234.29789789324701</v>
      </c>
      <c r="AP29" s="262">
        <v>236.76174675454897</v>
      </c>
      <c r="AQ29" s="262">
        <v>232.39989971261201</v>
      </c>
      <c r="AR29" s="372">
        <v>234.41904848554404</v>
      </c>
      <c r="AS29" s="372">
        <v>226.38333418600001</v>
      </c>
      <c r="AT29" s="372">
        <v>234.40558189483201</v>
      </c>
      <c r="AU29" s="372">
        <v>228.90864242174399</v>
      </c>
      <c r="AV29" s="372">
        <v>242.15599978544</v>
      </c>
      <c r="AW29" s="201">
        <v>237.31196294</v>
      </c>
      <c r="AX29" s="201">
        <v>222.030499754</v>
      </c>
      <c r="AY29" s="201">
        <v>210.6999863307</v>
      </c>
      <c r="AZ29" s="201">
        <v>210.64698154450002</v>
      </c>
      <c r="BA29" s="201">
        <v>214.69306681180001</v>
      </c>
      <c r="BB29" s="201">
        <v>211.62983704960001</v>
      </c>
      <c r="BC29" s="201">
        <v>212.70703092239998</v>
      </c>
      <c r="BD29" s="201">
        <v>203.26102331419997</v>
      </c>
      <c r="BE29" s="374">
        <v>196.8062958955</v>
      </c>
      <c r="BF29" s="374">
        <v>196.95560420499999</v>
      </c>
      <c r="BG29" s="374">
        <v>203.14865280199999</v>
      </c>
      <c r="BH29" s="374">
        <v>205.22739991490002</v>
      </c>
      <c r="BI29" s="374">
        <v>203.74167113570002</v>
      </c>
      <c r="BJ29" s="374">
        <v>201.1387947593</v>
      </c>
      <c r="BK29" s="374">
        <v>199.17181670080001</v>
      </c>
      <c r="BL29" s="374">
        <v>203.9138402696</v>
      </c>
      <c r="BM29" s="374">
        <v>204.63651916440003</v>
      </c>
      <c r="BN29" s="374">
        <v>187.30917504936059</v>
      </c>
      <c r="BO29" s="374">
        <v>197.30556455520002</v>
      </c>
      <c r="BP29" s="374">
        <v>190.96195821379999</v>
      </c>
      <c r="BQ29" s="374">
        <v>190.21708224679998</v>
      </c>
      <c r="BR29" s="374">
        <v>204.50356904449998</v>
      </c>
      <c r="BS29" s="374">
        <v>204.16064116319998</v>
      </c>
      <c r="BT29" s="374">
        <v>202.40325971591045</v>
      </c>
      <c r="BU29" s="374">
        <v>191.91422424306998</v>
      </c>
      <c r="BV29" s="374">
        <v>198.93572764233602</v>
      </c>
      <c r="BW29" s="374">
        <v>186.67733187299996</v>
      </c>
      <c r="BX29" s="374">
        <v>186.13670978050001</v>
      </c>
      <c r="BY29" s="374">
        <v>170.72531497759999</v>
      </c>
      <c r="BZ29" s="374">
        <v>174.2</v>
      </c>
      <c r="CA29" s="374">
        <v>175.72022050890001</v>
      </c>
      <c r="CB29" s="374">
        <v>172.9238295376</v>
      </c>
      <c r="CC29" s="374">
        <v>151.24261553140002</v>
      </c>
      <c r="CD29" s="374">
        <v>147.76887805701799</v>
      </c>
      <c r="CE29" s="374">
        <v>150.49005479997493</v>
      </c>
      <c r="CF29" s="374">
        <v>151.04853066215151</v>
      </c>
      <c r="CG29" s="374">
        <v>153.8064803165</v>
      </c>
      <c r="CH29" s="374">
        <v>147.176259327541</v>
      </c>
      <c r="CI29" s="374">
        <v>154.8723973091775</v>
      </c>
      <c r="CJ29" s="374">
        <v>152.72713881596999</v>
      </c>
      <c r="CK29" s="374">
        <v>144.51623770646103</v>
      </c>
      <c r="CL29" s="374">
        <v>144.85359327990568</v>
      </c>
      <c r="CM29" s="374">
        <v>146.01853128330151</v>
      </c>
      <c r="CN29" s="374">
        <v>149.53044461211601</v>
      </c>
      <c r="CO29" s="374">
        <v>143.01418972859099</v>
      </c>
    </row>
    <row r="30" spans="1:93">
      <c r="A30" s="371" t="s">
        <v>421</v>
      </c>
      <c r="B30" s="372">
        <v>107.05617068000001</v>
      </c>
      <c r="C30" s="260">
        <v>108.93011505999999</v>
      </c>
      <c r="D30" s="260">
        <v>113.39572072</v>
      </c>
      <c r="E30" s="207">
        <v>113.43588736000001</v>
      </c>
      <c r="F30" s="260">
        <v>112.66284388</v>
      </c>
      <c r="G30" s="260">
        <v>100.35393292999997</v>
      </c>
      <c r="H30" s="260">
        <v>90.524277550000008</v>
      </c>
      <c r="I30" s="260">
        <v>90.827012930000009</v>
      </c>
      <c r="J30" s="260">
        <v>88.998793969999994</v>
      </c>
      <c r="K30" s="207">
        <v>93.634986659999996</v>
      </c>
      <c r="L30" s="260">
        <v>95.818290009999984</v>
      </c>
      <c r="M30" s="260">
        <v>90.924419810000003</v>
      </c>
      <c r="N30" s="260">
        <v>89.465531080000019</v>
      </c>
      <c r="O30" s="207">
        <v>87.017192260000002</v>
      </c>
      <c r="P30" s="260">
        <v>97.94841670000001</v>
      </c>
      <c r="Q30" s="260">
        <v>94.414618800000014</v>
      </c>
      <c r="R30" s="207">
        <v>103.72423058</v>
      </c>
      <c r="S30" s="260">
        <v>104.63281302999999</v>
      </c>
      <c r="T30" s="260">
        <v>104.79314769</v>
      </c>
      <c r="U30" s="373">
        <v>107.6631656</v>
      </c>
      <c r="V30" s="373">
        <v>111.43260396000001</v>
      </c>
      <c r="W30" s="373">
        <v>114.40807389999999</v>
      </c>
      <c r="X30" s="373">
        <v>115.29542647999999</v>
      </c>
      <c r="Y30" s="373">
        <v>115.11089678</v>
      </c>
      <c r="Z30" s="373">
        <v>118.30599309</v>
      </c>
      <c r="AA30" s="373">
        <v>121.27700214000002</v>
      </c>
      <c r="AB30" s="373">
        <v>135.58144806999999</v>
      </c>
      <c r="AC30" s="373">
        <v>142.86493009999998</v>
      </c>
      <c r="AD30" s="373">
        <v>169.72970027</v>
      </c>
      <c r="AE30" s="373">
        <v>175.88312285000001</v>
      </c>
      <c r="AF30" s="373">
        <v>173.10405279</v>
      </c>
      <c r="AG30" s="373">
        <v>170.34762260000002</v>
      </c>
      <c r="AH30" s="373">
        <v>160.21634463000001</v>
      </c>
      <c r="AI30" s="373">
        <v>69.774889770000016</v>
      </c>
      <c r="AJ30" s="373">
        <v>68.284423019999991</v>
      </c>
      <c r="AK30" s="373">
        <v>71.220660969999997</v>
      </c>
      <c r="AL30" s="373">
        <v>69.166733960000002</v>
      </c>
      <c r="AM30" s="262">
        <v>70.189227939999995</v>
      </c>
      <c r="AN30" s="262">
        <v>72.921444230000006</v>
      </c>
      <c r="AO30" s="262">
        <v>72.971721670000008</v>
      </c>
      <c r="AP30" s="262">
        <v>73.985624639999997</v>
      </c>
      <c r="AQ30" s="262">
        <v>94.544895410000009</v>
      </c>
      <c r="AR30" s="372">
        <v>126.34180978000001</v>
      </c>
      <c r="AS30" s="372">
        <v>128.09277563000001</v>
      </c>
      <c r="AT30" s="372">
        <v>129.84127587</v>
      </c>
      <c r="AU30" s="372">
        <v>132.82563729</v>
      </c>
      <c r="AV30" s="372">
        <v>135.14218713</v>
      </c>
      <c r="AW30" s="201">
        <v>137.93477261000001</v>
      </c>
      <c r="AX30" s="201">
        <v>136.91163017000002</v>
      </c>
      <c r="AY30" s="201">
        <v>148.69408185000003</v>
      </c>
      <c r="AZ30" s="201">
        <v>142.45097073000002</v>
      </c>
      <c r="BA30" s="201">
        <v>123.94744793</v>
      </c>
      <c r="BB30" s="201">
        <v>121.95530051000001</v>
      </c>
      <c r="BC30" s="201">
        <v>122.74004037</v>
      </c>
      <c r="BD30" s="201">
        <v>134.92717345</v>
      </c>
      <c r="BE30" s="374">
        <v>145.6838238</v>
      </c>
      <c r="BF30" s="374">
        <v>150.76304543000001</v>
      </c>
      <c r="BG30" s="374">
        <v>148.29760101999997</v>
      </c>
      <c r="BH30" s="374">
        <v>143.33968397000004</v>
      </c>
      <c r="BI30" s="374">
        <v>141.68004776999999</v>
      </c>
      <c r="BJ30" s="374">
        <v>145.97479647000003</v>
      </c>
      <c r="BK30" s="374">
        <v>140.78666691000001</v>
      </c>
      <c r="BL30" s="374">
        <v>134.30451740999999</v>
      </c>
      <c r="BM30" s="374">
        <v>101.19061445</v>
      </c>
      <c r="BN30" s="374">
        <v>95.298990035000003</v>
      </c>
      <c r="BO30" s="374">
        <v>93.261003739999992</v>
      </c>
      <c r="BP30" s="374">
        <v>101.6658759645</v>
      </c>
      <c r="BQ30" s="374">
        <v>106.93296581</v>
      </c>
      <c r="BR30" s="374">
        <v>107.00747396509999</v>
      </c>
      <c r="BS30" s="374">
        <v>106.97144995279999</v>
      </c>
      <c r="BT30" s="374">
        <v>99.167376590000003</v>
      </c>
      <c r="BU30" s="374">
        <v>101.09709640999999</v>
      </c>
      <c r="BV30" s="374">
        <v>119.36422509293199</v>
      </c>
      <c r="BW30" s="374">
        <v>140.93557837685498</v>
      </c>
      <c r="BX30" s="374">
        <v>135.07382787749998</v>
      </c>
      <c r="BY30" s="374">
        <v>122.99443790000001</v>
      </c>
      <c r="BZ30" s="374">
        <v>128.1</v>
      </c>
      <c r="CA30" s="374">
        <v>137.3546411996</v>
      </c>
      <c r="CB30" s="374">
        <v>169.12147708320001</v>
      </c>
      <c r="CC30" s="374">
        <v>190.72459717737001</v>
      </c>
      <c r="CD30" s="374">
        <v>180.44956415000001</v>
      </c>
      <c r="CE30" s="374">
        <v>174.68730865236961</v>
      </c>
      <c r="CF30" s="374">
        <v>190.66209004645998</v>
      </c>
      <c r="CG30" s="374">
        <v>184.70920149082335</v>
      </c>
      <c r="CH30" s="374">
        <v>183.93004421749197</v>
      </c>
      <c r="CI30" s="374">
        <v>162.67965234715564</v>
      </c>
      <c r="CJ30" s="374">
        <v>185.53134688473202</v>
      </c>
      <c r="CK30" s="374">
        <v>189.60304870303099</v>
      </c>
      <c r="CL30" s="374">
        <v>180.33724069675984</v>
      </c>
      <c r="CM30" s="374">
        <v>171.552213982414</v>
      </c>
      <c r="CN30" s="374">
        <v>200.69722438833335</v>
      </c>
      <c r="CO30" s="374">
        <v>189.94621802061098</v>
      </c>
    </row>
    <row r="31" spans="1:93">
      <c r="A31" s="371" t="s">
        <v>422</v>
      </c>
      <c r="B31" s="372">
        <v>51.244430170000001</v>
      </c>
      <c r="C31" s="260">
        <v>52.259572419999991</v>
      </c>
      <c r="D31" s="260">
        <v>55.850058779999998</v>
      </c>
      <c r="E31" s="207">
        <v>64.938542740000003</v>
      </c>
      <c r="F31" s="260">
        <v>57.690338689999997</v>
      </c>
      <c r="G31" s="260">
        <v>60.792891959999999</v>
      </c>
      <c r="H31" s="260">
        <v>57.187647950000006</v>
      </c>
      <c r="I31" s="260">
        <v>57.002124610000003</v>
      </c>
      <c r="J31" s="260">
        <v>52.75685172</v>
      </c>
      <c r="K31" s="207">
        <v>50.617907880000004</v>
      </c>
      <c r="L31" s="260">
        <v>50.973789340000003</v>
      </c>
      <c r="M31" s="260">
        <v>53.15350952</v>
      </c>
      <c r="N31" s="260">
        <v>52.918427860000001</v>
      </c>
      <c r="O31" s="207">
        <v>51.789400890000003</v>
      </c>
      <c r="P31" s="260">
        <v>54.673898159999993</v>
      </c>
      <c r="Q31" s="260">
        <v>58.030201310000002</v>
      </c>
      <c r="R31" s="207">
        <v>52.78444219</v>
      </c>
      <c r="S31" s="260">
        <v>50.81987359</v>
      </c>
      <c r="T31" s="260">
        <v>50.275459620000007</v>
      </c>
      <c r="U31" s="373">
        <v>52.116784420000002</v>
      </c>
      <c r="V31" s="373">
        <v>70.011760819999992</v>
      </c>
      <c r="W31" s="373">
        <v>72.804523000000003</v>
      </c>
      <c r="X31" s="373">
        <v>71.0182681</v>
      </c>
      <c r="Y31" s="373">
        <v>75.792336219999996</v>
      </c>
      <c r="Z31" s="373">
        <v>74.007369260000004</v>
      </c>
      <c r="AA31" s="373">
        <v>75.371005949999997</v>
      </c>
      <c r="AB31" s="373">
        <v>75.791591480000008</v>
      </c>
      <c r="AC31" s="373">
        <v>76.099601019999994</v>
      </c>
      <c r="AD31" s="373">
        <v>80.89745090000001</v>
      </c>
      <c r="AE31" s="373">
        <v>84.26285489</v>
      </c>
      <c r="AF31" s="373">
        <v>79.066404750000004</v>
      </c>
      <c r="AG31" s="373">
        <v>76.952264539999987</v>
      </c>
      <c r="AH31" s="373">
        <v>73.470780099999999</v>
      </c>
      <c r="AI31" s="373">
        <v>72.317518210000003</v>
      </c>
      <c r="AJ31" s="373">
        <v>71.387064080000002</v>
      </c>
      <c r="AK31" s="373">
        <v>77.403741479999994</v>
      </c>
      <c r="AL31" s="373">
        <v>80.801302740000011</v>
      </c>
      <c r="AM31" s="262">
        <v>103.04885627050001</v>
      </c>
      <c r="AN31" s="262">
        <v>101.03159974</v>
      </c>
      <c r="AO31" s="262">
        <v>101.11206374805001</v>
      </c>
      <c r="AP31" s="262">
        <v>99.920416457800002</v>
      </c>
      <c r="AQ31" s="262">
        <v>103.72492347599999</v>
      </c>
      <c r="AR31" s="372">
        <v>100.04347389719999</v>
      </c>
      <c r="AS31" s="372">
        <v>97.498390549999982</v>
      </c>
      <c r="AT31" s="372">
        <v>88.57160101720001</v>
      </c>
      <c r="AU31" s="372">
        <v>85.758259624899992</v>
      </c>
      <c r="AV31" s="372">
        <v>88.088845417999991</v>
      </c>
      <c r="AW31" s="201">
        <v>83.108534426000006</v>
      </c>
      <c r="AX31" s="201">
        <v>81.602117080399992</v>
      </c>
      <c r="AY31" s="201">
        <v>96.570214322500007</v>
      </c>
      <c r="AZ31" s="201">
        <v>100.32021284420001</v>
      </c>
      <c r="BA31" s="201">
        <v>103.4731487116</v>
      </c>
      <c r="BB31" s="201">
        <v>106.7594048097</v>
      </c>
      <c r="BC31" s="201">
        <v>101.09695687239999</v>
      </c>
      <c r="BD31" s="201">
        <v>89.513401830199996</v>
      </c>
      <c r="BE31" s="374">
        <v>90.987898324099987</v>
      </c>
      <c r="BF31" s="374">
        <v>73.457811110000009</v>
      </c>
      <c r="BG31" s="374">
        <v>81.837080082</v>
      </c>
      <c r="BH31" s="374">
        <v>87.269428949000002</v>
      </c>
      <c r="BI31" s="374">
        <v>94.546593384399998</v>
      </c>
      <c r="BJ31" s="374">
        <v>97.070399299599998</v>
      </c>
      <c r="BK31" s="374">
        <v>88.831011635099998</v>
      </c>
      <c r="BL31" s="374">
        <v>111.79761309450001</v>
      </c>
      <c r="BM31" s="374">
        <v>83.810003458400004</v>
      </c>
      <c r="BN31" s="374">
        <v>72.488846315455191</v>
      </c>
      <c r="BO31" s="374">
        <v>65.051982602799995</v>
      </c>
      <c r="BP31" s="374">
        <v>62.706798494200001</v>
      </c>
      <c r="BQ31" s="374">
        <v>56.307619406699999</v>
      </c>
      <c r="BR31" s="374">
        <v>55.847667190599999</v>
      </c>
      <c r="BS31" s="374">
        <v>60.101927183999997</v>
      </c>
      <c r="BT31" s="374">
        <v>59.37408370464</v>
      </c>
      <c r="BU31" s="374">
        <v>58.578465504831996</v>
      </c>
      <c r="BV31" s="374">
        <v>58.771804737976005</v>
      </c>
      <c r="BW31" s="374">
        <v>56.812968732910008</v>
      </c>
      <c r="BX31" s="374">
        <v>53.268025104499998</v>
      </c>
      <c r="BY31" s="374">
        <v>63.678511868399994</v>
      </c>
      <c r="BZ31" s="374">
        <v>60.8</v>
      </c>
      <c r="CA31" s="374">
        <v>63.449577165699992</v>
      </c>
      <c r="CB31" s="374">
        <v>65.775833495599997</v>
      </c>
      <c r="CC31" s="374">
        <v>55.707913117559997</v>
      </c>
      <c r="CD31" s="374">
        <v>55.460364584503999</v>
      </c>
      <c r="CE31" s="374">
        <v>57.715432643515427</v>
      </c>
      <c r="CF31" s="374">
        <v>65.822877396079335</v>
      </c>
      <c r="CG31" s="374">
        <v>61.149913132750001</v>
      </c>
      <c r="CH31" s="374">
        <v>62.690629086446492</v>
      </c>
      <c r="CI31" s="374">
        <v>59.540902473701507</v>
      </c>
      <c r="CJ31" s="374">
        <v>60.721167989892002</v>
      </c>
      <c r="CK31" s="374">
        <v>61.232735219925999</v>
      </c>
      <c r="CL31" s="374">
        <v>56.305574611556999</v>
      </c>
      <c r="CM31" s="374">
        <v>59.155351571200001</v>
      </c>
      <c r="CN31" s="374">
        <v>61.881898985633335</v>
      </c>
      <c r="CO31" s="374">
        <v>59.018678339357997</v>
      </c>
    </row>
    <row r="32" spans="1:93">
      <c r="A32" s="371" t="s">
        <v>423</v>
      </c>
      <c r="B32" s="372">
        <v>137.22029699999999</v>
      </c>
      <c r="C32" s="260">
        <v>150.77954341</v>
      </c>
      <c r="D32" s="260">
        <v>155.00799566000001</v>
      </c>
      <c r="E32" s="207">
        <v>147.51578659</v>
      </c>
      <c r="F32" s="260">
        <v>138.49188716</v>
      </c>
      <c r="G32" s="260">
        <v>139.75762038000002</v>
      </c>
      <c r="H32" s="260">
        <v>146.47286763</v>
      </c>
      <c r="I32" s="260">
        <v>160.47393908999999</v>
      </c>
      <c r="J32" s="260">
        <v>152.11909307999997</v>
      </c>
      <c r="K32" s="207">
        <v>150.24947868999999</v>
      </c>
      <c r="L32" s="260">
        <v>145.54792584</v>
      </c>
      <c r="M32" s="260">
        <v>145.53761368000002</v>
      </c>
      <c r="N32" s="260">
        <v>131.09612285</v>
      </c>
      <c r="O32" s="207">
        <v>135.01779162</v>
      </c>
      <c r="P32" s="260">
        <v>186.80955642739201</v>
      </c>
      <c r="Q32" s="260">
        <v>191.99598179079999</v>
      </c>
      <c r="R32" s="207">
        <v>198.23690170609999</v>
      </c>
      <c r="S32" s="260">
        <v>196.62209035220002</v>
      </c>
      <c r="T32" s="260">
        <v>192.70914635999998</v>
      </c>
      <c r="U32" s="373">
        <v>208.26788869524802</v>
      </c>
      <c r="V32" s="373">
        <v>208.90080498292198</v>
      </c>
      <c r="W32" s="373">
        <v>214.59797326069997</v>
      </c>
      <c r="X32" s="373">
        <v>205.83065559184203</v>
      </c>
      <c r="Y32" s="373">
        <v>204.08373970267499</v>
      </c>
      <c r="Z32" s="373">
        <v>198.62210499682402</v>
      </c>
      <c r="AA32" s="373">
        <v>204.67757639345797</v>
      </c>
      <c r="AB32" s="373">
        <v>197.09025105275003</v>
      </c>
      <c r="AC32" s="373">
        <v>196.51090954755301</v>
      </c>
      <c r="AD32" s="373">
        <v>202.63536832102901</v>
      </c>
      <c r="AE32" s="373">
        <v>201.05450663677868</v>
      </c>
      <c r="AF32" s="373">
        <v>206.01312511168751</v>
      </c>
      <c r="AG32" s="373">
        <v>214.68709359682001</v>
      </c>
      <c r="AH32" s="373">
        <v>199.77982239619999</v>
      </c>
      <c r="AI32" s="373">
        <v>218.47805708356799</v>
      </c>
      <c r="AJ32" s="373">
        <v>205.72549899401599</v>
      </c>
      <c r="AK32" s="373">
        <v>205.96792474167</v>
      </c>
      <c r="AL32" s="373">
        <v>198.92989336639999</v>
      </c>
      <c r="AM32" s="262">
        <v>198.35554558512001</v>
      </c>
      <c r="AN32" s="262">
        <v>202.11933296262799</v>
      </c>
      <c r="AO32" s="262">
        <v>189.88258895100404</v>
      </c>
      <c r="AP32" s="262">
        <v>178.39323592220498</v>
      </c>
      <c r="AQ32" s="262">
        <v>181.692723829774</v>
      </c>
      <c r="AR32" s="372">
        <v>188.77173291461997</v>
      </c>
      <c r="AS32" s="372">
        <v>197.94253344000001</v>
      </c>
      <c r="AT32" s="372">
        <v>188.270279378016</v>
      </c>
      <c r="AU32" s="372">
        <v>196.19810038999998</v>
      </c>
      <c r="AV32" s="372">
        <v>180.07128118</v>
      </c>
      <c r="AW32" s="201">
        <v>172.62117612</v>
      </c>
      <c r="AX32" s="201">
        <v>166.05414146999999</v>
      </c>
      <c r="AY32" s="201">
        <v>170.11233213</v>
      </c>
      <c r="AZ32" s="201">
        <v>178.84907192000003</v>
      </c>
      <c r="BA32" s="201">
        <v>171.59122252999998</v>
      </c>
      <c r="BB32" s="201">
        <v>169.97594788999999</v>
      </c>
      <c r="BC32" s="201">
        <v>167.26369274000001</v>
      </c>
      <c r="BD32" s="201">
        <v>176.57161114000002</v>
      </c>
      <c r="BE32" s="374">
        <v>164.85178373000002</v>
      </c>
      <c r="BF32" s="374">
        <v>169.87015441999998</v>
      </c>
      <c r="BG32" s="374">
        <v>158.78019934392</v>
      </c>
      <c r="BH32" s="374">
        <v>162.19544779000003</v>
      </c>
      <c r="BI32" s="374">
        <v>168.97571375999999</v>
      </c>
      <c r="BJ32" s="374">
        <v>177.64796829000002</v>
      </c>
      <c r="BK32" s="374">
        <v>177.23504173000001</v>
      </c>
      <c r="BL32" s="374">
        <v>173.6722761</v>
      </c>
      <c r="BM32" s="374">
        <v>162.47436128999999</v>
      </c>
      <c r="BN32" s="374">
        <v>160.43448423000001</v>
      </c>
      <c r="BO32" s="374">
        <v>161.53261053999998</v>
      </c>
      <c r="BP32" s="374">
        <v>128.07402870000001</v>
      </c>
      <c r="BQ32" s="374">
        <v>125.85005543</v>
      </c>
      <c r="BR32" s="374">
        <v>121.80793532000003</v>
      </c>
      <c r="BS32" s="374">
        <v>130.39338036000001</v>
      </c>
      <c r="BT32" s="374">
        <v>138.66813169999998</v>
      </c>
      <c r="BU32" s="374">
        <v>138.07241931000002</v>
      </c>
      <c r="BV32" s="374">
        <v>158.78189895</v>
      </c>
      <c r="BW32" s="374">
        <v>132.5531411</v>
      </c>
      <c r="BX32" s="374">
        <v>124.66669349999998</v>
      </c>
      <c r="BY32" s="374">
        <v>113.60830847</v>
      </c>
      <c r="BZ32" s="374">
        <v>123.5</v>
      </c>
      <c r="CA32" s="374">
        <v>164.95755005999999</v>
      </c>
      <c r="CB32" s="374">
        <v>177.2015864</v>
      </c>
      <c r="CC32" s="374">
        <v>193.26253732000001</v>
      </c>
      <c r="CD32" s="374">
        <v>192.88159967999997</v>
      </c>
      <c r="CE32" s="374">
        <v>184.51640113999997</v>
      </c>
      <c r="CF32" s="374">
        <v>198.47289294392198</v>
      </c>
      <c r="CG32" s="374">
        <v>199.83347336999998</v>
      </c>
      <c r="CH32" s="374">
        <v>192.72449817999996</v>
      </c>
      <c r="CI32" s="374">
        <v>216.83481277000001</v>
      </c>
      <c r="CJ32" s="374">
        <v>210.47897127999997</v>
      </c>
      <c r="CK32" s="374">
        <v>194.58624557000002</v>
      </c>
      <c r="CL32" s="374">
        <v>199.75987399000002</v>
      </c>
      <c r="CM32" s="374">
        <v>203.09809205000002</v>
      </c>
      <c r="CN32" s="374">
        <v>204.64999940999999</v>
      </c>
      <c r="CO32" s="374">
        <v>221.03937699000002</v>
      </c>
    </row>
    <row r="33" spans="1:93">
      <c r="A33" s="371" t="s">
        <v>424</v>
      </c>
      <c r="B33" s="372">
        <v>114.45344073000001</v>
      </c>
      <c r="C33" s="260">
        <v>99.704000000000008</v>
      </c>
      <c r="D33" s="260">
        <v>86.748277700000003</v>
      </c>
      <c r="E33" s="207">
        <v>82.708195869999997</v>
      </c>
      <c r="F33" s="260">
        <v>98.616503129999998</v>
      </c>
      <c r="G33" s="260">
        <v>72.055042009999994</v>
      </c>
      <c r="H33" s="260">
        <v>43.372793119999997</v>
      </c>
      <c r="I33" s="260">
        <v>90.011262909999999</v>
      </c>
      <c r="J33" s="260">
        <v>105.01609831</v>
      </c>
      <c r="K33" s="207">
        <v>71.645405640000007</v>
      </c>
      <c r="L33" s="260">
        <v>86.211463520000009</v>
      </c>
      <c r="M33" s="260">
        <v>56.909129269999994</v>
      </c>
      <c r="N33" s="260">
        <v>41.822000000000003</v>
      </c>
      <c r="O33" s="207">
        <v>50.652037480000004</v>
      </c>
      <c r="P33" s="260">
        <v>55.632497480000005</v>
      </c>
      <c r="Q33" s="260">
        <v>57.427219749999999</v>
      </c>
      <c r="R33" s="207">
        <v>116.56919108</v>
      </c>
      <c r="S33" s="260">
        <v>49.010033799999995</v>
      </c>
      <c r="T33" s="260">
        <v>35.470640850000002</v>
      </c>
      <c r="U33" s="373">
        <v>69.31536444999999</v>
      </c>
      <c r="V33" s="373">
        <v>64.461098680000006</v>
      </c>
      <c r="W33" s="373">
        <v>40.931335730000001</v>
      </c>
      <c r="X33" s="373">
        <v>48.409954450000001</v>
      </c>
      <c r="Y33" s="373">
        <v>33.191553720000002</v>
      </c>
      <c r="Z33" s="373">
        <v>117.00602423000001</v>
      </c>
      <c r="AA33" s="373">
        <v>139.04881968000001</v>
      </c>
      <c r="AB33" s="373">
        <v>44.717543369999994</v>
      </c>
      <c r="AC33" s="373">
        <v>72.287639599999991</v>
      </c>
      <c r="AD33" s="373">
        <v>22.558524139999999</v>
      </c>
      <c r="AE33" s="373">
        <v>42.715292739999995</v>
      </c>
      <c r="AF33" s="373">
        <v>85.7283233</v>
      </c>
      <c r="AG33" s="373">
        <v>110.01511720000001</v>
      </c>
      <c r="AH33" s="373">
        <v>80.515078219999992</v>
      </c>
      <c r="AI33" s="373">
        <v>87.519785420000005</v>
      </c>
      <c r="AJ33" s="373">
        <v>107.78356589000001</v>
      </c>
      <c r="AK33" s="373">
        <v>136.71970745000002</v>
      </c>
      <c r="AL33" s="373">
        <v>117.87130501999999</v>
      </c>
      <c r="AM33" s="262">
        <v>137.54589321</v>
      </c>
      <c r="AN33" s="262">
        <v>104.18372838000001</v>
      </c>
      <c r="AO33" s="262">
        <v>107.08101313000002</v>
      </c>
      <c r="AP33" s="262">
        <v>111.35514560999999</v>
      </c>
      <c r="AQ33" s="262">
        <v>118.06027586999998</v>
      </c>
      <c r="AR33" s="372">
        <v>106.88014185</v>
      </c>
      <c r="AS33" s="372">
        <v>104.64156715</v>
      </c>
      <c r="AT33" s="372">
        <v>102.31124568999999</v>
      </c>
      <c r="AU33" s="372">
        <v>118.17537926999999</v>
      </c>
      <c r="AV33" s="372">
        <v>100.572051836</v>
      </c>
      <c r="AW33" s="201">
        <v>101.0723290116</v>
      </c>
      <c r="AX33" s="201">
        <v>101.48423714</v>
      </c>
      <c r="AY33" s="201">
        <v>200.88283938000001</v>
      </c>
      <c r="AZ33" s="201">
        <v>101.39260682</v>
      </c>
      <c r="BA33" s="201">
        <v>98.940275439999994</v>
      </c>
      <c r="BB33" s="201">
        <v>106.68135240000001</v>
      </c>
      <c r="BC33" s="201">
        <v>99.991705420000002</v>
      </c>
      <c r="BD33" s="201">
        <v>100.63581572</v>
      </c>
      <c r="BE33" s="374">
        <v>101.26156373000001</v>
      </c>
      <c r="BF33" s="374">
        <v>102.27182934999999</v>
      </c>
      <c r="BG33" s="374">
        <v>101.06587696000001</v>
      </c>
      <c r="BH33" s="374">
        <v>100.36830617</v>
      </c>
      <c r="BI33" s="374">
        <v>99.469764060000003</v>
      </c>
      <c r="BJ33" s="374">
        <v>105.04198081</v>
      </c>
      <c r="BK33" s="374">
        <v>105.77165236000002</v>
      </c>
      <c r="BL33" s="374">
        <v>110.50747477</v>
      </c>
      <c r="BM33" s="374">
        <v>110.77199189999999</v>
      </c>
      <c r="BN33" s="374">
        <v>104.68397661000002</v>
      </c>
      <c r="BO33" s="374">
        <v>179.63714135999999</v>
      </c>
      <c r="BP33" s="374">
        <v>179.14162669000001</v>
      </c>
      <c r="BQ33" s="374">
        <v>191.25821807</v>
      </c>
      <c r="BR33" s="374">
        <v>177.85861935000003</v>
      </c>
      <c r="BS33" s="374">
        <v>176.03233316000001</v>
      </c>
      <c r="BT33" s="374">
        <v>173.98821156</v>
      </c>
      <c r="BU33" s="374">
        <v>173.79330754000003</v>
      </c>
      <c r="BV33" s="374">
        <v>186.29218322</v>
      </c>
      <c r="BW33" s="374">
        <v>166.32805578</v>
      </c>
      <c r="BX33" s="374">
        <v>96.300700399999997</v>
      </c>
      <c r="BY33" s="374">
        <v>96.555892209999996</v>
      </c>
      <c r="BZ33" s="374">
        <v>117</v>
      </c>
      <c r="CA33" s="374">
        <v>327.16980612190002</v>
      </c>
      <c r="CB33" s="374">
        <v>315.83441252520004</v>
      </c>
      <c r="CC33" s="374">
        <v>97.244355690000006</v>
      </c>
      <c r="CD33" s="374">
        <v>97.144225640000016</v>
      </c>
      <c r="CE33" s="374">
        <v>130.09404003999998</v>
      </c>
      <c r="CF33" s="374">
        <v>148.77235172000002</v>
      </c>
      <c r="CG33" s="374">
        <v>105.11936122</v>
      </c>
      <c r="CH33" s="374">
        <v>121.50673423000001</v>
      </c>
      <c r="CI33" s="374">
        <v>124.21850848</v>
      </c>
      <c r="CJ33" s="374">
        <v>122.63656034</v>
      </c>
      <c r="CK33" s="374">
        <v>140.47484263999999</v>
      </c>
      <c r="CL33" s="374">
        <v>105.70575474</v>
      </c>
      <c r="CM33" s="374">
        <v>114.89270558</v>
      </c>
      <c r="CN33" s="374">
        <v>126.83694008999998</v>
      </c>
      <c r="CO33" s="374">
        <v>110.64921754</v>
      </c>
    </row>
    <row r="34" spans="1:93">
      <c r="A34" s="371" t="s">
        <v>407</v>
      </c>
      <c r="B34" s="372">
        <v>2584.0691234332435</v>
      </c>
      <c r="C34" s="260">
        <v>2502.5072279668798</v>
      </c>
      <c r="D34" s="260">
        <v>2618.2954970914407</v>
      </c>
      <c r="E34" s="207">
        <v>2405.7028710025006</v>
      </c>
      <c r="F34" s="260">
        <v>2434.2028871593898</v>
      </c>
      <c r="G34" s="260">
        <v>2433.7696518176899</v>
      </c>
      <c r="H34" s="260">
        <v>2307.3440869599999</v>
      </c>
      <c r="I34" s="260">
        <v>2364.1858472471995</v>
      </c>
      <c r="J34" s="260">
        <v>2401.484966</v>
      </c>
      <c r="K34" s="207">
        <v>2415.7989406988281</v>
      </c>
      <c r="L34" s="260">
        <v>2398.59363089</v>
      </c>
      <c r="M34" s="260">
        <v>2440.5669922362563</v>
      </c>
      <c r="N34" s="260">
        <v>2395.8200874511281</v>
      </c>
      <c r="O34" s="207">
        <v>2449.2566982579679</v>
      </c>
      <c r="P34" s="260">
        <v>2478.0919903911681</v>
      </c>
      <c r="Q34" s="260">
        <v>2507.9984458537829</v>
      </c>
      <c r="R34" s="207">
        <v>2545.2617323390746</v>
      </c>
      <c r="S34" s="260">
        <v>2581.279009063604</v>
      </c>
      <c r="T34" s="260">
        <v>2639.4203197248521</v>
      </c>
      <c r="U34" s="373">
        <v>2627.3473755171958</v>
      </c>
      <c r="V34" s="373">
        <v>2765.5933041577105</v>
      </c>
      <c r="W34" s="373">
        <v>2720.3057713025714</v>
      </c>
      <c r="X34" s="373">
        <v>2814.8598975876303</v>
      </c>
      <c r="Y34" s="373">
        <v>2784.6080039760236</v>
      </c>
      <c r="Z34" s="373">
        <v>2502.6274114717762</v>
      </c>
      <c r="AA34" s="373">
        <v>2525.5556401726199</v>
      </c>
      <c r="AB34" s="373">
        <v>2694.1426267412303</v>
      </c>
      <c r="AC34" s="373">
        <v>2494.1741218903121</v>
      </c>
      <c r="AD34" s="373">
        <v>2675.2977028743107</v>
      </c>
      <c r="AE34" s="373">
        <v>2531.7372881548072</v>
      </c>
      <c r="AF34" s="373">
        <v>2501.9437331199874</v>
      </c>
      <c r="AG34" s="373">
        <v>2673.2929988378964</v>
      </c>
      <c r="AH34" s="373">
        <v>2709.54130890744</v>
      </c>
      <c r="AI34" s="373">
        <v>2518.3126664581964</v>
      </c>
      <c r="AJ34" s="373">
        <v>2592.0647094128644</v>
      </c>
      <c r="AK34" s="373">
        <v>2591.8862847660598</v>
      </c>
      <c r="AL34" s="373">
        <v>2673.6402237064299</v>
      </c>
      <c r="AM34" s="262">
        <v>2778.5381851616107</v>
      </c>
      <c r="AN34" s="262">
        <v>2875.209174307608</v>
      </c>
      <c r="AO34" s="262">
        <v>3031.1043445189084</v>
      </c>
      <c r="AP34" s="262">
        <v>3048.5302861297232</v>
      </c>
      <c r="AQ34" s="262">
        <v>3019.9528259975668</v>
      </c>
      <c r="AR34" s="372">
        <v>3302.4105886041725</v>
      </c>
      <c r="AS34" s="372">
        <v>3309.5826069479999</v>
      </c>
      <c r="AT34" s="372">
        <v>3411.5961864697115</v>
      </c>
      <c r="AU34" s="372">
        <v>3490.7335543008844</v>
      </c>
      <c r="AV34" s="372">
        <v>3608.9346765320006</v>
      </c>
      <c r="AW34" s="201">
        <v>3656.6279004192002</v>
      </c>
      <c r="AX34" s="201">
        <v>3920.8016715332169</v>
      </c>
      <c r="AY34" s="201">
        <v>3984.822853867201</v>
      </c>
      <c r="AZ34" s="201">
        <v>3884.3129099927596</v>
      </c>
      <c r="BA34" s="201">
        <v>3916.9496417009495</v>
      </c>
      <c r="BB34" s="201">
        <v>3838.476218883</v>
      </c>
      <c r="BC34" s="201">
        <v>3999.696298738349</v>
      </c>
      <c r="BD34" s="201">
        <v>4126.3830231343045</v>
      </c>
      <c r="BE34" s="374">
        <v>4149.8841865626473</v>
      </c>
      <c r="BF34" s="374">
        <v>3960.0629855249244</v>
      </c>
      <c r="BG34" s="374">
        <v>4121.63582510792</v>
      </c>
      <c r="BH34" s="374">
        <v>4226.890925644444</v>
      </c>
      <c r="BI34" s="374">
        <v>3992.5112830776552</v>
      </c>
      <c r="BJ34" s="374">
        <v>3706.9053025522962</v>
      </c>
      <c r="BK34" s="374">
        <v>3790.9021296137357</v>
      </c>
      <c r="BL34" s="374">
        <v>3898.3213439115116</v>
      </c>
      <c r="BM34" s="374">
        <v>3956.278062564772</v>
      </c>
      <c r="BN34" s="374">
        <v>3994.268365413086</v>
      </c>
      <c r="BO34" s="374">
        <v>4189.313796861722</v>
      </c>
      <c r="BP34" s="374">
        <v>4284.5490874570824</v>
      </c>
      <c r="BQ34" s="374">
        <v>4485.9378921075404</v>
      </c>
      <c r="BR34" s="374">
        <v>4408.9237224656945</v>
      </c>
      <c r="BS34" s="374">
        <v>4608.1733101818927</v>
      </c>
      <c r="BT34" s="374">
        <v>4686.9736283341472</v>
      </c>
      <c r="BU34" s="374">
        <v>4653.0649879088678</v>
      </c>
      <c r="BV34" s="374">
        <v>4633.4331871187578</v>
      </c>
      <c r="BW34" s="374">
        <v>4653.9778186011654</v>
      </c>
      <c r="BX34" s="374">
        <v>4698.3504031965003</v>
      </c>
      <c r="BY34" s="374">
        <v>4936.2206234471996</v>
      </c>
      <c r="BZ34" s="374">
        <v>4504.8999999999996</v>
      </c>
      <c r="CA34" s="374">
        <v>4473.7121715940957</v>
      </c>
      <c r="CB34" s="374">
        <v>4576.9378655364262</v>
      </c>
      <c r="CC34" s="374">
        <v>4617.7249940811307</v>
      </c>
      <c r="CD34" s="374">
        <v>4625.8396103387422</v>
      </c>
      <c r="CE34" s="374">
        <v>4709.4976142422802</v>
      </c>
      <c r="CF34" s="374">
        <v>4910.9788726282986</v>
      </c>
      <c r="CG34" s="374">
        <v>4690.746654579365</v>
      </c>
      <c r="CH34" s="374">
        <v>4597.9984281177312</v>
      </c>
      <c r="CI34" s="374">
        <v>4614.4393789309843</v>
      </c>
      <c r="CJ34" s="374">
        <v>4599.4399279357258</v>
      </c>
      <c r="CK34" s="374">
        <v>4534.9156943326952</v>
      </c>
      <c r="CL34" s="374">
        <v>4808.2402846302748</v>
      </c>
      <c r="CM34" s="374">
        <v>4731.7891083057284</v>
      </c>
      <c r="CN34" s="374">
        <v>4660.2725908522871</v>
      </c>
      <c r="CO34" s="374">
        <v>4715.511403845906</v>
      </c>
    </row>
    <row r="35" spans="1:93" ht="7.7" customHeight="1">
      <c r="A35" s="371"/>
      <c r="B35" s="366"/>
      <c r="C35" s="198"/>
      <c r="D35" s="198"/>
      <c r="E35" s="210"/>
      <c r="F35" s="198"/>
      <c r="G35" s="198"/>
      <c r="H35" s="260"/>
      <c r="I35" s="260"/>
      <c r="J35" s="260"/>
      <c r="K35" s="207"/>
      <c r="L35" s="260"/>
      <c r="M35" s="260"/>
      <c r="N35" s="260"/>
      <c r="O35" s="207"/>
      <c r="P35" s="260"/>
      <c r="Q35" s="260"/>
      <c r="R35" s="207"/>
      <c r="S35" s="260"/>
      <c r="T35" s="260"/>
      <c r="U35" s="373"/>
      <c r="V35" s="373"/>
      <c r="W35" s="373"/>
      <c r="X35" s="373"/>
      <c r="Y35" s="373"/>
      <c r="Z35" s="373"/>
      <c r="AA35" s="373"/>
      <c r="AB35" s="373"/>
      <c r="AC35" s="373"/>
      <c r="AD35" s="373"/>
      <c r="AE35" s="373"/>
      <c r="AF35" s="373"/>
      <c r="AG35" s="373"/>
      <c r="AH35" s="373"/>
      <c r="AI35" s="373"/>
      <c r="AJ35" s="373"/>
      <c r="AK35" s="373"/>
      <c r="AL35" s="373"/>
      <c r="AM35" s="261"/>
      <c r="AN35" s="261"/>
      <c r="AO35" s="261"/>
      <c r="AP35" s="261"/>
      <c r="AQ35" s="261"/>
      <c r="AR35" s="366"/>
      <c r="AS35" s="366"/>
      <c r="AT35" s="366"/>
      <c r="AU35" s="366"/>
      <c r="AV35" s="366"/>
      <c r="AW35" s="369"/>
      <c r="AX35" s="369"/>
      <c r="AY35" s="369"/>
      <c r="AZ35" s="369"/>
      <c r="BA35" s="369"/>
      <c r="BB35" s="369"/>
      <c r="BC35" s="369"/>
      <c r="BD35" s="369"/>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c r="CO35" s="370"/>
    </row>
    <row r="36" spans="1:93">
      <c r="A36" s="365" t="s">
        <v>425</v>
      </c>
      <c r="B36" s="366">
        <v>15116.942524435231</v>
      </c>
      <c r="C36" s="198">
        <v>15340.222457769232</v>
      </c>
      <c r="D36" s="198">
        <v>15436.7207706386</v>
      </c>
      <c r="E36" s="210">
        <v>15692.966629632501</v>
      </c>
      <c r="F36" s="198">
        <v>15896.994440702552</v>
      </c>
      <c r="G36" s="198">
        <v>15813.534849207481</v>
      </c>
      <c r="H36" s="198">
        <v>16155.643936807443</v>
      </c>
      <c r="I36" s="198">
        <v>15698.908377838319</v>
      </c>
      <c r="J36" s="198">
        <v>15609.721732529999</v>
      </c>
      <c r="K36" s="210">
        <v>15277.935578577499</v>
      </c>
      <c r="L36" s="198">
        <v>15313.442857202497</v>
      </c>
      <c r="M36" s="198">
        <v>15684.186930290001</v>
      </c>
      <c r="N36" s="198">
        <v>15340.489823020771</v>
      </c>
      <c r="O36" s="210">
        <v>15862.4246946275</v>
      </c>
      <c r="P36" s="198">
        <v>15831.258217189999</v>
      </c>
      <c r="Q36" s="198">
        <v>16036.405133759001</v>
      </c>
      <c r="R36" s="210">
        <v>16714.162621351337</v>
      </c>
      <c r="S36" s="198">
        <v>16902.897127363605</v>
      </c>
      <c r="T36" s="198">
        <v>17958.848678855</v>
      </c>
      <c r="U36" s="200">
        <v>17862.567996480313</v>
      </c>
      <c r="V36" s="200">
        <v>18648.170724910793</v>
      </c>
      <c r="W36" s="200">
        <v>18184.048520572302</v>
      </c>
      <c r="X36" s="200">
        <v>17971.699280649998</v>
      </c>
      <c r="Y36" s="200">
        <v>17763.138895170996</v>
      </c>
      <c r="Z36" s="200">
        <v>17882.814975919999</v>
      </c>
      <c r="AA36" s="200">
        <v>17333.195110600001</v>
      </c>
      <c r="AB36" s="200">
        <v>19013.070763780001</v>
      </c>
      <c r="AC36" s="200">
        <v>18597.881258420002</v>
      </c>
      <c r="AD36" s="200">
        <v>20126.91926720001</v>
      </c>
      <c r="AE36" s="200">
        <v>20737.70626599</v>
      </c>
      <c r="AF36" s="200">
        <v>21339.073223082003</v>
      </c>
      <c r="AG36" s="200">
        <v>21726.624711916276</v>
      </c>
      <c r="AH36" s="200">
        <v>21976.713323428557</v>
      </c>
      <c r="AI36" s="200">
        <v>22073.532365816147</v>
      </c>
      <c r="AJ36" s="200">
        <v>22743.688729123929</v>
      </c>
      <c r="AK36" s="200">
        <v>23623.890787420289</v>
      </c>
      <c r="AL36" s="200">
        <v>24037.577134998959</v>
      </c>
      <c r="AM36" s="261">
        <v>24911.486120716982</v>
      </c>
      <c r="AN36" s="261">
        <v>25441.509448169909</v>
      </c>
      <c r="AO36" s="261">
        <v>26831.381436573607</v>
      </c>
      <c r="AP36" s="261">
        <v>27969.412402886199</v>
      </c>
      <c r="AQ36" s="261">
        <v>29204.06130761261</v>
      </c>
      <c r="AR36" s="366">
        <v>30061.478746890338</v>
      </c>
      <c r="AS36" s="366">
        <v>30013.07777618412</v>
      </c>
      <c r="AT36" s="366">
        <v>30240.192163557422</v>
      </c>
      <c r="AU36" s="366">
        <v>30493.290275353091</v>
      </c>
      <c r="AV36" s="366">
        <v>29986.643425269827</v>
      </c>
      <c r="AW36" s="369">
        <v>30192.637866626181</v>
      </c>
      <c r="AX36" s="369">
        <v>30133.677872429409</v>
      </c>
      <c r="AY36" s="369">
        <v>30471.485060851031</v>
      </c>
      <c r="AZ36" s="369">
        <v>30814.396110226819</v>
      </c>
      <c r="BA36" s="369">
        <v>31102.514827486215</v>
      </c>
      <c r="BB36" s="369">
        <v>31324.312980510891</v>
      </c>
      <c r="BC36" s="369">
        <v>31735.331435496766</v>
      </c>
      <c r="BD36" s="369">
        <v>32669.055944429387</v>
      </c>
      <c r="BE36" s="370">
        <v>32063.951929540497</v>
      </c>
      <c r="BF36" s="370">
        <v>32456.412352301537</v>
      </c>
      <c r="BG36" s="370">
        <v>32873.883856290136</v>
      </c>
      <c r="BH36" s="370">
        <v>33648.244522643181</v>
      </c>
      <c r="BI36" s="370">
        <v>34850.645398997061</v>
      </c>
      <c r="BJ36" s="370">
        <v>35310.939554479104</v>
      </c>
      <c r="BK36" s="370">
        <v>36406.38836048833</v>
      </c>
      <c r="BL36" s="370">
        <v>37340.338138703453</v>
      </c>
      <c r="BM36" s="370">
        <v>38538.254944416709</v>
      </c>
      <c r="BN36" s="370">
        <v>39024.947403573518</v>
      </c>
      <c r="BO36" s="370">
        <v>39583.737789667422</v>
      </c>
      <c r="BP36" s="370">
        <v>40380.426747892197</v>
      </c>
      <c r="BQ36" s="370">
        <v>40096.49645331646</v>
      </c>
      <c r="BR36" s="370">
        <v>40715.427971786092</v>
      </c>
      <c r="BS36" s="370">
        <v>40250.810220386367</v>
      </c>
      <c r="BT36" s="370">
        <v>40391.272727638607</v>
      </c>
      <c r="BU36" s="370">
        <v>40962.521936381578</v>
      </c>
      <c r="BV36" s="370">
        <v>42205.435526976828</v>
      </c>
      <c r="BW36" s="370">
        <v>42550.799013972035</v>
      </c>
      <c r="BX36" s="370">
        <v>43118.261591039991</v>
      </c>
      <c r="BY36" s="370">
        <v>43289.48516640289</v>
      </c>
      <c r="BZ36" s="370">
        <v>43572</v>
      </c>
      <c r="CA36" s="370">
        <v>43444.522447301875</v>
      </c>
      <c r="CB36" s="370">
        <v>43029.902938804204</v>
      </c>
      <c r="CC36" s="370">
        <v>42472.792006511074</v>
      </c>
      <c r="CD36" s="370">
        <v>42379.602888459645</v>
      </c>
      <c r="CE36" s="370">
        <v>42130.619052599061</v>
      </c>
      <c r="CF36" s="370">
        <v>41879.675503155711</v>
      </c>
      <c r="CG36" s="370">
        <v>42072.724455766023</v>
      </c>
      <c r="CH36" s="370">
        <v>43325.198968531164</v>
      </c>
      <c r="CI36" s="370">
        <v>43253.540572116843</v>
      </c>
      <c r="CJ36" s="370">
        <v>43570.095512344735</v>
      </c>
      <c r="CK36" s="370">
        <v>43992.604062785947</v>
      </c>
      <c r="CL36" s="370">
        <v>44659.551017516926</v>
      </c>
      <c r="CM36" s="370">
        <v>44737.278299508798</v>
      </c>
      <c r="CN36" s="370">
        <v>44805.743884943127</v>
      </c>
      <c r="CO36" s="370">
        <v>45123.066840000254</v>
      </c>
    </row>
    <row r="37" spans="1:93">
      <c r="A37" s="371" t="s">
        <v>398</v>
      </c>
      <c r="B37" s="372"/>
      <c r="C37" s="260"/>
      <c r="D37" s="260"/>
      <c r="E37" s="207"/>
      <c r="F37" s="260"/>
      <c r="G37" s="260"/>
      <c r="H37" s="260"/>
      <c r="I37" s="260"/>
      <c r="J37" s="260"/>
      <c r="K37" s="207"/>
      <c r="L37" s="260"/>
      <c r="M37" s="260"/>
      <c r="N37" s="260"/>
      <c r="O37" s="207"/>
      <c r="P37" s="260"/>
      <c r="Q37" s="260"/>
      <c r="R37" s="207"/>
      <c r="S37" s="260"/>
      <c r="T37" s="260"/>
      <c r="U37" s="373"/>
      <c r="V37" s="373"/>
      <c r="W37" s="373"/>
      <c r="X37" s="373"/>
      <c r="Y37" s="373"/>
      <c r="Z37" s="373"/>
      <c r="AA37" s="373"/>
      <c r="AB37" s="373"/>
      <c r="AC37" s="373"/>
      <c r="AD37" s="373"/>
      <c r="AE37" s="373"/>
      <c r="AF37" s="373"/>
      <c r="AG37" s="373"/>
      <c r="AH37" s="373"/>
      <c r="AI37" s="373"/>
      <c r="AJ37" s="373"/>
      <c r="AK37" s="373"/>
      <c r="AL37" s="373"/>
      <c r="AM37" s="261"/>
      <c r="AN37" s="261"/>
      <c r="AO37" s="261"/>
      <c r="AP37" s="261"/>
      <c r="AQ37" s="261"/>
      <c r="AR37" s="372"/>
      <c r="AS37" s="372"/>
      <c r="AT37" s="372"/>
      <c r="AU37" s="372"/>
      <c r="AV37" s="372"/>
      <c r="AW37" s="201"/>
      <c r="AX37" s="201"/>
      <c r="AY37" s="201"/>
      <c r="AZ37" s="201"/>
      <c r="BA37" s="201"/>
      <c r="BB37" s="201"/>
      <c r="BC37" s="201"/>
      <c r="BD37" s="201"/>
      <c r="BE37" s="374"/>
      <c r="BF37" s="374"/>
      <c r="BG37" s="374"/>
      <c r="BH37" s="374"/>
      <c r="BI37" s="374"/>
      <c r="BJ37" s="374"/>
      <c r="BK37" s="374"/>
      <c r="BL37" s="370"/>
      <c r="BM37" s="370"/>
      <c r="BN37" s="370"/>
      <c r="BO37" s="370"/>
      <c r="BP37" s="370"/>
      <c r="BQ37" s="370"/>
      <c r="BR37" s="370"/>
      <c r="BS37" s="370"/>
      <c r="BT37" s="370"/>
      <c r="BU37" s="370"/>
      <c r="BV37" s="370"/>
      <c r="BW37" s="370"/>
      <c r="BX37" s="370"/>
      <c r="BY37" s="370"/>
      <c r="BZ37" s="370"/>
      <c r="CA37" s="370"/>
      <c r="CB37" s="370"/>
      <c r="CC37" s="370"/>
      <c r="CD37" s="370"/>
      <c r="CE37" s="370"/>
      <c r="CF37" s="370"/>
      <c r="CG37" s="370"/>
      <c r="CH37" s="370"/>
      <c r="CI37" s="370"/>
      <c r="CJ37" s="370"/>
      <c r="CK37" s="370"/>
      <c r="CL37" s="370"/>
      <c r="CM37" s="370"/>
      <c r="CN37" s="370"/>
      <c r="CO37" s="370"/>
    </row>
    <row r="38" spans="1:93">
      <c r="A38" s="371" t="s">
        <v>426</v>
      </c>
      <c r="B38" s="372">
        <v>6444.7886749252302</v>
      </c>
      <c r="C38" s="260">
        <v>6305.295456699233</v>
      </c>
      <c r="D38" s="260">
        <v>6304.5127371385997</v>
      </c>
      <c r="E38" s="207">
        <v>6633.5494685125004</v>
      </c>
      <c r="F38" s="260">
        <v>6802.7288730225509</v>
      </c>
      <c r="G38" s="260">
        <v>6864.8700624874791</v>
      </c>
      <c r="H38" s="260">
        <v>6978.3594197274397</v>
      </c>
      <c r="I38" s="260">
        <v>6987.2388921083193</v>
      </c>
      <c r="J38" s="260">
        <v>6761.2236051799991</v>
      </c>
      <c r="K38" s="207">
        <v>6734.2435406175</v>
      </c>
      <c r="L38" s="260">
        <v>6713.6977799124988</v>
      </c>
      <c r="M38" s="260">
        <v>6979.0847059800008</v>
      </c>
      <c r="N38" s="260">
        <v>6742.9449578507702</v>
      </c>
      <c r="O38" s="207">
        <v>7096.4184074800014</v>
      </c>
      <c r="P38" s="260">
        <v>6874.2981054499996</v>
      </c>
      <c r="Q38" s="260">
        <v>7106.2051660289999</v>
      </c>
      <c r="R38" s="207">
        <v>7294.6279957313354</v>
      </c>
      <c r="S38" s="260">
        <v>7911.1575664936008</v>
      </c>
      <c r="T38" s="260">
        <v>8601.8289462249995</v>
      </c>
      <c r="U38" s="373">
        <v>8680.0621483603136</v>
      </c>
      <c r="V38" s="373">
        <v>9125.3628209747385</v>
      </c>
      <c r="W38" s="373">
        <v>8643.6008820922998</v>
      </c>
      <c r="X38" s="373">
        <v>9004.5649159299992</v>
      </c>
      <c r="Y38" s="373">
        <v>8562.4102878900012</v>
      </c>
      <c r="Z38" s="373">
        <v>9077.0496576200003</v>
      </c>
      <c r="AA38" s="373">
        <v>8186.5770525300004</v>
      </c>
      <c r="AB38" s="373">
        <v>10182.628594440001</v>
      </c>
      <c r="AC38" s="373">
        <v>9753.3952551399998</v>
      </c>
      <c r="AD38" s="373">
        <v>11114.291857820001</v>
      </c>
      <c r="AE38" s="373">
        <v>11580.200298870001</v>
      </c>
      <c r="AF38" s="373">
        <v>12269.380826312001</v>
      </c>
      <c r="AG38" s="373">
        <v>12691.389133246279</v>
      </c>
      <c r="AH38" s="373">
        <v>12567.320152738559</v>
      </c>
      <c r="AI38" s="373">
        <v>12600.402771576149</v>
      </c>
      <c r="AJ38" s="373">
        <v>12635.541921993929</v>
      </c>
      <c r="AK38" s="373">
        <v>13169.436488200285</v>
      </c>
      <c r="AL38" s="373">
        <v>13628.700497694255</v>
      </c>
      <c r="AM38" s="262">
        <v>13485.89982990036</v>
      </c>
      <c r="AN38" s="262">
        <v>13978.265567046956</v>
      </c>
      <c r="AO38" s="262">
        <v>14770.230000431471</v>
      </c>
      <c r="AP38" s="262">
        <v>15384.684646477044</v>
      </c>
      <c r="AQ38" s="262">
        <v>16418.186102116582</v>
      </c>
      <c r="AR38" s="372">
        <v>16819.744095303337</v>
      </c>
      <c r="AS38" s="372">
        <v>16483.991348237902</v>
      </c>
      <c r="AT38" s="372">
        <v>16997.548346971635</v>
      </c>
      <c r="AU38" s="372">
        <v>17113.250938400091</v>
      </c>
      <c r="AV38" s="372">
        <v>17171.710921446</v>
      </c>
      <c r="AW38" s="201">
        <v>17073.678888538001</v>
      </c>
      <c r="AX38" s="201">
        <v>17095.034753902684</v>
      </c>
      <c r="AY38" s="201">
        <v>17817.152225681199</v>
      </c>
      <c r="AZ38" s="201">
        <v>17906.253474518988</v>
      </c>
      <c r="BA38" s="201">
        <v>17692.894974183557</v>
      </c>
      <c r="BB38" s="201">
        <v>17980.276590711997</v>
      </c>
      <c r="BC38" s="201">
        <v>18345.873784902757</v>
      </c>
      <c r="BD38" s="201">
        <v>18664.111806376735</v>
      </c>
      <c r="BE38" s="374">
        <v>18299.297011773768</v>
      </c>
      <c r="BF38" s="374">
        <v>18849.5629346938</v>
      </c>
      <c r="BG38" s="374">
        <v>18237.742267949303</v>
      </c>
      <c r="BH38" s="374">
        <v>18532.403376099646</v>
      </c>
      <c r="BI38" s="374">
        <v>20876.439979044691</v>
      </c>
      <c r="BJ38" s="374">
        <v>20612.104700710323</v>
      </c>
      <c r="BK38" s="374">
        <v>21015.164096153771</v>
      </c>
      <c r="BL38" s="374">
        <v>21812.39123293119</v>
      </c>
      <c r="BM38" s="374">
        <v>23286.924846593422</v>
      </c>
      <c r="BN38" s="374">
        <v>23244.365210886339</v>
      </c>
      <c r="BO38" s="374">
        <v>23903.763452114505</v>
      </c>
      <c r="BP38" s="374">
        <v>24311.55523149221</v>
      </c>
      <c r="BQ38" s="374">
        <v>24170.292192276418</v>
      </c>
      <c r="BR38" s="374">
        <v>24605.413468120329</v>
      </c>
      <c r="BS38" s="374">
        <v>24504.204618881635</v>
      </c>
      <c r="BT38" s="374">
        <v>24251.901324765495</v>
      </c>
      <c r="BU38" s="374">
        <v>24886.096967351834</v>
      </c>
      <c r="BV38" s="374">
        <v>25722.640854484063</v>
      </c>
      <c r="BW38" s="374">
        <v>26319.272506515608</v>
      </c>
      <c r="BX38" s="374">
        <v>26496.494134091485</v>
      </c>
      <c r="BY38" s="374">
        <v>26638.718733664795</v>
      </c>
      <c r="BZ38" s="374">
        <v>26592.3</v>
      </c>
      <c r="CA38" s="374">
        <v>26509.758805633959</v>
      </c>
      <c r="CB38" s="374">
        <v>26176.510753525828</v>
      </c>
      <c r="CC38" s="374">
        <v>25726.591426780855</v>
      </c>
      <c r="CD38" s="374">
        <v>25832.408048005036</v>
      </c>
      <c r="CE38" s="374">
        <v>25465.192956973882</v>
      </c>
      <c r="CF38" s="374">
        <v>25309.266102489641</v>
      </c>
      <c r="CG38" s="374">
        <v>25368.739889411077</v>
      </c>
      <c r="CH38" s="374">
        <v>26254.089162531789</v>
      </c>
      <c r="CI38" s="374">
        <v>26126.17752316855</v>
      </c>
      <c r="CJ38" s="374">
        <v>26059.490091299824</v>
      </c>
      <c r="CK38" s="374">
        <v>26240.89264214713</v>
      </c>
      <c r="CL38" s="374">
        <v>26830.54477783191</v>
      </c>
      <c r="CM38" s="374">
        <v>26935.095087198326</v>
      </c>
      <c r="CN38" s="374">
        <v>26758.256683495547</v>
      </c>
      <c r="CO38" s="374">
        <v>27000.954808954735</v>
      </c>
    </row>
    <row r="39" spans="1:93">
      <c r="A39" s="371" t="s">
        <v>427</v>
      </c>
      <c r="B39" s="372">
        <v>468.60798435999999</v>
      </c>
      <c r="C39" s="260">
        <v>470.24154758999998</v>
      </c>
      <c r="D39" s="260">
        <v>479.68038003999999</v>
      </c>
      <c r="E39" s="207">
        <v>479.50442501999999</v>
      </c>
      <c r="F39" s="260">
        <v>481.58261557000003</v>
      </c>
      <c r="G39" s="260">
        <v>466.51204041</v>
      </c>
      <c r="H39" s="260">
        <v>457.62590590999997</v>
      </c>
      <c r="I39" s="260">
        <v>472.24705354000002</v>
      </c>
      <c r="J39" s="260">
        <v>481.09773373000002</v>
      </c>
      <c r="K39" s="207">
        <v>472.07193341999999</v>
      </c>
      <c r="L39" s="260">
        <v>496.24646680000001</v>
      </c>
      <c r="M39" s="260">
        <v>511.45445789000007</v>
      </c>
      <c r="N39" s="260">
        <v>497.24813764999999</v>
      </c>
      <c r="O39" s="207">
        <v>528.41465094750004</v>
      </c>
      <c r="P39" s="260">
        <v>539.2068761700001</v>
      </c>
      <c r="Q39" s="260">
        <v>522.09401614000001</v>
      </c>
      <c r="R39" s="207">
        <v>526.45380634000003</v>
      </c>
      <c r="S39" s="260">
        <v>542.46389465000004</v>
      </c>
      <c r="T39" s="260">
        <v>526.12812516000008</v>
      </c>
      <c r="U39" s="373">
        <v>512.83819185000004</v>
      </c>
      <c r="V39" s="373">
        <v>551.53457698</v>
      </c>
      <c r="W39" s="373">
        <v>501.04487133999999</v>
      </c>
      <c r="X39" s="373">
        <v>538.73533246</v>
      </c>
      <c r="Y39" s="373">
        <v>498.29035831000004</v>
      </c>
      <c r="Z39" s="373">
        <v>466.64985055999995</v>
      </c>
      <c r="AA39" s="373">
        <v>456.69155274000002</v>
      </c>
      <c r="AB39" s="373">
        <v>465.46625001000001</v>
      </c>
      <c r="AC39" s="373">
        <v>468.15293301999992</v>
      </c>
      <c r="AD39" s="373">
        <v>484.50061353999996</v>
      </c>
      <c r="AE39" s="373">
        <v>434.89408147000006</v>
      </c>
      <c r="AF39" s="373">
        <v>442.82866725000002</v>
      </c>
      <c r="AG39" s="373">
        <v>454.39573581999997</v>
      </c>
      <c r="AH39" s="373">
        <v>458.74458886000002</v>
      </c>
      <c r="AI39" s="373">
        <v>550.66283559999988</v>
      </c>
      <c r="AJ39" s="373">
        <v>536.79151089000004</v>
      </c>
      <c r="AK39" s="373">
        <v>525.15368693000005</v>
      </c>
      <c r="AL39" s="373">
        <v>528.87499480999998</v>
      </c>
      <c r="AM39" s="262">
        <v>736.25263270507548</v>
      </c>
      <c r="AN39" s="262">
        <v>767.22931738944737</v>
      </c>
      <c r="AO39" s="262">
        <v>762.64465607813838</v>
      </c>
      <c r="AP39" s="262">
        <v>778.36642598808839</v>
      </c>
      <c r="AQ39" s="262">
        <v>828.78973730421194</v>
      </c>
      <c r="AR39" s="372">
        <v>814.34787147140003</v>
      </c>
      <c r="AS39" s="372">
        <v>821.1324246622188</v>
      </c>
      <c r="AT39" s="372">
        <v>845.13113745280009</v>
      </c>
      <c r="AU39" s="372">
        <v>843.87320631766488</v>
      </c>
      <c r="AV39" s="372">
        <v>780.63020521483008</v>
      </c>
      <c r="AW39" s="201">
        <v>835.71731479097934</v>
      </c>
      <c r="AX39" s="201">
        <v>808.23524528150836</v>
      </c>
      <c r="AY39" s="201">
        <v>864.52464495352797</v>
      </c>
      <c r="AZ39" s="201">
        <v>835.01464383940811</v>
      </c>
      <c r="BA39" s="201">
        <v>852.48664039232472</v>
      </c>
      <c r="BB39" s="201">
        <v>820.18542898882708</v>
      </c>
      <c r="BC39" s="201">
        <v>783.24904743539662</v>
      </c>
      <c r="BD39" s="201">
        <v>854.49531804243452</v>
      </c>
      <c r="BE39" s="374">
        <v>866.56678217700005</v>
      </c>
      <c r="BF39" s="374">
        <v>863.93197241999985</v>
      </c>
      <c r="BG39" s="374">
        <v>1163.252797892</v>
      </c>
      <c r="BH39" s="374">
        <v>935.63231437349998</v>
      </c>
      <c r="BI39" s="374">
        <v>960.24258202700014</v>
      </c>
      <c r="BJ39" s="374">
        <v>929.53932955300002</v>
      </c>
      <c r="BK39" s="374">
        <v>895.58478828299997</v>
      </c>
      <c r="BL39" s="374">
        <v>918.33535403909991</v>
      </c>
      <c r="BM39" s="374">
        <v>626.41958018500009</v>
      </c>
      <c r="BN39" s="374">
        <v>628.84846234835004</v>
      </c>
      <c r="BO39" s="374">
        <v>597.69785010359988</v>
      </c>
      <c r="BP39" s="374">
        <v>645.54345992879996</v>
      </c>
      <c r="BQ39" s="374">
        <v>655.9961158003</v>
      </c>
      <c r="BR39" s="374">
        <v>672.19210213769998</v>
      </c>
      <c r="BS39" s="374">
        <v>665.46477013560002</v>
      </c>
      <c r="BT39" s="374">
        <v>673.46223828982511</v>
      </c>
      <c r="BU39" s="374">
        <v>629.98539596748401</v>
      </c>
      <c r="BV39" s="374">
        <v>639.71141224889197</v>
      </c>
      <c r="BW39" s="374">
        <v>656.70469074235007</v>
      </c>
      <c r="BX39" s="374">
        <v>642.20342627750006</v>
      </c>
      <c r="BY39" s="374">
        <v>637.97542089280012</v>
      </c>
      <c r="BZ39" s="374">
        <v>660.6</v>
      </c>
      <c r="CA39" s="374">
        <v>670.19315308</v>
      </c>
      <c r="CB39" s="374">
        <v>641.55011064440009</v>
      </c>
      <c r="CC39" s="374">
        <v>628.59565935428998</v>
      </c>
      <c r="CD39" s="374">
        <v>587.39318120709595</v>
      </c>
      <c r="CE39" s="374">
        <v>529.7320594299124</v>
      </c>
      <c r="CF39" s="374">
        <v>577.35060364858953</v>
      </c>
      <c r="CG39" s="374">
        <v>620.21793431018</v>
      </c>
      <c r="CH39" s="374">
        <v>557.35959204843937</v>
      </c>
      <c r="CI39" s="374">
        <v>555.70872516225609</v>
      </c>
      <c r="CJ39" s="374">
        <v>567.088139485488</v>
      </c>
      <c r="CK39" s="374">
        <v>567.92160093380994</v>
      </c>
      <c r="CL39" s="374">
        <v>559.07335459969693</v>
      </c>
      <c r="CM39" s="374">
        <v>577.10916266942399</v>
      </c>
      <c r="CN39" s="374">
        <v>568.76678335682527</v>
      </c>
      <c r="CO39" s="374">
        <v>536.68980986636302</v>
      </c>
    </row>
    <row r="40" spans="1:93">
      <c r="A40" s="371" t="s">
        <v>428</v>
      </c>
      <c r="B40" s="372">
        <v>1162.9356793799998</v>
      </c>
      <c r="C40" s="260">
        <v>1131.2907618199997</v>
      </c>
      <c r="D40" s="260">
        <v>1166.2176899599999</v>
      </c>
      <c r="E40" s="207">
        <v>1158.4819639699997</v>
      </c>
      <c r="F40" s="260">
        <v>1175.7612312900001</v>
      </c>
      <c r="G40" s="260">
        <v>941.65728150000007</v>
      </c>
      <c r="H40" s="260">
        <v>993.87810414</v>
      </c>
      <c r="I40" s="260">
        <v>1003.72506273</v>
      </c>
      <c r="J40" s="260">
        <v>1215.0490695599999</v>
      </c>
      <c r="K40" s="207">
        <v>972.94413888000008</v>
      </c>
      <c r="L40" s="260">
        <v>965.11932878000005</v>
      </c>
      <c r="M40" s="260">
        <v>916.70504654000001</v>
      </c>
      <c r="N40" s="260">
        <v>802.31248841000001</v>
      </c>
      <c r="O40" s="207">
        <v>872.13641170000005</v>
      </c>
      <c r="P40" s="260">
        <v>818.36552984999992</v>
      </c>
      <c r="Q40" s="260">
        <v>815.95914462000007</v>
      </c>
      <c r="R40" s="207">
        <v>861.96423044000005</v>
      </c>
      <c r="S40" s="260">
        <v>765.58609545000002</v>
      </c>
      <c r="T40" s="260">
        <v>853.47303348000003</v>
      </c>
      <c r="U40" s="373">
        <v>787.78583042999992</v>
      </c>
      <c r="V40" s="373">
        <v>785.84849853000014</v>
      </c>
      <c r="W40" s="373">
        <v>753.37836473999994</v>
      </c>
      <c r="X40" s="373">
        <v>662.78097652999998</v>
      </c>
      <c r="Y40" s="373">
        <v>981.96627690000003</v>
      </c>
      <c r="Z40" s="373">
        <v>1062.5459337100001</v>
      </c>
      <c r="AA40" s="373">
        <v>1204.6879438000001</v>
      </c>
      <c r="AB40" s="373">
        <v>797.69432051000001</v>
      </c>
      <c r="AC40" s="373">
        <v>774.26449505999994</v>
      </c>
      <c r="AD40" s="373">
        <v>782.88061094000011</v>
      </c>
      <c r="AE40" s="373">
        <v>1094.8615553599998</v>
      </c>
      <c r="AF40" s="373">
        <v>977.44120275000012</v>
      </c>
      <c r="AG40" s="373">
        <v>1001.5621306699999</v>
      </c>
      <c r="AH40" s="373">
        <v>933.60571980999998</v>
      </c>
      <c r="AI40" s="373">
        <v>635.71753233000004</v>
      </c>
      <c r="AJ40" s="373">
        <v>766.06467996999993</v>
      </c>
      <c r="AK40" s="373">
        <v>746.91647439999997</v>
      </c>
      <c r="AL40" s="373">
        <v>897.7234989399999</v>
      </c>
      <c r="AM40" s="262">
        <v>1213.30374869</v>
      </c>
      <c r="AN40" s="262">
        <v>1192.29668277</v>
      </c>
      <c r="AO40" s="262">
        <v>1131.4506496000001</v>
      </c>
      <c r="AP40" s="262">
        <v>967.05194824000012</v>
      </c>
      <c r="AQ40" s="262">
        <v>949.13341641739999</v>
      </c>
      <c r="AR40" s="372">
        <v>984.64917747160007</v>
      </c>
      <c r="AS40" s="372">
        <v>1308.4414925600001</v>
      </c>
      <c r="AT40" s="372">
        <v>927.91836048920004</v>
      </c>
      <c r="AU40" s="372">
        <v>865.270856181</v>
      </c>
      <c r="AV40" s="372">
        <v>844.4362185760001</v>
      </c>
      <c r="AW40" s="201">
        <v>902.59995982999988</v>
      </c>
      <c r="AX40" s="201">
        <v>870.88403972080005</v>
      </c>
      <c r="AY40" s="201">
        <v>869.90900274839998</v>
      </c>
      <c r="AZ40" s="201">
        <v>647.2437888157001</v>
      </c>
      <c r="BA40" s="201">
        <v>659.70122256280001</v>
      </c>
      <c r="BB40" s="201">
        <v>649.53919179190007</v>
      </c>
      <c r="BC40" s="201">
        <v>657.1281703308</v>
      </c>
      <c r="BD40" s="201">
        <v>721.66498546460014</v>
      </c>
      <c r="BE40" s="374">
        <v>619.60441126160003</v>
      </c>
      <c r="BF40" s="374">
        <v>689.23127576000002</v>
      </c>
      <c r="BG40" s="374">
        <v>746.58323857000005</v>
      </c>
      <c r="BH40" s="374">
        <v>816.38891534779998</v>
      </c>
      <c r="BI40" s="374">
        <v>822.91521183569989</v>
      </c>
      <c r="BJ40" s="374">
        <v>660.33382583529999</v>
      </c>
      <c r="BK40" s="374">
        <v>890.3417324400001</v>
      </c>
      <c r="BL40" s="374">
        <v>912.81419984490014</v>
      </c>
      <c r="BM40" s="374">
        <v>907.34752255759997</v>
      </c>
      <c r="BN40" s="374">
        <v>1103.4293905640002</v>
      </c>
      <c r="BO40" s="374">
        <v>1098.8190824791998</v>
      </c>
      <c r="BP40" s="374">
        <v>1086.2779939989002</v>
      </c>
      <c r="BQ40" s="374">
        <v>1102.7416683502001</v>
      </c>
      <c r="BR40" s="374">
        <v>1017.9662629621</v>
      </c>
      <c r="BS40" s="374">
        <v>1047.2683423904</v>
      </c>
      <c r="BT40" s="374">
        <v>1222.7016199096752</v>
      </c>
      <c r="BU40" s="374">
        <v>1038.192572284026</v>
      </c>
      <c r="BV40" s="374">
        <v>1070.0801470244</v>
      </c>
      <c r="BW40" s="374">
        <v>1050.290249135955</v>
      </c>
      <c r="BX40" s="374">
        <v>1023.9510717104999</v>
      </c>
      <c r="BY40" s="374">
        <v>1025.6176749312001</v>
      </c>
      <c r="BZ40" s="374">
        <v>1102.7</v>
      </c>
      <c r="CA40" s="374">
        <v>1173.2575775100001</v>
      </c>
      <c r="CB40" s="374">
        <v>1229.0083955999999</v>
      </c>
      <c r="CC40" s="374">
        <v>1241.0590705384</v>
      </c>
      <c r="CD40" s="374">
        <v>1160.4138999592342</v>
      </c>
      <c r="CE40" s="374">
        <v>1114.8627421571664</v>
      </c>
      <c r="CF40" s="374">
        <v>1151.6871802734861</v>
      </c>
      <c r="CG40" s="374">
        <v>1215.5913640822532</v>
      </c>
      <c r="CH40" s="374">
        <v>1156.1124858719008</v>
      </c>
      <c r="CI40" s="374">
        <v>1166.4370581979306</v>
      </c>
      <c r="CJ40" s="374">
        <v>1187.873294201248</v>
      </c>
      <c r="CK40" s="374">
        <v>1227.9908151867189</v>
      </c>
      <c r="CL40" s="374">
        <v>1212.3295438793812</v>
      </c>
      <c r="CM40" s="374">
        <v>1113.2806808999999</v>
      </c>
      <c r="CN40" s="374">
        <v>1246.6045088000001</v>
      </c>
      <c r="CO40" s="374">
        <v>1282.6906904670659</v>
      </c>
    </row>
    <row r="41" spans="1:93">
      <c r="A41" s="371" t="s">
        <v>429</v>
      </c>
      <c r="B41" s="372">
        <v>6302.0155715999999</v>
      </c>
      <c r="C41" s="260">
        <v>6680.7657261099994</v>
      </c>
      <c r="D41" s="260">
        <v>6724.97390103</v>
      </c>
      <c r="E41" s="207">
        <v>6641.7870406299999</v>
      </c>
      <c r="F41" s="260">
        <v>6619.2726597399997</v>
      </c>
      <c r="G41" s="260">
        <v>6682.9836608900005</v>
      </c>
      <c r="H41" s="260">
        <v>7002.9131673500005</v>
      </c>
      <c r="I41" s="260">
        <v>6496.2261887800005</v>
      </c>
      <c r="J41" s="260">
        <v>6387.5204919999996</v>
      </c>
      <c r="K41" s="207">
        <v>6324.3398256299997</v>
      </c>
      <c r="L41" s="260">
        <v>6275.8983495599996</v>
      </c>
      <c r="M41" s="260">
        <v>6446.1536180599996</v>
      </c>
      <c r="N41" s="260">
        <v>6381.1979789400002</v>
      </c>
      <c r="O41" s="207">
        <v>6373.0213946099993</v>
      </c>
      <c r="P41" s="260">
        <v>6637.4945316800004</v>
      </c>
      <c r="Q41" s="260">
        <v>6604.8001880299998</v>
      </c>
      <c r="R41" s="207">
        <v>7131.5605834400003</v>
      </c>
      <c r="S41" s="260">
        <v>6885.8107046000005</v>
      </c>
      <c r="T41" s="260">
        <v>6880.0402745700003</v>
      </c>
      <c r="U41" s="373">
        <v>6897.9790052099988</v>
      </c>
      <c r="V41" s="373">
        <v>7111.6080771899997</v>
      </c>
      <c r="W41" s="373">
        <v>7272.3038766100008</v>
      </c>
      <c r="X41" s="373">
        <v>6765.3666168500004</v>
      </c>
      <c r="Y41" s="373">
        <v>6613.9897949399983</v>
      </c>
      <c r="Z41" s="373">
        <v>6511.3408801600008</v>
      </c>
      <c r="AA41" s="373">
        <v>6720.2382139600013</v>
      </c>
      <c r="AB41" s="373">
        <v>6799.8022695700001</v>
      </c>
      <c r="AC41" s="373">
        <v>6831.4908400600007</v>
      </c>
      <c r="AD41" s="373">
        <v>6968.8469247900011</v>
      </c>
      <c r="AE41" s="373">
        <v>6848.1601100899998</v>
      </c>
      <c r="AF41" s="373">
        <v>6873.1524102100011</v>
      </c>
      <c r="AG41" s="373">
        <v>6801.7794347700001</v>
      </c>
      <c r="AH41" s="373">
        <v>7214.9492784000004</v>
      </c>
      <c r="AI41" s="373">
        <v>7402.2263905499995</v>
      </c>
      <c r="AJ41" s="373">
        <v>7896.7884714799993</v>
      </c>
      <c r="AK41" s="373">
        <v>8124.274790559999</v>
      </c>
      <c r="AL41" s="373">
        <v>7858.4080253399998</v>
      </c>
      <c r="AM41" s="262">
        <v>8373.366120409999</v>
      </c>
      <c r="AN41" s="262">
        <v>8360.8378858800006</v>
      </c>
      <c r="AO41" s="262">
        <v>8991.8658315800003</v>
      </c>
      <c r="AP41" s="262">
        <v>9712.5298214499999</v>
      </c>
      <c r="AQ41" s="262">
        <v>9883.7314959899995</v>
      </c>
      <c r="AR41" s="372">
        <v>10251.246496</v>
      </c>
      <c r="AS41" s="372">
        <v>10210.12844561</v>
      </c>
      <c r="AT41" s="372">
        <v>10274.11542903</v>
      </c>
      <c r="AU41" s="372">
        <v>10468.837709490001</v>
      </c>
      <c r="AV41" s="372">
        <v>9958.9733252599981</v>
      </c>
      <c r="AW41" s="201">
        <v>10147.86294008</v>
      </c>
      <c r="AX41" s="201">
        <v>10126.988990459999</v>
      </c>
      <c r="AY41" s="201">
        <v>9803.2966179199993</v>
      </c>
      <c r="AZ41" s="201">
        <v>10097.500459539999</v>
      </c>
      <c r="BA41" s="201">
        <v>10765.053340660001</v>
      </c>
      <c r="BB41" s="201">
        <v>10735.642151260001</v>
      </c>
      <c r="BC41" s="201">
        <v>10856.389915900001</v>
      </c>
      <c r="BD41" s="201">
        <v>11348.335393660002</v>
      </c>
      <c r="BE41" s="374">
        <v>11034.58892355</v>
      </c>
      <c r="BF41" s="374">
        <v>10951.950675990001</v>
      </c>
      <c r="BG41" s="374">
        <v>11418.877000849998</v>
      </c>
      <c r="BH41" s="374">
        <v>11740.11639187</v>
      </c>
      <c r="BI41" s="374">
        <v>10661.107172099999</v>
      </c>
      <c r="BJ41" s="374">
        <v>11233.356511910002</v>
      </c>
      <c r="BK41" s="374">
        <v>11698.912610020001</v>
      </c>
      <c r="BL41" s="374">
        <v>11690.901640940001</v>
      </c>
      <c r="BM41" s="374">
        <v>11656.34252584</v>
      </c>
      <c r="BN41" s="374">
        <v>11898.459281705294</v>
      </c>
      <c r="BO41" s="374">
        <v>11841.779248340001</v>
      </c>
      <c r="BP41" s="374">
        <v>12119.461163170001</v>
      </c>
      <c r="BQ41" s="374">
        <v>11959.263320089998</v>
      </c>
      <c r="BR41" s="374">
        <v>12033.299451299999</v>
      </c>
      <c r="BS41" s="374">
        <v>11849.029915270001</v>
      </c>
      <c r="BT41" s="374">
        <v>12049.735481350001</v>
      </c>
      <c r="BU41" s="374">
        <v>12237.623585720001</v>
      </c>
      <c r="BV41" s="374">
        <v>12771.87269471</v>
      </c>
      <c r="BW41" s="374">
        <v>12604.712873370001</v>
      </c>
      <c r="BX41" s="374">
        <v>13016.858134540002</v>
      </c>
      <c r="BY41" s="374">
        <v>12913.63105928</v>
      </c>
      <c r="BZ41" s="374">
        <v>13147</v>
      </c>
      <c r="CA41" s="374">
        <v>13118.937917528101</v>
      </c>
      <c r="CB41" s="374">
        <v>12808.987533569998</v>
      </c>
      <c r="CC41" s="374">
        <v>12699.294463599999</v>
      </c>
      <c r="CD41" s="374">
        <v>12887.268928355456</v>
      </c>
      <c r="CE41" s="374">
        <v>13032.068816149102</v>
      </c>
      <c r="CF41" s="374">
        <v>12804.429970065301</v>
      </c>
      <c r="CG41" s="374">
        <v>12694.494009423945</v>
      </c>
      <c r="CH41" s="374">
        <v>13143.762891464403</v>
      </c>
      <c r="CI41" s="374">
        <v>13157.813962058814</v>
      </c>
      <c r="CJ41" s="374">
        <v>13578.577021504259</v>
      </c>
      <c r="CK41" s="374">
        <v>13771.555092289998</v>
      </c>
      <c r="CL41" s="374">
        <v>13816.512786643209</v>
      </c>
      <c r="CM41" s="374">
        <v>13818.975094050335</v>
      </c>
      <c r="CN41" s="374">
        <v>14040.205881303198</v>
      </c>
      <c r="CO41" s="374">
        <v>13791.420592661387</v>
      </c>
    </row>
    <row r="42" spans="1:93">
      <c r="A42" s="371" t="s">
        <v>430</v>
      </c>
      <c r="B42" s="372">
        <v>189.6872918</v>
      </c>
      <c r="C42" s="260">
        <v>192.32956038000003</v>
      </c>
      <c r="D42" s="260">
        <v>187.63579283999997</v>
      </c>
      <c r="E42" s="207">
        <v>186.83519117999998</v>
      </c>
      <c r="F42" s="260">
        <v>190.58374953999999</v>
      </c>
      <c r="G42" s="260">
        <v>189.64591591999999</v>
      </c>
      <c r="H42" s="260">
        <v>186.66834541000003</v>
      </c>
      <c r="I42" s="260">
        <v>187.36985098000002</v>
      </c>
      <c r="J42" s="260">
        <v>185.50251247999998</v>
      </c>
      <c r="K42" s="207">
        <v>189.50261290999995</v>
      </c>
      <c r="L42" s="260">
        <v>245.97233521000004</v>
      </c>
      <c r="M42" s="260">
        <v>236.67397958000001</v>
      </c>
      <c r="N42" s="260">
        <v>240.47186411999999</v>
      </c>
      <c r="O42" s="207">
        <v>237.13085701</v>
      </c>
      <c r="P42" s="260">
        <v>240.56629139000003</v>
      </c>
      <c r="Q42" s="260">
        <v>232.90897743999994</v>
      </c>
      <c r="R42" s="207">
        <v>233.20169378999998</v>
      </c>
      <c r="S42" s="260">
        <v>228.62220969000003</v>
      </c>
      <c r="T42" s="260">
        <v>230.02197689000002</v>
      </c>
      <c r="U42" s="373">
        <v>224.88639358999998</v>
      </c>
      <c r="V42" s="373">
        <v>223.13200476</v>
      </c>
      <c r="W42" s="373">
        <v>229.63675009000002</v>
      </c>
      <c r="X42" s="373">
        <v>230.63354143999996</v>
      </c>
      <c r="Y42" s="373">
        <v>231.76835582999999</v>
      </c>
      <c r="Z42" s="373">
        <v>232.92954629000002</v>
      </c>
      <c r="AA42" s="373">
        <v>227.12856425000001</v>
      </c>
      <c r="AB42" s="373">
        <v>225.40608684999998</v>
      </c>
      <c r="AC42" s="373">
        <v>222.93032299000001</v>
      </c>
      <c r="AD42" s="373">
        <v>225.67875407999998</v>
      </c>
      <c r="AE42" s="373">
        <v>220.07457709000002</v>
      </c>
      <c r="AF42" s="373">
        <v>217.45503998000001</v>
      </c>
      <c r="AG42" s="373">
        <v>212.09023410000003</v>
      </c>
      <c r="AH42" s="373">
        <v>216.46422154999999</v>
      </c>
      <c r="AI42" s="373">
        <v>262.10546948000001</v>
      </c>
      <c r="AJ42" s="373">
        <v>250.27184975</v>
      </c>
      <c r="AK42" s="373">
        <v>246.37631425000006</v>
      </c>
      <c r="AL42" s="373">
        <v>252.57374556470003</v>
      </c>
      <c r="AM42" s="262">
        <v>266.12989082154002</v>
      </c>
      <c r="AN42" s="262">
        <v>262.62759897350799</v>
      </c>
      <c r="AO42" s="262">
        <v>258.93287238400001</v>
      </c>
      <c r="AP42" s="262">
        <v>258.21758849066197</v>
      </c>
      <c r="AQ42" s="262">
        <v>259.120777493216</v>
      </c>
      <c r="AR42" s="372">
        <v>254.30588637480002</v>
      </c>
      <c r="AS42" s="372">
        <v>266.04407790399995</v>
      </c>
      <c r="AT42" s="372">
        <v>274.803833884992</v>
      </c>
      <c r="AU42" s="372">
        <v>272.57093989853598</v>
      </c>
      <c r="AV42" s="372">
        <v>267.98756963200003</v>
      </c>
      <c r="AW42" s="201">
        <v>264.32966434080004</v>
      </c>
      <c r="AX42" s="201">
        <v>265.01099268001599</v>
      </c>
      <c r="AY42" s="201">
        <v>271.85899290409992</v>
      </c>
      <c r="AZ42" s="201">
        <v>274.65470752433197</v>
      </c>
      <c r="BA42" s="201">
        <v>279.41477370823003</v>
      </c>
      <c r="BB42" s="201">
        <v>277.1825085653</v>
      </c>
      <c r="BC42" s="201">
        <v>277.09952837940563</v>
      </c>
      <c r="BD42" s="201">
        <v>275.55134261480589</v>
      </c>
      <c r="BE42" s="374">
        <v>273.70802355509903</v>
      </c>
      <c r="BF42" s="374">
        <v>268.14331030472505</v>
      </c>
      <c r="BG42" s="374">
        <v>269.02164397112</v>
      </c>
      <c r="BH42" s="374">
        <v>731.10729746381207</v>
      </c>
      <c r="BI42" s="374">
        <v>791.4426735720939</v>
      </c>
      <c r="BJ42" s="374">
        <v>831.26537429648999</v>
      </c>
      <c r="BK42" s="374">
        <v>830.56692355338316</v>
      </c>
      <c r="BL42" s="374">
        <v>837.41173247365589</v>
      </c>
      <c r="BM42" s="374">
        <v>889.69365506415386</v>
      </c>
      <c r="BN42" s="374">
        <v>902.07250825924405</v>
      </c>
      <c r="BO42" s="374">
        <v>964.38526821359596</v>
      </c>
      <c r="BP42" s="374">
        <v>952.33906185976116</v>
      </c>
      <c r="BQ42" s="374">
        <v>934.85561663628698</v>
      </c>
      <c r="BR42" s="374">
        <v>930.74407377235798</v>
      </c>
      <c r="BS42" s="374">
        <v>896.93220265692787</v>
      </c>
      <c r="BT42" s="374">
        <v>891.44318436327978</v>
      </c>
      <c r="BU42" s="374">
        <v>872.35668540845006</v>
      </c>
      <c r="BV42" s="374">
        <v>883.20447421792983</v>
      </c>
      <c r="BW42" s="374">
        <v>855.66444331264495</v>
      </c>
      <c r="BX42" s="374">
        <v>852.46329929900003</v>
      </c>
      <c r="BY42" s="374">
        <v>850.37503405889993</v>
      </c>
      <c r="BZ42" s="374">
        <v>842.7</v>
      </c>
      <c r="CA42" s="374">
        <v>843.82739237395106</v>
      </c>
      <c r="CB42" s="374">
        <v>823.68528307794395</v>
      </c>
      <c r="CC42" s="374">
        <v>835.41973142809604</v>
      </c>
      <c r="CD42" s="374">
        <v>806.93081357865594</v>
      </c>
      <c r="CE42" s="374">
        <v>826.45568050751604</v>
      </c>
      <c r="CF42" s="374">
        <v>829.50856398211704</v>
      </c>
      <c r="CG42" s="374">
        <v>841.19152755898278</v>
      </c>
      <c r="CH42" s="374">
        <v>828.68114600926219</v>
      </c>
      <c r="CI42" s="374">
        <v>836.14533475577196</v>
      </c>
      <c r="CJ42" s="374">
        <v>832.7422997703361</v>
      </c>
      <c r="CK42" s="374">
        <v>829.79129939327083</v>
      </c>
      <c r="CL42" s="374">
        <v>826.88951937407182</v>
      </c>
      <c r="CM42" s="374">
        <v>808.0384836316731</v>
      </c>
      <c r="CN42" s="374">
        <v>849.70204623608936</v>
      </c>
      <c r="CO42" s="374">
        <v>1019.243693077647</v>
      </c>
    </row>
    <row r="43" spans="1:93">
      <c r="A43" s="371" t="s">
        <v>431</v>
      </c>
      <c r="B43" s="372">
        <v>9.1179679999999994</v>
      </c>
      <c r="C43" s="260">
        <v>11.717330350000001</v>
      </c>
      <c r="D43" s="260">
        <v>7.9930430399999999</v>
      </c>
      <c r="E43" s="207">
        <v>11.861389920000001</v>
      </c>
      <c r="F43" s="260">
        <v>9.7494911799999997</v>
      </c>
      <c r="G43" s="260">
        <v>10.30769705</v>
      </c>
      <c r="H43" s="260">
        <v>9.1355911999999986</v>
      </c>
      <c r="I43" s="260">
        <v>9.0528145999999996</v>
      </c>
      <c r="J43" s="260">
        <v>10.624908900000001</v>
      </c>
      <c r="K43" s="207">
        <v>10.878828310000001</v>
      </c>
      <c r="L43" s="260">
        <v>11.046060539999999</v>
      </c>
      <c r="M43" s="260">
        <v>11.032120429999997</v>
      </c>
      <c r="N43" s="260">
        <v>11.822817200000003</v>
      </c>
      <c r="O43" s="207">
        <v>10.679816880000001</v>
      </c>
      <c r="P43" s="260">
        <v>10.692720060000001</v>
      </c>
      <c r="Q43" s="260">
        <v>11.146156640000001</v>
      </c>
      <c r="R43" s="207">
        <v>8.5388528500000014</v>
      </c>
      <c r="S43" s="260">
        <v>8.4781432800000012</v>
      </c>
      <c r="T43" s="260">
        <v>8.530895189999999</v>
      </c>
      <c r="U43" s="373">
        <v>7.4263485899999999</v>
      </c>
      <c r="V43" s="373">
        <v>13.55000566</v>
      </c>
      <c r="W43" s="373">
        <v>13.858574460000002</v>
      </c>
      <c r="X43" s="373">
        <v>14.853204540000002</v>
      </c>
      <c r="Y43" s="373">
        <v>15.98460249</v>
      </c>
      <c r="Z43" s="373">
        <v>16.775565620000002</v>
      </c>
      <c r="AA43" s="373">
        <v>21.351797350000002</v>
      </c>
      <c r="AB43" s="373">
        <v>18.04752336</v>
      </c>
      <c r="AC43" s="373">
        <v>17.801968250000002</v>
      </c>
      <c r="AD43" s="373">
        <v>23.587131700000004</v>
      </c>
      <c r="AE43" s="373">
        <v>23.747023110000001</v>
      </c>
      <c r="AF43" s="373">
        <v>24.5029425</v>
      </c>
      <c r="AG43" s="373">
        <v>28.635337280000002</v>
      </c>
      <c r="AH43" s="373">
        <v>28.349896670000003</v>
      </c>
      <c r="AI43" s="373">
        <v>27.042128439999999</v>
      </c>
      <c r="AJ43" s="373">
        <v>27.353368019999998</v>
      </c>
      <c r="AK43" s="373">
        <v>29.129719699999999</v>
      </c>
      <c r="AL43" s="373">
        <v>54.231304629999997</v>
      </c>
      <c r="AM43" s="262">
        <v>36.303846450000002</v>
      </c>
      <c r="AN43" s="262">
        <v>34.53936684</v>
      </c>
      <c r="AO43" s="262">
        <v>35.051417840000006</v>
      </c>
      <c r="AP43" s="262">
        <v>34.887700359999997</v>
      </c>
      <c r="AQ43" s="262">
        <v>34.210978850000004</v>
      </c>
      <c r="AR43" s="372">
        <v>40.022331689999987</v>
      </c>
      <c r="AS43" s="372">
        <v>32.492058</v>
      </c>
      <c r="AT43" s="372">
        <v>31.745576939999992</v>
      </c>
      <c r="AU43" s="372">
        <v>31.953326220000005</v>
      </c>
      <c r="AV43" s="372">
        <v>31.040383429999999</v>
      </c>
      <c r="AW43" s="201">
        <v>30.791606260000005</v>
      </c>
      <c r="AX43" s="201">
        <v>31.402356489999995</v>
      </c>
      <c r="AY43" s="201">
        <v>30.432792489999997</v>
      </c>
      <c r="AZ43" s="201">
        <v>30.363027689999999</v>
      </c>
      <c r="BA43" s="201">
        <v>30.000618639999995</v>
      </c>
      <c r="BB43" s="201">
        <v>29.035494579999998</v>
      </c>
      <c r="BC43" s="201">
        <v>28.41835571</v>
      </c>
      <c r="BD43" s="201">
        <v>26.344219199999994</v>
      </c>
      <c r="BE43" s="374">
        <v>26.544093340000003</v>
      </c>
      <c r="BF43" s="374">
        <v>27.0836316</v>
      </c>
      <c r="BG43" s="374">
        <v>28.204045580000003</v>
      </c>
      <c r="BH43" s="374">
        <v>27.007360149999993</v>
      </c>
      <c r="BI43" s="374">
        <v>25.730599300000002</v>
      </c>
      <c r="BJ43" s="374">
        <v>24.559592890000001</v>
      </c>
      <c r="BK43" s="374">
        <v>25.746821460000003</v>
      </c>
      <c r="BL43" s="374">
        <v>25.202615220000002</v>
      </c>
      <c r="BM43" s="374">
        <v>25.036359859999994</v>
      </c>
      <c r="BN43" s="374">
        <v>25.760922540000006</v>
      </c>
      <c r="BO43" s="374">
        <v>25.63661763</v>
      </c>
      <c r="BP43" s="374">
        <v>33.795003980000004</v>
      </c>
      <c r="BQ43" s="374">
        <v>34.978401329999997</v>
      </c>
      <c r="BR43" s="374">
        <v>34.664465499999999</v>
      </c>
      <c r="BS43" s="374">
        <v>34.285675879999992</v>
      </c>
      <c r="BT43" s="374">
        <v>33.907771889999999</v>
      </c>
      <c r="BU43" s="374">
        <v>34.581127389999992</v>
      </c>
      <c r="BV43" s="374">
        <v>53.388415217228001</v>
      </c>
      <c r="BW43" s="374">
        <v>34.210427230000001</v>
      </c>
      <c r="BX43" s="374">
        <v>33.95963038</v>
      </c>
      <c r="BY43" s="374">
        <v>34.358752379999999</v>
      </c>
      <c r="BZ43" s="374">
        <v>33.200000000000003</v>
      </c>
      <c r="CA43" s="374">
        <v>34.69655899</v>
      </c>
      <c r="CB43" s="374">
        <v>11.339506000000002</v>
      </c>
      <c r="CC43" s="374">
        <v>14.406287180000001</v>
      </c>
      <c r="CD43" s="374">
        <v>27.876087310000003</v>
      </c>
      <c r="CE43" s="374">
        <v>37.507127600000011</v>
      </c>
      <c r="CF43" s="374">
        <v>36.770421140000003</v>
      </c>
      <c r="CG43" s="374">
        <v>36.755045270000004</v>
      </c>
      <c r="CH43" s="374">
        <v>36.217659510000004</v>
      </c>
      <c r="CI43" s="374">
        <v>36.527300359999998</v>
      </c>
      <c r="CJ43" s="374">
        <v>37.783368440000004</v>
      </c>
      <c r="CK43" s="374">
        <v>39.791675770000005</v>
      </c>
      <c r="CL43" s="374">
        <v>40.09645939</v>
      </c>
      <c r="CM43" s="374">
        <v>39.640578560000009</v>
      </c>
      <c r="CN43" s="374">
        <v>38.382180340000005</v>
      </c>
      <c r="CO43" s="374">
        <v>36.287515649999996</v>
      </c>
    </row>
    <row r="44" spans="1:93">
      <c r="A44" s="371" t="s">
        <v>407</v>
      </c>
      <c r="B44" s="372">
        <v>539.78935437000007</v>
      </c>
      <c r="C44" s="260">
        <v>548.58207482</v>
      </c>
      <c r="D44" s="260">
        <v>565.70722658999989</v>
      </c>
      <c r="E44" s="207">
        <v>580.94715040000006</v>
      </c>
      <c r="F44" s="260">
        <v>617.31582035999998</v>
      </c>
      <c r="G44" s="260">
        <v>657.55819094999993</v>
      </c>
      <c r="H44" s="260">
        <v>527.06340307000005</v>
      </c>
      <c r="I44" s="260">
        <v>543.04851510000003</v>
      </c>
      <c r="J44" s="260">
        <v>568.70341068000005</v>
      </c>
      <c r="K44" s="207">
        <v>573.9546988100002</v>
      </c>
      <c r="L44" s="260">
        <v>605.46253640000009</v>
      </c>
      <c r="M44" s="260">
        <v>583.08300181000004</v>
      </c>
      <c r="N44" s="260">
        <v>664.49157885</v>
      </c>
      <c r="O44" s="207">
        <v>744.62315599999999</v>
      </c>
      <c r="P44" s="260">
        <v>710.63416259000007</v>
      </c>
      <c r="Q44" s="260">
        <v>743.29148486000008</v>
      </c>
      <c r="R44" s="207">
        <v>657.81545875999996</v>
      </c>
      <c r="S44" s="260">
        <v>560.77851320000002</v>
      </c>
      <c r="T44" s="260">
        <v>858.82542734000003</v>
      </c>
      <c r="U44" s="373">
        <v>751.59007845000008</v>
      </c>
      <c r="V44" s="373">
        <v>837.13474081605693</v>
      </c>
      <c r="W44" s="373">
        <v>770.22520124000005</v>
      </c>
      <c r="X44" s="373">
        <v>754.7646929</v>
      </c>
      <c r="Y44" s="373">
        <v>858.72921881100001</v>
      </c>
      <c r="Z44" s="373">
        <v>515.52354195999999</v>
      </c>
      <c r="AA44" s="373">
        <v>516.51998596999988</v>
      </c>
      <c r="AB44" s="373">
        <v>524.02571904000001</v>
      </c>
      <c r="AC44" s="373">
        <v>529.84544390000008</v>
      </c>
      <c r="AD44" s="373">
        <v>527.13337433000004</v>
      </c>
      <c r="AE44" s="373">
        <v>535.76862000000017</v>
      </c>
      <c r="AF44" s="373">
        <v>534.31213407999996</v>
      </c>
      <c r="AG44" s="373">
        <v>536.77270602999999</v>
      </c>
      <c r="AH44" s="373">
        <v>557.27946539999994</v>
      </c>
      <c r="AI44" s="373">
        <v>595.37523784000018</v>
      </c>
      <c r="AJ44" s="373">
        <v>630.87692701999993</v>
      </c>
      <c r="AK44" s="373">
        <v>782.60331338000015</v>
      </c>
      <c r="AL44" s="373">
        <v>817.06506802000013</v>
      </c>
      <c r="AM44" s="262">
        <v>800.23005174000002</v>
      </c>
      <c r="AN44" s="262">
        <v>845.71302927000011</v>
      </c>
      <c r="AO44" s="262">
        <v>881.20600865999984</v>
      </c>
      <c r="AP44" s="262">
        <v>833.67427188040006</v>
      </c>
      <c r="AQ44" s="262">
        <v>830.88879944120004</v>
      </c>
      <c r="AR44" s="372">
        <v>897.16288857920006</v>
      </c>
      <c r="AS44" s="372">
        <v>890.84792920999996</v>
      </c>
      <c r="AT44" s="372">
        <v>888.9294787888</v>
      </c>
      <c r="AU44" s="372">
        <v>897.53329884579978</v>
      </c>
      <c r="AV44" s="372">
        <v>931.86480171099993</v>
      </c>
      <c r="AW44" s="201">
        <v>937.65749278639987</v>
      </c>
      <c r="AX44" s="201">
        <v>936.12149389440003</v>
      </c>
      <c r="AY44" s="201">
        <v>814.3107841538</v>
      </c>
      <c r="AZ44" s="201">
        <v>1023.3660082983939</v>
      </c>
      <c r="BA44" s="201">
        <v>822.96325733930382</v>
      </c>
      <c r="BB44" s="201">
        <v>832.45161461286375</v>
      </c>
      <c r="BC44" s="201">
        <v>787.17263283840714</v>
      </c>
      <c r="BD44" s="201">
        <v>778.55287907080799</v>
      </c>
      <c r="BE44" s="374">
        <v>943.64268388303014</v>
      </c>
      <c r="BF44" s="374">
        <v>806.508551533012</v>
      </c>
      <c r="BG44" s="374">
        <v>1010.202861477715</v>
      </c>
      <c r="BH44" s="374">
        <v>865.58886733841814</v>
      </c>
      <c r="BI44" s="374">
        <v>712.76718111757691</v>
      </c>
      <c r="BJ44" s="374">
        <v>1019.780219283983</v>
      </c>
      <c r="BK44" s="374">
        <v>1050.0713885781711</v>
      </c>
      <c r="BL44" s="374">
        <v>1143.281363254599</v>
      </c>
      <c r="BM44" s="374">
        <v>1146.490454316526</v>
      </c>
      <c r="BN44" s="374">
        <v>1222.0116272702887</v>
      </c>
      <c r="BO44" s="374">
        <v>1151.6562707865241</v>
      </c>
      <c r="BP44" s="374">
        <v>1231.4548334625169</v>
      </c>
      <c r="BQ44" s="374">
        <v>1238.36913883326</v>
      </c>
      <c r="BR44" s="374">
        <v>1421.1481479936172</v>
      </c>
      <c r="BS44" s="374">
        <v>1253.6246951718081</v>
      </c>
      <c r="BT44" s="374">
        <v>1268.1211070703273</v>
      </c>
      <c r="BU44" s="374">
        <v>1263.6856022597819</v>
      </c>
      <c r="BV44" s="374">
        <v>1064.5375290743139</v>
      </c>
      <c r="BW44" s="374">
        <v>1029.9438236654751</v>
      </c>
      <c r="BX44" s="374">
        <v>1052.3318947415</v>
      </c>
      <c r="BY44" s="374">
        <v>1188.8084911952001</v>
      </c>
      <c r="BZ44" s="374">
        <v>1193.5</v>
      </c>
      <c r="CA44" s="374">
        <v>1093.851042185868</v>
      </c>
      <c r="CB44" s="374">
        <v>1338.8213563860361</v>
      </c>
      <c r="CC44" s="374">
        <v>1327.4253676294302</v>
      </c>
      <c r="CD44" s="374">
        <v>1077.311930044164</v>
      </c>
      <c r="CE44" s="374">
        <v>1124.7996697814765</v>
      </c>
      <c r="CF44" s="374">
        <v>1170.6626615565724</v>
      </c>
      <c r="CG44" s="374">
        <v>1295.7346857095865</v>
      </c>
      <c r="CH44" s="374">
        <v>1348.9760310953716</v>
      </c>
      <c r="CI44" s="374">
        <v>1374.7306684135169</v>
      </c>
      <c r="CJ44" s="374">
        <v>1306.5412976435859</v>
      </c>
      <c r="CK44" s="374">
        <v>1314.6609370650281</v>
      </c>
      <c r="CL44" s="374">
        <v>1374.1045757986594</v>
      </c>
      <c r="CM44" s="374">
        <v>1445.1392124990352</v>
      </c>
      <c r="CN44" s="374">
        <v>1303.8258014114747</v>
      </c>
      <c r="CO44" s="374">
        <v>1455.7797293230619</v>
      </c>
    </row>
    <row r="45" spans="1:93" ht="7.7" customHeight="1">
      <c r="A45" s="371"/>
      <c r="B45" s="366"/>
      <c r="C45" s="198"/>
      <c r="D45" s="198"/>
      <c r="E45" s="210"/>
      <c r="F45" s="198"/>
      <c r="G45" s="198"/>
      <c r="H45" s="260"/>
      <c r="I45" s="260"/>
      <c r="J45" s="260"/>
      <c r="K45" s="207"/>
      <c r="L45" s="260"/>
      <c r="M45" s="260"/>
      <c r="N45" s="260"/>
      <c r="O45" s="207"/>
      <c r="P45" s="260"/>
      <c r="Q45" s="260"/>
      <c r="R45" s="207"/>
      <c r="S45" s="260"/>
      <c r="T45" s="260"/>
      <c r="U45" s="373"/>
      <c r="V45" s="373"/>
      <c r="W45" s="373"/>
      <c r="X45" s="373"/>
      <c r="Y45" s="373"/>
      <c r="Z45" s="373"/>
      <c r="AA45" s="373"/>
      <c r="AB45" s="373"/>
      <c r="AC45" s="373"/>
      <c r="AD45" s="373"/>
      <c r="AE45" s="373"/>
      <c r="AF45" s="373"/>
      <c r="AG45" s="373"/>
      <c r="AH45" s="373"/>
      <c r="AI45" s="373"/>
      <c r="AJ45" s="373"/>
      <c r="AK45" s="373"/>
      <c r="AL45" s="373"/>
      <c r="AM45" s="261"/>
      <c r="AN45" s="261"/>
      <c r="AO45" s="261"/>
      <c r="AP45" s="261"/>
      <c r="AQ45" s="261"/>
      <c r="AR45" s="366"/>
      <c r="AS45" s="366"/>
      <c r="AT45" s="366"/>
      <c r="AU45" s="366"/>
      <c r="AV45" s="366"/>
      <c r="AW45" s="369"/>
      <c r="AX45" s="369"/>
      <c r="AY45" s="369"/>
      <c r="AZ45" s="369"/>
      <c r="BA45" s="369"/>
      <c r="BB45" s="369"/>
      <c r="BC45" s="369"/>
      <c r="BD45" s="369"/>
      <c r="BE45" s="370"/>
      <c r="BF45" s="370"/>
      <c r="BG45" s="370"/>
      <c r="BH45" s="370"/>
      <c r="BI45" s="370"/>
      <c r="BJ45" s="370"/>
      <c r="BK45" s="370"/>
      <c r="BL45" s="370"/>
      <c r="BM45" s="370"/>
      <c r="BN45" s="370"/>
      <c r="BO45" s="370"/>
      <c r="BP45" s="370"/>
      <c r="BQ45" s="370"/>
      <c r="BR45" s="370"/>
      <c r="BS45" s="370"/>
      <c r="BT45" s="370"/>
      <c r="BU45" s="370"/>
      <c r="BV45" s="370"/>
      <c r="BW45" s="370"/>
      <c r="BX45" s="370"/>
      <c r="BY45" s="370"/>
      <c r="BZ45" s="370"/>
      <c r="CA45" s="370"/>
      <c r="CB45" s="370"/>
      <c r="CC45" s="370"/>
      <c r="CD45" s="370"/>
      <c r="CE45" s="370"/>
      <c r="CF45" s="370"/>
      <c r="CG45" s="370"/>
      <c r="CH45" s="370"/>
      <c r="CI45" s="370"/>
      <c r="CJ45" s="370"/>
      <c r="CK45" s="370"/>
      <c r="CL45" s="370"/>
      <c r="CM45" s="370"/>
      <c r="CN45" s="370"/>
      <c r="CO45" s="370"/>
    </row>
    <row r="46" spans="1:93">
      <c r="A46" s="365" t="s">
        <v>432</v>
      </c>
      <c r="B46" s="366">
        <v>1507.9093747049999</v>
      </c>
      <c r="C46" s="198">
        <v>1542.6106689406001</v>
      </c>
      <c r="D46" s="198">
        <v>1583.4084174880493</v>
      </c>
      <c r="E46" s="210">
        <v>1626.3693852657998</v>
      </c>
      <c r="F46" s="198">
        <v>1663.8525117079998</v>
      </c>
      <c r="G46" s="198">
        <v>1614.8310764131245</v>
      </c>
      <c r="H46" s="198">
        <v>1667.2594229967999</v>
      </c>
      <c r="I46" s="198">
        <v>1769.0401730732001</v>
      </c>
      <c r="J46" s="198">
        <v>1804.5943364356999</v>
      </c>
      <c r="K46" s="210">
        <v>1678.8298993211999</v>
      </c>
      <c r="L46" s="198">
        <v>1662.1322985980821</v>
      </c>
      <c r="M46" s="198">
        <v>1785.5782674136215</v>
      </c>
      <c r="N46" s="198">
        <v>1681.4720079152601</v>
      </c>
      <c r="O46" s="210">
        <v>1820.0241912598135</v>
      </c>
      <c r="P46" s="198">
        <v>1812.3416303069812</v>
      </c>
      <c r="Q46" s="198">
        <v>1827.0150746129</v>
      </c>
      <c r="R46" s="210">
        <v>1919.5849163169003</v>
      </c>
      <c r="S46" s="198">
        <v>1952.2230894799998</v>
      </c>
      <c r="T46" s="198">
        <v>1856.6156807300003</v>
      </c>
      <c r="U46" s="200">
        <v>1977.1131353615121</v>
      </c>
      <c r="V46" s="200">
        <v>1861.3632187131373</v>
      </c>
      <c r="W46" s="200">
        <v>1956.3038161931001</v>
      </c>
      <c r="X46" s="200">
        <v>1792.8484450167871</v>
      </c>
      <c r="Y46" s="200">
        <v>1725.8792000850983</v>
      </c>
      <c r="Z46" s="200">
        <v>1771.6303483495999</v>
      </c>
      <c r="AA46" s="200">
        <v>1737.0364231145425</v>
      </c>
      <c r="AB46" s="200">
        <v>1830.4835457123991</v>
      </c>
      <c r="AC46" s="200">
        <v>1724.685240899641</v>
      </c>
      <c r="AD46" s="200">
        <v>1617.174472785402</v>
      </c>
      <c r="AE46" s="200">
        <v>1777.4779295824446</v>
      </c>
      <c r="AF46" s="200">
        <v>1694.0516297244874</v>
      </c>
      <c r="AG46" s="200">
        <v>1654.2610520060198</v>
      </c>
      <c r="AH46" s="200">
        <v>1658.2851287218</v>
      </c>
      <c r="AI46" s="200">
        <v>938.44709902960005</v>
      </c>
      <c r="AJ46" s="200">
        <v>963.12456160599993</v>
      </c>
      <c r="AK46" s="200">
        <v>941.76839496353796</v>
      </c>
      <c r="AL46" s="200">
        <v>955.7033265435</v>
      </c>
      <c r="AM46" s="261">
        <v>980.575431761</v>
      </c>
      <c r="AN46" s="261">
        <v>1001.0715535640001</v>
      </c>
      <c r="AO46" s="261">
        <v>927.05793905559995</v>
      </c>
      <c r="AP46" s="261">
        <v>921.34814051230001</v>
      </c>
      <c r="AQ46" s="261">
        <v>892.4363466512001</v>
      </c>
      <c r="AR46" s="366">
        <v>923.02037885880009</v>
      </c>
      <c r="AS46" s="366">
        <v>916.22181783999986</v>
      </c>
      <c r="AT46" s="366">
        <v>905.41333493799993</v>
      </c>
      <c r="AU46" s="366">
        <v>949.14829496160007</v>
      </c>
      <c r="AV46" s="366">
        <v>939.06861706099983</v>
      </c>
      <c r="AW46" s="369">
        <v>912.93765191879993</v>
      </c>
      <c r="AX46" s="369">
        <v>925.995011342</v>
      </c>
      <c r="AY46" s="369">
        <v>960.29696690539993</v>
      </c>
      <c r="AZ46" s="369">
        <v>934.98670990359994</v>
      </c>
      <c r="BA46" s="369">
        <v>908.54786906720017</v>
      </c>
      <c r="BB46" s="369">
        <v>880.95928618500011</v>
      </c>
      <c r="BC46" s="369">
        <v>1182.3216355915999</v>
      </c>
      <c r="BD46" s="369">
        <v>1291.5596564333998</v>
      </c>
      <c r="BE46" s="370">
        <v>1459.6132228096001</v>
      </c>
      <c r="BF46" s="370">
        <v>1508.6980156499999</v>
      </c>
      <c r="BG46" s="370">
        <v>1576.4000073539999</v>
      </c>
      <c r="BH46" s="370">
        <v>1669.276943266</v>
      </c>
      <c r="BI46" s="370">
        <v>1714.2501894193999</v>
      </c>
      <c r="BJ46" s="370">
        <v>2130.3798480984001</v>
      </c>
      <c r="BK46" s="370">
        <v>2130.9766963754</v>
      </c>
      <c r="BL46" s="370">
        <v>2124.7131121046</v>
      </c>
      <c r="BM46" s="370">
        <v>1919.7031620385999</v>
      </c>
      <c r="BN46" s="370">
        <v>2139.9908942567999</v>
      </c>
      <c r="BO46" s="370">
        <v>1979.6257813911996</v>
      </c>
      <c r="BP46" s="370">
        <v>1929.9581157287002</v>
      </c>
      <c r="BQ46" s="370">
        <v>1917.0757610645003</v>
      </c>
      <c r="BR46" s="370">
        <v>2110.1857642009995</v>
      </c>
      <c r="BS46" s="370">
        <v>2153.995801178</v>
      </c>
      <c r="BT46" s="370">
        <v>2221.6448039146399</v>
      </c>
      <c r="BU46" s="370">
        <v>2123.0465997910583</v>
      </c>
      <c r="BV46" s="370">
        <v>2185.3274773613061</v>
      </c>
      <c r="BW46" s="370">
        <v>2268.61197455911</v>
      </c>
      <c r="BX46" s="370">
        <v>2319.2034742375004</v>
      </c>
      <c r="BY46" s="370">
        <v>3297.2032739027004</v>
      </c>
      <c r="BZ46" s="370">
        <v>3265.6</v>
      </c>
      <c r="CA46" s="370">
        <v>3336.5099523131139</v>
      </c>
      <c r="CB46" s="370">
        <v>3505.6020483344705</v>
      </c>
      <c r="CC46" s="370">
        <v>3459.5745631502427</v>
      </c>
      <c r="CD46" s="370">
        <v>3567.9617293124252</v>
      </c>
      <c r="CE46" s="370">
        <v>3705.6423364928482</v>
      </c>
      <c r="CF46" s="370">
        <v>3768.1641562168265</v>
      </c>
      <c r="CG46" s="370">
        <v>4007.778879563331</v>
      </c>
      <c r="CH46" s="370">
        <v>4015.5889194642682</v>
      </c>
      <c r="CI46" s="370">
        <v>4043.8246799860426</v>
      </c>
      <c r="CJ46" s="370">
        <v>4300.7694414525959</v>
      </c>
      <c r="CK46" s="370">
        <v>4278.0939740936938</v>
      </c>
      <c r="CL46" s="370">
        <v>4438.2500715873912</v>
      </c>
      <c r="CM46" s="370">
        <v>4434.0652768987893</v>
      </c>
      <c r="CN46" s="370">
        <v>4421.5741084767305</v>
      </c>
      <c r="CO46" s="370">
        <v>4840.7333554418246</v>
      </c>
    </row>
    <row r="47" spans="1:93">
      <c r="A47" s="371" t="s">
        <v>398</v>
      </c>
      <c r="B47" s="366"/>
      <c r="C47" s="198"/>
      <c r="D47" s="198"/>
      <c r="E47" s="210"/>
      <c r="F47" s="198"/>
      <c r="G47" s="198"/>
      <c r="H47" s="260"/>
      <c r="I47" s="260"/>
      <c r="J47" s="260"/>
      <c r="K47" s="207"/>
      <c r="L47" s="260"/>
      <c r="M47" s="260"/>
      <c r="N47" s="260"/>
      <c r="O47" s="207"/>
      <c r="P47" s="260"/>
      <c r="Q47" s="260"/>
      <c r="R47" s="207"/>
      <c r="S47" s="260"/>
      <c r="T47" s="260"/>
      <c r="U47" s="373"/>
      <c r="V47" s="373"/>
      <c r="W47" s="373"/>
      <c r="X47" s="373"/>
      <c r="Y47" s="373"/>
      <c r="Z47" s="373"/>
      <c r="AA47" s="373"/>
      <c r="AB47" s="373"/>
      <c r="AC47" s="373"/>
      <c r="AD47" s="373"/>
      <c r="AE47" s="373"/>
      <c r="AF47" s="373"/>
      <c r="AG47" s="373"/>
      <c r="AH47" s="373"/>
      <c r="AI47" s="373"/>
      <c r="AJ47" s="373"/>
      <c r="AK47" s="373"/>
      <c r="AL47" s="373"/>
      <c r="AM47" s="261"/>
      <c r="AN47" s="261"/>
      <c r="AO47" s="261"/>
      <c r="AP47" s="261"/>
      <c r="AQ47" s="261"/>
      <c r="AR47" s="366"/>
      <c r="AS47" s="366"/>
      <c r="AT47" s="366"/>
      <c r="AU47" s="366"/>
      <c r="AV47" s="366"/>
      <c r="AW47" s="369"/>
      <c r="AX47" s="369"/>
      <c r="AY47" s="369"/>
      <c r="AZ47" s="369"/>
      <c r="BA47" s="369"/>
      <c r="BB47" s="369"/>
      <c r="BC47" s="369"/>
      <c r="BD47" s="369"/>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row>
    <row r="48" spans="1:93">
      <c r="A48" s="371" t="s">
        <v>433</v>
      </c>
      <c r="B48" s="372">
        <v>121.17322364500001</v>
      </c>
      <c r="C48" s="260">
        <v>117.4633105006</v>
      </c>
      <c r="D48" s="260">
        <v>125.03939343804929</v>
      </c>
      <c r="E48" s="207">
        <v>125.54506668579999</v>
      </c>
      <c r="F48" s="260">
        <v>125.27401128799998</v>
      </c>
      <c r="G48" s="260">
        <v>126.67563216312438</v>
      </c>
      <c r="H48" s="260">
        <v>151.48260432680001</v>
      </c>
      <c r="I48" s="260">
        <v>201.16842844319999</v>
      </c>
      <c r="J48" s="260">
        <v>128.35201362570001</v>
      </c>
      <c r="K48" s="207">
        <v>193.9740906712</v>
      </c>
      <c r="L48" s="260">
        <v>123.26249872808201</v>
      </c>
      <c r="M48" s="260">
        <v>127.12964537362157</v>
      </c>
      <c r="N48" s="260">
        <v>126.43328192526</v>
      </c>
      <c r="O48" s="207">
        <v>128.60003137981329</v>
      </c>
      <c r="P48" s="260">
        <v>129.88669074698112</v>
      </c>
      <c r="Q48" s="260">
        <v>126.5889943529</v>
      </c>
      <c r="R48" s="207">
        <v>132.5971678249</v>
      </c>
      <c r="S48" s="260">
        <v>134.28707810999998</v>
      </c>
      <c r="T48" s="260">
        <v>127.003450035</v>
      </c>
      <c r="U48" s="373">
        <v>128.7248377288123</v>
      </c>
      <c r="V48" s="373">
        <v>133.41657370083729</v>
      </c>
      <c r="W48" s="373">
        <v>126.26888202410001</v>
      </c>
      <c r="X48" s="373">
        <v>126.77286703278709</v>
      </c>
      <c r="Y48" s="373">
        <v>119.06022324409828</v>
      </c>
      <c r="Z48" s="373">
        <v>113.976159647</v>
      </c>
      <c r="AA48" s="373">
        <v>112.30709044309702</v>
      </c>
      <c r="AB48" s="373">
        <v>0.38184947786950002</v>
      </c>
      <c r="AC48" s="373">
        <v>0.31743612524099996</v>
      </c>
      <c r="AD48" s="373">
        <v>0.16328285000000001</v>
      </c>
      <c r="AE48" s="373">
        <v>0.23409455000000001</v>
      </c>
      <c r="AF48" s="373">
        <v>19.876087868512499</v>
      </c>
      <c r="AG48" s="373">
        <v>20.314017166020001</v>
      </c>
      <c r="AH48" s="373">
        <v>19.613877931800001</v>
      </c>
      <c r="AI48" s="373">
        <v>68.625680779599989</v>
      </c>
      <c r="AJ48" s="373">
        <v>17.311338226</v>
      </c>
      <c r="AK48" s="373">
        <v>19.431968013538</v>
      </c>
      <c r="AL48" s="373">
        <v>15.825867713500001</v>
      </c>
      <c r="AM48" s="262">
        <v>15.555103070999998</v>
      </c>
      <c r="AN48" s="262">
        <v>16.552579523999999</v>
      </c>
      <c r="AO48" s="262">
        <v>14.2012344556</v>
      </c>
      <c r="AP48" s="262">
        <v>16.1156662305</v>
      </c>
      <c r="AQ48" s="262">
        <v>16.309751422800002</v>
      </c>
      <c r="AR48" s="372">
        <v>13.330433422799999</v>
      </c>
      <c r="AS48" s="372">
        <v>13.632782760000001</v>
      </c>
      <c r="AT48" s="372">
        <v>14.344382147200001</v>
      </c>
      <c r="AU48" s="372">
        <v>11.2572636052</v>
      </c>
      <c r="AV48" s="372">
        <v>11.377227720999999</v>
      </c>
      <c r="AW48" s="201">
        <v>11.028664036</v>
      </c>
      <c r="AX48" s="201">
        <v>8.2448177095999995</v>
      </c>
      <c r="AY48" s="201">
        <v>8.1846173972000003</v>
      </c>
      <c r="AZ48" s="201">
        <v>8.1574042544999994</v>
      </c>
      <c r="BA48" s="201">
        <v>5.2947322399999992</v>
      </c>
      <c r="BB48" s="201">
        <v>5.2175274803000002</v>
      </c>
      <c r="BC48" s="201">
        <v>5.1230328963999998</v>
      </c>
      <c r="BD48" s="201">
        <v>4.2031622136000006</v>
      </c>
      <c r="BE48" s="374">
        <v>4.2523481134000001</v>
      </c>
      <c r="BF48" s="374">
        <v>3.2048692549999998</v>
      </c>
      <c r="BG48" s="374">
        <v>0.49862291999999997</v>
      </c>
      <c r="BH48" s="374">
        <v>0.48834907</v>
      </c>
      <c r="BI48" s="374">
        <v>0.47792414</v>
      </c>
      <c r="BJ48" s="374">
        <v>0.46863289999999996</v>
      </c>
      <c r="BK48" s="374">
        <v>0.45917784</v>
      </c>
      <c r="BL48" s="374">
        <v>0.44613126000000003</v>
      </c>
      <c r="BM48" s="374">
        <v>0.43413981000000001</v>
      </c>
      <c r="BN48" s="374">
        <v>0.43844742000000003</v>
      </c>
      <c r="BO48" s="374">
        <v>0.42529168000000001</v>
      </c>
      <c r="BP48" s="374">
        <v>0.40273591999999997</v>
      </c>
      <c r="BQ48" s="374">
        <v>0.39130946</v>
      </c>
      <c r="BR48" s="374">
        <v>0.38013506999999996</v>
      </c>
      <c r="BS48" s="374">
        <v>0.37314378000000004</v>
      </c>
      <c r="BT48" s="374">
        <v>0.39314418000000001</v>
      </c>
      <c r="BU48" s="374">
        <v>0.35357022999999999</v>
      </c>
      <c r="BV48" s="374">
        <v>0.34247577000000001</v>
      </c>
      <c r="BW48" s="374">
        <v>0.44046540000000001</v>
      </c>
      <c r="BX48" s="374">
        <v>0.35170699999999999</v>
      </c>
      <c r="BY48" s="374">
        <v>0.31195299999999998</v>
      </c>
      <c r="BZ48" s="374">
        <v>0.3</v>
      </c>
      <c r="CA48" s="374">
        <v>0.32200321999999998</v>
      </c>
      <c r="CB48" s="374">
        <v>0.30612271999999996</v>
      </c>
      <c r="CC48" s="374">
        <v>0.27535892000000001</v>
      </c>
      <c r="CD48" s="374">
        <v>0.24302926000000002</v>
      </c>
      <c r="CE48" s="374">
        <v>0.23515056000000001</v>
      </c>
      <c r="CF48" s="374">
        <v>0.55016276999999991</v>
      </c>
      <c r="CG48" s="374">
        <v>51.019435363900001</v>
      </c>
      <c r="CH48" s="374">
        <v>51.026158820537667</v>
      </c>
      <c r="CI48" s="374">
        <v>50.676937289999991</v>
      </c>
      <c r="CJ48" s="374">
        <v>306.95244534159997</v>
      </c>
      <c r="CK48" s="374">
        <v>200.32280321999997</v>
      </c>
      <c r="CL48" s="374">
        <v>200.22235778999999</v>
      </c>
      <c r="CM48" s="374">
        <v>188.22624014000002</v>
      </c>
      <c r="CN48" s="374">
        <v>142.18418964000003</v>
      </c>
      <c r="CO48" s="374">
        <v>400.78878169000001</v>
      </c>
    </row>
    <row r="49" spans="1:93">
      <c r="A49" s="371" t="s">
        <v>434</v>
      </c>
      <c r="B49" s="372">
        <v>507.54847455999999</v>
      </c>
      <c r="C49" s="260">
        <v>534.38730736000002</v>
      </c>
      <c r="D49" s="260">
        <v>533.10752549999995</v>
      </c>
      <c r="E49" s="207">
        <v>535.68649546999995</v>
      </c>
      <c r="F49" s="260">
        <v>514.11718714999995</v>
      </c>
      <c r="G49" s="260">
        <v>510.21445197000003</v>
      </c>
      <c r="H49" s="260">
        <v>515.92904474999989</v>
      </c>
      <c r="I49" s="260">
        <v>531.06953074</v>
      </c>
      <c r="J49" s="260">
        <v>543.76172939000014</v>
      </c>
      <c r="K49" s="207">
        <v>510.86398545999998</v>
      </c>
      <c r="L49" s="260">
        <v>518.80954241000006</v>
      </c>
      <c r="M49" s="260">
        <v>524.67912213999989</v>
      </c>
      <c r="N49" s="260">
        <v>530.07749957999999</v>
      </c>
      <c r="O49" s="207">
        <v>512.89938427000004</v>
      </c>
      <c r="P49" s="260">
        <v>508.17511687000001</v>
      </c>
      <c r="Q49" s="260">
        <v>529.87699651000003</v>
      </c>
      <c r="R49" s="207">
        <v>524.11147857200001</v>
      </c>
      <c r="S49" s="260">
        <v>548.23914734999994</v>
      </c>
      <c r="T49" s="260">
        <v>527.57176253500006</v>
      </c>
      <c r="U49" s="373">
        <v>532.58436669269997</v>
      </c>
      <c r="V49" s="373">
        <v>525.28818061230004</v>
      </c>
      <c r="W49" s="373">
        <v>516.972804709</v>
      </c>
      <c r="X49" s="373">
        <v>519.45464767400006</v>
      </c>
      <c r="Y49" s="373">
        <v>510.53690606099997</v>
      </c>
      <c r="Z49" s="373">
        <v>507.48219906999992</v>
      </c>
      <c r="AA49" s="373">
        <v>497.80900733000004</v>
      </c>
      <c r="AB49" s="373">
        <v>514.77851161000001</v>
      </c>
      <c r="AC49" s="373">
        <v>513.01341176999995</v>
      </c>
      <c r="AD49" s="373">
        <v>441.82454226999999</v>
      </c>
      <c r="AE49" s="373">
        <v>433.79901856999999</v>
      </c>
      <c r="AF49" s="373">
        <v>439.86383197000004</v>
      </c>
      <c r="AG49" s="373">
        <v>462.33400525000002</v>
      </c>
      <c r="AH49" s="373">
        <v>437.10574437000002</v>
      </c>
      <c r="AI49" s="373">
        <v>425.35228107</v>
      </c>
      <c r="AJ49" s="373">
        <v>495.45644657999992</v>
      </c>
      <c r="AK49" s="373">
        <v>480.65615361999994</v>
      </c>
      <c r="AL49" s="373">
        <v>494.05869306</v>
      </c>
      <c r="AM49" s="262">
        <v>440.11755986000003</v>
      </c>
      <c r="AN49" s="262">
        <v>450.12266341000003</v>
      </c>
      <c r="AO49" s="262">
        <v>472.33017360999992</v>
      </c>
      <c r="AP49" s="262">
        <v>487.41348440210004</v>
      </c>
      <c r="AQ49" s="262">
        <v>477.56983896459997</v>
      </c>
      <c r="AR49" s="372">
        <v>487.50161368160002</v>
      </c>
      <c r="AS49" s="372">
        <v>474.14054139000001</v>
      </c>
      <c r="AT49" s="372">
        <v>470.93412921440006</v>
      </c>
      <c r="AU49" s="372">
        <v>532.00935312900003</v>
      </c>
      <c r="AV49" s="372">
        <v>545.45349353300003</v>
      </c>
      <c r="AW49" s="201">
        <v>508.91583365839995</v>
      </c>
      <c r="AX49" s="201">
        <v>502.35672048040004</v>
      </c>
      <c r="AY49" s="201">
        <v>510.1608699139</v>
      </c>
      <c r="AZ49" s="201">
        <v>507.93466959810002</v>
      </c>
      <c r="BA49" s="201">
        <v>483.90914832900006</v>
      </c>
      <c r="BB49" s="201">
        <v>451.96586207109993</v>
      </c>
      <c r="BC49" s="201">
        <v>502.69084410839997</v>
      </c>
      <c r="BD49" s="201">
        <v>627.32506972660008</v>
      </c>
      <c r="BE49" s="374">
        <v>650.23067224890008</v>
      </c>
      <c r="BF49" s="374">
        <v>703.43716654499997</v>
      </c>
      <c r="BG49" s="374">
        <v>705.85525806400005</v>
      </c>
      <c r="BH49" s="374">
        <v>738.44342374580003</v>
      </c>
      <c r="BI49" s="374">
        <v>738.07546235560005</v>
      </c>
      <c r="BJ49" s="374">
        <v>995.65472151299991</v>
      </c>
      <c r="BK49" s="374">
        <v>1021.0162897853002</v>
      </c>
      <c r="BL49" s="374">
        <v>1045.7498007909999</v>
      </c>
      <c r="BM49" s="374">
        <v>1214.2437328763999</v>
      </c>
      <c r="BN49" s="374">
        <v>1057.185312476</v>
      </c>
      <c r="BO49" s="374">
        <v>1027.8132620667998</v>
      </c>
      <c r="BP49" s="374">
        <v>994.70713553430016</v>
      </c>
      <c r="BQ49" s="374">
        <v>964.54613446280018</v>
      </c>
      <c r="BR49" s="374">
        <v>1010.8161767218999</v>
      </c>
      <c r="BS49" s="374">
        <v>1046.9849281648001</v>
      </c>
      <c r="BT49" s="374">
        <v>1051.71683088242</v>
      </c>
      <c r="BU49" s="374">
        <v>1043.98467572241</v>
      </c>
      <c r="BV49" s="374">
        <v>1064.1954917062517</v>
      </c>
      <c r="BW49" s="374">
        <v>1203.1556141887897</v>
      </c>
      <c r="BX49" s="374">
        <v>1246.9945894355001</v>
      </c>
      <c r="BY49" s="374">
        <v>1207.0229809558</v>
      </c>
      <c r="BZ49" s="374">
        <v>1227.2</v>
      </c>
      <c r="CA49" s="374">
        <v>1234.2619580675021</v>
      </c>
      <c r="CB49" s="374">
        <v>1407.6981253471899</v>
      </c>
      <c r="CC49" s="374">
        <v>1376.7455781905799</v>
      </c>
      <c r="CD49" s="374">
        <v>1465.1711743046449</v>
      </c>
      <c r="CE49" s="374">
        <v>1421.1265655754539</v>
      </c>
      <c r="CF49" s="374">
        <v>1437.3370094740815</v>
      </c>
      <c r="CG49" s="374">
        <v>1435.5787284728158</v>
      </c>
      <c r="CH49" s="374">
        <v>1446.7812150210457</v>
      </c>
      <c r="CI49" s="374">
        <v>1539.6543685586546</v>
      </c>
      <c r="CJ49" s="374">
        <v>1530.143122406836</v>
      </c>
      <c r="CK49" s="374">
        <v>1566.1568176581829</v>
      </c>
      <c r="CL49" s="374">
        <v>1518.9516153316176</v>
      </c>
      <c r="CM49" s="374">
        <v>1523.3226632283763</v>
      </c>
      <c r="CN49" s="374">
        <v>1594.8239741814821</v>
      </c>
      <c r="CO49" s="374">
        <v>1582.5900338316658</v>
      </c>
    </row>
    <row r="50" spans="1:93">
      <c r="A50" s="371" t="s">
        <v>435</v>
      </c>
      <c r="B50" s="372">
        <v>800.67035246</v>
      </c>
      <c r="C50" s="260">
        <v>808.56296842000006</v>
      </c>
      <c r="D50" s="260">
        <v>841.41922830999988</v>
      </c>
      <c r="E50" s="207">
        <v>873.47965551999994</v>
      </c>
      <c r="F50" s="260">
        <v>925.60352292999994</v>
      </c>
      <c r="G50" s="260">
        <v>879.11398844999997</v>
      </c>
      <c r="H50" s="260">
        <v>897.57070291000002</v>
      </c>
      <c r="I50" s="260">
        <v>934.35997793999991</v>
      </c>
      <c r="J50" s="260">
        <v>1011.65965513</v>
      </c>
      <c r="K50" s="207">
        <v>863.23549319000006</v>
      </c>
      <c r="L50" s="260">
        <v>908.08296893000011</v>
      </c>
      <c r="M50" s="260">
        <v>1016.49113919</v>
      </c>
      <c r="N50" s="260">
        <v>908.87572714999999</v>
      </c>
      <c r="O50" s="207">
        <v>1047.9109509100001</v>
      </c>
      <c r="P50" s="260">
        <v>1028.6153852699999</v>
      </c>
      <c r="Q50" s="260">
        <v>1030.30544897</v>
      </c>
      <c r="R50" s="207">
        <v>1133.06177123</v>
      </c>
      <c r="S50" s="260">
        <v>1142.2191067000001</v>
      </c>
      <c r="T50" s="260">
        <v>1075.4286125900001</v>
      </c>
      <c r="U50" s="373">
        <v>1181.3909853800001</v>
      </c>
      <c r="V50" s="373">
        <v>1076.16600954</v>
      </c>
      <c r="W50" s="373">
        <v>1142.6851542200002</v>
      </c>
      <c r="X50" s="373">
        <v>1000.69624092</v>
      </c>
      <c r="Y50" s="373">
        <v>953.33285511999998</v>
      </c>
      <c r="Z50" s="373">
        <v>1011.7812152825999</v>
      </c>
      <c r="AA50" s="373">
        <v>997.46350264144542</v>
      </c>
      <c r="AB50" s="373">
        <v>999.30777877452942</v>
      </c>
      <c r="AC50" s="373">
        <v>1030.3537023644001</v>
      </c>
      <c r="AD50" s="373">
        <v>986.48503761000006</v>
      </c>
      <c r="AE50" s="373">
        <v>973.07567543999994</v>
      </c>
      <c r="AF50" s="373">
        <v>1030.4855312499999</v>
      </c>
      <c r="AG50" s="373">
        <v>982.09662201000003</v>
      </c>
      <c r="AH50" s="373">
        <v>1012.27234241</v>
      </c>
      <c r="AI50" s="373">
        <v>234.65022605999999</v>
      </c>
      <c r="AJ50" s="373">
        <v>237.58207231</v>
      </c>
      <c r="AK50" s="373">
        <v>232.46548077</v>
      </c>
      <c r="AL50" s="373">
        <v>221.17238394</v>
      </c>
      <c r="AM50" s="262">
        <v>255.72488759000001</v>
      </c>
      <c r="AN50" s="262">
        <v>264.73567824000003</v>
      </c>
      <c r="AO50" s="262">
        <v>204.48534537999998</v>
      </c>
      <c r="AP50" s="262">
        <v>175.78601790020005</v>
      </c>
      <c r="AQ50" s="262">
        <v>171.52351467439999</v>
      </c>
      <c r="AR50" s="372">
        <v>192.96406364719999</v>
      </c>
      <c r="AS50" s="372">
        <v>200.56795803</v>
      </c>
      <c r="AT50" s="372">
        <v>198.12007794839997</v>
      </c>
      <c r="AU50" s="372">
        <v>197.68527840379997</v>
      </c>
      <c r="AV50" s="372">
        <v>193.00205201700001</v>
      </c>
      <c r="AW50" s="201">
        <v>201.92732059959999</v>
      </c>
      <c r="AX50" s="201">
        <v>211.41103093759997</v>
      </c>
      <c r="AY50" s="201">
        <v>217.41678958939997</v>
      </c>
      <c r="AZ50" s="201">
        <v>205.60549545969999</v>
      </c>
      <c r="BA50" s="201">
        <v>213.6180533166</v>
      </c>
      <c r="BB50" s="201">
        <v>213.45801860020003</v>
      </c>
      <c r="BC50" s="201">
        <v>446.21426186799999</v>
      </c>
      <c r="BD50" s="201">
        <v>457.19438025220001</v>
      </c>
      <c r="BE50" s="374">
        <v>592.54671001780002</v>
      </c>
      <c r="BF50" s="374">
        <v>586.01590018999991</v>
      </c>
      <c r="BG50" s="374">
        <v>648.75167599799988</v>
      </c>
      <c r="BH50" s="374">
        <v>638.07311253360012</v>
      </c>
      <c r="BI50" s="374">
        <v>668.26277533529992</v>
      </c>
      <c r="BJ50" s="374">
        <v>777.32772620410014</v>
      </c>
      <c r="BK50" s="374">
        <v>728.1921877402001</v>
      </c>
      <c r="BL50" s="374">
        <v>748.91507040400006</v>
      </c>
      <c r="BM50" s="374">
        <v>363.02680725260001</v>
      </c>
      <c r="BN50" s="374">
        <v>704.02618942799995</v>
      </c>
      <c r="BO50" s="374">
        <v>560.68545875399991</v>
      </c>
      <c r="BP50" s="374">
        <v>540.95918747689996</v>
      </c>
      <c r="BQ50" s="374">
        <v>533.54776136119995</v>
      </c>
      <c r="BR50" s="374">
        <v>661.91159293379997</v>
      </c>
      <c r="BS50" s="374">
        <v>658.25103103319998</v>
      </c>
      <c r="BT50" s="374">
        <v>746.66477259257999</v>
      </c>
      <c r="BU50" s="374">
        <v>748.94509818690801</v>
      </c>
      <c r="BV50" s="374">
        <v>755.38870356691586</v>
      </c>
      <c r="BW50" s="374">
        <v>753.49449337349984</v>
      </c>
      <c r="BX50" s="374">
        <v>757.70398554349993</v>
      </c>
      <c r="BY50" s="374">
        <v>1860.8561574349999</v>
      </c>
      <c r="BZ50" s="374">
        <v>1799.5</v>
      </c>
      <c r="CA50" s="374">
        <v>1802.1084911854118</v>
      </c>
      <c r="CB50" s="374">
        <v>1777.55624514448</v>
      </c>
      <c r="CC50" s="374">
        <v>1276.33308250242</v>
      </c>
      <c r="CD50" s="374">
        <v>1760.8075623621858</v>
      </c>
      <c r="CE50" s="374">
        <v>1423.2592570714698</v>
      </c>
      <c r="CF50" s="374">
        <v>1446.5895150786639</v>
      </c>
      <c r="CG50" s="374">
        <v>1491.922942845066</v>
      </c>
      <c r="CH50" s="374">
        <v>1500.702861273503</v>
      </c>
      <c r="CI50" s="374">
        <v>1492.965468468132</v>
      </c>
      <c r="CJ50" s="374">
        <v>1523.3779494401638</v>
      </c>
      <c r="CK50" s="374">
        <v>1551.4343488479062</v>
      </c>
      <c r="CL50" s="374">
        <v>1569.677375490515</v>
      </c>
      <c r="CM50" s="374">
        <v>1636.7278030446926</v>
      </c>
      <c r="CN50" s="374">
        <v>1635.7455231831848</v>
      </c>
      <c r="CO50" s="374">
        <v>1683.9972574357485</v>
      </c>
    </row>
    <row r="51" spans="1:93">
      <c r="A51" s="371" t="s">
        <v>407</v>
      </c>
      <c r="B51" s="372">
        <v>78.517324039999991</v>
      </c>
      <c r="C51" s="260">
        <v>82.197082660000007</v>
      </c>
      <c r="D51" s="260">
        <v>83.842270240000005</v>
      </c>
      <c r="E51" s="207">
        <v>91.658167589999991</v>
      </c>
      <c r="F51" s="260">
        <v>98.857790340000008</v>
      </c>
      <c r="G51" s="260">
        <v>98.827003829999995</v>
      </c>
      <c r="H51" s="260">
        <v>102.27707100999999</v>
      </c>
      <c r="I51" s="260">
        <v>102.44223595</v>
      </c>
      <c r="J51" s="260">
        <v>120.82093828999999</v>
      </c>
      <c r="K51" s="207">
        <v>110.75632999999999</v>
      </c>
      <c r="L51" s="260">
        <v>111.97728853</v>
      </c>
      <c r="M51" s="260">
        <v>117.27836070999997</v>
      </c>
      <c r="N51" s="260">
        <v>116.08549926000001</v>
      </c>
      <c r="O51" s="207">
        <v>130.61382469999998</v>
      </c>
      <c r="P51" s="260">
        <v>145.66443742000001</v>
      </c>
      <c r="Q51" s="260">
        <v>140.24363478000001</v>
      </c>
      <c r="R51" s="207">
        <v>129.81449869000002</v>
      </c>
      <c r="S51" s="260">
        <v>127.47775731999999</v>
      </c>
      <c r="T51" s="260">
        <v>126.61185557000002</v>
      </c>
      <c r="U51" s="373">
        <v>134.41294555999997</v>
      </c>
      <c r="V51" s="373">
        <v>126.49245486000001</v>
      </c>
      <c r="W51" s="373">
        <v>170.37697523999998</v>
      </c>
      <c r="X51" s="373">
        <v>145.92468939</v>
      </c>
      <c r="Y51" s="373">
        <v>142.94921565999996</v>
      </c>
      <c r="Z51" s="373">
        <v>138.39077434999999</v>
      </c>
      <c r="AA51" s="373">
        <v>129.4568227</v>
      </c>
      <c r="AB51" s="373">
        <v>316.01540585000004</v>
      </c>
      <c r="AC51" s="373">
        <v>181.00069063999999</v>
      </c>
      <c r="AD51" s="373">
        <v>188.701610055402</v>
      </c>
      <c r="AE51" s="373">
        <v>370.36914102244464</v>
      </c>
      <c r="AF51" s="373">
        <v>203.826178635975</v>
      </c>
      <c r="AG51" s="373">
        <v>189.51640757999999</v>
      </c>
      <c r="AH51" s="373">
        <v>189.29316401000003</v>
      </c>
      <c r="AI51" s="373">
        <v>209.81891111999997</v>
      </c>
      <c r="AJ51" s="373">
        <v>212.77470448999998</v>
      </c>
      <c r="AK51" s="373">
        <v>209.21479256000001</v>
      </c>
      <c r="AL51" s="373">
        <v>224.64638183</v>
      </c>
      <c r="AM51" s="262">
        <v>269.17788124000003</v>
      </c>
      <c r="AN51" s="262">
        <v>269.66063238999999</v>
      </c>
      <c r="AO51" s="262">
        <v>236.04118561000001</v>
      </c>
      <c r="AP51" s="262">
        <v>242.03297197949999</v>
      </c>
      <c r="AQ51" s="262">
        <v>227.03324158940001</v>
      </c>
      <c r="AR51" s="372">
        <v>229.22426810720003</v>
      </c>
      <c r="AS51" s="372">
        <v>227.88053565999996</v>
      </c>
      <c r="AT51" s="372">
        <v>222.01474562799999</v>
      </c>
      <c r="AU51" s="372">
        <v>208.19639982360002</v>
      </c>
      <c r="AV51" s="372">
        <v>189.23584379000002</v>
      </c>
      <c r="AW51" s="201">
        <v>191.06583362480004</v>
      </c>
      <c r="AX51" s="201">
        <v>203.98244221440001</v>
      </c>
      <c r="AY51" s="201">
        <v>224.5346900049</v>
      </c>
      <c r="AZ51" s="201">
        <v>213.2891405913</v>
      </c>
      <c r="BA51" s="201">
        <v>205.72593518160002</v>
      </c>
      <c r="BB51" s="201">
        <v>210.31787803340004</v>
      </c>
      <c r="BC51" s="201">
        <v>228.29349671880001</v>
      </c>
      <c r="BD51" s="201">
        <v>202.837044241</v>
      </c>
      <c r="BE51" s="374">
        <v>212.58349242950004</v>
      </c>
      <c r="BF51" s="374">
        <v>216.04007966</v>
      </c>
      <c r="BG51" s="374">
        <v>221.294450372</v>
      </c>
      <c r="BH51" s="374">
        <v>292.27205791659998</v>
      </c>
      <c r="BI51" s="374">
        <v>307.43402758849999</v>
      </c>
      <c r="BJ51" s="374">
        <v>356.92876748129999</v>
      </c>
      <c r="BK51" s="374">
        <v>381.3090410099</v>
      </c>
      <c r="BL51" s="374">
        <v>329.60210964959998</v>
      </c>
      <c r="BM51" s="374">
        <v>341.99848209960004</v>
      </c>
      <c r="BN51" s="374">
        <v>378.34094493279997</v>
      </c>
      <c r="BO51" s="374">
        <v>390.70176889039999</v>
      </c>
      <c r="BP51" s="374">
        <v>393.88905679750002</v>
      </c>
      <c r="BQ51" s="374">
        <v>418.59055578050004</v>
      </c>
      <c r="BR51" s="374">
        <v>437.07785947529993</v>
      </c>
      <c r="BS51" s="374">
        <v>448.38669820000001</v>
      </c>
      <c r="BT51" s="374">
        <v>422.87005625964002</v>
      </c>
      <c r="BU51" s="374">
        <v>329.76325565174</v>
      </c>
      <c r="BV51" s="374">
        <v>365.40080631813794</v>
      </c>
      <c r="BW51" s="374">
        <v>311.52140159682</v>
      </c>
      <c r="BX51" s="374">
        <v>314.15319225849998</v>
      </c>
      <c r="BY51" s="374">
        <v>229.01218251190002</v>
      </c>
      <c r="BZ51" s="374">
        <v>238.5</v>
      </c>
      <c r="CA51" s="374">
        <v>299.81749984019996</v>
      </c>
      <c r="CB51" s="374">
        <v>320.04155512280005</v>
      </c>
      <c r="CC51" s="374">
        <v>806.22054353724297</v>
      </c>
      <c r="CD51" s="374">
        <v>341.73996338559402</v>
      </c>
      <c r="CE51" s="374">
        <v>861.02136328592474</v>
      </c>
      <c r="CF51" s="374">
        <v>883.68746889408112</v>
      </c>
      <c r="CG51" s="374">
        <v>1029.2577728815495</v>
      </c>
      <c r="CH51" s="374">
        <v>1017.0786843491817</v>
      </c>
      <c r="CI51" s="374">
        <v>960.52790566925614</v>
      </c>
      <c r="CJ51" s="374">
        <v>940.29592426399608</v>
      </c>
      <c r="CK51" s="374">
        <v>960.18000436760508</v>
      </c>
      <c r="CL51" s="374">
        <v>1149.3987229752588</v>
      </c>
      <c r="CM51" s="374">
        <v>1085.7885704857206</v>
      </c>
      <c r="CN51" s="374">
        <v>1048.820421472064</v>
      </c>
      <c r="CO51" s="374">
        <v>1173.3572824844098</v>
      </c>
    </row>
    <row r="52" spans="1:93" ht="7.7" customHeight="1">
      <c r="A52" s="371"/>
      <c r="B52" s="366"/>
      <c r="C52" s="198"/>
      <c r="D52" s="198"/>
      <c r="E52" s="210"/>
      <c r="F52" s="198"/>
      <c r="G52" s="198"/>
      <c r="H52" s="260"/>
      <c r="I52" s="260"/>
      <c r="J52" s="260"/>
      <c r="K52" s="207"/>
      <c r="L52" s="260"/>
      <c r="M52" s="260"/>
      <c r="N52" s="260"/>
      <c r="O52" s="207"/>
      <c r="P52" s="260"/>
      <c r="Q52" s="260"/>
      <c r="R52" s="207"/>
      <c r="S52" s="260"/>
      <c r="T52" s="260"/>
      <c r="U52" s="373"/>
      <c r="V52" s="373"/>
      <c r="W52" s="373"/>
      <c r="X52" s="373"/>
      <c r="Y52" s="373"/>
      <c r="Z52" s="373"/>
      <c r="AA52" s="373"/>
      <c r="AB52" s="373"/>
      <c r="AC52" s="373"/>
      <c r="AD52" s="373"/>
      <c r="AE52" s="373"/>
      <c r="AF52" s="373"/>
      <c r="AG52" s="373"/>
      <c r="AH52" s="373"/>
      <c r="AI52" s="373"/>
      <c r="AJ52" s="373"/>
      <c r="AK52" s="373"/>
      <c r="AL52" s="373"/>
      <c r="AM52" s="261"/>
      <c r="AN52" s="261"/>
      <c r="AO52" s="261"/>
      <c r="AP52" s="261"/>
      <c r="AQ52" s="261"/>
      <c r="AR52" s="366"/>
      <c r="AS52" s="366"/>
      <c r="AT52" s="366"/>
      <c r="AU52" s="366"/>
      <c r="AV52" s="366"/>
      <c r="AW52" s="369"/>
      <c r="AX52" s="369"/>
      <c r="AY52" s="369"/>
      <c r="AZ52" s="369"/>
      <c r="BA52" s="369"/>
      <c r="BB52" s="369"/>
      <c r="BC52" s="369"/>
      <c r="BD52" s="369"/>
      <c r="BE52" s="370"/>
      <c r="BF52" s="370"/>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c r="CF52" s="370"/>
      <c r="CG52" s="370"/>
      <c r="CH52" s="370"/>
      <c r="CI52" s="370"/>
      <c r="CJ52" s="370"/>
      <c r="CK52" s="370"/>
      <c r="CL52" s="370"/>
      <c r="CM52" s="370"/>
      <c r="CN52" s="370"/>
      <c r="CO52" s="370"/>
    </row>
    <row r="53" spans="1:93">
      <c r="A53" s="365" t="s">
        <v>436</v>
      </c>
      <c r="B53" s="366">
        <v>16990.770859912001</v>
      </c>
      <c r="C53" s="198">
        <v>17310.9315240588</v>
      </c>
      <c r="D53" s="198">
        <v>17346.032475530996</v>
      </c>
      <c r="E53" s="210">
        <v>17954.744655414204</v>
      </c>
      <c r="F53" s="198">
        <v>17976.906065687599</v>
      </c>
      <c r="G53" s="198">
        <v>18527.796913256403</v>
      </c>
      <c r="H53" s="198">
        <v>18645.6117551924</v>
      </c>
      <c r="I53" s="198">
        <v>18719.495500201701</v>
      </c>
      <c r="J53" s="198">
        <v>19091.433327080202</v>
      </c>
      <c r="K53" s="210">
        <v>18954.300387692128</v>
      </c>
      <c r="L53" s="198">
        <v>19085.768436934395</v>
      </c>
      <c r="M53" s="198">
        <v>19231.214198037494</v>
      </c>
      <c r="N53" s="198">
        <v>19474.871003599106</v>
      </c>
      <c r="O53" s="210">
        <v>19720.828944791039</v>
      </c>
      <c r="P53" s="198">
        <v>20013.660322607866</v>
      </c>
      <c r="Q53" s="198">
        <v>20150.930694602914</v>
      </c>
      <c r="R53" s="210">
        <v>20356.845855016498</v>
      </c>
      <c r="S53" s="198">
        <v>20624.320483097625</v>
      </c>
      <c r="T53" s="198">
        <v>20886.617807907493</v>
      </c>
      <c r="U53" s="200">
        <v>21041.873812462269</v>
      </c>
      <c r="V53" s="200">
        <v>21217.155206081181</v>
      </c>
      <c r="W53" s="200">
        <v>21283.659952479091</v>
      </c>
      <c r="X53" s="200">
        <v>21530.443758434369</v>
      </c>
      <c r="Y53" s="200">
        <v>22034.858371704075</v>
      </c>
      <c r="Z53" s="200">
        <v>22917.108495875229</v>
      </c>
      <c r="AA53" s="200">
        <v>23472.503346618119</v>
      </c>
      <c r="AB53" s="200">
        <v>23645.990745813444</v>
      </c>
      <c r="AC53" s="200">
        <v>23840.447057358597</v>
      </c>
      <c r="AD53" s="200">
        <v>24313.156131338932</v>
      </c>
      <c r="AE53" s="200">
        <v>24999.104064233412</v>
      </c>
      <c r="AF53" s="200">
        <v>25775.811589871726</v>
      </c>
      <c r="AG53" s="200">
        <v>25999.904792880436</v>
      </c>
      <c r="AH53" s="200">
        <v>26466.654325882209</v>
      </c>
      <c r="AI53" s="200">
        <v>28452.200095983248</v>
      </c>
      <c r="AJ53" s="200">
        <v>28825.492281500017</v>
      </c>
      <c r="AK53" s="200">
        <v>29506.865354146335</v>
      </c>
      <c r="AL53" s="200">
        <v>29957.044211511147</v>
      </c>
      <c r="AM53" s="261">
        <v>30427.232776953602</v>
      </c>
      <c r="AN53" s="261">
        <v>31689.037685944993</v>
      </c>
      <c r="AO53" s="261">
        <v>32176.055919459548</v>
      </c>
      <c r="AP53" s="261">
        <v>33669.468212295869</v>
      </c>
      <c r="AQ53" s="261">
        <v>34967.100029061112</v>
      </c>
      <c r="AR53" s="366">
        <v>36632.316590243208</v>
      </c>
      <c r="AS53" s="366">
        <v>36514.817651008794</v>
      </c>
      <c r="AT53" s="366">
        <v>37574.413266897463</v>
      </c>
      <c r="AU53" s="366">
        <v>37487.526267559617</v>
      </c>
      <c r="AV53" s="366">
        <v>37524.678754273329</v>
      </c>
      <c r="AW53" s="369">
        <v>37813.737107254747</v>
      </c>
      <c r="AX53" s="369">
        <v>38248.185484632231</v>
      </c>
      <c r="AY53" s="369">
        <v>38625.665272349353</v>
      </c>
      <c r="AZ53" s="369">
        <v>39326.578509166757</v>
      </c>
      <c r="BA53" s="369">
        <v>39477.443049147871</v>
      </c>
      <c r="BB53" s="369">
        <v>38496.869958017356</v>
      </c>
      <c r="BC53" s="369">
        <v>38818.603955031482</v>
      </c>
      <c r="BD53" s="369">
        <v>39707.824481412878</v>
      </c>
      <c r="BE53" s="370">
        <v>40087.577761240347</v>
      </c>
      <c r="BF53" s="370">
        <v>40564.75152945357</v>
      </c>
      <c r="BG53" s="370">
        <v>41542.602911537659</v>
      </c>
      <c r="BH53" s="370">
        <v>41925.274973629654</v>
      </c>
      <c r="BI53" s="370">
        <v>42568.812208498959</v>
      </c>
      <c r="BJ53" s="370">
        <v>43400.767533250699</v>
      </c>
      <c r="BK53" s="370">
        <v>44205.476697762111</v>
      </c>
      <c r="BL53" s="370">
        <v>44658.830570820232</v>
      </c>
      <c r="BM53" s="370">
        <v>44994.294556872803</v>
      </c>
      <c r="BN53" s="370">
        <v>45478.35091409093</v>
      </c>
      <c r="BO53" s="370">
        <v>46063.861643931567</v>
      </c>
      <c r="BP53" s="370">
        <v>46352.533114643666</v>
      </c>
      <c r="BQ53" s="370">
        <v>47256.197363090076</v>
      </c>
      <c r="BR53" s="370">
        <v>47704.437785278154</v>
      </c>
      <c r="BS53" s="370">
        <v>48100.15109016496</v>
      </c>
      <c r="BT53" s="370">
        <v>48940.006639378684</v>
      </c>
      <c r="BU53" s="370">
        <v>49393.226651524499</v>
      </c>
      <c r="BV53" s="370">
        <v>49696.47636815672</v>
      </c>
      <c r="BW53" s="370">
        <v>50625.741040967718</v>
      </c>
      <c r="BX53" s="370">
        <v>51407.415269239493</v>
      </c>
      <c r="BY53" s="370">
        <v>52129.049325204593</v>
      </c>
      <c r="BZ53" s="370">
        <v>53258.7</v>
      </c>
      <c r="CA53" s="370">
        <v>54230.565500798963</v>
      </c>
      <c r="CB53" s="370">
        <v>54835.496015499768</v>
      </c>
      <c r="CC53" s="370">
        <v>55042.507419952402</v>
      </c>
      <c r="CD53" s="370">
        <v>56438.492236593651</v>
      </c>
      <c r="CE53" s="370">
        <v>58842.130366483325</v>
      </c>
      <c r="CF53" s="370">
        <v>59883.057920301173</v>
      </c>
      <c r="CG53" s="370">
        <v>60939.928073488096</v>
      </c>
      <c r="CH53" s="370">
        <v>61872.251101487185</v>
      </c>
      <c r="CI53" s="370">
        <v>63054.157526923358</v>
      </c>
      <c r="CJ53" s="370">
        <v>64434.159200605187</v>
      </c>
      <c r="CK53" s="370">
        <v>65087.629544874522</v>
      </c>
      <c r="CL53" s="370">
        <v>65970.32982040316</v>
      </c>
      <c r="CM53" s="370">
        <v>66928.517470165854</v>
      </c>
      <c r="CN53" s="370">
        <v>67646.337440151518</v>
      </c>
      <c r="CO53" s="370">
        <v>68328.913047515409</v>
      </c>
    </row>
    <row r="54" spans="1:93">
      <c r="A54" s="371" t="s">
        <v>398</v>
      </c>
      <c r="B54" s="366"/>
      <c r="C54" s="198"/>
      <c r="D54" s="198"/>
      <c r="E54" s="210"/>
      <c r="F54" s="198"/>
      <c r="G54" s="198"/>
      <c r="H54" s="260"/>
      <c r="I54" s="260"/>
      <c r="J54" s="260"/>
      <c r="K54" s="207"/>
      <c r="L54" s="260"/>
      <c r="M54" s="260"/>
      <c r="N54" s="260"/>
      <c r="O54" s="207"/>
      <c r="P54" s="260"/>
      <c r="Q54" s="260"/>
      <c r="R54" s="207"/>
      <c r="S54" s="260"/>
      <c r="T54" s="260"/>
      <c r="U54" s="373"/>
      <c r="V54" s="373"/>
      <c r="W54" s="373"/>
      <c r="X54" s="373"/>
      <c r="Y54" s="373"/>
      <c r="Z54" s="373"/>
      <c r="AA54" s="373"/>
      <c r="AB54" s="373"/>
      <c r="AC54" s="373"/>
      <c r="AD54" s="373"/>
      <c r="AE54" s="373"/>
      <c r="AF54" s="373"/>
      <c r="AG54" s="373"/>
      <c r="AH54" s="373"/>
      <c r="AI54" s="373"/>
      <c r="AJ54" s="373"/>
      <c r="AK54" s="373"/>
      <c r="AL54" s="373"/>
      <c r="AM54" s="261"/>
      <c r="AN54" s="261"/>
      <c r="AO54" s="261"/>
      <c r="AP54" s="261"/>
      <c r="AQ54" s="261"/>
      <c r="AR54" s="366"/>
      <c r="AS54" s="366"/>
      <c r="AT54" s="366"/>
      <c r="AU54" s="366"/>
      <c r="AV54" s="366"/>
      <c r="AW54" s="369"/>
      <c r="AX54" s="369"/>
      <c r="AY54" s="369"/>
      <c r="AZ54" s="369"/>
      <c r="BA54" s="369"/>
      <c r="BB54" s="369"/>
      <c r="BC54" s="369"/>
      <c r="BD54" s="369"/>
      <c r="BE54" s="370"/>
      <c r="BF54" s="370"/>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0"/>
      <c r="CO54" s="370"/>
    </row>
    <row r="55" spans="1:93">
      <c r="A55" s="371" t="s">
        <v>500</v>
      </c>
      <c r="B55" s="372">
        <v>1703.5168410699998</v>
      </c>
      <c r="C55" s="260">
        <v>1667.48697778</v>
      </c>
      <c r="D55" s="260">
        <v>1661.7562241699998</v>
      </c>
      <c r="E55" s="207">
        <v>1705.4120344800001</v>
      </c>
      <c r="F55" s="260">
        <v>1705.9493097899999</v>
      </c>
      <c r="G55" s="260">
        <v>1691.9955020999998</v>
      </c>
      <c r="H55" s="260">
        <v>1545.8629860100002</v>
      </c>
      <c r="I55" s="260">
        <v>1620.6617531099998</v>
      </c>
      <c r="J55" s="260">
        <v>1777.9612701199999</v>
      </c>
      <c r="K55" s="207">
        <v>1770.1400560500001</v>
      </c>
      <c r="L55" s="260">
        <v>1685.9139380800002</v>
      </c>
      <c r="M55" s="260">
        <v>1629.9566338300001</v>
      </c>
      <c r="N55" s="260">
        <v>1574.8059123</v>
      </c>
      <c r="O55" s="207">
        <v>1594.4855227099999</v>
      </c>
      <c r="P55" s="260">
        <v>1696.9955438699999</v>
      </c>
      <c r="Q55" s="260">
        <v>1694.69309795</v>
      </c>
      <c r="R55" s="207">
        <v>1697.4641178899999</v>
      </c>
      <c r="S55" s="260">
        <v>1670.7677218199999</v>
      </c>
      <c r="T55" s="260">
        <v>1681.42759907</v>
      </c>
      <c r="U55" s="373">
        <v>1645.7320682</v>
      </c>
      <c r="V55" s="373">
        <v>1706.4805101900001</v>
      </c>
      <c r="W55" s="373">
        <v>1684.9427416800002</v>
      </c>
      <c r="X55" s="373">
        <v>1690.6768397999999</v>
      </c>
      <c r="Y55" s="373">
        <v>1664.3503350000001</v>
      </c>
      <c r="Z55" s="373">
        <v>1540.4170351100001</v>
      </c>
      <c r="AA55" s="373">
        <v>1595.55022433</v>
      </c>
      <c r="AB55" s="373">
        <v>1594.0091191399999</v>
      </c>
      <c r="AC55" s="373">
        <v>1631.0120076300002</v>
      </c>
      <c r="AD55" s="373">
        <v>1538.7090692500001</v>
      </c>
      <c r="AE55" s="373">
        <v>1645.3291321000002</v>
      </c>
      <c r="AF55" s="373">
        <v>1572.7505806400002</v>
      </c>
      <c r="AG55" s="373">
        <v>1553.6544383000003</v>
      </c>
      <c r="AH55" s="373">
        <v>1632.5942457000001</v>
      </c>
      <c r="AI55" s="373">
        <v>1493.2156489099998</v>
      </c>
      <c r="AJ55" s="373">
        <v>1522.5460142600002</v>
      </c>
      <c r="AK55" s="373">
        <v>1617.1927430799999</v>
      </c>
      <c r="AL55" s="373">
        <v>1587.7562758499998</v>
      </c>
      <c r="AM55" s="262">
        <v>1607.9971628600001</v>
      </c>
      <c r="AN55" s="262">
        <v>1640.62458184</v>
      </c>
      <c r="AO55" s="262">
        <v>1708.74232667</v>
      </c>
      <c r="AP55" s="262">
        <v>1612.5914442467999</v>
      </c>
      <c r="AQ55" s="262">
        <v>1633.8267005505998</v>
      </c>
      <c r="AR55" s="372">
        <v>1519.4963002048</v>
      </c>
      <c r="AS55" s="372">
        <v>1470.5025475099999</v>
      </c>
      <c r="AT55" s="372">
        <v>1507.49048021</v>
      </c>
      <c r="AU55" s="372">
        <v>1485.9416241719998</v>
      </c>
      <c r="AV55" s="372">
        <v>1562.1708126570002</v>
      </c>
      <c r="AW55" s="201">
        <v>1568.3009001152</v>
      </c>
      <c r="AX55" s="201">
        <v>1609.4369561307999</v>
      </c>
      <c r="AY55" s="201">
        <v>1504.4555740129001</v>
      </c>
      <c r="AZ55" s="201">
        <v>1535.4914448654999</v>
      </c>
      <c r="BA55" s="201">
        <v>1549.7753377923998</v>
      </c>
      <c r="BB55" s="201">
        <v>1401.6678407822999</v>
      </c>
      <c r="BC55" s="201">
        <v>1546.0777856960001</v>
      </c>
      <c r="BD55" s="201">
        <v>1763.3919846222</v>
      </c>
      <c r="BE55" s="374">
        <v>1609.0982713096002</v>
      </c>
      <c r="BF55" s="374">
        <v>1569.9114551200003</v>
      </c>
      <c r="BG55" s="374">
        <v>1640.400353578</v>
      </c>
      <c r="BH55" s="374">
        <v>1645.4479065085</v>
      </c>
      <c r="BI55" s="374">
        <v>1619.6103379081999</v>
      </c>
      <c r="BJ55" s="374">
        <v>1705.9283776083003</v>
      </c>
      <c r="BK55" s="374">
        <v>1895.0080960635003</v>
      </c>
      <c r="BL55" s="374">
        <v>1802.8477726194001</v>
      </c>
      <c r="BM55" s="374">
        <v>1796.2621740450004</v>
      </c>
      <c r="BN55" s="374">
        <v>1918.4197671179998</v>
      </c>
      <c r="BO55" s="374">
        <v>1825.1166806228</v>
      </c>
      <c r="BP55" s="374">
        <v>1940.1952077745998</v>
      </c>
      <c r="BQ55" s="374">
        <v>2097.7048947519002</v>
      </c>
      <c r="BR55" s="374">
        <v>2243.2512883203003</v>
      </c>
      <c r="BS55" s="374">
        <v>2178.3100403208005</v>
      </c>
      <c r="BT55" s="374">
        <v>2167.8786704667496</v>
      </c>
      <c r="BU55" s="374">
        <v>2259.2301837479345</v>
      </c>
      <c r="BV55" s="374">
        <v>2251.733822091092</v>
      </c>
      <c r="BW55" s="374">
        <v>2198.2134562885003</v>
      </c>
      <c r="BX55" s="374">
        <v>2179.3626134329998</v>
      </c>
      <c r="BY55" s="374">
        <v>1851.8332938256001</v>
      </c>
      <c r="BZ55" s="374">
        <v>1834.9</v>
      </c>
      <c r="CA55" s="374">
        <v>1907.5042333698</v>
      </c>
      <c r="CB55" s="374">
        <v>1998.1906784936002</v>
      </c>
      <c r="CC55" s="374">
        <v>1987.8912893275999</v>
      </c>
      <c r="CD55" s="374">
        <v>2175.1036625325823</v>
      </c>
      <c r="CE55" s="374">
        <v>2080.2410300655492</v>
      </c>
      <c r="CF55" s="374">
        <v>2116.6489087231457</v>
      </c>
      <c r="CG55" s="374">
        <v>2217.4506931106234</v>
      </c>
      <c r="CH55" s="374">
        <v>2061.7262615651457</v>
      </c>
      <c r="CI55" s="374">
        <v>2068.0837510276742</v>
      </c>
      <c r="CJ55" s="374">
        <v>2087.081989396946</v>
      </c>
      <c r="CK55" s="374">
        <v>2064.0744169051222</v>
      </c>
      <c r="CL55" s="374">
        <v>2129.4509004205233</v>
      </c>
      <c r="CM55" s="374">
        <v>2212.5829138430254</v>
      </c>
      <c r="CN55" s="374">
        <v>2158.4389556632905</v>
      </c>
      <c r="CO55" s="374">
        <v>2172.2381578465443</v>
      </c>
    </row>
    <row r="56" spans="1:93">
      <c r="A56" s="371" t="s">
        <v>438</v>
      </c>
      <c r="B56" s="372">
        <v>1566.2622638099999</v>
      </c>
      <c r="C56" s="260">
        <v>1531.7355509000001</v>
      </c>
      <c r="D56" s="260">
        <v>1480.9899711300002</v>
      </c>
      <c r="E56" s="207">
        <v>1509.5370252</v>
      </c>
      <c r="F56" s="260">
        <v>1399.6322762400002</v>
      </c>
      <c r="G56" s="260">
        <v>1574.8851512800002</v>
      </c>
      <c r="H56" s="260">
        <v>1592.0664303799997</v>
      </c>
      <c r="I56" s="260">
        <v>1604.3418368000002</v>
      </c>
      <c r="J56" s="260">
        <v>1616.6536442600002</v>
      </c>
      <c r="K56" s="207">
        <v>1397.6034185000001</v>
      </c>
      <c r="L56" s="260">
        <v>1413.0447133499999</v>
      </c>
      <c r="M56" s="260">
        <v>1405.9051855599998</v>
      </c>
      <c r="N56" s="260">
        <v>1422.7458716399999</v>
      </c>
      <c r="O56" s="207">
        <v>1399.8823031900004</v>
      </c>
      <c r="P56" s="260">
        <v>1490.062487343072</v>
      </c>
      <c r="Q56" s="260">
        <v>1455.2937506486001</v>
      </c>
      <c r="R56" s="207">
        <v>1440.2298126000001</v>
      </c>
      <c r="S56" s="260">
        <v>1504.8786693673999</v>
      </c>
      <c r="T56" s="260">
        <v>1563.0391757350001</v>
      </c>
      <c r="U56" s="373">
        <v>1563.3051408258368</v>
      </c>
      <c r="V56" s="373">
        <v>1594.3383725296349</v>
      </c>
      <c r="W56" s="373">
        <v>1588.0825185805002</v>
      </c>
      <c r="X56" s="373">
        <v>1646.9043621899998</v>
      </c>
      <c r="Y56" s="373">
        <v>1884.9417942299999</v>
      </c>
      <c r="Z56" s="373">
        <v>1881.7743529000113</v>
      </c>
      <c r="AA56" s="373">
        <v>2134.2113199099999</v>
      </c>
      <c r="AB56" s="373">
        <v>2276.8956580296735</v>
      </c>
      <c r="AC56" s="373">
        <v>2325.8508313611242</v>
      </c>
      <c r="AD56" s="373">
        <v>2531.1441753206004</v>
      </c>
      <c r="AE56" s="373">
        <v>2626.164427995142</v>
      </c>
      <c r="AF56" s="373">
        <v>2753.4232723566643</v>
      </c>
      <c r="AG56" s="373">
        <v>2777.084564852049</v>
      </c>
      <c r="AH56" s="373">
        <v>2706.8398072124105</v>
      </c>
      <c r="AI56" s="373">
        <v>3792.0184282425444</v>
      </c>
      <c r="AJ56" s="373">
        <v>3829.6012439856991</v>
      </c>
      <c r="AK56" s="373">
        <v>4149.0226086412713</v>
      </c>
      <c r="AL56" s="373">
        <v>4165.0506336005756</v>
      </c>
      <c r="AM56" s="262">
        <v>4272.5715158456724</v>
      </c>
      <c r="AN56" s="262">
        <v>4562.3505181211121</v>
      </c>
      <c r="AO56" s="262">
        <v>4636.2372954465636</v>
      </c>
      <c r="AP56" s="262">
        <v>5010.4701210429675</v>
      </c>
      <c r="AQ56" s="262">
        <v>5748.2683752771691</v>
      </c>
      <c r="AR56" s="372">
        <v>5443.9517062232007</v>
      </c>
      <c r="AS56" s="372">
        <v>5450.8960268687988</v>
      </c>
      <c r="AT56" s="372">
        <v>5968.2017388641871</v>
      </c>
      <c r="AU56" s="372">
        <v>5961.7218153548183</v>
      </c>
      <c r="AV56" s="372">
        <v>5997.204256061339</v>
      </c>
      <c r="AW56" s="201">
        <v>5959.0393518775409</v>
      </c>
      <c r="AX56" s="201">
        <v>6402.8197630342129</v>
      </c>
      <c r="AY56" s="201">
        <v>6533.5225808880414</v>
      </c>
      <c r="AZ56" s="201">
        <v>6708.3524122662539</v>
      </c>
      <c r="BA56" s="201">
        <v>6837.3582112271397</v>
      </c>
      <c r="BB56" s="201">
        <v>6652.6271805244578</v>
      </c>
      <c r="BC56" s="201">
        <v>6617.8851017674579</v>
      </c>
      <c r="BD56" s="201">
        <v>6583.9676465180737</v>
      </c>
      <c r="BE56" s="374">
        <v>6631.2531014145152</v>
      </c>
      <c r="BF56" s="374">
        <v>6925.8505582460912</v>
      </c>
      <c r="BG56" s="374">
        <v>6751.9981268280999</v>
      </c>
      <c r="BH56" s="374">
        <v>6876.1655090733348</v>
      </c>
      <c r="BI56" s="374">
        <v>6946.1621289767763</v>
      </c>
      <c r="BJ56" s="374">
        <v>6846.2399812526864</v>
      </c>
      <c r="BK56" s="374">
        <v>7181.7258415506685</v>
      </c>
      <c r="BL56" s="374">
        <v>7304.9543537676909</v>
      </c>
      <c r="BM56" s="374">
        <v>7062.88359449575</v>
      </c>
      <c r="BN56" s="374">
        <v>7161.5564283267231</v>
      </c>
      <c r="BO56" s="374">
        <v>7183.794132799886</v>
      </c>
      <c r="BP56" s="374">
        <v>6812.7885968926239</v>
      </c>
      <c r="BQ56" s="374">
        <v>6666.6104976179295</v>
      </c>
      <c r="BR56" s="374">
        <v>6758.7563611538581</v>
      </c>
      <c r="BS56" s="374">
        <v>6852.0285764284181</v>
      </c>
      <c r="BT56" s="374">
        <v>6844.879226694723</v>
      </c>
      <c r="BU56" s="374">
        <v>6760.4413757508555</v>
      </c>
      <c r="BV56" s="374">
        <v>7001.649657477732</v>
      </c>
      <c r="BW56" s="374">
        <v>6972.0043839220643</v>
      </c>
      <c r="BX56" s="374">
        <v>7178.0116337104982</v>
      </c>
      <c r="BY56" s="374">
        <v>7129.9206409353001</v>
      </c>
      <c r="BZ56" s="374">
        <v>7202.3</v>
      </c>
      <c r="CA56" s="374">
        <v>7257.6438286813172</v>
      </c>
      <c r="CB56" s="374">
        <v>9231.2591131296867</v>
      </c>
      <c r="CC56" s="374">
        <v>8883.6745443411037</v>
      </c>
      <c r="CD56" s="374">
        <v>9470.6598835068762</v>
      </c>
      <c r="CE56" s="374">
        <v>11192.246052263228</v>
      </c>
      <c r="CF56" s="374">
        <v>11329.015390783961</v>
      </c>
      <c r="CG56" s="374">
        <v>11700.572314512288</v>
      </c>
      <c r="CH56" s="374">
        <v>11697.831977097459</v>
      </c>
      <c r="CI56" s="374">
        <v>11992.786581141494</v>
      </c>
      <c r="CJ56" s="374">
        <v>12208.284283884432</v>
      </c>
      <c r="CK56" s="374">
        <v>12457.029866708373</v>
      </c>
      <c r="CL56" s="374">
        <v>12728.823514301599</v>
      </c>
      <c r="CM56" s="374">
        <v>12827.465229980042</v>
      </c>
      <c r="CN56" s="374">
        <v>13037.736085659824</v>
      </c>
      <c r="CO56" s="374">
        <v>13235.864578678416</v>
      </c>
    </row>
    <row r="57" spans="1:93">
      <c r="A57" s="371" t="s">
        <v>439</v>
      </c>
      <c r="B57" s="372">
        <v>365.25931791999994</v>
      </c>
      <c r="C57" s="260">
        <v>361.8610913</v>
      </c>
      <c r="D57" s="260">
        <v>330.61473683000003</v>
      </c>
      <c r="E57" s="207">
        <v>314.90546927999998</v>
      </c>
      <c r="F57" s="260">
        <v>464.41541280000001</v>
      </c>
      <c r="G57" s="260">
        <v>535.98596038000005</v>
      </c>
      <c r="H57" s="260">
        <v>507.23144483999999</v>
      </c>
      <c r="I57" s="260">
        <v>347.07756746000001</v>
      </c>
      <c r="J57" s="260">
        <v>353.24814714999997</v>
      </c>
      <c r="K57" s="207">
        <v>315.71153032999996</v>
      </c>
      <c r="L57" s="260">
        <v>286.45032800999996</v>
      </c>
      <c r="M57" s="260">
        <v>296.84140921999995</v>
      </c>
      <c r="N57" s="260">
        <v>373.34096868</v>
      </c>
      <c r="O57" s="207">
        <v>426.75881396000005</v>
      </c>
      <c r="P57" s="260">
        <v>438.14999667999996</v>
      </c>
      <c r="Q57" s="260">
        <v>411.17036044999998</v>
      </c>
      <c r="R57" s="207">
        <v>384.22773477999999</v>
      </c>
      <c r="S57" s="260">
        <v>418.06079294</v>
      </c>
      <c r="T57" s="260">
        <v>468.96860088000005</v>
      </c>
      <c r="U57" s="373">
        <v>502.07161587999997</v>
      </c>
      <c r="V57" s="373">
        <v>528.95760298000005</v>
      </c>
      <c r="W57" s="373">
        <v>526.10731516999999</v>
      </c>
      <c r="X57" s="373">
        <v>496.37015414000001</v>
      </c>
      <c r="Y57" s="373">
        <v>589.43051039000011</v>
      </c>
      <c r="Z57" s="373">
        <v>1156.8335474600001</v>
      </c>
      <c r="AA57" s="373">
        <v>1177.13001171</v>
      </c>
      <c r="AB57" s="373">
        <v>1113.1167142447498</v>
      </c>
      <c r="AC57" s="373">
        <v>969.76560168740593</v>
      </c>
      <c r="AD57" s="373">
        <v>973.69890130710792</v>
      </c>
      <c r="AE57" s="373">
        <v>1236.8878697847424</v>
      </c>
      <c r="AF57" s="373">
        <v>1602.1795898133626</v>
      </c>
      <c r="AG57" s="373">
        <v>1628.0579894203997</v>
      </c>
      <c r="AH57" s="373">
        <v>1773.3762698780004</v>
      </c>
      <c r="AI57" s="373">
        <v>2484.4017611039994</v>
      </c>
      <c r="AJ57" s="373">
        <v>2601.5383576075997</v>
      </c>
      <c r="AK57" s="373">
        <v>2602.822615416947</v>
      </c>
      <c r="AL57" s="373">
        <v>2653.6676484889003</v>
      </c>
      <c r="AM57" s="262">
        <v>2572.226221905501</v>
      </c>
      <c r="AN57" s="262">
        <v>2282.8665573268004</v>
      </c>
      <c r="AO57" s="262">
        <v>2243.6455807148996</v>
      </c>
      <c r="AP57" s="262">
        <v>2775.3329753995008</v>
      </c>
      <c r="AQ57" s="262">
        <v>2721.7722397025996</v>
      </c>
      <c r="AR57" s="372">
        <v>3140.2743375971995</v>
      </c>
      <c r="AS57" s="372">
        <v>3144.39203013</v>
      </c>
      <c r="AT57" s="372">
        <v>3374.4094140080006</v>
      </c>
      <c r="AU57" s="372">
        <v>3069.0888371211995</v>
      </c>
      <c r="AV57" s="372">
        <v>3175.7602510850002</v>
      </c>
      <c r="AW57" s="201">
        <v>3071.2505823612005</v>
      </c>
      <c r="AX57" s="201">
        <v>2829.7099757651999</v>
      </c>
      <c r="AY57" s="201">
        <v>2962.6516576695994</v>
      </c>
      <c r="AZ57" s="201">
        <v>3155.7950217121993</v>
      </c>
      <c r="BA57" s="201">
        <v>3083.3067973611996</v>
      </c>
      <c r="BB57" s="201">
        <v>3098.1781908583002</v>
      </c>
      <c r="BC57" s="201">
        <v>3080.8709042392561</v>
      </c>
      <c r="BD57" s="201">
        <v>3236.1291461471997</v>
      </c>
      <c r="BE57" s="374">
        <v>3200.0435941173</v>
      </c>
      <c r="BF57" s="374">
        <v>3406.4396988600001</v>
      </c>
      <c r="BG57" s="374">
        <v>4010.6163298287502</v>
      </c>
      <c r="BH57" s="374">
        <v>4048.8770797860002</v>
      </c>
      <c r="BI57" s="374">
        <v>4249.4890301041496</v>
      </c>
      <c r="BJ57" s="374">
        <v>4366.0857084736454</v>
      </c>
      <c r="BK57" s="374">
        <v>4196.8353017531881</v>
      </c>
      <c r="BL57" s="374">
        <v>4175.0032077067381</v>
      </c>
      <c r="BM57" s="374">
        <v>4318.9534405538288</v>
      </c>
      <c r="BN57" s="374">
        <v>4266.0638341539534</v>
      </c>
      <c r="BO57" s="374">
        <v>4273.167770528009</v>
      </c>
      <c r="BP57" s="374">
        <v>4680.1058535568773</v>
      </c>
      <c r="BQ57" s="374">
        <v>4755.0914769556639</v>
      </c>
      <c r="BR57" s="374">
        <v>4753.0898666692474</v>
      </c>
      <c r="BS57" s="374">
        <v>4584.9775715098785</v>
      </c>
      <c r="BT57" s="374">
        <v>4501.4529993351462</v>
      </c>
      <c r="BU57" s="374">
        <v>4521.3052740861467</v>
      </c>
      <c r="BV57" s="374">
        <v>3773.3878464071295</v>
      </c>
      <c r="BW57" s="374">
        <v>3768.8798634102004</v>
      </c>
      <c r="BX57" s="374">
        <v>3581.8004133934996</v>
      </c>
      <c r="BY57" s="374">
        <v>3436.5117452528002</v>
      </c>
      <c r="BZ57" s="374">
        <v>3628.3</v>
      </c>
      <c r="CA57" s="374">
        <v>3653.2146243049747</v>
      </c>
      <c r="CB57" s="374">
        <v>3679.6065133077082</v>
      </c>
      <c r="CC57" s="374">
        <v>3753.78241073139</v>
      </c>
      <c r="CD57" s="374">
        <v>3811.1887786942375</v>
      </c>
      <c r="CE57" s="374">
        <v>4216.3972755197501</v>
      </c>
      <c r="CF57" s="374">
        <v>4517.2079026743013</v>
      </c>
      <c r="CG57" s="374">
        <v>4321.9724095641668</v>
      </c>
      <c r="CH57" s="374">
        <v>4621.9124639954071</v>
      </c>
      <c r="CI57" s="374">
        <v>4583.5186320270868</v>
      </c>
      <c r="CJ57" s="374">
        <v>4936.0520529810428</v>
      </c>
      <c r="CK57" s="374">
        <v>4887.997586059988</v>
      </c>
      <c r="CL57" s="374">
        <v>4738.5123581679145</v>
      </c>
      <c r="CM57" s="374">
        <v>4787.6559034815509</v>
      </c>
      <c r="CN57" s="374">
        <v>4835.5571228939607</v>
      </c>
      <c r="CO57" s="374">
        <v>4782.5281280997242</v>
      </c>
    </row>
    <row r="58" spans="1:93">
      <c r="A58" s="371" t="s">
        <v>440</v>
      </c>
      <c r="B58" s="372">
        <v>185.01832108000002</v>
      </c>
      <c r="C58" s="260">
        <v>188.02759985999998</v>
      </c>
      <c r="D58" s="260">
        <v>185.79252209999999</v>
      </c>
      <c r="E58" s="207">
        <v>188.77633824999998</v>
      </c>
      <c r="F58" s="260">
        <v>173.52918373999998</v>
      </c>
      <c r="G58" s="260">
        <v>170.86455001999997</v>
      </c>
      <c r="H58" s="260">
        <v>177.21621038999999</v>
      </c>
      <c r="I58" s="260">
        <v>172.39015129999999</v>
      </c>
      <c r="J58" s="260">
        <v>163.98166129000001</v>
      </c>
      <c r="K58" s="207">
        <v>155.2508359</v>
      </c>
      <c r="L58" s="260">
        <v>157.08504078000001</v>
      </c>
      <c r="M58" s="260">
        <v>151.11976501000001</v>
      </c>
      <c r="N58" s="260">
        <v>149.10142345</v>
      </c>
      <c r="O58" s="207">
        <v>148.56610813</v>
      </c>
      <c r="P58" s="260">
        <v>147.10318639000002</v>
      </c>
      <c r="Q58" s="260">
        <v>147.99634651000002</v>
      </c>
      <c r="R58" s="207">
        <v>143.11690654999998</v>
      </c>
      <c r="S58" s="260">
        <v>138.49085228000001</v>
      </c>
      <c r="T58" s="260">
        <v>129.73006006</v>
      </c>
      <c r="U58" s="373">
        <v>115.05742584000001</v>
      </c>
      <c r="V58" s="373">
        <v>112.83151508</v>
      </c>
      <c r="W58" s="373">
        <v>111.92142265999999</v>
      </c>
      <c r="X58" s="373">
        <v>108.78448612000001</v>
      </c>
      <c r="Y58" s="373">
        <v>116.90564415999999</v>
      </c>
      <c r="Z58" s="373">
        <v>161.84540453000002</v>
      </c>
      <c r="AA58" s="373">
        <v>156.20870775</v>
      </c>
      <c r="AB58" s="373">
        <v>165.79524011000001</v>
      </c>
      <c r="AC58" s="373">
        <v>168.96227317999998</v>
      </c>
      <c r="AD58" s="373">
        <v>168.01764791999997</v>
      </c>
      <c r="AE58" s="373">
        <v>159.68267114000002</v>
      </c>
      <c r="AF58" s="373">
        <v>190.50501496999999</v>
      </c>
      <c r="AG58" s="373">
        <v>233.15144351999999</v>
      </c>
      <c r="AH58" s="373">
        <v>216.99954342000001</v>
      </c>
      <c r="AI58" s="373">
        <v>224.34562079000003</v>
      </c>
      <c r="AJ58" s="373">
        <v>230.09703388</v>
      </c>
      <c r="AK58" s="373">
        <v>233.99931191000002</v>
      </c>
      <c r="AL58" s="373">
        <v>233.34379166999997</v>
      </c>
      <c r="AM58" s="262">
        <v>237.02058398</v>
      </c>
      <c r="AN58" s="262">
        <v>235.18330778999999</v>
      </c>
      <c r="AO58" s="262">
        <v>243.87884038999999</v>
      </c>
      <c r="AP58" s="262">
        <v>245.6496106699</v>
      </c>
      <c r="AQ58" s="262">
        <v>300.94986768080003</v>
      </c>
      <c r="AR58" s="372">
        <v>284.67342759159999</v>
      </c>
      <c r="AS58" s="372">
        <v>295.83519516000001</v>
      </c>
      <c r="AT58" s="372">
        <v>343.10847842040005</v>
      </c>
      <c r="AU58" s="372">
        <v>348.44781476719999</v>
      </c>
      <c r="AV58" s="372">
        <v>366.56424704199998</v>
      </c>
      <c r="AW58" s="201">
        <v>370.25325306600007</v>
      </c>
      <c r="AX58" s="201">
        <v>341.53584922200002</v>
      </c>
      <c r="AY58" s="201">
        <v>301.03869963569997</v>
      </c>
      <c r="AZ58" s="201">
        <v>302.83691266939996</v>
      </c>
      <c r="BA58" s="201">
        <v>285.45340182220002</v>
      </c>
      <c r="BB58" s="201">
        <v>278.9340786994</v>
      </c>
      <c r="BC58" s="201">
        <v>387.72219233239997</v>
      </c>
      <c r="BD58" s="201">
        <v>399.49902651399998</v>
      </c>
      <c r="BE58" s="374">
        <v>387.53493809939999</v>
      </c>
      <c r="BF58" s="374">
        <v>372.10580253750004</v>
      </c>
      <c r="BG58" s="374">
        <v>354.61298036199997</v>
      </c>
      <c r="BH58" s="374">
        <v>338.5783693674</v>
      </c>
      <c r="BI58" s="374">
        <v>362.51120013490004</v>
      </c>
      <c r="BJ58" s="374">
        <v>372.89365641310002</v>
      </c>
      <c r="BK58" s="374">
        <v>373.49857941569996</v>
      </c>
      <c r="BL58" s="374">
        <v>383.47908149759996</v>
      </c>
      <c r="BM58" s="374">
        <v>400.63592047720005</v>
      </c>
      <c r="BN58" s="374">
        <v>382.30440203199998</v>
      </c>
      <c r="BO58" s="374">
        <v>385.29415467400003</v>
      </c>
      <c r="BP58" s="374">
        <v>382.37777938580001</v>
      </c>
      <c r="BQ58" s="374">
        <v>376.40373162290001</v>
      </c>
      <c r="BR58" s="374">
        <v>378.61753864740001</v>
      </c>
      <c r="BS58" s="374">
        <v>378.26848467960002</v>
      </c>
      <c r="BT58" s="374">
        <v>377.98667100259001</v>
      </c>
      <c r="BU58" s="374">
        <v>397.65755499401405</v>
      </c>
      <c r="BV58" s="374">
        <v>306.79572368844794</v>
      </c>
      <c r="BW58" s="374">
        <v>534.24886212453498</v>
      </c>
      <c r="BX58" s="374">
        <v>503.44883088400002</v>
      </c>
      <c r="BY58" s="374">
        <v>433.1538485035</v>
      </c>
      <c r="BZ58" s="374">
        <v>525.29999999999995</v>
      </c>
      <c r="CA58" s="374">
        <v>542.36689110520001</v>
      </c>
      <c r="CB58" s="374">
        <v>491.09251104545001</v>
      </c>
      <c r="CC58" s="374">
        <v>446.38961586896994</v>
      </c>
      <c r="CD58" s="374">
        <v>454.80505154457001</v>
      </c>
      <c r="CE58" s="374">
        <v>474.52672758221394</v>
      </c>
      <c r="CF58" s="374">
        <v>498.53803474263162</v>
      </c>
      <c r="CG58" s="374">
        <v>960.66736685659669</v>
      </c>
      <c r="CH58" s="374">
        <v>993.93150187717856</v>
      </c>
      <c r="CI58" s="374">
        <v>1130.2070446361984</v>
      </c>
      <c r="CJ58" s="374">
        <v>1208.549435976513</v>
      </c>
      <c r="CK58" s="374">
        <v>1237.9194519800601</v>
      </c>
      <c r="CL58" s="374">
        <v>1320.8475223581036</v>
      </c>
      <c r="CM58" s="374">
        <v>1394.5520880896916</v>
      </c>
      <c r="CN58" s="374">
        <v>1447.021055491567</v>
      </c>
      <c r="CO58" s="374">
        <v>1475.0202552448577</v>
      </c>
    </row>
    <row r="59" spans="1:93">
      <c r="A59" s="371" t="s">
        <v>441</v>
      </c>
      <c r="B59" s="372">
        <v>11010.618627710001</v>
      </c>
      <c r="C59" s="260">
        <v>11202.324978660003</v>
      </c>
      <c r="D59" s="260">
        <v>11392.66895213</v>
      </c>
      <c r="E59" s="207">
        <v>11612.441834360001</v>
      </c>
      <c r="F59" s="260">
        <v>11835.078289169998</v>
      </c>
      <c r="G59" s="260">
        <v>12010.31649066</v>
      </c>
      <c r="H59" s="260">
        <v>12223.067262169998</v>
      </c>
      <c r="I59" s="260">
        <v>12383.631140320003</v>
      </c>
      <c r="J59" s="260">
        <v>12495.888205270001</v>
      </c>
      <c r="K59" s="207">
        <v>12703.43300549</v>
      </c>
      <c r="L59" s="260">
        <v>12889.349938979996</v>
      </c>
      <c r="M59" s="260">
        <v>13057.569455209992</v>
      </c>
      <c r="N59" s="260">
        <v>13273.510894790004</v>
      </c>
      <c r="O59" s="207">
        <v>13386.098248070011</v>
      </c>
      <c r="P59" s="260">
        <v>13517.619478389994</v>
      </c>
      <c r="Q59" s="260">
        <v>13631.621207400012</v>
      </c>
      <c r="R59" s="207">
        <v>13790.01204564</v>
      </c>
      <c r="S59" s="260">
        <v>13962.252826749997</v>
      </c>
      <c r="T59" s="260">
        <v>14046.401857769995</v>
      </c>
      <c r="U59" s="373">
        <v>14128.511417380003</v>
      </c>
      <c r="V59" s="373">
        <v>14179.680991970003</v>
      </c>
      <c r="W59" s="373">
        <v>14332.369292889995</v>
      </c>
      <c r="X59" s="373">
        <v>14469.207694979992</v>
      </c>
      <c r="Y59" s="373">
        <v>14681.818957656398</v>
      </c>
      <c r="Z59" s="373">
        <v>14867.699041133901</v>
      </c>
      <c r="AA59" s="373">
        <v>15082.746113438385</v>
      </c>
      <c r="AB59" s="373">
        <v>15240.438459331968</v>
      </c>
      <c r="AC59" s="373">
        <v>15420.251653239993</v>
      </c>
      <c r="AD59" s="373">
        <v>15573.803864928304</v>
      </c>
      <c r="AE59" s="373">
        <v>15743.442259409143</v>
      </c>
      <c r="AF59" s="373">
        <v>15947.154507084686</v>
      </c>
      <c r="AG59" s="373">
        <v>16025.25354351721</v>
      </c>
      <c r="AH59" s="373">
        <v>16286.830751029996</v>
      </c>
      <c r="AI59" s="373">
        <v>16554.392915754779</v>
      </c>
      <c r="AJ59" s="373">
        <v>16762.523575996387</v>
      </c>
      <c r="AK59" s="373">
        <v>16989.085144613597</v>
      </c>
      <c r="AL59" s="373">
        <v>17189.504357741349</v>
      </c>
      <c r="AM59" s="262">
        <v>17458.849659500502</v>
      </c>
      <c r="AN59" s="262">
        <v>17531.998178534421</v>
      </c>
      <c r="AO59" s="262">
        <v>17706.625259815803</v>
      </c>
      <c r="AP59" s="262">
        <v>18343.053950757694</v>
      </c>
      <c r="AQ59" s="262">
        <v>18638.270237909608</v>
      </c>
      <c r="AR59" s="372">
        <v>19332.854220664809</v>
      </c>
      <c r="AS59" s="372">
        <v>19240.58847106</v>
      </c>
      <c r="AT59" s="372">
        <v>19478.913626610411</v>
      </c>
      <c r="AU59" s="372">
        <v>19650.556629893399</v>
      </c>
      <c r="AV59" s="372">
        <v>19719.546707906989</v>
      </c>
      <c r="AW59" s="201">
        <v>19725.976171224804</v>
      </c>
      <c r="AX59" s="201">
        <v>19860.443059875994</v>
      </c>
      <c r="AY59" s="201">
        <v>20053.6256522699</v>
      </c>
      <c r="AZ59" s="201">
        <v>20191.790771405998</v>
      </c>
      <c r="BA59" s="201">
        <v>20402.60927109421</v>
      </c>
      <c r="BB59" s="201">
        <v>20743.580143666008</v>
      </c>
      <c r="BC59" s="201">
        <v>20957.054775260396</v>
      </c>
      <c r="BD59" s="201">
        <v>21247.133820976604</v>
      </c>
      <c r="BE59" s="374">
        <v>21578.14483334959</v>
      </c>
      <c r="BF59" s="374">
        <v>21724.611324630001</v>
      </c>
      <c r="BG59" s="374">
        <v>21944.392615133998</v>
      </c>
      <c r="BH59" s="374">
        <v>22327.888310330909</v>
      </c>
      <c r="BI59" s="374">
        <v>22581.253492929201</v>
      </c>
      <c r="BJ59" s="374">
        <v>22928.326913878809</v>
      </c>
      <c r="BK59" s="374">
        <v>23372.214273920097</v>
      </c>
      <c r="BL59" s="374">
        <v>23809.493949092102</v>
      </c>
      <c r="BM59" s="374">
        <v>24204.688039687207</v>
      </c>
      <c r="BN59" s="374">
        <v>24518.506815144989</v>
      </c>
      <c r="BO59" s="374">
        <v>25009.841098352797</v>
      </c>
      <c r="BP59" s="374">
        <v>25330.8556352944</v>
      </c>
      <c r="BQ59" s="374">
        <v>25621.873178296599</v>
      </c>
      <c r="BR59" s="374">
        <v>25880.753915547804</v>
      </c>
      <c r="BS59" s="374">
        <v>26134.063912338792</v>
      </c>
      <c r="BT59" s="374">
        <v>26783.442174754564</v>
      </c>
      <c r="BU59" s="374">
        <v>27231.678537588177</v>
      </c>
      <c r="BV59" s="374">
        <v>27868.145133442464</v>
      </c>
      <c r="BW59" s="374">
        <v>28417.323148484262</v>
      </c>
      <c r="BX59" s="374">
        <v>29061.201910298005</v>
      </c>
      <c r="BY59" s="374">
        <v>30054.974832489399</v>
      </c>
      <c r="BZ59" s="374">
        <v>30466.1</v>
      </c>
      <c r="CA59" s="374">
        <v>30977.842405780913</v>
      </c>
      <c r="CB59" s="374">
        <v>31490.903773928971</v>
      </c>
      <c r="CC59" s="374">
        <v>31970.670609225093</v>
      </c>
      <c r="CD59" s="374">
        <v>32384.092497791309</v>
      </c>
      <c r="CE59" s="374">
        <v>32870.359955996508</v>
      </c>
      <c r="CF59" s="374">
        <v>33378.686694493044</v>
      </c>
      <c r="CG59" s="374">
        <v>33891.799166235971</v>
      </c>
      <c r="CH59" s="374">
        <v>34311.464803678777</v>
      </c>
      <c r="CI59" s="374">
        <v>34917.457011666367</v>
      </c>
      <c r="CJ59" s="374">
        <v>35605.307711334113</v>
      </c>
      <c r="CK59" s="374">
        <v>36025.001647723097</v>
      </c>
      <c r="CL59" s="374">
        <v>36562.461381562331</v>
      </c>
      <c r="CM59" s="374">
        <v>37169.659161722098</v>
      </c>
      <c r="CN59" s="374">
        <v>37592.635690536277</v>
      </c>
      <c r="CO59" s="374">
        <v>38009.922146942183</v>
      </c>
    </row>
    <row r="60" spans="1:93">
      <c r="A60" s="371" t="s">
        <v>442</v>
      </c>
      <c r="B60" s="372">
        <v>631.71260848199995</v>
      </c>
      <c r="C60" s="260">
        <v>637.00001189880004</v>
      </c>
      <c r="D60" s="260">
        <v>630.79652337100003</v>
      </c>
      <c r="E60" s="207">
        <v>918.9091715141999</v>
      </c>
      <c r="F60" s="260">
        <v>916.59575032760006</v>
      </c>
      <c r="G60" s="260">
        <v>913.59674971639993</v>
      </c>
      <c r="H60" s="260">
        <v>912.87297314240016</v>
      </c>
      <c r="I60" s="260">
        <v>911.02767978169993</v>
      </c>
      <c r="J60" s="260">
        <v>915.69908700020005</v>
      </c>
      <c r="K60" s="207">
        <v>918.71441057212007</v>
      </c>
      <c r="L60" s="260">
        <v>917.90057680439998</v>
      </c>
      <c r="M60" s="260">
        <v>949.32647059750002</v>
      </c>
      <c r="N60" s="260">
        <v>961.73905879910001</v>
      </c>
      <c r="O60" s="207">
        <v>963.09920581979998</v>
      </c>
      <c r="P60" s="260">
        <v>960.8066742348002</v>
      </c>
      <c r="Q60" s="260">
        <v>961.63381638429996</v>
      </c>
      <c r="R60" s="207">
        <v>970.66404638539996</v>
      </c>
      <c r="S60" s="260">
        <v>974.15898084960008</v>
      </c>
      <c r="T60" s="260">
        <v>993.93218605999994</v>
      </c>
      <c r="U60" s="373">
        <v>1012.3027969685002</v>
      </c>
      <c r="V60" s="373">
        <v>1020.202496649023</v>
      </c>
      <c r="W60" s="373">
        <v>1032.7421272022</v>
      </c>
      <c r="X60" s="373">
        <v>1049.0586421827602</v>
      </c>
      <c r="Y60" s="373">
        <v>1064.0716994639001</v>
      </c>
      <c r="Z60" s="373">
        <v>1098.9543632306334</v>
      </c>
      <c r="AA60" s="373">
        <v>1106.1971092105291</v>
      </c>
      <c r="AB60" s="373">
        <v>1136.9087957993979</v>
      </c>
      <c r="AC60" s="373">
        <v>1155.9041027123999</v>
      </c>
      <c r="AD60" s="373">
        <v>1180.3898544476001</v>
      </c>
      <c r="AE60" s="373">
        <v>1214.1712031896666</v>
      </c>
      <c r="AF60" s="373">
        <v>1248.4742800066417</v>
      </c>
      <c r="AG60" s="373">
        <v>1271.8292897569199</v>
      </c>
      <c r="AH60" s="373">
        <v>1298.9702330919999</v>
      </c>
      <c r="AI60" s="373">
        <v>1325.6868942647998</v>
      </c>
      <c r="AJ60" s="373">
        <v>1355.3092489564003</v>
      </c>
      <c r="AK60" s="373">
        <v>1403.1711733903994</v>
      </c>
      <c r="AL60" s="373">
        <v>1426.067926007825</v>
      </c>
      <c r="AM60" s="262">
        <v>1474.0650294185004</v>
      </c>
      <c r="AN60" s="262">
        <v>1527.1223110706208</v>
      </c>
      <c r="AO60" s="262">
        <v>1565.6830659072839</v>
      </c>
      <c r="AP60" s="262">
        <v>1681.4288204078998</v>
      </c>
      <c r="AQ60" s="262">
        <v>1745.9539638031999</v>
      </c>
      <c r="AR60" s="372">
        <v>1776.6598231776002</v>
      </c>
      <c r="AS60" s="372">
        <v>1791.6207647699996</v>
      </c>
      <c r="AT60" s="372">
        <v>1795.8939063324003</v>
      </c>
      <c r="AU60" s="372">
        <v>1820.4244094390001</v>
      </c>
      <c r="AV60" s="372">
        <v>1859.6791881839997</v>
      </c>
      <c r="AW60" s="201">
        <v>1903.1595622968</v>
      </c>
      <c r="AX60" s="201">
        <v>1929.2430072007999</v>
      </c>
      <c r="AY60" s="201">
        <v>1961.3788750359004</v>
      </c>
      <c r="AZ60" s="201">
        <v>2024.7393850504006</v>
      </c>
      <c r="BA60" s="201">
        <v>2079.1979434475998</v>
      </c>
      <c r="BB60" s="201">
        <v>2119.6187428467997</v>
      </c>
      <c r="BC60" s="201">
        <v>2153.1713852019989</v>
      </c>
      <c r="BD60" s="201">
        <v>2197.3523498787995</v>
      </c>
      <c r="BE60" s="374">
        <v>2228.5211790778994</v>
      </c>
      <c r="BF60" s="374">
        <v>2259.5613418749999</v>
      </c>
      <c r="BG60" s="374">
        <v>2294.9202719520013</v>
      </c>
      <c r="BH60" s="374">
        <v>2333.1617905786989</v>
      </c>
      <c r="BI60" s="374">
        <v>2375.0995313164995</v>
      </c>
      <c r="BJ60" s="374">
        <v>2448.5308218214</v>
      </c>
      <c r="BK60" s="374">
        <v>2487.9593940598998</v>
      </c>
      <c r="BL60" s="374">
        <v>2542.6851438756999</v>
      </c>
      <c r="BM60" s="374">
        <v>2637.156302199201</v>
      </c>
      <c r="BN60" s="374">
        <v>2659.6984717227997</v>
      </c>
      <c r="BO60" s="374">
        <v>2709.0022434984012</v>
      </c>
      <c r="BP60" s="374">
        <v>2910.2628512496999</v>
      </c>
      <c r="BQ60" s="374">
        <v>2917.9134025144999</v>
      </c>
      <c r="BR60" s="374">
        <v>2926.2977547710989</v>
      </c>
      <c r="BS60" s="374">
        <v>3018.2850252375993</v>
      </c>
      <c r="BT60" s="374">
        <v>3055.6996900502513</v>
      </c>
      <c r="BU60" s="374">
        <v>2914.6141085252052</v>
      </c>
      <c r="BV60" s="374">
        <v>2969.5485552010991</v>
      </c>
      <c r="BW60" s="374">
        <v>3001.1978016363205</v>
      </c>
      <c r="BX60" s="374">
        <v>3009.6356242064999</v>
      </c>
      <c r="BY60" s="374">
        <v>3052.7995709551001</v>
      </c>
      <c r="BZ60" s="374">
        <v>3082.6</v>
      </c>
      <c r="CA60" s="374">
        <v>3112.3396293357009</v>
      </c>
      <c r="CB60" s="374">
        <v>3142.4687992971985</v>
      </c>
      <c r="CC60" s="374">
        <v>3151.2523367216018</v>
      </c>
      <c r="CD60" s="374">
        <v>3199.9707890491995</v>
      </c>
      <c r="CE60" s="374">
        <v>3233.8724895027303</v>
      </c>
      <c r="CF60" s="374">
        <v>3267.1263667738085</v>
      </c>
      <c r="CG60" s="374">
        <v>3291.6696433701909</v>
      </c>
      <c r="CH60" s="374">
        <v>3291.9195893411443</v>
      </c>
      <c r="CI60" s="374">
        <v>3298.2474081800005</v>
      </c>
      <c r="CJ60" s="374">
        <v>3247.0803038599997</v>
      </c>
      <c r="CK60" s="374">
        <v>3273.5065260099987</v>
      </c>
      <c r="CL60" s="374">
        <v>3363.7515723800002</v>
      </c>
      <c r="CM60" s="374">
        <v>3333.9225746899988</v>
      </c>
      <c r="CN60" s="374">
        <v>3365.1635800800013</v>
      </c>
      <c r="CO60" s="374">
        <v>3370.533729530001</v>
      </c>
    </row>
    <row r="61" spans="1:93">
      <c r="A61" s="371" t="s">
        <v>443</v>
      </c>
      <c r="B61" s="372">
        <v>9.9808426500000014</v>
      </c>
      <c r="C61" s="260">
        <v>9.8149648499999991</v>
      </c>
      <c r="D61" s="260">
        <v>9.7280374600000012</v>
      </c>
      <c r="E61" s="207">
        <v>8.1770788599999999</v>
      </c>
      <c r="F61" s="260">
        <v>7.89085693</v>
      </c>
      <c r="G61" s="260">
        <v>7.9313178000000004</v>
      </c>
      <c r="H61" s="260">
        <v>5.4065174000000003</v>
      </c>
      <c r="I61" s="260">
        <v>5.4201941600000003</v>
      </c>
      <c r="J61" s="260">
        <v>5.4044984700000009</v>
      </c>
      <c r="K61" s="207">
        <v>5.3770552399999998</v>
      </c>
      <c r="L61" s="260">
        <v>5.38715878</v>
      </c>
      <c r="M61" s="260">
        <v>5.3601309100000005</v>
      </c>
      <c r="N61" s="260">
        <v>5.33641407</v>
      </c>
      <c r="O61" s="207">
        <v>5.3114658800000001</v>
      </c>
      <c r="P61" s="260">
        <v>5.2709023200000003</v>
      </c>
      <c r="Q61" s="260">
        <v>8.7580862400000008</v>
      </c>
      <c r="R61" s="207">
        <v>5.2622938399999999</v>
      </c>
      <c r="S61" s="260">
        <v>8.7118640099999993</v>
      </c>
      <c r="T61" s="260">
        <v>8.6888613700000015</v>
      </c>
      <c r="U61" s="373">
        <v>8.6770204100000008</v>
      </c>
      <c r="V61" s="373">
        <v>8.6485261199999997</v>
      </c>
      <c r="W61" s="373">
        <v>8.8464252699999992</v>
      </c>
      <c r="X61" s="373">
        <v>8.2074176200000011</v>
      </c>
      <c r="Y61" s="373">
        <v>8.1960267700000013</v>
      </c>
      <c r="Z61" s="373">
        <v>8.399846890000001</v>
      </c>
      <c r="AA61" s="373">
        <v>8.3869613200000011</v>
      </c>
      <c r="AB61" s="373">
        <v>8.3944371999999987</v>
      </c>
      <c r="AC61" s="373">
        <v>8.4671845700000006</v>
      </c>
      <c r="AD61" s="373">
        <v>8.4482525299999995</v>
      </c>
      <c r="AE61" s="373">
        <v>4.9780152500000003</v>
      </c>
      <c r="AF61" s="373">
        <v>7.2950473499999999</v>
      </c>
      <c r="AG61" s="373">
        <v>7.672283199999999</v>
      </c>
      <c r="AH61" s="373">
        <v>4.9625663800000002</v>
      </c>
      <c r="AI61" s="373">
        <v>5.0275298199999989</v>
      </c>
      <c r="AJ61" s="373">
        <v>4.8951895499999996</v>
      </c>
      <c r="AK61" s="373">
        <v>8.3795621199999992</v>
      </c>
      <c r="AL61" s="373">
        <v>4.5342190700000007</v>
      </c>
      <c r="AM61" s="262">
        <v>7.5664676000000002</v>
      </c>
      <c r="AN61" s="262">
        <v>7.5585472100000004</v>
      </c>
      <c r="AO61" s="262">
        <v>3.1547836600000001</v>
      </c>
      <c r="AP61" s="262">
        <v>2.9795511999999995</v>
      </c>
      <c r="AQ61" s="262">
        <v>2.6668689900000002</v>
      </c>
      <c r="AR61" s="372">
        <v>2.8384443800000003</v>
      </c>
      <c r="AS61" s="372">
        <v>2.7407553500000001</v>
      </c>
      <c r="AT61" s="372">
        <v>2.3255312999999997</v>
      </c>
      <c r="AU61" s="372">
        <v>2.3075071199999999</v>
      </c>
      <c r="AV61" s="372">
        <v>2.3237800000000002</v>
      </c>
      <c r="AW61" s="201">
        <v>2.3132649199999999</v>
      </c>
      <c r="AX61" s="201">
        <v>2.3129326099999998</v>
      </c>
      <c r="AY61" s="201">
        <v>2.2579218299999999</v>
      </c>
      <c r="AZ61" s="201">
        <v>2.2117266200000003</v>
      </c>
      <c r="BA61" s="201">
        <v>2.2284190699999997</v>
      </c>
      <c r="BB61" s="201">
        <v>2.2283840000000001</v>
      </c>
      <c r="BC61" s="201">
        <v>2.2134575699999997</v>
      </c>
      <c r="BD61" s="201">
        <v>2.01994265</v>
      </c>
      <c r="BE61" s="374">
        <v>2.04378269</v>
      </c>
      <c r="BF61" s="374">
        <v>2.1678721899999998</v>
      </c>
      <c r="BG61" s="374">
        <v>3.1071423899999995</v>
      </c>
      <c r="BH61" s="374">
        <v>3.4835488300000002</v>
      </c>
      <c r="BI61" s="374">
        <v>3.6076444700000003</v>
      </c>
      <c r="BJ61" s="374">
        <v>3.4998180700000003</v>
      </c>
      <c r="BK61" s="374">
        <v>3.4727188900000003</v>
      </c>
      <c r="BL61" s="374">
        <v>3.4736296499999999</v>
      </c>
      <c r="BM61" s="374">
        <v>3.4559141900000001</v>
      </c>
      <c r="BN61" s="374">
        <v>3.4565265700000003</v>
      </c>
      <c r="BO61" s="374">
        <v>3.4388177099999999</v>
      </c>
      <c r="BP61" s="374">
        <v>0.94530492999999993</v>
      </c>
      <c r="BQ61" s="374">
        <v>0.69698305000000005</v>
      </c>
      <c r="BR61" s="374">
        <v>0.92583046000000013</v>
      </c>
      <c r="BS61" s="374">
        <v>1.0274726699999999</v>
      </c>
      <c r="BT61" s="374">
        <v>0.99933654000000005</v>
      </c>
      <c r="BU61" s="374">
        <v>1.00845549</v>
      </c>
      <c r="BV61" s="374">
        <v>1.0014700599999999</v>
      </c>
      <c r="BW61" s="374">
        <v>1.0112683599999999</v>
      </c>
      <c r="BX61" s="374">
        <v>1.004265</v>
      </c>
      <c r="BY61" s="374">
        <v>1.014052</v>
      </c>
      <c r="BZ61" s="374">
        <v>1</v>
      </c>
      <c r="CA61" s="374">
        <v>1.00649448</v>
      </c>
      <c r="CB61" s="374">
        <v>1.20555335</v>
      </c>
      <c r="CC61" s="374">
        <v>1.00547502</v>
      </c>
      <c r="CD61" s="374">
        <v>0.97817841999999999</v>
      </c>
      <c r="CE61" s="374">
        <v>1.4192554499999999</v>
      </c>
      <c r="CF61" s="374">
        <v>2.72232545</v>
      </c>
      <c r="CG61" s="374">
        <v>2.6961549000000002</v>
      </c>
      <c r="CH61" s="374">
        <v>2.6462249499999997</v>
      </c>
      <c r="CI61" s="374">
        <v>7.4809402800000004</v>
      </c>
      <c r="CJ61" s="374">
        <v>7.47466527</v>
      </c>
      <c r="CK61" s="374">
        <v>7.4792752100000008</v>
      </c>
      <c r="CL61" s="374">
        <v>9.8450686400000009</v>
      </c>
      <c r="CM61" s="374">
        <v>9.8834158899999984</v>
      </c>
      <c r="CN61" s="374">
        <v>10.577841759999998</v>
      </c>
      <c r="CO61" s="374">
        <v>10.606186959999999</v>
      </c>
    </row>
    <row r="62" spans="1:93">
      <c r="A62" s="371" t="s">
        <v>444</v>
      </c>
      <c r="B62" s="372">
        <v>294.50537011</v>
      </c>
      <c r="C62" s="260">
        <v>309.22604920999999</v>
      </c>
      <c r="D62" s="260">
        <v>307.83309158000003</v>
      </c>
      <c r="E62" s="207">
        <v>306.58122959999997</v>
      </c>
      <c r="F62" s="260">
        <v>306.58356157999998</v>
      </c>
      <c r="G62" s="260">
        <v>306.90930859999997</v>
      </c>
      <c r="H62" s="260">
        <v>292.20769429999996</v>
      </c>
      <c r="I62" s="260">
        <v>291.44275493999993</v>
      </c>
      <c r="J62" s="260">
        <v>287.71508945000005</v>
      </c>
      <c r="K62" s="207">
        <v>286.11354533000002</v>
      </c>
      <c r="L62" s="260">
        <v>284.09246360000003</v>
      </c>
      <c r="M62" s="260">
        <v>288.90431547000003</v>
      </c>
      <c r="N62" s="260">
        <v>289.67582743000003</v>
      </c>
      <c r="O62" s="207">
        <v>285.62669486999999</v>
      </c>
      <c r="P62" s="260">
        <v>282.00744011</v>
      </c>
      <c r="Q62" s="260">
        <v>284.71647494000001</v>
      </c>
      <c r="R62" s="207">
        <v>286.71388327999995</v>
      </c>
      <c r="S62" s="260">
        <v>282.67293098000005</v>
      </c>
      <c r="T62" s="260">
        <v>270.42824202999998</v>
      </c>
      <c r="U62" s="373">
        <v>279.42851538999997</v>
      </c>
      <c r="V62" s="373">
        <v>280.20051742999999</v>
      </c>
      <c r="W62" s="373">
        <v>279.26243044</v>
      </c>
      <c r="X62" s="373">
        <v>278.66283408000004</v>
      </c>
      <c r="Y62" s="373">
        <v>276.25474016999999</v>
      </c>
      <c r="Z62" s="373">
        <v>292.25515937</v>
      </c>
      <c r="AA62" s="373">
        <v>297.73404515999999</v>
      </c>
      <c r="AB62" s="373">
        <v>324.86315264999996</v>
      </c>
      <c r="AC62" s="373">
        <v>340.37277509000006</v>
      </c>
      <c r="AD62" s="373">
        <v>427.51742122000002</v>
      </c>
      <c r="AE62" s="373">
        <v>440.68611987000003</v>
      </c>
      <c r="AF62" s="373">
        <v>415.26327158000004</v>
      </c>
      <c r="AG62" s="373">
        <v>407.08002520000002</v>
      </c>
      <c r="AH62" s="373">
        <v>403.79710920000002</v>
      </c>
      <c r="AI62" s="373">
        <v>405.45311278999998</v>
      </c>
      <c r="AJ62" s="373">
        <v>406.04402293999993</v>
      </c>
      <c r="AK62" s="373">
        <v>426.74817350000001</v>
      </c>
      <c r="AL62" s="373">
        <v>505.87953292999998</v>
      </c>
      <c r="AM62" s="262">
        <v>485.03210646000002</v>
      </c>
      <c r="AN62" s="262">
        <v>1558.2646258699999</v>
      </c>
      <c r="AO62" s="262">
        <v>1589.7636474600001</v>
      </c>
      <c r="AP62" s="262">
        <v>1494.6753104200002</v>
      </c>
      <c r="AQ62" s="262">
        <v>1499.8570238099999</v>
      </c>
      <c r="AR62" s="372">
        <v>2393.90315057</v>
      </c>
      <c r="AS62" s="372">
        <v>2340.9249284499997</v>
      </c>
      <c r="AT62" s="372">
        <v>2326.9402252</v>
      </c>
      <c r="AU62" s="372">
        <v>2327.8791736200001</v>
      </c>
      <c r="AV62" s="372">
        <v>2059.5995445500002</v>
      </c>
      <c r="AW62" s="201">
        <v>2446.6309702100002</v>
      </c>
      <c r="AX62" s="201">
        <v>2497.6059817300002</v>
      </c>
      <c r="AY62" s="201">
        <v>2480.5561823799994</v>
      </c>
      <c r="AZ62" s="201">
        <v>2482.2471686399999</v>
      </c>
      <c r="BA62" s="201">
        <v>2543.9018218299998</v>
      </c>
      <c r="BB62" s="201">
        <v>1322.3910939599998</v>
      </c>
      <c r="BC62" s="201">
        <v>1322.19017633</v>
      </c>
      <c r="BD62" s="201">
        <v>1348.0704138599999</v>
      </c>
      <c r="BE62" s="374">
        <v>1402.46238877</v>
      </c>
      <c r="BF62" s="374">
        <v>1440.7662939900001</v>
      </c>
      <c r="BG62" s="374">
        <v>1373.0354699</v>
      </c>
      <c r="BH62" s="374">
        <v>1373.0519666299999</v>
      </c>
      <c r="BI62" s="374">
        <v>1439.0419675099997</v>
      </c>
      <c r="BJ62" s="374">
        <v>1445.6863327900001</v>
      </c>
      <c r="BK62" s="374">
        <v>1444.1156218800002</v>
      </c>
      <c r="BL62" s="374">
        <v>1355.31208773</v>
      </c>
      <c r="BM62" s="374">
        <v>1383.47868221</v>
      </c>
      <c r="BN62" s="374">
        <v>1385.4216584799999</v>
      </c>
      <c r="BO62" s="374">
        <v>1384.8326780499999</v>
      </c>
      <c r="BP62" s="374">
        <v>1384.0214552899999</v>
      </c>
      <c r="BQ62" s="374">
        <v>1380.7156107399999</v>
      </c>
      <c r="BR62" s="374">
        <v>1359.9752064500001</v>
      </c>
      <c r="BS62" s="374">
        <v>1366.1160118599998</v>
      </c>
      <c r="BT62" s="374">
        <v>1364.8385442499998</v>
      </c>
      <c r="BU62" s="374">
        <v>1365.6719042499999</v>
      </c>
      <c r="BV62" s="374">
        <v>1370.8775303800003</v>
      </c>
      <c r="BW62" s="374">
        <v>1373.10277232</v>
      </c>
      <c r="BX62" s="374">
        <v>1372.4082202300001</v>
      </c>
      <c r="BY62" s="374">
        <v>1379.5487195599999</v>
      </c>
      <c r="BZ62" s="374">
        <v>1378.3</v>
      </c>
      <c r="CA62" s="374">
        <v>1379.76744214</v>
      </c>
      <c r="CB62" s="374">
        <v>1380.1239040200001</v>
      </c>
      <c r="CC62" s="374">
        <v>1391.0661241199998</v>
      </c>
      <c r="CD62" s="374">
        <v>1389.9123051515003</v>
      </c>
      <c r="CE62" s="374">
        <v>1388.8680658599999</v>
      </c>
      <c r="CF62" s="374">
        <v>1391.1056217500002</v>
      </c>
      <c r="CG62" s="374">
        <v>1392.4293216400004</v>
      </c>
      <c r="CH62" s="374">
        <v>1395.1148538914999</v>
      </c>
      <c r="CI62" s="374">
        <v>1395.2045185099</v>
      </c>
      <c r="CJ62" s="374">
        <v>1419.2337149098998</v>
      </c>
      <c r="CK62" s="374">
        <v>1420.5669980799998</v>
      </c>
      <c r="CL62" s="374">
        <v>1419.2120360900001</v>
      </c>
      <c r="CM62" s="374">
        <v>1415.7956043400002</v>
      </c>
      <c r="CN62" s="374">
        <v>1417.2814561599998</v>
      </c>
      <c r="CO62" s="374">
        <v>1416.991272</v>
      </c>
    </row>
    <row r="63" spans="1:93">
      <c r="A63" s="371" t="s">
        <v>445</v>
      </c>
      <c r="B63" s="372">
        <v>0</v>
      </c>
      <c r="C63" s="260">
        <v>0</v>
      </c>
      <c r="D63" s="260">
        <v>0</v>
      </c>
      <c r="E63" s="207">
        <v>0</v>
      </c>
      <c r="F63" s="260">
        <v>0</v>
      </c>
      <c r="G63" s="260">
        <v>0</v>
      </c>
      <c r="H63" s="260">
        <v>0</v>
      </c>
      <c r="I63" s="260">
        <v>0</v>
      </c>
      <c r="J63" s="260">
        <v>0.20513799999999999</v>
      </c>
      <c r="K63" s="207">
        <v>0.2</v>
      </c>
      <c r="L63" s="260">
        <v>0.395428</v>
      </c>
      <c r="M63" s="260">
        <v>0.39283400000000002</v>
      </c>
      <c r="N63" s="260">
        <v>0.39283400000000002</v>
      </c>
      <c r="O63" s="207">
        <v>0.38978099999999999</v>
      </c>
      <c r="P63" s="260">
        <v>1.1624669999999999</v>
      </c>
      <c r="Q63" s="260">
        <v>2.1069800000000001</v>
      </c>
      <c r="R63" s="207">
        <v>0.71001499999999995</v>
      </c>
      <c r="S63" s="260">
        <v>46.532303450629996</v>
      </c>
      <c r="T63" s="260">
        <v>45.416089142500006</v>
      </c>
      <c r="U63" s="373">
        <v>45.697390117930006</v>
      </c>
      <c r="V63" s="373">
        <v>45.854682412525001</v>
      </c>
      <c r="W63" s="373">
        <v>46.653371876400001</v>
      </c>
      <c r="X63" s="373">
        <v>47.848470621609991</v>
      </c>
      <c r="Y63" s="373">
        <v>48.277402693775997</v>
      </c>
      <c r="Z63" s="373">
        <v>67.329248030683999</v>
      </c>
      <c r="AA63" s="373">
        <v>67.488079579203344</v>
      </c>
      <c r="AB63" s="373">
        <v>70.492799647650003</v>
      </c>
      <c r="AC63" s="373">
        <v>69.551865608000014</v>
      </c>
      <c r="AD63" s="373">
        <v>132.20860703531503</v>
      </c>
      <c r="AE63" s="373">
        <v>105.88370750471934</v>
      </c>
      <c r="AF63" s="373">
        <v>107.670793580375</v>
      </c>
      <c r="AG63" s="373">
        <v>104.81736885385999</v>
      </c>
      <c r="AH63" s="373">
        <v>105.5450898898</v>
      </c>
      <c r="AI63" s="373">
        <v>232.64868494712002</v>
      </c>
      <c r="AJ63" s="373">
        <v>230.82875473394</v>
      </c>
      <c r="AK63" s="373">
        <v>235.08344324411999</v>
      </c>
      <c r="AL63" s="373">
        <v>216.1114739425</v>
      </c>
      <c r="AM63" s="262">
        <v>228.49271256343002</v>
      </c>
      <c r="AN63" s="262">
        <v>231.99992283203798</v>
      </c>
      <c r="AO63" s="262">
        <v>240.880553185</v>
      </c>
      <c r="AP63" s="262">
        <v>260.02803533600098</v>
      </c>
      <c r="AQ63" s="262">
        <v>236.27924863472998</v>
      </c>
      <c r="AR63" s="372">
        <v>247.27114239359997</v>
      </c>
      <c r="AS63" s="372">
        <v>237.46919503000004</v>
      </c>
      <c r="AT63" s="372">
        <v>292.92546086686394</v>
      </c>
      <c r="AU63" s="372">
        <v>305.225745824</v>
      </c>
      <c r="AV63" s="372">
        <v>307.643986477</v>
      </c>
      <c r="AW63" s="201">
        <v>297.10204076880001</v>
      </c>
      <c r="AX63" s="201">
        <v>250.42772057763196</v>
      </c>
      <c r="AY63" s="201">
        <v>270.51253293860009</v>
      </c>
      <c r="AZ63" s="201">
        <v>282.52861379639995</v>
      </c>
      <c r="BA63" s="201">
        <v>243.24641008452002</v>
      </c>
      <c r="BB63" s="201">
        <v>239.28703368490002</v>
      </c>
      <c r="BC63" s="201">
        <v>245.07685800317304</v>
      </c>
      <c r="BD63" s="201">
        <v>240.2716544996</v>
      </c>
      <c r="BE63" s="374">
        <v>298.59197900605301</v>
      </c>
      <c r="BF63" s="374">
        <v>256.12390377997502</v>
      </c>
      <c r="BG63" s="374">
        <v>259.88479059079998</v>
      </c>
      <c r="BH63" s="374">
        <v>255.41131892890596</v>
      </c>
      <c r="BI63" s="374">
        <v>266.76454516393204</v>
      </c>
      <c r="BJ63" s="374">
        <v>279.52291911155703</v>
      </c>
      <c r="BK63" s="374">
        <v>293.71030543915901</v>
      </c>
      <c r="BL63" s="374">
        <v>289.75037822088899</v>
      </c>
      <c r="BM63" s="374">
        <v>277.455306652204</v>
      </c>
      <c r="BN63" s="374">
        <v>343.447145507264</v>
      </c>
      <c r="BO63" s="374">
        <v>273.87357951407199</v>
      </c>
      <c r="BP63" s="374">
        <v>398.72208677236495</v>
      </c>
      <c r="BQ63" s="374">
        <v>637.82022482507693</v>
      </c>
      <c r="BR63" s="374">
        <v>816.22195751804202</v>
      </c>
      <c r="BS63" s="374">
        <v>1017.4135711990721</v>
      </c>
      <c r="BT63" s="374">
        <v>1189.2738507081549</v>
      </c>
      <c r="BU63" s="374">
        <v>1188.075049111598</v>
      </c>
      <c r="BV63" s="374">
        <v>1342.4756343356039</v>
      </c>
      <c r="BW63" s="374">
        <v>1646.6930746732751</v>
      </c>
      <c r="BX63" s="374">
        <v>2004.533338615</v>
      </c>
      <c r="BY63" s="374">
        <v>2355.5691974860001</v>
      </c>
      <c r="BZ63" s="374">
        <v>2422.1</v>
      </c>
      <c r="CA63" s="374">
        <v>2697.408163623033</v>
      </c>
      <c r="CB63" s="374">
        <v>691.15808217716403</v>
      </c>
      <c r="CC63" s="374">
        <v>717.11172945798</v>
      </c>
      <c r="CD63" s="374">
        <v>719.78197362128196</v>
      </c>
      <c r="CE63" s="374">
        <v>720.98173912270659</v>
      </c>
      <c r="CF63" s="374">
        <v>723.46041874714194</v>
      </c>
      <c r="CG63" s="374">
        <v>733.45360677763665</v>
      </c>
      <c r="CH63" s="374">
        <v>832.72349062846331</v>
      </c>
      <c r="CI63" s="374">
        <v>801.48684113467868</v>
      </c>
      <c r="CJ63" s="374">
        <v>879.02064366914192</v>
      </c>
      <c r="CK63" s="374">
        <v>899.08549744400193</v>
      </c>
      <c r="CL63" s="374">
        <v>906.8845209212102</v>
      </c>
      <c r="CM63" s="374">
        <v>1021.5683065521119</v>
      </c>
      <c r="CN63" s="374">
        <v>1030.2582549933056</v>
      </c>
      <c r="CO63" s="374">
        <v>1038.173754228915</v>
      </c>
    </row>
    <row r="64" spans="1:93">
      <c r="A64" s="371" t="s">
        <v>446</v>
      </c>
      <c r="B64" s="372">
        <v>549.71802000000002</v>
      </c>
      <c r="C64" s="260">
        <v>696.68651899999986</v>
      </c>
      <c r="D64" s="260">
        <v>638.79334668000001</v>
      </c>
      <c r="E64" s="207">
        <v>644.70483925999997</v>
      </c>
      <c r="F64" s="260">
        <v>586.74018040999999</v>
      </c>
      <c r="G64" s="260">
        <v>733.00387278000017</v>
      </c>
      <c r="H64" s="260">
        <v>792.88652451999997</v>
      </c>
      <c r="I64" s="260">
        <v>782.05659328000002</v>
      </c>
      <c r="J64" s="260">
        <v>826.35706493000009</v>
      </c>
      <c r="K64" s="207">
        <v>707.45955255999991</v>
      </c>
      <c r="L64" s="260">
        <v>725.54649027000005</v>
      </c>
      <c r="M64" s="260">
        <v>711.18432359000008</v>
      </c>
      <c r="N64" s="260">
        <v>693.41795595000008</v>
      </c>
      <c r="O64" s="207">
        <v>754.83476208000002</v>
      </c>
      <c r="P64" s="260">
        <v>692.88464036000005</v>
      </c>
      <c r="Q64" s="260">
        <v>822.22808474999999</v>
      </c>
      <c r="R64" s="207">
        <v>866.54725947110012</v>
      </c>
      <c r="S64" s="260">
        <v>820.20297935999986</v>
      </c>
      <c r="T64" s="260">
        <v>803.27360246000001</v>
      </c>
      <c r="U64" s="373">
        <v>813.29766709</v>
      </c>
      <c r="V64" s="373">
        <v>816.58247028000005</v>
      </c>
      <c r="W64" s="373">
        <v>807.34459677999996</v>
      </c>
      <c r="X64" s="373">
        <v>799.99863003999997</v>
      </c>
      <c r="Y64" s="373">
        <v>718.30319977000011</v>
      </c>
      <c r="Z64" s="373">
        <v>928.59953433999988</v>
      </c>
      <c r="AA64" s="373">
        <v>937.40553345000001</v>
      </c>
      <c r="AB64" s="373">
        <v>930.1391129299999</v>
      </c>
      <c r="AC64" s="373">
        <v>983.11990701000002</v>
      </c>
      <c r="AD64" s="373">
        <v>971.26467135999997</v>
      </c>
      <c r="AE64" s="373">
        <v>1001.64040087</v>
      </c>
      <c r="AF64" s="373">
        <v>1003.78871537</v>
      </c>
      <c r="AG64" s="373">
        <v>1003.7396825099999</v>
      </c>
      <c r="AH64" s="373">
        <v>1031.34612178</v>
      </c>
      <c r="AI64" s="373">
        <v>842.97370915999988</v>
      </c>
      <c r="AJ64" s="373">
        <v>812.24615616999995</v>
      </c>
      <c r="AK64" s="373">
        <v>603.36682326999994</v>
      </c>
      <c r="AL64" s="373">
        <v>598.3713905699999</v>
      </c>
      <c r="AM64" s="262">
        <v>606.06347870000002</v>
      </c>
      <c r="AN64" s="262">
        <v>593.70921620000001</v>
      </c>
      <c r="AO64" s="262">
        <v>639.95014982999987</v>
      </c>
      <c r="AP64" s="262">
        <v>598.256936569</v>
      </c>
      <c r="AQ64" s="262">
        <v>599.07373795180001</v>
      </c>
      <c r="AR64" s="372">
        <v>671.72101844120004</v>
      </c>
      <c r="AS64" s="372">
        <v>695.72690526999997</v>
      </c>
      <c r="AT64" s="372">
        <v>628.89181501120004</v>
      </c>
      <c r="AU64" s="372">
        <v>614.20757529139996</v>
      </c>
      <c r="AV64" s="372">
        <v>574.28353460499989</v>
      </c>
      <c r="AW64" s="201">
        <v>560.68422718240004</v>
      </c>
      <c r="AX64" s="201">
        <v>645.27885286679998</v>
      </c>
      <c r="AY64" s="201">
        <v>616.8338107843</v>
      </c>
      <c r="AZ64" s="201">
        <v>607.01744748090005</v>
      </c>
      <c r="BA64" s="201">
        <v>602.38526572299997</v>
      </c>
      <c r="BB64" s="201">
        <v>614.539236104</v>
      </c>
      <c r="BC64" s="201">
        <v>632.00968978920002</v>
      </c>
      <c r="BD64" s="201">
        <v>721.03173345519986</v>
      </c>
      <c r="BE64" s="374">
        <v>753.75245776349982</v>
      </c>
      <c r="BF64" s="374">
        <v>882.23907725499998</v>
      </c>
      <c r="BG64" s="374">
        <v>896.71026415999995</v>
      </c>
      <c r="BH64" s="374">
        <v>927.23789174800015</v>
      </c>
      <c r="BI64" s="374">
        <v>777.2604059726001</v>
      </c>
      <c r="BJ64" s="374">
        <v>938.45391406529995</v>
      </c>
      <c r="BK64" s="374">
        <v>818.45527172909999</v>
      </c>
      <c r="BL64" s="374">
        <v>786.29643005219998</v>
      </c>
      <c r="BM64" s="374">
        <v>935.91765644940017</v>
      </c>
      <c r="BN64" s="374">
        <v>896.85316478279992</v>
      </c>
      <c r="BO64" s="374">
        <v>843.47685015280001</v>
      </c>
      <c r="BP64" s="374">
        <v>811.35715418539996</v>
      </c>
      <c r="BQ64" s="374">
        <v>957.23400288240009</v>
      </c>
      <c r="BR64" s="374">
        <v>705.23344926199991</v>
      </c>
      <c r="BS64" s="374">
        <v>688.6951387900001</v>
      </c>
      <c r="BT64" s="374">
        <v>773.26000557167004</v>
      </c>
      <c r="BU64" s="374">
        <v>927.69110650116602</v>
      </c>
      <c r="BV64" s="374">
        <v>930.17612321315789</v>
      </c>
      <c r="BW64" s="374">
        <v>881.59767940023505</v>
      </c>
      <c r="BX64" s="374">
        <v>818.86442002799993</v>
      </c>
      <c r="BY64" s="374">
        <v>731.37743129109992</v>
      </c>
      <c r="BZ64" s="374">
        <v>750.3</v>
      </c>
      <c r="CA64" s="374">
        <v>737.15373804559999</v>
      </c>
      <c r="CB64" s="374">
        <v>734.18520579360006</v>
      </c>
      <c r="CC64" s="374">
        <v>921.91695225066996</v>
      </c>
      <c r="CD64" s="374">
        <v>749.4697966341281</v>
      </c>
      <c r="CE64" s="374">
        <v>779.55187434269965</v>
      </c>
      <c r="CF64" s="374">
        <v>743.04435423856364</v>
      </c>
      <c r="CG64" s="374">
        <v>658.68847528270999</v>
      </c>
      <c r="CH64" s="374">
        <v>715.56691509104769</v>
      </c>
      <c r="CI64" s="374">
        <v>737.39945561116826</v>
      </c>
      <c r="CJ64" s="374">
        <v>722.32744391527206</v>
      </c>
      <c r="CK64" s="374">
        <v>728.18581182387391</v>
      </c>
      <c r="CL64" s="374">
        <v>702.0914089991586</v>
      </c>
      <c r="CM64" s="374">
        <v>703.46917572772008</v>
      </c>
      <c r="CN64" s="374">
        <v>562.81119576563606</v>
      </c>
      <c r="CO64" s="374">
        <v>623.00234604404795</v>
      </c>
    </row>
    <row r="65" spans="1:93">
      <c r="A65" s="371" t="s">
        <v>407</v>
      </c>
      <c r="B65" s="372">
        <v>674.17864708000002</v>
      </c>
      <c r="C65" s="260">
        <v>706.76778059999992</v>
      </c>
      <c r="D65" s="260">
        <v>707.05907008000008</v>
      </c>
      <c r="E65" s="207">
        <v>745.29963460999988</v>
      </c>
      <c r="F65" s="260">
        <v>580.49124470000004</v>
      </c>
      <c r="G65" s="260">
        <v>582.30800992000002</v>
      </c>
      <c r="H65" s="260">
        <v>596.79371203999995</v>
      </c>
      <c r="I65" s="260">
        <v>601.44582905000004</v>
      </c>
      <c r="J65" s="260">
        <v>648.31952114000001</v>
      </c>
      <c r="K65" s="207">
        <v>694.29697771999997</v>
      </c>
      <c r="L65" s="260">
        <v>720.60236027999986</v>
      </c>
      <c r="M65" s="260">
        <v>734.65367463999996</v>
      </c>
      <c r="N65" s="260">
        <v>730.80384248999997</v>
      </c>
      <c r="O65" s="207">
        <v>755.77603908122205</v>
      </c>
      <c r="P65" s="260">
        <v>781.59750591</v>
      </c>
      <c r="Q65" s="260">
        <v>730.71248932999993</v>
      </c>
      <c r="R65" s="207">
        <v>771.89773958000001</v>
      </c>
      <c r="S65" s="260">
        <v>797.59056128999998</v>
      </c>
      <c r="T65" s="260">
        <v>875.31153332999997</v>
      </c>
      <c r="U65" s="373">
        <v>927.79275436000012</v>
      </c>
      <c r="V65" s="373">
        <v>923.37752044000001</v>
      </c>
      <c r="W65" s="373">
        <v>865.38770993000003</v>
      </c>
      <c r="X65" s="373">
        <v>934.72422666000011</v>
      </c>
      <c r="Y65" s="373">
        <v>982.30806139999993</v>
      </c>
      <c r="Z65" s="373">
        <v>913.00096287999997</v>
      </c>
      <c r="AA65" s="373">
        <v>909.44524076000005</v>
      </c>
      <c r="AB65" s="373">
        <v>784.93725673000006</v>
      </c>
      <c r="AC65" s="373">
        <v>767.18885526967188</v>
      </c>
      <c r="AD65" s="373">
        <v>807.95366602000013</v>
      </c>
      <c r="AE65" s="373">
        <v>820.23825711999996</v>
      </c>
      <c r="AF65" s="373">
        <v>927.30651711999985</v>
      </c>
      <c r="AG65" s="373">
        <v>987.56416375000003</v>
      </c>
      <c r="AH65" s="373">
        <v>1005.3925882999999</v>
      </c>
      <c r="AI65" s="373">
        <v>1092.0357902000001</v>
      </c>
      <c r="AJ65" s="373">
        <v>1069.8626834199999</v>
      </c>
      <c r="AK65" s="373">
        <v>1237.9937549599999</v>
      </c>
      <c r="AL65" s="373">
        <v>1376.7569616400001</v>
      </c>
      <c r="AM65" s="262">
        <v>1477.3478381199996</v>
      </c>
      <c r="AN65" s="262">
        <v>1517.3599191499991</v>
      </c>
      <c r="AO65" s="262">
        <v>1597.4944163799992</v>
      </c>
      <c r="AP65" s="262">
        <v>1645.0014562460979</v>
      </c>
      <c r="AQ65" s="262">
        <v>1840.1817647506016</v>
      </c>
      <c r="AR65" s="372">
        <v>1818.6730189992027</v>
      </c>
      <c r="AS65" s="372">
        <v>1844.1208314099974</v>
      </c>
      <c r="AT65" s="372">
        <v>1855.3125900739997</v>
      </c>
      <c r="AU65" s="372">
        <v>1901.7251349566004</v>
      </c>
      <c r="AV65" s="372">
        <v>1899.9024457050002</v>
      </c>
      <c r="AW65" s="201">
        <v>1909.0267832320001</v>
      </c>
      <c r="AX65" s="201">
        <v>1879.3713856188001</v>
      </c>
      <c r="AY65" s="201">
        <v>1938.8317849043999</v>
      </c>
      <c r="AZ65" s="201">
        <v>2033.5676046596991</v>
      </c>
      <c r="BA65" s="201">
        <v>1847.9801696956006</v>
      </c>
      <c r="BB65" s="201">
        <v>2023.8180328912006</v>
      </c>
      <c r="BC65" s="201">
        <v>1874.331628841599</v>
      </c>
      <c r="BD65" s="201">
        <v>1968.9567622912011</v>
      </c>
      <c r="BE65" s="374">
        <v>1996.1312356425019</v>
      </c>
      <c r="BF65" s="374">
        <v>1724.9742009699996</v>
      </c>
      <c r="BG65" s="374">
        <v>2012.9245668140002</v>
      </c>
      <c r="BH65" s="374">
        <v>1795.9712818479009</v>
      </c>
      <c r="BI65" s="374">
        <v>1948.0119240127005</v>
      </c>
      <c r="BJ65" s="374">
        <v>2065.5990897659008</v>
      </c>
      <c r="BK65" s="374">
        <v>2138.4812930608</v>
      </c>
      <c r="BL65" s="374">
        <v>2205.5345366078996</v>
      </c>
      <c r="BM65" s="374">
        <v>1973.407525913</v>
      </c>
      <c r="BN65" s="374">
        <v>1942.6227002523995</v>
      </c>
      <c r="BO65" s="374">
        <v>2172.0236380287997</v>
      </c>
      <c r="BP65" s="374">
        <v>1700.9011893119014</v>
      </c>
      <c r="BQ65" s="374">
        <v>1844.1333598331003</v>
      </c>
      <c r="BR65" s="374">
        <v>1881.3146164784009</v>
      </c>
      <c r="BS65" s="374">
        <v>1880.9652851308001</v>
      </c>
      <c r="BT65" s="374">
        <v>1880.2954700048401</v>
      </c>
      <c r="BU65" s="374">
        <v>1825.8531014793996</v>
      </c>
      <c r="BV65" s="374">
        <v>1880.6848718600002</v>
      </c>
      <c r="BW65" s="374">
        <v>1831.4687303483151</v>
      </c>
      <c r="BX65" s="374">
        <v>1697.1439994410002</v>
      </c>
      <c r="BY65" s="374">
        <v>1702.3459929057999</v>
      </c>
      <c r="BZ65" s="374">
        <v>1967.4</v>
      </c>
      <c r="CA65" s="374">
        <v>1964.3180499324005</v>
      </c>
      <c r="CB65" s="374">
        <v>1995.3018809564001</v>
      </c>
      <c r="CC65" s="374">
        <v>1817.7463328880001</v>
      </c>
      <c r="CD65" s="374">
        <v>2082.5293196479661</v>
      </c>
      <c r="CE65" s="374">
        <v>1883.6659007779381</v>
      </c>
      <c r="CF65" s="374">
        <v>1915.5019019245615</v>
      </c>
      <c r="CG65" s="374">
        <v>1768.5289212379066</v>
      </c>
      <c r="CH65" s="374">
        <v>1947.4130193710671</v>
      </c>
      <c r="CI65" s="374">
        <v>2122.2853427087834</v>
      </c>
      <c r="CJ65" s="374">
        <v>2113.746955407828</v>
      </c>
      <c r="CK65" s="374">
        <v>2086.7824669300021</v>
      </c>
      <c r="CL65" s="374">
        <v>2088.4495365623284</v>
      </c>
      <c r="CM65" s="374">
        <v>2051.9630958496045</v>
      </c>
      <c r="CN65" s="374">
        <v>2188.8562011476452</v>
      </c>
      <c r="CO65" s="374">
        <v>2194.0324919406985</v>
      </c>
    </row>
    <row r="66" spans="1:93" ht="13.5" thickBot="1">
      <c r="A66" s="371"/>
      <c r="B66" s="376"/>
      <c r="C66" s="269"/>
      <c r="D66" s="259"/>
      <c r="E66" s="207"/>
      <c r="F66" s="260"/>
      <c r="G66" s="260"/>
      <c r="H66" s="269"/>
      <c r="I66" s="269"/>
      <c r="J66" s="377"/>
      <c r="K66" s="378"/>
      <c r="L66" s="377"/>
      <c r="M66" s="377"/>
      <c r="N66" s="377"/>
      <c r="O66" s="378"/>
      <c r="P66" s="377"/>
      <c r="Q66" s="377"/>
      <c r="R66" s="379"/>
      <c r="S66" s="380"/>
      <c r="T66" s="380"/>
      <c r="U66" s="381"/>
      <c r="V66" s="382"/>
      <c r="W66" s="382"/>
      <c r="X66" s="382"/>
      <c r="Y66" s="382"/>
      <c r="Z66" s="382"/>
      <c r="AA66" s="382"/>
      <c r="AB66" s="382"/>
      <c r="AC66" s="382"/>
      <c r="AD66" s="382"/>
      <c r="AE66" s="382"/>
      <c r="AF66" s="382"/>
      <c r="AG66" s="382"/>
      <c r="AH66" s="382"/>
      <c r="AI66" s="383"/>
      <c r="AJ66" s="383"/>
      <c r="AK66" s="383"/>
      <c r="AL66" s="383"/>
      <c r="AM66" s="383"/>
      <c r="AN66" s="383"/>
      <c r="AO66" s="383"/>
      <c r="AP66" s="383"/>
      <c r="AQ66" s="382"/>
      <c r="AR66" s="376"/>
      <c r="AS66" s="376"/>
      <c r="AT66" s="376"/>
      <c r="AU66" s="376"/>
      <c r="AV66" s="376"/>
      <c r="AW66" s="231"/>
      <c r="AX66" s="231"/>
      <c r="AY66" s="231"/>
      <c r="AZ66" s="231"/>
      <c r="BA66" s="231"/>
      <c r="BB66" s="231"/>
      <c r="BC66" s="231"/>
      <c r="BD66" s="231"/>
      <c r="BE66" s="384"/>
      <c r="BF66" s="384"/>
      <c r="BG66" s="384"/>
      <c r="BH66" s="384"/>
      <c r="BI66" s="384"/>
      <c r="BJ66" s="384"/>
      <c r="BK66" s="384"/>
      <c r="BL66" s="384"/>
      <c r="BM66" s="384"/>
      <c r="BN66" s="384"/>
      <c r="BO66" s="384"/>
      <c r="BP66" s="384"/>
      <c r="BQ66" s="384"/>
      <c r="BR66" s="384"/>
      <c r="BS66" s="384"/>
      <c r="BT66" s="384"/>
      <c r="BU66" s="384"/>
      <c r="BV66" s="384"/>
      <c r="BW66" s="384"/>
      <c r="BX66" s="384"/>
      <c r="BY66" s="384"/>
      <c r="BZ66" s="384"/>
      <c r="CA66" s="384"/>
      <c r="CB66" s="384"/>
      <c r="CC66" s="384"/>
      <c r="CD66" s="384"/>
      <c r="CE66" s="384"/>
      <c r="CF66" s="384"/>
      <c r="CG66" s="384"/>
      <c r="CH66" s="384"/>
      <c r="CI66" s="384"/>
      <c r="CJ66" s="384"/>
      <c r="CK66" s="384"/>
      <c r="CL66" s="384"/>
      <c r="CM66" s="384"/>
      <c r="CN66" s="384"/>
      <c r="CO66" s="384"/>
    </row>
    <row r="67" spans="1:93" ht="14.25" thickTop="1" thickBot="1">
      <c r="A67" s="385" t="s">
        <v>447</v>
      </c>
      <c r="B67" s="386"/>
      <c r="C67" s="386"/>
      <c r="D67" s="386"/>
      <c r="E67" s="386"/>
      <c r="F67" s="386"/>
      <c r="G67" s="386"/>
      <c r="H67" s="207"/>
      <c r="I67" s="207"/>
      <c r="J67" s="387"/>
      <c r="K67" s="387"/>
      <c r="L67" s="387"/>
      <c r="M67" s="387"/>
      <c r="N67" s="387"/>
      <c r="O67" s="387"/>
      <c r="P67" s="387"/>
      <c r="Q67" s="387"/>
      <c r="R67" s="388"/>
      <c r="S67" s="388"/>
      <c r="T67" s="388"/>
      <c r="U67" s="388"/>
      <c r="V67" s="387"/>
      <c r="W67" s="387"/>
      <c r="X67" s="387"/>
      <c r="Y67" s="387"/>
      <c r="Z67" s="387"/>
      <c r="AA67" s="387"/>
      <c r="AB67" s="387"/>
      <c r="AC67" s="387"/>
      <c r="AD67" s="387"/>
      <c r="AE67" s="387"/>
      <c r="AF67" s="387"/>
      <c r="AG67" s="387"/>
      <c r="AH67" s="387"/>
      <c r="AI67" s="389"/>
      <c r="AJ67" s="389"/>
      <c r="AK67" s="389"/>
      <c r="AL67" s="388"/>
      <c r="AM67" s="387"/>
      <c r="AN67" s="387"/>
      <c r="AO67" s="387"/>
      <c r="AP67" s="387"/>
      <c r="AQ67" s="387"/>
      <c r="AR67" s="386"/>
      <c r="AS67" s="386"/>
      <c r="AT67" s="386"/>
      <c r="AU67" s="386"/>
      <c r="AV67" s="386"/>
      <c r="AW67" s="386"/>
      <c r="AX67" s="386"/>
      <c r="AY67" s="386"/>
      <c r="AZ67" s="386"/>
      <c r="BA67" s="386"/>
      <c r="BB67" s="386"/>
      <c r="BC67" s="386"/>
      <c r="BD67" s="386"/>
      <c r="BE67" s="386"/>
      <c r="BF67" s="386"/>
      <c r="BG67" s="386"/>
      <c r="BH67" s="386"/>
      <c r="BI67" s="386"/>
      <c r="BJ67" s="386"/>
      <c r="BK67" s="386"/>
      <c r="BL67" s="390"/>
      <c r="BM67" s="390"/>
      <c r="BN67" s="390"/>
      <c r="BO67" s="390"/>
      <c r="BP67" s="390"/>
      <c r="BQ67" s="390"/>
      <c r="BR67" s="390"/>
      <c r="BS67" s="390"/>
      <c r="BT67" s="390"/>
      <c r="BU67" s="390"/>
      <c r="BV67" s="390"/>
      <c r="BW67" s="390"/>
      <c r="BX67" s="390"/>
      <c r="BY67" s="390"/>
      <c r="BZ67" s="390"/>
      <c r="CA67" s="390"/>
      <c r="CB67" s="390"/>
      <c r="CC67" s="390"/>
      <c r="CD67" s="390"/>
      <c r="CE67" s="390"/>
      <c r="CF67" s="390"/>
      <c r="CG67" s="390"/>
      <c r="CH67" s="390"/>
      <c r="CI67" s="390"/>
      <c r="CJ67" s="390"/>
      <c r="CK67" s="390"/>
      <c r="CL67" s="390"/>
      <c r="CM67" s="390"/>
      <c r="CN67" s="390"/>
      <c r="CO67" s="390"/>
    </row>
    <row r="68" spans="1:93" ht="16.5" thickTop="1" thickBot="1">
      <c r="A68" s="391" t="s">
        <v>386</v>
      </c>
      <c r="B68" s="392">
        <v>38504</v>
      </c>
      <c r="C68" s="393">
        <v>38534</v>
      </c>
      <c r="D68" s="393">
        <v>38565</v>
      </c>
      <c r="E68" s="394">
        <v>38596</v>
      </c>
      <c r="F68" s="393">
        <v>38626</v>
      </c>
      <c r="G68" s="393">
        <v>38657</v>
      </c>
      <c r="H68" s="393">
        <v>38687</v>
      </c>
      <c r="I68" s="393">
        <v>38718</v>
      </c>
      <c r="J68" s="393">
        <v>38749</v>
      </c>
      <c r="K68" s="394">
        <v>38777</v>
      </c>
      <c r="L68" s="393">
        <v>38808</v>
      </c>
      <c r="M68" s="393">
        <v>38838</v>
      </c>
      <c r="N68" s="393">
        <v>38869</v>
      </c>
      <c r="O68" s="394">
        <v>38899</v>
      </c>
      <c r="P68" s="393">
        <v>38930</v>
      </c>
      <c r="Q68" s="393">
        <v>38961</v>
      </c>
      <c r="R68" s="394">
        <v>38991</v>
      </c>
      <c r="S68" s="393">
        <v>39022</v>
      </c>
      <c r="T68" s="393">
        <v>39052</v>
      </c>
      <c r="U68" s="395">
        <v>39083</v>
      </c>
      <c r="V68" s="395">
        <v>39114</v>
      </c>
      <c r="W68" s="395">
        <v>39142</v>
      </c>
      <c r="X68" s="395">
        <v>39173</v>
      </c>
      <c r="Y68" s="395">
        <v>39203</v>
      </c>
      <c r="Z68" s="395">
        <v>39234</v>
      </c>
      <c r="AA68" s="395">
        <v>39264</v>
      </c>
      <c r="AB68" s="395">
        <v>39295</v>
      </c>
      <c r="AC68" s="395">
        <v>39326</v>
      </c>
      <c r="AD68" s="395">
        <v>39356</v>
      </c>
      <c r="AE68" s="395">
        <v>39387</v>
      </c>
      <c r="AF68" s="395">
        <v>39417</v>
      </c>
      <c r="AG68" s="395">
        <v>39448</v>
      </c>
      <c r="AH68" s="395">
        <v>39479</v>
      </c>
      <c r="AI68" s="395">
        <v>39508</v>
      </c>
      <c r="AJ68" s="395">
        <v>39539</v>
      </c>
      <c r="AK68" s="395">
        <v>39569</v>
      </c>
      <c r="AL68" s="395">
        <v>39600</v>
      </c>
      <c r="AM68" s="395">
        <v>39630</v>
      </c>
      <c r="AN68" s="395">
        <v>39661</v>
      </c>
      <c r="AO68" s="395">
        <v>39692</v>
      </c>
      <c r="AP68" s="395">
        <v>39722</v>
      </c>
      <c r="AQ68" s="395">
        <v>39753</v>
      </c>
      <c r="AR68" s="392">
        <v>39783</v>
      </c>
      <c r="AS68" s="392">
        <v>39814</v>
      </c>
      <c r="AT68" s="392">
        <v>39853</v>
      </c>
      <c r="AU68" s="392">
        <v>39881</v>
      </c>
      <c r="AV68" s="392">
        <v>39912</v>
      </c>
      <c r="AW68" s="396">
        <v>39942</v>
      </c>
      <c r="AX68" s="396">
        <v>39973</v>
      </c>
      <c r="AY68" s="396">
        <v>40003</v>
      </c>
      <c r="AZ68" s="396">
        <v>40034</v>
      </c>
      <c r="BA68" s="396">
        <v>40065</v>
      </c>
      <c r="BB68" s="396">
        <v>40095</v>
      </c>
      <c r="BC68" s="396">
        <v>40126</v>
      </c>
      <c r="BD68" s="396">
        <v>40156</v>
      </c>
      <c r="BE68" s="396">
        <v>40187</v>
      </c>
      <c r="BF68" s="396">
        <v>40218</v>
      </c>
      <c r="BG68" s="396">
        <v>40246</v>
      </c>
      <c r="BH68" s="396">
        <v>40277</v>
      </c>
      <c r="BI68" s="396">
        <v>40307</v>
      </c>
      <c r="BJ68" s="396">
        <v>40338</v>
      </c>
      <c r="BK68" s="396">
        <v>40368</v>
      </c>
      <c r="BL68" s="392">
        <v>40399</v>
      </c>
      <c r="BM68" s="396">
        <v>40430</v>
      </c>
      <c r="BN68" s="396" t="s">
        <v>356</v>
      </c>
      <c r="BO68" s="396" t="s">
        <v>497</v>
      </c>
      <c r="BP68" s="396" t="s">
        <v>498</v>
      </c>
      <c r="BQ68" s="396" t="s">
        <v>499</v>
      </c>
      <c r="BR68" s="396">
        <v>40575</v>
      </c>
      <c r="BS68" s="396">
        <v>40603</v>
      </c>
      <c r="BT68" s="396">
        <v>40634</v>
      </c>
      <c r="BU68" s="396">
        <v>40664</v>
      </c>
      <c r="BV68" s="396">
        <v>40695</v>
      </c>
      <c r="BW68" s="396">
        <v>40725</v>
      </c>
      <c r="BX68" s="396">
        <v>40756</v>
      </c>
      <c r="BY68" s="396">
        <v>40787</v>
      </c>
      <c r="BZ68" s="364">
        <v>40817</v>
      </c>
      <c r="CA68" s="364">
        <v>40848</v>
      </c>
      <c r="CB68" s="364">
        <v>40878</v>
      </c>
      <c r="CC68" s="364">
        <v>40909</v>
      </c>
      <c r="CD68" s="364">
        <v>40940</v>
      </c>
      <c r="CE68" s="364">
        <v>40969</v>
      </c>
      <c r="CF68" s="364">
        <v>41000</v>
      </c>
      <c r="CG68" s="364">
        <v>41030</v>
      </c>
      <c r="CH68" s="364">
        <v>41061</v>
      </c>
      <c r="CI68" s="364">
        <v>41091</v>
      </c>
      <c r="CJ68" s="364">
        <v>41122</v>
      </c>
      <c r="CK68" s="364">
        <v>41153</v>
      </c>
      <c r="CL68" s="364">
        <v>41183</v>
      </c>
      <c r="CM68" s="364">
        <v>41214</v>
      </c>
      <c r="CN68" s="364">
        <v>41244</v>
      </c>
      <c r="CO68" s="364">
        <v>41275</v>
      </c>
    </row>
    <row r="69" spans="1:93" ht="21" customHeight="1" thickTop="1">
      <c r="A69" s="365" t="s">
        <v>448</v>
      </c>
      <c r="B69" s="366">
        <v>15534.715479992785</v>
      </c>
      <c r="C69" s="198">
        <v>15551.581107641709</v>
      </c>
      <c r="D69" s="198">
        <v>15857.540520883158</v>
      </c>
      <c r="E69" s="210">
        <v>16259.128164221001</v>
      </c>
      <c r="F69" s="198">
        <v>16621.625371383201</v>
      </c>
      <c r="G69" s="198">
        <v>17344.254700009402</v>
      </c>
      <c r="H69" s="198">
        <v>17142.921069887198</v>
      </c>
      <c r="I69" s="198">
        <v>17412.348318011598</v>
      </c>
      <c r="J69" s="198">
        <v>17663.588057463399</v>
      </c>
      <c r="K69" s="210">
        <v>17331.447386046402</v>
      </c>
      <c r="L69" s="198">
        <v>17545.381388944999</v>
      </c>
      <c r="M69" s="198">
        <v>17873.917430271002</v>
      </c>
      <c r="N69" s="198">
        <v>17712.509658889609</v>
      </c>
      <c r="O69" s="210">
        <v>18221.417730355264</v>
      </c>
      <c r="P69" s="198">
        <v>18369.127777855472</v>
      </c>
      <c r="Q69" s="198">
        <v>18370.429783177602</v>
      </c>
      <c r="R69" s="368">
        <v>19238.7990283984</v>
      </c>
      <c r="S69" s="198">
        <v>20154.658659618399</v>
      </c>
      <c r="T69" s="198">
        <v>20322.221825653749</v>
      </c>
      <c r="U69" s="200">
        <v>20533.077547965935</v>
      </c>
      <c r="V69" s="200">
        <v>19898.464643666535</v>
      </c>
      <c r="W69" s="200">
        <v>19782.9814839311</v>
      </c>
      <c r="X69" s="200">
        <v>19424.235049867795</v>
      </c>
      <c r="Y69" s="200">
        <v>19407.224558435708</v>
      </c>
      <c r="Z69" s="200">
        <v>19736.423031155453</v>
      </c>
      <c r="AA69" s="200">
        <v>20057.757416782846</v>
      </c>
      <c r="AB69" s="200">
        <v>20490.007732765978</v>
      </c>
      <c r="AC69" s="200">
        <v>20534.883102903488</v>
      </c>
      <c r="AD69" s="200">
        <v>20642.523940806899</v>
      </c>
      <c r="AE69" s="200">
        <v>20944.717743009489</v>
      </c>
      <c r="AF69" s="200">
        <v>21265.296929418433</v>
      </c>
      <c r="AG69" s="200">
        <v>21314.696417409825</v>
      </c>
      <c r="AH69" s="200">
        <v>21267.47525240896</v>
      </c>
      <c r="AI69" s="200">
        <v>20172.098443272618</v>
      </c>
      <c r="AJ69" s="200">
        <v>19624.106964845541</v>
      </c>
      <c r="AK69" s="200">
        <v>19504.635869383401</v>
      </c>
      <c r="AL69" s="200">
        <v>20053.862372435593</v>
      </c>
      <c r="AM69" s="261">
        <v>20667.874862304339</v>
      </c>
      <c r="AN69" s="261">
        <v>20462.533228536126</v>
      </c>
      <c r="AO69" s="261">
        <v>22386.020096846762</v>
      </c>
      <c r="AP69" s="261">
        <v>22900.08146408058</v>
      </c>
      <c r="AQ69" s="261">
        <v>23457.071607187379</v>
      </c>
      <c r="AR69" s="366">
        <v>22934.230959316224</v>
      </c>
      <c r="AS69" s="366">
        <v>23234.684819306</v>
      </c>
      <c r="AT69" s="366">
        <v>22773.461748763268</v>
      </c>
      <c r="AU69" s="366">
        <v>22622.710745385102</v>
      </c>
      <c r="AV69" s="366">
        <v>22849.874717900842</v>
      </c>
      <c r="AW69" s="369">
        <v>22990.425057027864</v>
      </c>
      <c r="AX69" s="369">
        <v>23295.424851176209</v>
      </c>
      <c r="AY69" s="369">
        <v>22483.834127549278</v>
      </c>
      <c r="AZ69" s="369">
        <v>20492.530891308877</v>
      </c>
      <c r="BA69" s="369">
        <v>20441.184876816464</v>
      </c>
      <c r="BB69" s="369">
        <v>20088.507710416325</v>
      </c>
      <c r="BC69" s="369">
        <v>20510.609331320153</v>
      </c>
      <c r="BD69" s="369">
        <v>20423.716994714796</v>
      </c>
      <c r="BE69" s="370">
        <v>20748.261384012705</v>
      </c>
      <c r="BF69" s="370">
        <v>21108.894633266525</v>
      </c>
      <c r="BG69" s="370">
        <v>20572.551497059405</v>
      </c>
      <c r="BH69" s="370">
        <v>20632.168267715348</v>
      </c>
      <c r="BI69" s="370">
        <v>21121.063180578414</v>
      </c>
      <c r="BJ69" s="370">
        <v>22362.550845925103</v>
      </c>
      <c r="BK69" s="370">
        <v>22913.001886068058</v>
      </c>
      <c r="BL69" s="397">
        <v>23450.334374147646</v>
      </c>
      <c r="BM69" s="397">
        <v>23676.042296554071</v>
      </c>
      <c r="BN69" s="397">
        <v>23669.335457981753</v>
      </c>
      <c r="BO69" s="397">
        <v>24162.901493322493</v>
      </c>
      <c r="BP69" s="397">
        <v>24070.509099470339</v>
      </c>
      <c r="BQ69" s="397">
        <v>24240.234066081899</v>
      </c>
      <c r="BR69" s="397">
        <v>24012.672125783309</v>
      </c>
      <c r="BS69" s="397">
        <v>24286.518985130639</v>
      </c>
      <c r="BT69" s="397">
        <v>24138.731284891997</v>
      </c>
      <c r="BU69" s="397">
        <v>24529.939047737578</v>
      </c>
      <c r="BV69" s="397">
        <v>25185.746033479303</v>
      </c>
      <c r="BW69" s="397">
        <v>25188.948629781582</v>
      </c>
      <c r="BX69" s="397">
        <v>24907.081930107499</v>
      </c>
      <c r="BY69" s="397">
        <v>26092.947820135505</v>
      </c>
      <c r="BZ69" s="397">
        <v>26349.1</v>
      </c>
      <c r="CA69" s="397">
        <v>27206.612153176153</v>
      </c>
      <c r="CB69" s="397">
        <v>28681.643784660053</v>
      </c>
      <c r="CC69" s="397">
        <v>27785.594685889882</v>
      </c>
      <c r="CD69" s="397">
        <v>26832.265957792031</v>
      </c>
      <c r="CE69" s="397">
        <v>26097.291875733121</v>
      </c>
      <c r="CF69" s="397">
        <v>26267.037581531244</v>
      </c>
      <c r="CG69" s="397">
        <v>27405.717356457313</v>
      </c>
      <c r="CH69" s="397">
        <v>28698.361136745865</v>
      </c>
      <c r="CI69" s="397">
        <v>28414.864862639693</v>
      </c>
      <c r="CJ69" s="397">
        <v>30025.347683903914</v>
      </c>
      <c r="CK69" s="397">
        <v>29523.271206021916</v>
      </c>
      <c r="CL69" s="397">
        <v>29665.347799692237</v>
      </c>
      <c r="CM69" s="397">
        <v>30975.302527422784</v>
      </c>
      <c r="CN69" s="397">
        <v>31270.48650679236</v>
      </c>
      <c r="CO69" s="397">
        <v>29929.005352768458</v>
      </c>
    </row>
    <row r="70" spans="1:93">
      <c r="A70" s="371" t="s">
        <v>398</v>
      </c>
      <c r="B70" s="398"/>
      <c r="C70" s="399"/>
      <c r="D70" s="399"/>
      <c r="E70" s="400"/>
      <c r="F70" s="399"/>
      <c r="G70" s="399"/>
      <c r="H70" s="260"/>
      <c r="I70" s="260"/>
      <c r="J70" s="260"/>
      <c r="K70" s="207"/>
      <c r="L70" s="260"/>
      <c r="M70" s="260"/>
      <c r="N70" s="260"/>
      <c r="O70" s="207"/>
      <c r="P70" s="260"/>
      <c r="Q70" s="260"/>
      <c r="R70" s="207"/>
      <c r="S70" s="260"/>
      <c r="T70" s="260"/>
      <c r="U70" s="373"/>
      <c r="V70" s="373"/>
      <c r="W70" s="373"/>
      <c r="X70" s="373"/>
      <c r="Y70" s="373"/>
      <c r="Z70" s="373"/>
      <c r="AA70" s="373"/>
      <c r="AB70" s="373"/>
      <c r="AC70" s="373"/>
      <c r="AD70" s="373"/>
      <c r="AE70" s="373"/>
      <c r="AF70" s="373"/>
      <c r="AG70" s="373"/>
      <c r="AH70" s="373"/>
      <c r="AI70" s="373"/>
      <c r="AJ70" s="373"/>
      <c r="AK70" s="373"/>
      <c r="AL70" s="373"/>
      <c r="AM70" s="261"/>
      <c r="AN70" s="261"/>
      <c r="AO70" s="261"/>
      <c r="AP70" s="261"/>
      <c r="AQ70" s="261"/>
      <c r="AR70" s="398"/>
      <c r="AS70" s="398"/>
      <c r="AT70" s="398"/>
      <c r="AU70" s="398"/>
      <c r="AV70" s="398"/>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0"/>
      <c r="CO70" s="370"/>
    </row>
    <row r="71" spans="1:93">
      <c r="A71" s="371" t="s">
        <v>449</v>
      </c>
      <c r="B71" s="372">
        <v>0</v>
      </c>
      <c r="C71" s="260">
        <v>0.09</v>
      </c>
      <c r="D71" s="260">
        <v>8.6638469999999995E-2</v>
      </c>
      <c r="E71" s="207">
        <v>8.325805E-2</v>
      </c>
      <c r="F71" s="260">
        <v>7.9823539999999998E-2</v>
      </c>
      <c r="G71" s="260">
        <v>7.6382350000000002E-2</v>
      </c>
      <c r="H71" s="260">
        <v>7.2905770000000009E-2</v>
      </c>
      <c r="I71" s="260">
        <v>6.9449330000000004E-2</v>
      </c>
      <c r="J71" s="260">
        <v>6.5959859999999995E-2</v>
      </c>
      <c r="K71" s="207">
        <v>6.2377339999999996E-2</v>
      </c>
      <c r="L71" s="260">
        <v>5.8821589999999993E-2</v>
      </c>
      <c r="M71" s="260">
        <v>5.5212539999999997E-2</v>
      </c>
      <c r="N71" s="260">
        <v>5.1589999999999997E-2</v>
      </c>
      <c r="O71" s="207">
        <v>4.7920900000000002E-2</v>
      </c>
      <c r="P71" s="260">
        <v>4.4246000000000001E-2</v>
      </c>
      <c r="Q71" s="260">
        <v>4.0550999999999997E-2</v>
      </c>
      <c r="R71" s="207">
        <v>3.6823000000000002E-2</v>
      </c>
      <c r="S71" s="260">
        <v>3.2910000000000002E-2</v>
      </c>
      <c r="T71" s="260">
        <v>2.8943E-2</v>
      </c>
      <c r="U71" s="373">
        <v>2.5072000000000001E-2</v>
      </c>
      <c r="V71" s="373">
        <v>2.0902E-2</v>
      </c>
      <c r="W71" s="373">
        <v>1.6998580000000003E-2</v>
      </c>
      <c r="X71" s="373">
        <v>1.2823579999999999E-2</v>
      </c>
      <c r="Y71" s="373">
        <v>8.4860000000000005E-3</v>
      </c>
      <c r="Z71" s="373">
        <v>4.2700000000000004E-3</v>
      </c>
      <c r="AA71" s="373">
        <v>0</v>
      </c>
      <c r="AB71" s="373">
        <v>0</v>
      </c>
      <c r="AC71" s="373">
        <v>0</v>
      </c>
      <c r="AD71" s="373">
        <v>0</v>
      </c>
      <c r="AE71" s="373">
        <v>40</v>
      </c>
      <c r="AF71" s="373">
        <v>40.000040249999998</v>
      </c>
      <c r="AG71" s="373">
        <v>40.000080500000003</v>
      </c>
      <c r="AH71" s="373">
        <v>40.000120750000001</v>
      </c>
      <c r="AI71" s="373">
        <v>65.884674000000004</v>
      </c>
      <c r="AJ71" s="373">
        <v>66.036509249999995</v>
      </c>
      <c r="AK71" s="373">
        <v>69.496014500000001</v>
      </c>
      <c r="AL71" s="373">
        <v>65.900349750000004</v>
      </c>
      <c r="AM71" s="262">
        <v>63.422373999999998</v>
      </c>
      <c r="AN71" s="262">
        <v>67.356630249999995</v>
      </c>
      <c r="AO71" s="262">
        <v>69.935740499999994</v>
      </c>
      <c r="AP71" s="262">
        <v>71.045293479999998</v>
      </c>
      <c r="AQ71" s="262">
        <v>70.162619109999994</v>
      </c>
      <c r="AR71" s="372">
        <v>74.26285759999999</v>
      </c>
      <c r="AS71" s="372">
        <v>26.707017430000001</v>
      </c>
      <c r="AT71" s="372">
        <v>32.461019759999999</v>
      </c>
      <c r="AU71" s="372">
        <v>30.95263804</v>
      </c>
      <c r="AV71" s="372">
        <v>31.916826289999999</v>
      </c>
      <c r="AW71" s="201">
        <v>35.268438809999999</v>
      </c>
      <c r="AX71" s="201">
        <v>37.032233950000006</v>
      </c>
      <c r="AY71" s="201">
        <v>73.210119669999997</v>
      </c>
      <c r="AZ71" s="201">
        <v>72.112579999999994</v>
      </c>
      <c r="BA71" s="201">
        <v>78.899341280000002</v>
      </c>
      <c r="BB71" s="201">
        <v>35.566706739999994</v>
      </c>
      <c r="BC71" s="201">
        <v>37.909558780000005</v>
      </c>
      <c r="BD71" s="201">
        <v>40.815842297399996</v>
      </c>
      <c r="BE71" s="374">
        <v>35.230394079999996</v>
      </c>
      <c r="BF71" s="374">
        <v>39.455890247500001</v>
      </c>
      <c r="BG71" s="374">
        <v>37.955472969999995</v>
      </c>
      <c r="BH71" s="374">
        <v>38.657556060000005</v>
      </c>
      <c r="BI71" s="374">
        <v>73.740567228499998</v>
      </c>
      <c r="BJ71" s="374">
        <v>143.51296267960001</v>
      </c>
      <c r="BK71" s="374">
        <v>193.78753215999996</v>
      </c>
      <c r="BL71" s="374">
        <v>184.51179505000002</v>
      </c>
      <c r="BM71" s="374">
        <v>180.50757988999999</v>
      </c>
      <c r="BN71" s="374">
        <v>178.27711632999998</v>
      </c>
      <c r="BO71" s="374">
        <v>195.52900919000001</v>
      </c>
      <c r="BP71" s="374">
        <v>214.56956361000002</v>
      </c>
      <c r="BQ71" s="374">
        <v>281.61870282340004</v>
      </c>
      <c r="BR71" s="374">
        <v>124.35429277999999</v>
      </c>
      <c r="BS71" s="374">
        <v>175.51942728999998</v>
      </c>
      <c r="BT71" s="374">
        <v>150.91587566999999</v>
      </c>
      <c r="BU71" s="374">
        <v>153.38603529</v>
      </c>
      <c r="BV71" s="374">
        <v>87.660927779999994</v>
      </c>
      <c r="BW71" s="374">
        <v>102.80799241</v>
      </c>
      <c r="BX71" s="374">
        <v>109.44308829000001</v>
      </c>
      <c r="BY71" s="374">
        <v>88.189770620000004</v>
      </c>
      <c r="BZ71" s="374">
        <v>97.1</v>
      </c>
      <c r="CA71" s="374">
        <v>78.17432556</v>
      </c>
      <c r="CB71" s="374">
        <v>74.415321979999987</v>
      </c>
      <c r="CC71" s="374">
        <v>51.916857829999998</v>
      </c>
      <c r="CD71" s="374">
        <v>49.883047570000002</v>
      </c>
      <c r="CE71" s="374">
        <v>62.522683930000007</v>
      </c>
      <c r="CF71" s="374">
        <v>105.58336955999999</v>
      </c>
      <c r="CG71" s="374">
        <v>112.38330085000001</v>
      </c>
      <c r="CH71" s="374">
        <v>153.70215156</v>
      </c>
      <c r="CI71" s="374">
        <v>109.69872319000001</v>
      </c>
      <c r="CJ71" s="374">
        <v>78.38128737000001</v>
      </c>
      <c r="CK71" s="374">
        <v>109.12254866000001</v>
      </c>
      <c r="CL71" s="374">
        <v>114.89546239000001</v>
      </c>
      <c r="CM71" s="374">
        <v>117.99061675999999</v>
      </c>
      <c r="CN71" s="374">
        <v>118.35466631</v>
      </c>
      <c r="CO71" s="374">
        <v>117.80486821</v>
      </c>
    </row>
    <row r="72" spans="1:93">
      <c r="A72" s="371" t="s">
        <v>450</v>
      </c>
      <c r="B72" s="372">
        <v>4801.9291608290005</v>
      </c>
      <c r="C72" s="260">
        <v>4759.2846632575483</v>
      </c>
      <c r="D72" s="260">
        <v>4717.3441113181989</v>
      </c>
      <c r="E72" s="207">
        <v>4744.5460292265998</v>
      </c>
      <c r="F72" s="260">
        <v>5006.6376963431994</v>
      </c>
      <c r="G72" s="260">
        <v>5267.1195187976009</v>
      </c>
      <c r="H72" s="260">
        <v>5128.8869289823988</v>
      </c>
      <c r="I72" s="260">
        <v>5137.7694283115998</v>
      </c>
      <c r="J72" s="260">
        <v>5165.1287456633991</v>
      </c>
      <c r="K72" s="207">
        <v>4986.8268081463993</v>
      </c>
      <c r="L72" s="260">
        <v>4954.125306635</v>
      </c>
      <c r="M72" s="260">
        <v>4843.3042223599996</v>
      </c>
      <c r="N72" s="260">
        <v>4963.5991935547154</v>
      </c>
      <c r="O72" s="207">
        <v>4978.7087615500004</v>
      </c>
      <c r="P72" s="260">
        <v>4974.8439860499993</v>
      </c>
      <c r="Q72" s="260">
        <v>5005.7793210300006</v>
      </c>
      <c r="R72" s="207">
        <v>5172.2459096897001</v>
      </c>
      <c r="S72" s="260">
        <v>5331.2343545000003</v>
      </c>
      <c r="T72" s="260">
        <v>5518.4396569399996</v>
      </c>
      <c r="U72" s="373">
        <v>5650.6317937599997</v>
      </c>
      <c r="V72" s="373">
        <v>5617.2840117700016</v>
      </c>
      <c r="W72" s="373">
        <v>5500.3998213599989</v>
      </c>
      <c r="X72" s="373">
        <v>5291.3516298699997</v>
      </c>
      <c r="Y72" s="373">
        <v>5157.3504788400005</v>
      </c>
      <c r="Z72" s="373">
        <v>5163.7000148100005</v>
      </c>
      <c r="AA72" s="373">
        <v>5249.2593428299997</v>
      </c>
      <c r="AB72" s="373">
        <v>5490.1543430800011</v>
      </c>
      <c r="AC72" s="373">
        <v>5626.3869451800001</v>
      </c>
      <c r="AD72" s="373">
        <v>5471.9955111799991</v>
      </c>
      <c r="AE72" s="373">
        <v>5517.8750518899997</v>
      </c>
      <c r="AF72" s="373">
        <v>5548.9711237999991</v>
      </c>
      <c r="AG72" s="373">
        <v>5689.9503021299997</v>
      </c>
      <c r="AH72" s="373">
        <v>5791.2435988699999</v>
      </c>
      <c r="AI72" s="373">
        <v>5880.8294358100002</v>
      </c>
      <c r="AJ72" s="373">
        <v>5817.1835107500019</v>
      </c>
      <c r="AK72" s="373">
        <v>5858.5574976399994</v>
      </c>
      <c r="AL72" s="373">
        <v>5288.4021064299995</v>
      </c>
      <c r="AM72" s="262">
        <v>5235.132600179998</v>
      </c>
      <c r="AN72" s="262">
        <v>5246.0399278599989</v>
      </c>
      <c r="AO72" s="262">
        <v>5606.7399338099995</v>
      </c>
      <c r="AP72" s="262">
        <v>5998.8909088455002</v>
      </c>
      <c r="AQ72" s="262">
        <v>6137.9456962410013</v>
      </c>
      <c r="AR72" s="372">
        <v>6013.5165399901998</v>
      </c>
      <c r="AS72" s="372">
        <v>5955.472817169999</v>
      </c>
      <c r="AT72" s="372">
        <v>5630.4696661664011</v>
      </c>
      <c r="AU72" s="372">
        <v>5320.0144016908007</v>
      </c>
      <c r="AV72" s="372">
        <v>5461.0987823720006</v>
      </c>
      <c r="AW72" s="201">
        <v>5683.2238006892003</v>
      </c>
      <c r="AX72" s="201">
        <v>5591.8646669751997</v>
      </c>
      <c r="AY72" s="201">
        <v>5656.9115846762998</v>
      </c>
      <c r="AZ72" s="201">
        <v>5761.5939852316005</v>
      </c>
      <c r="BA72" s="201">
        <v>5497.7768871959997</v>
      </c>
      <c r="BB72" s="201">
        <v>5379.1090225311</v>
      </c>
      <c r="BC72" s="201">
        <v>5006.3627642468</v>
      </c>
      <c r="BD72" s="201">
        <v>5151.8808275650008</v>
      </c>
      <c r="BE72" s="374">
        <v>5057.7499322293997</v>
      </c>
      <c r="BF72" s="374">
        <v>4928.410437139999</v>
      </c>
      <c r="BG72" s="374">
        <v>4716.8883619879998</v>
      </c>
      <c r="BH72" s="374">
        <v>4751.9134925970993</v>
      </c>
      <c r="BI72" s="374">
        <v>5408.8134834074999</v>
      </c>
      <c r="BJ72" s="374">
        <v>5671.7072349247019</v>
      </c>
      <c r="BK72" s="374">
        <v>5897.5049680262</v>
      </c>
      <c r="BL72" s="374">
        <v>6204.9401673194998</v>
      </c>
      <c r="BM72" s="374">
        <v>5888.5219047831997</v>
      </c>
      <c r="BN72" s="374">
        <v>6046.7682283431277</v>
      </c>
      <c r="BO72" s="374">
        <v>6283.1909291006004</v>
      </c>
      <c r="BP72" s="374">
        <v>6330.7564188890492</v>
      </c>
      <c r="BQ72" s="374">
        <v>6167.8782648222004</v>
      </c>
      <c r="BR72" s="374">
        <v>6467.2638899251997</v>
      </c>
      <c r="BS72" s="374">
        <v>6367.9085448946762</v>
      </c>
      <c r="BT72" s="374">
        <v>6381.8194854620997</v>
      </c>
      <c r="BU72" s="374">
        <v>6749.3491056692365</v>
      </c>
      <c r="BV72" s="374">
        <v>7241.0043388553659</v>
      </c>
      <c r="BW72" s="374">
        <v>6786.3385415064304</v>
      </c>
      <c r="BX72" s="374">
        <v>6815.3658370779995</v>
      </c>
      <c r="BY72" s="374">
        <v>6911.7023201443017</v>
      </c>
      <c r="BZ72" s="374">
        <v>7263.1</v>
      </c>
      <c r="CA72" s="374">
        <v>7388.5526063938041</v>
      </c>
      <c r="CB72" s="374">
        <v>7547.0720378723963</v>
      </c>
      <c r="CC72" s="374">
        <v>6768.4239047359451</v>
      </c>
      <c r="CD72" s="374">
        <v>6805.3485322275374</v>
      </c>
      <c r="CE72" s="374">
        <v>6736.1073495979699</v>
      </c>
      <c r="CF72" s="374">
        <v>6792.5489526253505</v>
      </c>
      <c r="CG72" s="374">
        <v>7134.746267897287</v>
      </c>
      <c r="CH72" s="374">
        <v>7229.3674804323264</v>
      </c>
      <c r="CI72" s="374">
        <v>7096.6947141235978</v>
      </c>
      <c r="CJ72" s="374">
        <v>7451.8370485323494</v>
      </c>
      <c r="CK72" s="374">
        <v>7500.766539391997</v>
      </c>
      <c r="CL72" s="374">
        <v>7650.0924693496781</v>
      </c>
      <c r="CM72" s="374">
        <v>7817.6700292612404</v>
      </c>
      <c r="CN72" s="374">
        <v>8085.4989877531725</v>
      </c>
      <c r="CO72" s="374">
        <v>7727.4773731462374</v>
      </c>
    </row>
    <row r="73" spans="1:93">
      <c r="A73" s="371" t="s">
        <v>451</v>
      </c>
      <c r="B73" s="372">
        <v>463.61466999999999</v>
      </c>
      <c r="C73" s="260">
        <v>460.04124200000001</v>
      </c>
      <c r="D73" s="260">
        <v>527.97652794999988</v>
      </c>
      <c r="E73" s="207">
        <v>331.33407254999997</v>
      </c>
      <c r="F73" s="260">
        <v>328.22978947999997</v>
      </c>
      <c r="G73" s="260">
        <v>326.45779430000005</v>
      </c>
      <c r="H73" s="260">
        <v>324.78940016000001</v>
      </c>
      <c r="I73" s="260">
        <v>323.22642472000001</v>
      </c>
      <c r="J73" s="260">
        <v>321.38803817000002</v>
      </c>
      <c r="K73" s="207">
        <v>319.82231972000005</v>
      </c>
      <c r="L73" s="260">
        <v>318.83213375999998</v>
      </c>
      <c r="M73" s="260">
        <v>316.57473702999999</v>
      </c>
      <c r="N73" s="260">
        <v>314.89337614999999</v>
      </c>
      <c r="O73" s="207">
        <v>313.28903300000002</v>
      </c>
      <c r="P73" s="260">
        <v>312.20782222000003</v>
      </c>
      <c r="Q73" s="260">
        <v>314.48892835999999</v>
      </c>
      <c r="R73" s="207">
        <v>313.55483516000004</v>
      </c>
      <c r="S73" s="260">
        <v>312.46192020999996</v>
      </c>
      <c r="T73" s="260">
        <v>311.04545960000002</v>
      </c>
      <c r="U73" s="373">
        <v>310.49595902999999</v>
      </c>
      <c r="V73" s="373">
        <v>309.28220864999997</v>
      </c>
      <c r="W73" s="373">
        <v>308.69362655999998</v>
      </c>
      <c r="X73" s="373">
        <v>307.26413308999997</v>
      </c>
      <c r="Y73" s="373">
        <v>306.08213506999999</v>
      </c>
      <c r="Z73" s="373">
        <v>305.74134270999997</v>
      </c>
      <c r="AA73" s="373">
        <v>304.23584457999999</v>
      </c>
      <c r="AB73" s="373">
        <v>303.29167229000001</v>
      </c>
      <c r="AC73" s="373">
        <v>302.04820057000006</v>
      </c>
      <c r="AD73" s="373">
        <v>300.32374507999998</v>
      </c>
      <c r="AE73" s="373">
        <v>300.24391585000001</v>
      </c>
      <c r="AF73" s="373">
        <v>299.06509364000004</v>
      </c>
      <c r="AG73" s="373">
        <v>298.31316783999995</v>
      </c>
      <c r="AH73" s="373">
        <v>34.999319290000003</v>
      </c>
      <c r="AI73" s="373">
        <v>35.936095689999995</v>
      </c>
      <c r="AJ73" s="373">
        <v>37.068945530000001</v>
      </c>
      <c r="AK73" s="373">
        <v>33.959943590000002</v>
      </c>
      <c r="AL73" s="373">
        <v>33.507819589999997</v>
      </c>
      <c r="AM73" s="262">
        <v>33.434737079999998</v>
      </c>
      <c r="AN73" s="262">
        <v>32.587087310000001</v>
      </c>
      <c r="AO73" s="262">
        <v>29.346412050000001</v>
      </c>
      <c r="AP73" s="262">
        <v>32.2090899397</v>
      </c>
      <c r="AQ73" s="262">
        <v>36.403392528200001</v>
      </c>
      <c r="AR73" s="372">
        <v>28.159200542799997</v>
      </c>
      <c r="AS73" s="372">
        <v>30.405619179999999</v>
      </c>
      <c r="AT73" s="372">
        <v>33.346280302000004</v>
      </c>
      <c r="AU73" s="372">
        <v>35.698895647599997</v>
      </c>
      <c r="AV73" s="372">
        <v>35.157134954999997</v>
      </c>
      <c r="AW73" s="201">
        <v>34.659364254799996</v>
      </c>
      <c r="AX73" s="201">
        <v>88.410551649599995</v>
      </c>
      <c r="AY73" s="201">
        <v>83.772859591300005</v>
      </c>
      <c r="AZ73" s="201">
        <v>81.49476982920001</v>
      </c>
      <c r="BA73" s="201">
        <v>82.081319884799981</v>
      </c>
      <c r="BB73" s="201">
        <v>23.374022628000002</v>
      </c>
      <c r="BC73" s="201">
        <v>22.3509908252</v>
      </c>
      <c r="BD73" s="201">
        <v>21.518016328800002</v>
      </c>
      <c r="BE73" s="374">
        <v>21.060665522500003</v>
      </c>
      <c r="BF73" s="374">
        <v>20.544640057500001</v>
      </c>
      <c r="BG73" s="374">
        <v>20.067021221999997</v>
      </c>
      <c r="BH73" s="374">
        <v>21.805428263</v>
      </c>
      <c r="BI73" s="374">
        <v>18.941307936000001</v>
      </c>
      <c r="BJ73" s="374">
        <v>22.021187008000002</v>
      </c>
      <c r="BK73" s="374">
        <v>15.800219370799999</v>
      </c>
      <c r="BL73" s="374">
        <v>14.698641909999997</v>
      </c>
      <c r="BM73" s="374">
        <v>14.382754859999999</v>
      </c>
      <c r="BN73" s="374">
        <v>14.0586225</v>
      </c>
      <c r="BO73" s="374">
        <v>13.713603150000001</v>
      </c>
      <c r="BP73" s="374">
        <v>13.38966102</v>
      </c>
      <c r="BQ73" s="374">
        <v>16.080341798699997</v>
      </c>
      <c r="BR73" s="374">
        <v>12.73725129</v>
      </c>
      <c r="BS73" s="374">
        <v>12.410176199999999</v>
      </c>
      <c r="BT73" s="374">
        <v>12.153275649999998</v>
      </c>
      <c r="BU73" s="374">
        <v>11.898136229999999</v>
      </c>
      <c r="BV73" s="374">
        <v>11.6764828</v>
      </c>
      <c r="BW73" s="374">
        <v>11.381365519999999</v>
      </c>
      <c r="BX73" s="374">
        <v>81.12511099999999</v>
      </c>
      <c r="BY73" s="374">
        <v>80.866627000000008</v>
      </c>
      <c r="BZ73" s="374">
        <v>80.599999999999994</v>
      </c>
      <c r="CA73" s="374">
        <v>80.342941179999997</v>
      </c>
      <c r="CB73" s="374">
        <v>80.078857909999996</v>
      </c>
      <c r="CC73" s="374">
        <v>79.816106419999997</v>
      </c>
      <c r="CD73" s="374">
        <v>81.113764966372003</v>
      </c>
      <c r="CE73" s="374">
        <v>81.76564231070482</v>
      </c>
      <c r="CF73" s="374">
        <v>79.010723110000001</v>
      </c>
      <c r="CG73" s="374">
        <v>78.739303860000007</v>
      </c>
      <c r="CH73" s="374">
        <v>107.73715645999999</v>
      </c>
      <c r="CI73" s="374">
        <v>106.32602219</v>
      </c>
      <c r="CJ73" s="374">
        <v>105.17999456180999</v>
      </c>
      <c r="CK73" s="374">
        <v>103.48969524</v>
      </c>
      <c r="CL73" s="374">
        <v>102.12764074038117</v>
      </c>
      <c r="CM73" s="374">
        <v>101.22154418</v>
      </c>
      <c r="CN73" s="374">
        <v>99.206509080000004</v>
      </c>
      <c r="CO73" s="374">
        <v>97.773225859999997</v>
      </c>
    </row>
    <row r="74" spans="1:93">
      <c r="A74" s="371" t="s">
        <v>452</v>
      </c>
      <c r="B74" s="372">
        <v>926.66425083000013</v>
      </c>
      <c r="C74" s="260">
        <v>879.92626970000003</v>
      </c>
      <c r="D74" s="260">
        <v>721.28566178000017</v>
      </c>
      <c r="E74" s="207">
        <v>929.83909610000012</v>
      </c>
      <c r="F74" s="260">
        <v>902.82179521</v>
      </c>
      <c r="G74" s="260">
        <v>909.41921696000009</v>
      </c>
      <c r="H74" s="260">
        <v>880.78451079000013</v>
      </c>
      <c r="I74" s="260">
        <v>883.15317335999987</v>
      </c>
      <c r="J74" s="260">
        <v>900.60429081999996</v>
      </c>
      <c r="K74" s="207">
        <v>890.01803747999998</v>
      </c>
      <c r="L74" s="260">
        <v>886.7274124999999</v>
      </c>
      <c r="M74" s="260">
        <v>873.53984866999997</v>
      </c>
      <c r="N74" s="260">
        <v>889.11386275999996</v>
      </c>
      <c r="O74" s="207">
        <v>872.65250204999995</v>
      </c>
      <c r="P74" s="260">
        <v>872.16586286999996</v>
      </c>
      <c r="Q74" s="260">
        <v>891.71102997000003</v>
      </c>
      <c r="R74" s="207">
        <v>871.26575363000006</v>
      </c>
      <c r="S74" s="260">
        <v>860.87499797999988</v>
      </c>
      <c r="T74" s="260">
        <v>835.72423736999986</v>
      </c>
      <c r="U74" s="373">
        <v>830.63649598999984</v>
      </c>
      <c r="V74" s="373">
        <v>845.81191568999986</v>
      </c>
      <c r="W74" s="373">
        <v>836.76174532999994</v>
      </c>
      <c r="X74" s="373">
        <v>817.8099050400001</v>
      </c>
      <c r="Y74" s="373">
        <v>823.86468667000008</v>
      </c>
      <c r="Z74" s="373">
        <v>833.83114121000006</v>
      </c>
      <c r="AA74" s="373">
        <v>817.63071453999999</v>
      </c>
      <c r="AB74" s="373">
        <v>836.00137828999993</v>
      </c>
      <c r="AC74" s="373">
        <v>831.54717403000006</v>
      </c>
      <c r="AD74" s="373">
        <v>852.89268622999987</v>
      </c>
      <c r="AE74" s="373">
        <v>856.97527100000002</v>
      </c>
      <c r="AF74" s="373">
        <v>804.02007961999993</v>
      </c>
      <c r="AG74" s="373">
        <v>711.6000750500001</v>
      </c>
      <c r="AH74" s="373">
        <v>467.72730281000003</v>
      </c>
      <c r="AI74" s="373">
        <v>472.09961955</v>
      </c>
      <c r="AJ74" s="373">
        <v>494.27120891000004</v>
      </c>
      <c r="AK74" s="373">
        <v>490.81321795000002</v>
      </c>
      <c r="AL74" s="373">
        <v>494.44802592000002</v>
      </c>
      <c r="AM74" s="262">
        <v>516.21782875000008</v>
      </c>
      <c r="AN74" s="262">
        <v>516.31213220999996</v>
      </c>
      <c r="AO74" s="262">
        <v>503.24425951000001</v>
      </c>
      <c r="AP74" s="262">
        <v>489.51330487719997</v>
      </c>
      <c r="AQ74" s="262">
        <v>494.68707912579993</v>
      </c>
      <c r="AR74" s="372">
        <v>493.81222262200004</v>
      </c>
      <c r="AS74" s="372">
        <v>486.04974214000003</v>
      </c>
      <c r="AT74" s="372">
        <v>516.13286075120004</v>
      </c>
      <c r="AU74" s="372">
        <v>498.80503430060003</v>
      </c>
      <c r="AV74" s="372">
        <v>496.87984067799999</v>
      </c>
      <c r="AW74" s="201">
        <v>519.60404782559999</v>
      </c>
      <c r="AX74" s="201">
        <v>474.93454998679999</v>
      </c>
      <c r="AY74" s="201">
        <v>481.47123866149997</v>
      </c>
      <c r="AZ74" s="201">
        <v>447.3326192586</v>
      </c>
      <c r="BA74" s="201">
        <v>485.86792073180004</v>
      </c>
      <c r="BB74" s="201">
        <v>472.0427263931</v>
      </c>
      <c r="BC74" s="201">
        <v>481.23702713040001</v>
      </c>
      <c r="BD74" s="201">
        <v>460.94670880360002</v>
      </c>
      <c r="BE74" s="374">
        <v>449.63064349939998</v>
      </c>
      <c r="BF74" s="374">
        <v>470.08273794999991</v>
      </c>
      <c r="BG74" s="374">
        <v>448.99094998199985</v>
      </c>
      <c r="BH74" s="374">
        <v>439.66528039430005</v>
      </c>
      <c r="BI74" s="374">
        <v>434.68208784780001</v>
      </c>
      <c r="BJ74" s="374">
        <v>450.70070639740004</v>
      </c>
      <c r="BK74" s="374">
        <v>457.86751363100007</v>
      </c>
      <c r="BL74" s="374">
        <v>400.0052360578</v>
      </c>
      <c r="BM74" s="374">
        <v>403.70361882059996</v>
      </c>
      <c r="BN74" s="374">
        <v>408.73126425599992</v>
      </c>
      <c r="BO74" s="374">
        <v>401.21387894959992</v>
      </c>
      <c r="BP74" s="374">
        <v>380.2568783136</v>
      </c>
      <c r="BQ74" s="374">
        <v>485.74684915030008</v>
      </c>
      <c r="BR74" s="374">
        <v>517.963246637</v>
      </c>
      <c r="BS74" s="374">
        <v>504.60812642280007</v>
      </c>
      <c r="BT74" s="374">
        <v>483.89338643153002</v>
      </c>
      <c r="BU74" s="374">
        <v>479.56802858334601</v>
      </c>
      <c r="BV74" s="374">
        <v>477.45625522236799</v>
      </c>
      <c r="BW74" s="374">
        <v>485.99207357335996</v>
      </c>
      <c r="BX74" s="374">
        <v>468.25889443049999</v>
      </c>
      <c r="BY74" s="374">
        <v>445.58355986949999</v>
      </c>
      <c r="BZ74" s="374">
        <v>451.2</v>
      </c>
      <c r="CA74" s="374">
        <v>483.75838031869989</v>
      </c>
      <c r="CB74" s="374">
        <v>461.25243156440001</v>
      </c>
      <c r="CC74" s="374">
        <v>446.00571831914999</v>
      </c>
      <c r="CD74" s="374">
        <v>472.01393812999999</v>
      </c>
      <c r="CE74" s="374">
        <v>507.09064146016942</v>
      </c>
      <c r="CF74" s="374">
        <v>490.99175295152531</v>
      </c>
      <c r="CG74" s="374">
        <v>514.58348983351334</v>
      </c>
      <c r="CH74" s="374">
        <v>546.80701069030192</v>
      </c>
      <c r="CI74" s="374">
        <v>542.35762074010916</v>
      </c>
      <c r="CJ74" s="374">
        <v>544.37967601215598</v>
      </c>
      <c r="CK74" s="374">
        <v>536.70750467680602</v>
      </c>
      <c r="CL74" s="374">
        <v>504.64102840385732</v>
      </c>
      <c r="CM74" s="374">
        <v>542.84317762875435</v>
      </c>
      <c r="CN74" s="374">
        <v>512.20168699431201</v>
      </c>
      <c r="CO74" s="374">
        <v>538.75947649696298</v>
      </c>
    </row>
    <row r="75" spans="1:93">
      <c r="A75" s="371" t="s">
        <v>453</v>
      </c>
      <c r="B75" s="372">
        <v>186.14744039999999</v>
      </c>
      <c r="C75" s="260">
        <v>187.10678686</v>
      </c>
      <c r="D75" s="260">
        <v>189.75268499999999</v>
      </c>
      <c r="E75" s="207">
        <v>175.98013710000001</v>
      </c>
      <c r="F75" s="260">
        <v>174.55431373000002</v>
      </c>
      <c r="G75" s="260">
        <v>173.75905835</v>
      </c>
      <c r="H75" s="260">
        <v>169.44216917000003</v>
      </c>
      <c r="I75" s="260">
        <v>164.99673525999998</v>
      </c>
      <c r="J75" s="260">
        <v>183.91171595999998</v>
      </c>
      <c r="K75" s="207">
        <v>186.02389178000001</v>
      </c>
      <c r="L75" s="260">
        <v>185.92303680999999</v>
      </c>
      <c r="M75" s="260">
        <v>175.03429691999995</v>
      </c>
      <c r="N75" s="260">
        <v>174.95816884999999</v>
      </c>
      <c r="O75" s="207">
        <v>165.35744124000004</v>
      </c>
      <c r="P75" s="260">
        <v>162.01578569999998</v>
      </c>
      <c r="Q75" s="260">
        <v>162.06440347759997</v>
      </c>
      <c r="R75" s="207">
        <v>161.98261532570001</v>
      </c>
      <c r="S75" s="260">
        <v>167.7799984822</v>
      </c>
      <c r="T75" s="260">
        <v>167.53320865000001</v>
      </c>
      <c r="U75" s="373">
        <v>164.917172871372</v>
      </c>
      <c r="V75" s="373">
        <v>162.58138676768903</v>
      </c>
      <c r="W75" s="373">
        <v>172.43472713000003</v>
      </c>
      <c r="X75" s="373">
        <v>167.40726746000001</v>
      </c>
      <c r="Y75" s="373">
        <v>177.54057162000004</v>
      </c>
      <c r="Z75" s="373">
        <v>179.81377861999997</v>
      </c>
      <c r="AA75" s="373">
        <v>174.40572451999998</v>
      </c>
      <c r="AB75" s="373">
        <v>180.70153113000001</v>
      </c>
      <c r="AC75" s="373">
        <v>179.96928896</v>
      </c>
      <c r="AD75" s="373">
        <v>178.71513716000004</v>
      </c>
      <c r="AE75" s="373">
        <v>178.17449837999999</v>
      </c>
      <c r="AF75" s="373">
        <v>166.80457544000001</v>
      </c>
      <c r="AG75" s="373">
        <v>167.08164574</v>
      </c>
      <c r="AH75" s="373">
        <v>175.25542058999997</v>
      </c>
      <c r="AI75" s="373">
        <v>752.18570819000001</v>
      </c>
      <c r="AJ75" s="373">
        <v>734.99452112000006</v>
      </c>
      <c r="AK75" s="373">
        <v>745.51023939999993</v>
      </c>
      <c r="AL75" s="373">
        <v>739.94353736000005</v>
      </c>
      <c r="AM75" s="262">
        <v>741.12781962999998</v>
      </c>
      <c r="AN75" s="262">
        <v>756.38254243999995</v>
      </c>
      <c r="AO75" s="262">
        <v>785.4882633200001</v>
      </c>
      <c r="AP75" s="262">
        <v>809.98620676199994</v>
      </c>
      <c r="AQ75" s="262">
        <v>864.79353068779994</v>
      </c>
      <c r="AR75" s="372">
        <v>914.62968764599987</v>
      </c>
      <c r="AS75" s="372">
        <v>898.02266308000003</v>
      </c>
      <c r="AT75" s="372">
        <v>935.38487593080004</v>
      </c>
      <c r="AU75" s="372">
        <v>884.47698831079992</v>
      </c>
      <c r="AV75" s="372">
        <v>832.87873712199996</v>
      </c>
      <c r="AW75" s="201">
        <v>828.74389951640001</v>
      </c>
      <c r="AX75" s="201">
        <v>888.51102266320004</v>
      </c>
      <c r="AY75" s="201">
        <v>825.73654690770013</v>
      </c>
      <c r="AZ75" s="201">
        <v>823.01476382279998</v>
      </c>
      <c r="BA75" s="201">
        <v>841.76958637940015</v>
      </c>
      <c r="BB75" s="201">
        <v>843.67550342549987</v>
      </c>
      <c r="BC75" s="201">
        <v>868.55369373959991</v>
      </c>
      <c r="BD75" s="201">
        <v>897.70448814240001</v>
      </c>
      <c r="BE75" s="374">
        <v>899.17694909120007</v>
      </c>
      <c r="BF75" s="374">
        <v>915.62233810249995</v>
      </c>
      <c r="BG75" s="374">
        <v>891.57650141800002</v>
      </c>
      <c r="BH75" s="374">
        <v>938.2487139527999</v>
      </c>
      <c r="BI75" s="374">
        <v>912.56412091890002</v>
      </c>
      <c r="BJ75" s="374">
        <v>909.59748445460002</v>
      </c>
      <c r="BK75" s="374">
        <v>992.61143203080007</v>
      </c>
      <c r="BL75" s="374">
        <v>992.27485632780019</v>
      </c>
      <c r="BM75" s="374">
        <v>1032.2106445340003</v>
      </c>
      <c r="BN75" s="374">
        <v>1079.7766805432</v>
      </c>
      <c r="BO75" s="374">
        <v>1239.1260732700002</v>
      </c>
      <c r="BP75" s="374">
        <v>1062.3887654531002</v>
      </c>
      <c r="BQ75" s="374">
        <v>1130.9641294654</v>
      </c>
      <c r="BR75" s="374">
        <v>1098.7327395093</v>
      </c>
      <c r="BS75" s="374">
        <v>1100.6389286132001</v>
      </c>
      <c r="BT75" s="374">
        <v>1177.5242219673401</v>
      </c>
      <c r="BU75" s="374">
        <v>1171.417237608646</v>
      </c>
      <c r="BV75" s="374">
        <v>1186.2358472719218</v>
      </c>
      <c r="BW75" s="374">
        <v>1197.7618255544601</v>
      </c>
      <c r="BX75" s="374">
        <v>1265.0550022524999</v>
      </c>
      <c r="BY75" s="374">
        <v>1277.6651078774998</v>
      </c>
      <c r="BZ75" s="374">
        <v>1319</v>
      </c>
      <c r="CA75" s="374">
        <v>1269.8683946234</v>
      </c>
      <c r="CB75" s="374">
        <v>1304.0401360731998</v>
      </c>
      <c r="CC75" s="374">
        <v>1309.9843362778411</v>
      </c>
      <c r="CD75" s="374">
        <v>1322.24007439207</v>
      </c>
      <c r="CE75" s="374">
        <v>541.23542118127739</v>
      </c>
      <c r="CF75" s="374">
        <v>579.61671099889668</v>
      </c>
      <c r="CG75" s="374">
        <v>598.47547357846668</v>
      </c>
      <c r="CH75" s="374">
        <v>629.13419809977199</v>
      </c>
      <c r="CI75" s="374">
        <v>646.85512958223751</v>
      </c>
      <c r="CJ75" s="374">
        <v>688.00854390890004</v>
      </c>
      <c r="CK75" s="374">
        <v>720.64402928694301</v>
      </c>
      <c r="CL75" s="374">
        <v>854.81494301050418</v>
      </c>
      <c r="CM75" s="374">
        <v>835.19653343992434</v>
      </c>
      <c r="CN75" s="374">
        <v>730.81915361000006</v>
      </c>
      <c r="CO75" s="374">
        <v>731.01756843999999</v>
      </c>
    </row>
    <row r="76" spans="1:93">
      <c r="A76" s="371" t="s">
        <v>454</v>
      </c>
      <c r="B76" s="372">
        <v>170.93642864999998</v>
      </c>
      <c r="C76" s="260">
        <v>175.64514153000002</v>
      </c>
      <c r="D76" s="260">
        <v>174.31251030999999</v>
      </c>
      <c r="E76" s="207">
        <v>188.90680407000002</v>
      </c>
      <c r="F76" s="260">
        <v>204.02006085000002</v>
      </c>
      <c r="G76" s="260">
        <v>207.46759636000002</v>
      </c>
      <c r="H76" s="260">
        <v>186.83438080000002</v>
      </c>
      <c r="I76" s="260">
        <v>203.05580090000001</v>
      </c>
      <c r="J76" s="260">
        <v>213.76240427000005</v>
      </c>
      <c r="K76" s="207">
        <v>219.99311474000001</v>
      </c>
      <c r="L76" s="260">
        <v>217.92985419999999</v>
      </c>
      <c r="M76" s="260">
        <v>211.85448992000002</v>
      </c>
      <c r="N76" s="260">
        <v>215.92993747</v>
      </c>
      <c r="O76" s="207">
        <v>239.70803556999999</v>
      </c>
      <c r="P76" s="260">
        <v>239.47330370999998</v>
      </c>
      <c r="Q76" s="260">
        <v>234.80672807999997</v>
      </c>
      <c r="R76" s="207">
        <v>229.53913087999999</v>
      </c>
      <c r="S76" s="260">
        <v>232.65987643</v>
      </c>
      <c r="T76" s="260">
        <v>237.163645</v>
      </c>
      <c r="U76" s="373">
        <v>234.72337445999997</v>
      </c>
      <c r="V76" s="373">
        <v>221.31178463000001</v>
      </c>
      <c r="W76" s="373">
        <v>221.83543841000002</v>
      </c>
      <c r="X76" s="373">
        <v>230.05137770000002</v>
      </c>
      <c r="Y76" s="373">
        <v>236.59052191999996</v>
      </c>
      <c r="Z76" s="373">
        <v>223.99127999999999</v>
      </c>
      <c r="AA76" s="373">
        <v>225.81422472000003</v>
      </c>
      <c r="AB76" s="373">
        <v>237.78054563000001</v>
      </c>
      <c r="AC76" s="373">
        <v>247.32675651999998</v>
      </c>
      <c r="AD76" s="373">
        <v>264.40925977000001</v>
      </c>
      <c r="AE76" s="373">
        <v>261.59533142999999</v>
      </c>
      <c r="AF76" s="373">
        <v>262.79012418999997</v>
      </c>
      <c r="AG76" s="373">
        <v>295.97219816</v>
      </c>
      <c r="AH76" s="373">
        <v>271.45400555000003</v>
      </c>
      <c r="AI76" s="373">
        <v>141.67146149999999</v>
      </c>
      <c r="AJ76" s="373">
        <v>151.87152971</v>
      </c>
      <c r="AK76" s="373">
        <v>157.54848267</v>
      </c>
      <c r="AL76" s="373">
        <v>175.15908869999998</v>
      </c>
      <c r="AM76" s="262">
        <v>230.81793827000001</v>
      </c>
      <c r="AN76" s="262">
        <v>232.78885572000002</v>
      </c>
      <c r="AO76" s="262">
        <v>247.72780985</v>
      </c>
      <c r="AP76" s="262">
        <v>249.77579708810001</v>
      </c>
      <c r="AQ76" s="262">
        <v>248.07917641699999</v>
      </c>
      <c r="AR76" s="372">
        <v>280.53135767120006</v>
      </c>
      <c r="AS76" s="372">
        <v>286.10883836999994</v>
      </c>
      <c r="AT76" s="372">
        <v>180.45772566280002</v>
      </c>
      <c r="AU76" s="372">
        <v>183.11724538059997</v>
      </c>
      <c r="AV76" s="372">
        <v>215.32241526800001</v>
      </c>
      <c r="AW76" s="201">
        <v>211.46693414039996</v>
      </c>
      <c r="AX76" s="201">
        <v>171.08989449640001</v>
      </c>
      <c r="AY76" s="201">
        <v>166.26716344330001</v>
      </c>
      <c r="AZ76" s="201">
        <v>164.67558920899998</v>
      </c>
      <c r="BA76" s="201">
        <v>187.57540123659999</v>
      </c>
      <c r="BB76" s="201">
        <v>193.76297881369999</v>
      </c>
      <c r="BC76" s="201">
        <v>216.64504129520003</v>
      </c>
      <c r="BD76" s="201">
        <v>216.47867992580004</v>
      </c>
      <c r="BE76" s="374">
        <v>211.00784626560002</v>
      </c>
      <c r="BF76" s="374">
        <v>211.91192256750003</v>
      </c>
      <c r="BG76" s="374">
        <v>206.22795136600001</v>
      </c>
      <c r="BH76" s="374">
        <v>239.92225561059999</v>
      </c>
      <c r="BI76" s="374">
        <v>295.14115235830008</v>
      </c>
      <c r="BJ76" s="374">
        <v>298.80265741639994</v>
      </c>
      <c r="BK76" s="374">
        <v>333.97132795199997</v>
      </c>
      <c r="BL76" s="374">
        <v>259.44426351089999</v>
      </c>
      <c r="BM76" s="374">
        <v>258.60289073280001</v>
      </c>
      <c r="BN76" s="374">
        <v>262.26013967080002</v>
      </c>
      <c r="BO76" s="374">
        <v>164.52896009719998</v>
      </c>
      <c r="BP76" s="374">
        <v>131.42626697189999</v>
      </c>
      <c r="BQ76" s="374">
        <v>190.6306799745</v>
      </c>
      <c r="BR76" s="374">
        <v>127.36142975099999</v>
      </c>
      <c r="BS76" s="374">
        <v>136.14031297399998</v>
      </c>
      <c r="BT76" s="374">
        <v>131.06173741124002</v>
      </c>
      <c r="BU76" s="374">
        <v>129.10293678930799</v>
      </c>
      <c r="BV76" s="374">
        <v>129.331952724876</v>
      </c>
      <c r="BW76" s="374">
        <v>129.31503727795001</v>
      </c>
      <c r="BX76" s="374">
        <v>129.39308274300001</v>
      </c>
      <c r="BY76" s="374">
        <v>170.70647576779999</v>
      </c>
      <c r="BZ76" s="374">
        <v>182.8</v>
      </c>
      <c r="CA76" s="374">
        <v>183.56752952760002</v>
      </c>
      <c r="CB76" s="374">
        <v>176.43751019959998</v>
      </c>
      <c r="CC76" s="374">
        <v>139.01630945023601</v>
      </c>
      <c r="CD76" s="374">
        <v>186.31399057854202</v>
      </c>
      <c r="CE76" s="374">
        <v>182.56490639530557</v>
      </c>
      <c r="CF76" s="374">
        <v>183.41916571177896</v>
      </c>
      <c r="CG76" s="374">
        <v>300.87996754313997</v>
      </c>
      <c r="CH76" s="374">
        <v>189.34976841782549</v>
      </c>
      <c r="CI76" s="374">
        <v>193.58912469958003</v>
      </c>
      <c r="CJ76" s="374">
        <v>192.55311272310198</v>
      </c>
      <c r="CK76" s="374">
        <v>191.438390016401</v>
      </c>
      <c r="CL76" s="374">
        <v>193.37200410465812</v>
      </c>
      <c r="CM76" s="374">
        <v>194.80463224966198</v>
      </c>
      <c r="CN76" s="374">
        <v>190.30474627999999</v>
      </c>
      <c r="CO76" s="374">
        <v>184.10183146</v>
      </c>
    </row>
    <row r="77" spans="1:93">
      <c r="A77" s="371" t="s">
        <v>455</v>
      </c>
      <c r="B77" s="372">
        <v>2596.5501865300002</v>
      </c>
      <c r="C77" s="260">
        <v>2728.3344441499999</v>
      </c>
      <c r="D77" s="260">
        <v>2909.5961742900004</v>
      </c>
      <c r="E77" s="207">
        <v>3079.1591940899998</v>
      </c>
      <c r="F77" s="260">
        <v>3128.8147533699994</v>
      </c>
      <c r="G77" s="260">
        <v>3144.2081140699997</v>
      </c>
      <c r="H77" s="260">
        <v>2845.62037237</v>
      </c>
      <c r="I77" s="260">
        <v>2823.7775653399995</v>
      </c>
      <c r="J77" s="260">
        <v>2814.7364334700001</v>
      </c>
      <c r="K77" s="207">
        <v>2904.39077292</v>
      </c>
      <c r="L77" s="260">
        <v>2962.4178192599998</v>
      </c>
      <c r="M77" s="260">
        <v>2980.2817295200007</v>
      </c>
      <c r="N77" s="260">
        <v>3029.2860634099998</v>
      </c>
      <c r="O77" s="207">
        <v>3010.2675460300002</v>
      </c>
      <c r="P77" s="260">
        <v>3019.2060799900009</v>
      </c>
      <c r="Q77" s="260">
        <v>2939.8605268599999</v>
      </c>
      <c r="R77" s="207">
        <v>2756.4904686899999</v>
      </c>
      <c r="S77" s="260">
        <v>2915.9152344465542</v>
      </c>
      <c r="T77" s="260">
        <v>2768.6500578450004</v>
      </c>
      <c r="U77" s="373">
        <v>2772.4131680392511</v>
      </c>
      <c r="V77" s="373">
        <v>2766.7621733125252</v>
      </c>
      <c r="W77" s="373">
        <v>2763.1446843929002</v>
      </c>
      <c r="X77" s="373">
        <v>2668.1514365939761</v>
      </c>
      <c r="Y77" s="373">
        <v>2653.2518810400002</v>
      </c>
      <c r="Z77" s="373">
        <v>3042.3274812900004</v>
      </c>
      <c r="AA77" s="373">
        <v>2877.4674097799998</v>
      </c>
      <c r="AB77" s="373">
        <v>2752.9006161899997</v>
      </c>
      <c r="AC77" s="373">
        <v>2830.40396177</v>
      </c>
      <c r="AD77" s="373">
        <v>2790.82607723</v>
      </c>
      <c r="AE77" s="373">
        <v>3026.9384281099997</v>
      </c>
      <c r="AF77" s="373">
        <v>3177.5101067699998</v>
      </c>
      <c r="AG77" s="373">
        <v>2987.8335995299994</v>
      </c>
      <c r="AH77" s="373">
        <v>2730.6400684799996</v>
      </c>
      <c r="AI77" s="373">
        <v>2627.1761495200003</v>
      </c>
      <c r="AJ77" s="373">
        <v>2675.84780133</v>
      </c>
      <c r="AK77" s="373">
        <v>2474.4114968300005</v>
      </c>
      <c r="AL77" s="373">
        <v>3197.7035656499997</v>
      </c>
      <c r="AM77" s="262">
        <v>3274.6508887300001</v>
      </c>
      <c r="AN77" s="262">
        <v>3229.1463569000002</v>
      </c>
      <c r="AO77" s="262">
        <v>3177.4947331900007</v>
      </c>
      <c r="AP77" s="262">
        <v>3187.3629540861002</v>
      </c>
      <c r="AQ77" s="262">
        <v>3349.3619741813991</v>
      </c>
      <c r="AR77" s="372">
        <v>3366.4795072812003</v>
      </c>
      <c r="AS77" s="372">
        <v>3303.6324183299998</v>
      </c>
      <c r="AT77" s="372">
        <v>3111.1945311803993</v>
      </c>
      <c r="AU77" s="372">
        <v>3193.7910912100001</v>
      </c>
      <c r="AV77" s="372">
        <v>3103.8781085839996</v>
      </c>
      <c r="AW77" s="201">
        <v>2928.6133920955999</v>
      </c>
      <c r="AX77" s="201">
        <v>2963.7313020492002</v>
      </c>
      <c r="AY77" s="201">
        <v>2938.3566646252002</v>
      </c>
      <c r="AZ77" s="201">
        <v>2711.3066640202996</v>
      </c>
      <c r="BA77" s="201">
        <v>2795.3987405204002</v>
      </c>
      <c r="BB77" s="201">
        <v>2880.5267584588801</v>
      </c>
      <c r="BC77" s="201">
        <v>2952.6115308552003</v>
      </c>
      <c r="BD77" s="201">
        <v>2864.8586043250007</v>
      </c>
      <c r="BE77" s="374">
        <v>2930.8580810880003</v>
      </c>
      <c r="BF77" s="374">
        <v>2891.5895283575001</v>
      </c>
      <c r="BG77" s="374">
        <v>2838.0617190780004</v>
      </c>
      <c r="BH77" s="374">
        <v>2944.6366314465995</v>
      </c>
      <c r="BI77" s="374">
        <v>3008.9769236990005</v>
      </c>
      <c r="BJ77" s="374">
        <v>3533.2368273919001</v>
      </c>
      <c r="BK77" s="374">
        <v>3618.4034594908999</v>
      </c>
      <c r="BL77" s="374">
        <v>3551.8792267910994</v>
      </c>
      <c r="BM77" s="374">
        <v>3832.3431801232</v>
      </c>
      <c r="BN77" s="374">
        <v>3809.0509310370885</v>
      </c>
      <c r="BO77" s="374">
        <v>3798.5976251253501</v>
      </c>
      <c r="BP77" s="374">
        <v>3831.1426068228502</v>
      </c>
      <c r="BQ77" s="374">
        <v>3547.1549992627006</v>
      </c>
      <c r="BR77" s="374">
        <v>3418.2093466778997</v>
      </c>
      <c r="BS77" s="374">
        <v>3340.9128605368005</v>
      </c>
      <c r="BT77" s="374">
        <v>3380.4020304581895</v>
      </c>
      <c r="BU77" s="374">
        <v>3323.1456490375858</v>
      </c>
      <c r="BV77" s="374">
        <v>2968.4846577102885</v>
      </c>
      <c r="BW77" s="374">
        <v>2813.6489838014845</v>
      </c>
      <c r="BX77" s="374">
        <v>2732.2719128364997</v>
      </c>
      <c r="BY77" s="374">
        <v>2974.0951833459003</v>
      </c>
      <c r="BZ77" s="374">
        <v>2817</v>
      </c>
      <c r="CA77" s="374">
        <v>2837.3510708371996</v>
      </c>
      <c r="CB77" s="374">
        <v>3102.4689712722002</v>
      </c>
      <c r="CC77" s="374">
        <v>3055.04111768346</v>
      </c>
      <c r="CD77" s="374">
        <v>3065.8865691988594</v>
      </c>
      <c r="CE77" s="374">
        <v>4081.1573370679516</v>
      </c>
      <c r="CF77" s="374">
        <v>3915.3233154245936</v>
      </c>
      <c r="CG77" s="374">
        <v>4015.0784773517562</v>
      </c>
      <c r="CH77" s="374">
        <v>4089.6324566280032</v>
      </c>
      <c r="CI77" s="374">
        <v>3974.6736125931457</v>
      </c>
      <c r="CJ77" s="374">
        <v>4073.050410438012</v>
      </c>
      <c r="CK77" s="374">
        <v>4211.3877397280557</v>
      </c>
      <c r="CL77" s="374">
        <v>4272.3848789349922</v>
      </c>
      <c r="CM77" s="374">
        <v>4291.6108485981404</v>
      </c>
      <c r="CN77" s="374">
        <v>4616.543225557617</v>
      </c>
      <c r="CO77" s="374">
        <v>4096.2518992411524</v>
      </c>
    </row>
    <row r="78" spans="1:93">
      <c r="A78" s="371" t="s">
        <v>456</v>
      </c>
      <c r="B78" s="372">
        <v>980.23024373999999</v>
      </c>
      <c r="C78" s="260">
        <v>984.92177760000004</v>
      </c>
      <c r="D78" s="260">
        <v>1064.8516445400001</v>
      </c>
      <c r="E78" s="207">
        <v>1161.73213667</v>
      </c>
      <c r="F78" s="260">
        <v>1264.4477160399999</v>
      </c>
      <c r="G78" s="260">
        <v>1295.9474507599998</v>
      </c>
      <c r="H78" s="260">
        <v>1317.1489695400001</v>
      </c>
      <c r="I78" s="260">
        <v>1447.0662225500002</v>
      </c>
      <c r="J78" s="260">
        <v>1383.5399454999999</v>
      </c>
      <c r="K78" s="207">
        <v>1317.8374725399999</v>
      </c>
      <c r="L78" s="260">
        <v>1343.9419001899998</v>
      </c>
      <c r="M78" s="260">
        <v>1396.99730494</v>
      </c>
      <c r="N78" s="260">
        <v>1340.56581104</v>
      </c>
      <c r="O78" s="207">
        <v>1387.26277254</v>
      </c>
      <c r="P78" s="260">
        <v>1372.9394664400002</v>
      </c>
      <c r="Q78" s="260">
        <v>1421.6276175900002</v>
      </c>
      <c r="R78" s="207">
        <v>1507.6636117924002</v>
      </c>
      <c r="S78" s="260">
        <v>1573.9949470318002</v>
      </c>
      <c r="T78" s="260">
        <v>1722.4363136500001</v>
      </c>
      <c r="U78" s="373">
        <v>1795.7383503288502</v>
      </c>
      <c r="V78" s="373">
        <v>1773.439615981202</v>
      </c>
      <c r="W78" s="373">
        <v>1717.7745489742003</v>
      </c>
      <c r="X78" s="373">
        <v>1637.4366985464499</v>
      </c>
      <c r="Y78" s="373">
        <v>1539.8403402826239</v>
      </c>
      <c r="Z78" s="373">
        <v>1585.6892814952</v>
      </c>
      <c r="AA78" s="373">
        <v>1592.1849157792997</v>
      </c>
      <c r="AB78" s="373">
        <v>1640.9179640605998</v>
      </c>
      <c r="AC78" s="373">
        <v>1626.9668408</v>
      </c>
      <c r="AD78" s="373">
        <v>1647.3935448851748</v>
      </c>
      <c r="AE78" s="373">
        <v>1711.3549261478584</v>
      </c>
      <c r="AF78" s="373">
        <v>1852.0161032668748</v>
      </c>
      <c r="AG78" s="373">
        <v>1851.7207908294001</v>
      </c>
      <c r="AH78" s="373">
        <v>1744.009102191</v>
      </c>
      <c r="AI78" s="373">
        <v>2003.3701400983998</v>
      </c>
      <c r="AJ78" s="373">
        <v>2014.3410036432999</v>
      </c>
      <c r="AK78" s="373">
        <v>1972.1951292074</v>
      </c>
      <c r="AL78" s="373">
        <v>2008.5439573236997</v>
      </c>
      <c r="AM78" s="262">
        <v>1950.3677723226499</v>
      </c>
      <c r="AN78" s="262">
        <v>1957.1964882681498</v>
      </c>
      <c r="AO78" s="262">
        <v>1974.7794164961749</v>
      </c>
      <c r="AP78" s="262">
        <v>2040.8925058418999</v>
      </c>
      <c r="AQ78" s="262">
        <v>2094.5599331476001</v>
      </c>
      <c r="AR78" s="372">
        <v>2273.3662403398002</v>
      </c>
      <c r="AS78" s="372">
        <v>2284.82513453</v>
      </c>
      <c r="AT78" s="372">
        <v>2312.4173463711995</v>
      </c>
      <c r="AU78" s="372">
        <v>2405.5725340179001</v>
      </c>
      <c r="AV78" s="372">
        <v>2080.4320675500003</v>
      </c>
      <c r="AW78" s="201">
        <v>2038.9051181703999</v>
      </c>
      <c r="AX78" s="201">
        <v>1996.8411880880001</v>
      </c>
      <c r="AY78" s="201">
        <v>1839.1334042208</v>
      </c>
      <c r="AZ78" s="201">
        <v>1775.2370680224001</v>
      </c>
      <c r="BA78" s="201">
        <v>1781.8879383338997</v>
      </c>
      <c r="BB78" s="201">
        <v>1733.3280549572999</v>
      </c>
      <c r="BC78" s="201">
        <v>1687.4421625119001</v>
      </c>
      <c r="BD78" s="201">
        <v>1728.2964649740002</v>
      </c>
      <c r="BE78" s="374">
        <v>1709.5587619982248</v>
      </c>
      <c r="BF78" s="374">
        <v>1680.2670195575001</v>
      </c>
      <c r="BG78" s="374">
        <v>1765.4473968919001</v>
      </c>
      <c r="BH78" s="374">
        <v>1630.264748087083</v>
      </c>
      <c r="BI78" s="374">
        <v>1758.4906230155573</v>
      </c>
      <c r="BJ78" s="374">
        <v>1774.2342625040048</v>
      </c>
      <c r="BK78" s="374">
        <v>1917.176053046619</v>
      </c>
      <c r="BL78" s="374">
        <v>1887.4419548123219</v>
      </c>
      <c r="BM78" s="374">
        <v>1949.9066522285577</v>
      </c>
      <c r="BN78" s="374">
        <v>2092.846193699133</v>
      </c>
      <c r="BO78" s="374">
        <v>2157.2972576502075</v>
      </c>
      <c r="BP78" s="374">
        <v>2272.024509281342</v>
      </c>
      <c r="BQ78" s="374">
        <v>2187.863911019781</v>
      </c>
      <c r="BR78" s="374">
        <v>2205.0417271563315</v>
      </c>
      <c r="BS78" s="374">
        <v>2132.1853027837919</v>
      </c>
      <c r="BT78" s="374">
        <v>2101.391174822535</v>
      </c>
      <c r="BU78" s="374">
        <v>2035.8902032148819</v>
      </c>
      <c r="BV78" s="374">
        <v>2057.3524325162798</v>
      </c>
      <c r="BW78" s="374">
        <v>1909.773003650515</v>
      </c>
      <c r="BX78" s="374">
        <v>2062.5337066614998</v>
      </c>
      <c r="BY78" s="374">
        <v>2208.2855191596996</v>
      </c>
      <c r="BZ78" s="374">
        <v>2115</v>
      </c>
      <c r="CA78" s="374">
        <v>2373.060328675218</v>
      </c>
      <c r="CB78" s="374">
        <v>2399.3921269732755</v>
      </c>
      <c r="CC78" s="374">
        <v>2664.4811327528801</v>
      </c>
      <c r="CD78" s="374">
        <v>2625.5790305945056</v>
      </c>
      <c r="CE78" s="374">
        <v>2615.944451690405</v>
      </c>
      <c r="CF78" s="374">
        <v>2629.3997733608912</v>
      </c>
      <c r="CG78" s="374">
        <v>2650.000372491847</v>
      </c>
      <c r="CH78" s="374">
        <v>2727.9983327963355</v>
      </c>
      <c r="CI78" s="374">
        <v>2554.8705156994642</v>
      </c>
      <c r="CJ78" s="374">
        <v>2640.3368523476615</v>
      </c>
      <c r="CK78" s="374">
        <v>2518.1580746859022</v>
      </c>
      <c r="CL78" s="374">
        <v>2492.8496561276129</v>
      </c>
      <c r="CM78" s="374">
        <v>2648.9423054894769</v>
      </c>
      <c r="CN78" s="374">
        <v>2733.3545994332299</v>
      </c>
      <c r="CO78" s="374">
        <v>2691.7913271471339</v>
      </c>
    </row>
    <row r="79" spans="1:93">
      <c r="A79" s="371" t="s">
        <v>457</v>
      </c>
      <c r="B79" s="372">
        <v>413.84675399999998</v>
      </c>
      <c r="C79" s="260">
        <v>387.71471287000003</v>
      </c>
      <c r="D79" s="260">
        <v>420.55177997999999</v>
      </c>
      <c r="E79" s="207">
        <v>470.66794386439994</v>
      </c>
      <c r="F79" s="260">
        <v>402.09864603999995</v>
      </c>
      <c r="G79" s="260">
        <v>553.79862693180007</v>
      </c>
      <c r="H79" s="260">
        <v>574.09725426479997</v>
      </c>
      <c r="I79" s="260">
        <v>577.83011993000002</v>
      </c>
      <c r="J79" s="260">
        <v>615.03901163</v>
      </c>
      <c r="K79" s="207">
        <v>584.54138517000013</v>
      </c>
      <c r="L79" s="260">
        <v>579.0469243</v>
      </c>
      <c r="M79" s="260">
        <v>712.27345866100006</v>
      </c>
      <c r="N79" s="260">
        <v>620.18349624489792</v>
      </c>
      <c r="O79" s="207">
        <v>713.96697638269995</v>
      </c>
      <c r="P79" s="260">
        <v>658.40485823000006</v>
      </c>
      <c r="Q79" s="260">
        <v>608.51311649000002</v>
      </c>
      <c r="R79" s="207">
        <v>688.01962002999994</v>
      </c>
      <c r="S79" s="260">
        <v>686.71307084999989</v>
      </c>
      <c r="T79" s="260">
        <v>780.01989613875003</v>
      </c>
      <c r="U79" s="373">
        <v>675.14715115000001</v>
      </c>
      <c r="V79" s="373">
        <v>569.92586416000006</v>
      </c>
      <c r="W79" s="373">
        <v>726.47181881870006</v>
      </c>
      <c r="X79" s="373">
        <v>685.60675810999999</v>
      </c>
      <c r="Y79" s="373">
        <v>716.73692900072194</v>
      </c>
      <c r="Z79" s="373">
        <v>750.5275350931081</v>
      </c>
      <c r="AA79" s="373">
        <v>829.34354624986327</v>
      </c>
      <c r="AB79" s="373">
        <v>841.05852379507746</v>
      </c>
      <c r="AC79" s="373">
        <v>668.65738075090007</v>
      </c>
      <c r="AD79" s="373">
        <v>687.12652243302</v>
      </c>
      <c r="AE79" s="373">
        <v>735.16956825000011</v>
      </c>
      <c r="AF79" s="373">
        <v>900.72184819898757</v>
      </c>
      <c r="AG79" s="373">
        <v>626.33675765084809</v>
      </c>
      <c r="AH79" s="373">
        <v>702.53576076392005</v>
      </c>
      <c r="AI79" s="373">
        <v>880.88564889200006</v>
      </c>
      <c r="AJ79" s="373">
        <v>675.45435220000002</v>
      </c>
      <c r="AK79" s="373">
        <v>584.44780127317597</v>
      </c>
      <c r="AL79" s="373">
        <v>737.85789605069522</v>
      </c>
      <c r="AM79" s="262">
        <v>866.56231034441009</v>
      </c>
      <c r="AN79" s="262">
        <v>678.29072574095608</v>
      </c>
      <c r="AO79" s="262">
        <v>1527.3805499036951</v>
      </c>
      <c r="AP79" s="262">
        <v>1295.2263184526551</v>
      </c>
      <c r="AQ79" s="262">
        <v>1422.3451943110181</v>
      </c>
      <c r="AR79" s="372">
        <v>1056.7846609286521</v>
      </c>
      <c r="AS79" s="372">
        <v>1229.6104045939999</v>
      </c>
      <c r="AT79" s="372">
        <v>906.67905668905587</v>
      </c>
      <c r="AU79" s="372">
        <v>578.81288210366392</v>
      </c>
      <c r="AV79" s="372">
        <v>861.26879576268004</v>
      </c>
      <c r="AW79" s="201">
        <v>603.29581028851203</v>
      </c>
      <c r="AX79" s="201">
        <v>911.56455797679996</v>
      </c>
      <c r="AY79" s="201">
        <v>656.64490213699992</v>
      </c>
      <c r="AZ79" s="201">
        <v>613.94171576660403</v>
      </c>
      <c r="BA79" s="201">
        <v>778.01353414814605</v>
      </c>
      <c r="BB79" s="201">
        <v>330.39156201943399</v>
      </c>
      <c r="BC79" s="201">
        <v>703.752658738896</v>
      </c>
      <c r="BD79" s="201">
        <v>378.31303774711597</v>
      </c>
      <c r="BE79" s="374">
        <v>777.61764231255211</v>
      </c>
      <c r="BF79" s="374">
        <v>972.54357222907504</v>
      </c>
      <c r="BG79" s="374">
        <v>507.13602484279994</v>
      </c>
      <c r="BH79" s="374">
        <v>371.76182853999802</v>
      </c>
      <c r="BI79" s="374">
        <v>489.59653219372797</v>
      </c>
      <c r="BJ79" s="374">
        <v>932.86962041714389</v>
      </c>
      <c r="BK79" s="374">
        <v>687.25684644849991</v>
      </c>
      <c r="BL79" s="374">
        <v>761.78819383127779</v>
      </c>
      <c r="BM79" s="374">
        <v>512.278613165058</v>
      </c>
      <c r="BN79" s="374">
        <v>530.18748350047599</v>
      </c>
      <c r="BO79" s="374">
        <v>531.17929945000003</v>
      </c>
      <c r="BP79" s="374">
        <v>425.31569058415681</v>
      </c>
      <c r="BQ79" s="374">
        <v>670.35461767999993</v>
      </c>
      <c r="BR79" s="374">
        <v>483.4098159166</v>
      </c>
      <c r="BS79" s="374">
        <v>868.84150808879997</v>
      </c>
      <c r="BT79" s="374">
        <v>603.08980525999993</v>
      </c>
      <c r="BU79" s="374">
        <v>798.9584258299999</v>
      </c>
      <c r="BV79" s="374">
        <v>705.69252717999996</v>
      </c>
      <c r="BW79" s="374">
        <v>894.33995304000007</v>
      </c>
      <c r="BX79" s="374">
        <v>306.80834706000002</v>
      </c>
      <c r="BY79" s="374">
        <v>873.98799632000009</v>
      </c>
      <c r="BZ79" s="374">
        <v>528.9</v>
      </c>
      <c r="CA79" s="374">
        <v>518.87873169</v>
      </c>
      <c r="CB79" s="374">
        <v>865.17307844000004</v>
      </c>
      <c r="CC79" s="374">
        <v>806.41236710429996</v>
      </c>
      <c r="CD79" s="374">
        <v>451.12586156000003</v>
      </c>
      <c r="CE79" s="374">
        <v>815.53057077999995</v>
      </c>
      <c r="CF79" s="374">
        <v>730.49962983000012</v>
      </c>
      <c r="CG79" s="374">
        <v>216.06602546103662</v>
      </c>
      <c r="CH79" s="374">
        <v>1095.51882439</v>
      </c>
      <c r="CI79" s="374">
        <v>825.96856993999995</v>
      </c>
      <c r="CJ79" s="374">
        <v>1838.2583189299999</v>
      </c>
      <c r="CK79" s="374">
        <v>1395.7559655300001</v>
      </c>
      <c r="CL79" s="374">
        <v>630.60741853000002</v>
      </c>
      <c r="CM79" s="374">
        <v>1621.0615097153709</v>
      </c>
      <c r="CN79" s="374">
        <v>1220.36357656</v>
      </c>
      <c r="CO79" s="374">
        <v>819.69090984999991</v>
      </c>
    </row>
    <row r="80" spans="1:93">
      <c r="A80" s="371" t="s">
        <v>458</v>
      </c>
      <c r="B80" s="372">
        <v>9.2082149999999992</v>
      </c>
      <c r="C80" s="260">
        <v>15.130636729999999</v>
      </c>
      <c r="D80" s="260">
        <v>14.09070981</v>
      </c>
      <c r="E80" s="207">
        <v>14.09967275</v>
      </c>
      <c r="F80" s="260">
        <v>14.232358609999999</v>
      </c>
      <c r="G80" s="260">
        <v>14.381935169999998</v>
      </c>
      <c r="H80" s="260">
        <v>12.192188849999999</v>
      </c>
      <c r="I80" s="260">
        <v>18.957254389999999</v>
      </c>
      <c r="J80" s="260">
        <v>15.979137799999998</v>
      </c>
      <c r="K80" s="207">
        <v>13.42206968</v>
      </c>
      <c r="L80" s="260">
        <v>11.74652305</v>
      </c>
      <c r="M80" s="260">
        <v>9.4889074499999992</v>
      </c>
      <c r="N80" s="260">
        <v>8.4947467400000001</v>
      </c>
      <c r="O80" s="207">
        <v>8.0731414399999988</v>
      </c>
      <c r="P80" s="260">
        <v>8.4483048000000007</v>
      </c>
      <c r="Q80" s="260">
        <v>11.525518999999999</v>
      </c>
      <c r="R80" s="207">
        <v>6.68418913</v>
      </c>
      <c r="S80" s="260">
        <v>4.1223927099999997</v>
      </c>
      <c r="T80" s="260">
        <v>4.8287272199999993</v>
      </c>
      <c r="U80" s="373">
        <v>4.8251895599999992</v>
      </c>
      <c r="V80" s="373">
        <v>4.6974282199999999</v>
      </c>
      <c r="W80" s="373">
        <v>4.7213665000000002</v>
      </c>
      <c r="X80" s="373">
        <v>6.0938232400000008</v>
      </c>
      <c r="Y80" s="373">
        <v>8.2278201000000006</v>
      </c>
      <c r="Z80" s="373">
        <v>4.2234435599999998</v>
      </c>
      <c r="AA80" s="373">
        <v>9.0342966699999998</v>
      </c>
      <c r="AB80" s="373">
        <v>4.7046386199999999</v>
      </c>
      <c r="AC80" s="373">
        <v>5.1620789599999997</v>
      </c>
      <c r="AD80" s="373">
        <v>3.4242601499999998</v>
      </c>
      <c r="AE80" s="373">
        <v>3.1273637999999999</v>
      </c>
      <c r="AF80" s="373">
        <v>3.1480537799999997</v>
      </c>
      <c r="AG80" s="373">
        <v>7.4009362200000011</v>
      </c>
      <c r="AH80" s="373">
        <v>3.9887107999999998</v>
      </c>
      <c r="AI80" s="373">
        <v>14.303279709999998</v>
      </c>
      <c r="AJ80" s="373">
        <v>14.514705289271999</v>
      </c>
      <c r="AK80" s="373">
        <v>17.635619590000001</v>
      </c>
      <c r="AL80" s="373">
        <v>17.674157600000001</v>
      </c>
      <c r="AM80" s="262">
        <v>19.120787249999999</v>
      </c>
      <c r="AN80" s="262">
        <v>20.53060009</v>
      </c>
      <c r="AO80" s="262">
        <v>14.456015839999999</v>
      </c>
      <c r="AP80" s="262">
        <v>30.108672459999998</v>
      </c>
      <c r="AQ80" s="262">
        <v>29.023399640000001</v>
      </c>
      <c r="AR80" s="372">
        <v>41.703878620000005</v>
      </c>
      <c r="AS80" s="372">
        <v>32.84776462</v>
      </c>
      <c r="AT80" s="372">
        <v>23.172390910000001</v>
      </c>
      <c r="AU80" s="372">
        <v>76.196029580000001</v>
      </c>
      <c r="AV80" s="372">
        <v>80.532109470000009</v>
      </c>
      <c r="AW80" s="201">
        <v>77.896253770000015</v>
      </c>
      <c r="AX80" s="201">
        <v>26.108179939999996</v>
      </c>
      <c r="AY80" s="201">
        <v>24.000301149999999</v>
      </c>
      <c r="AZ80" s="201">
        <v>40.929119119999996</v>
      </c>
      <c r="BA80" s="201">
        <v>27.802093929999998</v>
      </c>
      <c r="BB80" s="201">
        <v>39.650065099999999</v>
      </c>
      <c r="BC80" s="201">
        <v>81.149647590000001</v>
      </c>
      <c r="BD80" s="201">
        <v>70.597618319999995</v>
      </c>
      <c r="BE80" s="374">
        <v>73.868281710000005</v>
      </c>
      <c r="BF80" s="374">
        <v>77.145528659999997</v>
      </c>
      <c r="BG80" s="374">
        <v>112.07570609999999</v>
      </c>
      <c r="BH80" s="374">
        <v>110.97133771999999</v>
      </c>
      <c r="BI80" s="374">
        <v>105.62168512999999</v>
      </c>
      <c r="BJ80" s="374">
        <v>115.63004670999999</v>
      </c>
      <c r="BK80" s="374">
        <v>135.46235916000003</v>
      </c>
      <c r="BL80" s="374">
        <v>118.27584425000001</v>
      </c>
      <c r="BM80" s="374">
        <v>108.35563309</v>
      </c>
      <c r="BN80" s="374">
        <v>61.374925559999994</v>
      </c>
      <c r="BO80" s="374">
        <v>50.97808637</v>
      </c>
      <c r="BP80" s="374">
        <v>57.732735480000002</v>
      </c>
      <c r="BQ80" s="374">
        <v>136.51918113490001</v>
      </c>
      <c r="BR80" s="374">
        <v>114.97277867999999</v>
      </c>
      <c r="BS80" s="374">
        <v>129.1735818192</v>
      </c>
      <c r="BT80" s="374">
        <v>98.425029780000003</v>
      </c>
      <c r="BU80" s="374">
        <v>36.445019000000002</v>
      </c>
      <c r="BV80" s="374">
        <v>39.417606970000001</v>
      </c>
      <c r="BW80" s="374">
        <v>49.537174469999997</v>
      </c>
      <c r="BX80" s="374">
        <v>43.361054930000002</v>
      </c>
      <c r="BY80" s="374">
        <v>42.657346789999998</v>
      </c>
      <c r="BZ80" s="374">
        <v>47.9</v>
      </c>
      <c r="CA80" s="374">
        <v>49.624005610000005</v>
      </c>
      <c r="CB80" s="374">
        <v>53.410277410000006</v>
      </c>
      <c r="CC80" s="374">
        <v>53.435988109999997</v>
      </c>
      <c r="CD80" s="374">
        <v>56.111443069999993</v>
      </c>
      <c r="CE80" s="374">
        <v>59.040814670000003</v>
      </c>
      <c r="CF80" s="374">
        <v>60.972492910000007</v>
      </c>
      <c r="CG80" s="374">
        <v>56.591775729999995</v>
      </c>
      <c r="CH80" s="374">
        <v>55.420263720000001</v>
      </c>
      <c r="CI80" s="374">
        <v>55.170731809999992</v>
      </c>
      <c r="CJ80" s="374">
        <v>52.737524820000004</v>
      </c>
      <c r="CK80" s="374">
        <v>56.316799119999999</v>
      </c>
      <c r="CL80" s="374">
        <v>59.480185040000009</v>
      </c>
      <c r="CM80" s="374">
        <v>64.688852100000005</v>
      </c>
      <c r="CN80" s="374">
        <v>63.55995179</v>
      </c>
      <c r="CO80" s="374">
        <v>58.849288099999995</v>
      </c>
    </row>
    <row r="81" spans="1:93">
      <c r="A81" s="371" t="s">
        <v>407</v>
      </c>
      <c r="B81" s="372">
        <v>4985.5881300137844</v>
      </c>
      <c r="C81" s="260">
        <v>4973.3854329441583</v>
      </c>
      <c r="D81" s="260">
        <v>5117.6920774349583</v>
      </c>
      <c r="E81" s="207">
        <v>5162.7798197499997</v>
      </c>
      <c r="F81" s="260">
        <v>5195.6884181699997</v>
      </c>
      <c r="G81" s="260">
        <v>5451.6190059600003</v>
      </c>
      <c r="H81" s="260">
        <v>5703.0519891900003</v>
      </c>
      <c r="I81" s="260">
        <v>5832.4461439200004</v>
      </c>
      <c r="J81" s="260">
        <v>6049.4323743200002</v>
      </c>
      <c r="K81" s="207">
        <v>5908.5091365299995</v>
      </c>
      <c r="L81" s="260">
        <v>6084.6316566500009</v>
      </c>
      <c r="M81" s="260">
        <v>6354.5132222600005</v>
      </c>
      <c r="N81" s="260">
        <v>6155.4334126700005</v>
      </c>
      <c r="O81" s="207">
        <v>6532.083599652563</v>
      </c>
      <c r="P81" s="260">
        <v>6749.3780618454721</v>
      </c>
      <c r="Q81" s="260">
        <v>6780.0120413199984</v>
      </c>
      <c r="R81" s="207">
        <v>7531.3160710706006</v>
      </c>
      <c r="S81" s="260">
        <v>8068.8689569777998</v>
      </c>
      <c r="T81" s="260">
        <v>7976.3516802399981</v>
      </c>
      <c r="U81" s="373">
        <v>8093.5238207764642</v>
      </c>
      <c r="V81" s="373">
        <v>7627.3473524851206</v>
      </c>
      <c r="W81" s="373">
        <v>7530.7267078753011</v>
      </c>
      <c r="X81" s="373">
        <v>7613.0491966373693</v>
      </c>
      <c r="Y81" s="373">
        <v>7787.7307078923632</v>
      </c>
      <c r="Z81" s="373">
        <v>7646.5734623671451</v>
      </c>
      <c r="AA81" s="373">
        <v>7978.3813971136833</v>
      </c>
      <c r="AB81" s="373">
        <v>8202.4965196803005</v>
      </c>
      <c r="AC81" s="373">
        <v>8216.4144753625878</v>
      </c>
      <c r="AD81" s="373">
        <v>8445.4171966887043</v>
      </c>
      <c r="AE81" s="373">
        <v>8313.2633881516322</v>
      </c>
      <c r="AF81" s="373">
        <v>8210.2497804625746</v>
      </c>
      <c r="AG81" s="373">
        <v>8638.4868637595773</v>
      </c>
      <c r="AH81" s="373">
        <v>9305.6218423140381</v>
      </c>
      <c r="AI81" s="373">
        <v>7297.7562303122168</v>
      </c>
      <c r="AJ81" s="373">
        <v>6942.5228771129687</v>
      </c>
      <c r="AK81" s="373">
        <v>7100.0604267328245</v>
      </c>
      <c r="AL81" s="373">
        <v>7294.7218680612004</v>
      </c>
      <c r="AM81" s="262">
        <v>7737.019805747279</v>
      </c>
      <c r="AN81" s="262">
        <v>7725.9018817470196</v>
      </c>
      <c r="AO81" s="262">
        <v>8449.4269623768923</v>
      </c>
      <c r="AP81" s="262">
        <v>8695.070412247429</v>
      </c>
      <c r="AQ81" s="262">
        <v>8709.7096117975616</v>
      </c>
      <c r="AR81" s="372">
        <v>8390.984806074368</v>
      </c>
      <c r="AS81" s="372">
        <v>8701.0023998619999</v>
      </c>
      <c r="AT81" s="372">
        <v>9091.7459950394077</v>
      </c>
      <c r="AU81" s="372">
        <v>9415.2730051031376</v>
      </c>
      <c r="AV81" s="372">
        <v>9650.5098998491594</v>
      </c>
      <c r="AW81" s="201">
        <v>10028.74799746695</v>
      </c>
      <c r="AX81" s="201">
        <v>10145.336703401004</v>
      </c>
      <c r="AY81" s="201">
        <v>9738.3293424661751</v>
      </c>
      <c r="AZ81" s="201">
        <v>8000.89201702837</v>
      </c>
      <c r="BA81" s="201">
        <v>7884.1121131754171</v>
      </c>
      <c r="BB81" s="201">
        <v>8157.0803093493105</v>
      </c>
      <c r="BC81" s="201">
        <v>8452.5942556069567</v>
      </c>
      <c r="BD81" s="201">
        <v>8592.3067062856771</v>
      </c>
      <c r="BE81" s="374">
        <v>8582.5021862158301</v>
      </c>
      <c r="BF81" s="374">
        <v>8901.3210183974497</v>
      </c>
      <c r="BG81" s="374">
        <v>9028.1243912007048</v>
      </c>
      <c r="BH81" s="374">
        <v>9144.3209950438686</v>
      </c>
      <c r="BI81" s="374">
        <v>8614.4946968431268</v>
      </c>
      <c r="BJ81" s="374">
        <v>8510.237856021351</v>
      </c>
      <c r="BK81" s="374">
        <v>8663.1601747512395</v>
      </c>
      <c r="BL81" s="374">
        <v>9075.0741942869445</v>
      </c>
      <c r="BM81" s="374">
        <v>9495.2288243266521</v>
      </c>
      <c r="BN81" s="374">
        <v>9186.0038725419308</v>
      </c>
      <c r="BO81" s="374">
        <v>9327.5467709695313</v>
      </c>
      <c r="BP81" s="374">
        <v>9351.5060030443401</v>
      </c>
      <c r="BQ81" s="374">
        <v>9425.4223889500154</v>
      </c>
      <c r="BR81" s="374">
        <v>9442.6256074599787</v>
      </c>
      <c r="BS81" s="374">
        <v>9518.1802155073656</v>
      </c>
      <c r="BT81" s="374">
        <v>9618.0552619790633</v>
      </c>
      <c r="BU81" s="374">
        <v>9640.7782704845777</v>
      </c>
      <c r="BV81" s="374">
        <v>10281.433004448209</v>
      </c>
      <c r="BW81" s="374">
        <v>10808.052678977388</v>
      </c>
      <c r="BX81" s="374">
        <v>10893.465892825499</v>
      </c>
      <c r="BY81" s="374">
        <v>11019.207913240802</v>
      </c>
      <c r="BZ81" s="374">
        <v>11446.5</v>
      </c>
      <c r="CA81" s="374">
        <v>11943.433838760233</v>
      </c>
      <c r="CB81" s="374">
        <v>12617.90303496498</v>
      </c>
      <c r="CC81" s="374">
        <v>12411.06084720607</v>
      </c>
      <c r="CD81" s="374">
        <v>11716.649705504142</v>
      </c>
      <c r="CE81" s="374">
        <v>10414.332056649338</v>
      </c>
      <c r="CF81" s="374">
        <v>10699.671695048206</v>
      </c>
      <c r="CG81" s="374">
        <v>11728.172901860264</v>
      </c>
      <c r="CH81" s="374">
        <v>11873.6934935513</v>
      </c>
      <c r="CI81" s="374">
        <v>12308.660098071556</v>
      </c>
      <c r="CJ81" s="374">
        <v>12360.624914259924</v>
      </c>
      <c r="CK81" s="374">
        <v>12179.483919685807</v>
      </c>
      <c r="CL81" s="374">
        <v>12790.082113060556</v>
      </c>
      <c r="CM81" s="374">
        <v>12739.272478000217</v>
      </c>
      <c r="CN81" s="374">
        <v>12900.279403424031</v>
      </c>
      <c r="CO81" s="374">
        <v>12865.487584816965</v>
      </c>
    </row>
    <row r="82" spans="1:93" ht="7.7" customHeight="1">
      <c r="A82" s="365"/>
      <c r="B82" s="398"/>
      <c r="C82" s="399"/>
      <c r="D82" s="399"/>
      <c r="E82" s="400"/>
      <c r="F82" s="399"/>
      <c r="G82" s="399"/>
      <c r="H82" s="260"/>
      <c r="I82" s="260"/>
      <c r="J82" s="260"/>
      <c r="K82" s="207"/>
      <c r="L82" s="260"/>
      <c r="M82" s="260"/>
      <c r="N82" s="260"/>
      <c r="O82" s="207"/>
      <c r="P82" s="260"/>
      <c r="Q82" s="260"/>
      <c r="R82" s="207"/>
      <c r="S82" s="260"/>
      <c r="T82" s="260"/>
      <c r="U82" s="373"/>
      <c r="V82" s="373"/>
      <c r="W82" s="373"/>
      <c r="X82" s="373"/>
      <c r="Y82" s="373"/>
      <c r="Z82" s="373"/>
      <c r="AA82" s="373"/>
      <c r="AB82" s="373"/>
      <c r="AC82" s="373"/>
      <c r="AD82" s="373"/>
      <c r="AE82" s="373"/>
      <c r="AF82" s="373"/>
      <c r="AG82" s="373"/>
      <c r="AH82" s="373"/>
      <c r="AI82" s="373"/>
      <c r="AJ82" s="373"/>
      <c r="AK82" s="373"/>
      <c r="AL82" s="373"/>
      <c r="AM82" s="261"/>
      <c r="AN82" s="261"/>
      <c r="AO82" s="261"/>
      <c r="AP82" s="261"/>
      <c r="AQ82" s="261"/>
      <c r="AR82" s="398"/>
      <c r="AS82" s="398"/>
      <c r="AT82" s="398"/>
      <c r="AU82" s="398"/>
      <c r="AV82" s="398"/>
      <c r="AW82" s="370"/>
      <c r="AX82" s="370"/>
      <c r="AY82" s="370"/>
      <c r="AZ82" s="370"/>
      <c r="BA82" s="370"/>
      <c r="BB82" s="370"/>
      <c r="BC82" s="370"/>
      <c r="BD82" s="370"/>
      <c r="BE82" s="370"/>
      <c r="BF82" s="370"/>
      <c r="BG82" s="370"/>
      <c r="BH82" s="370"/>
      <c r="BI82" s="370"/>
      <c r="BJ82" s="370"/>
      <c r="BK82" s="370"/>
      <c r="BL82" s="370"/>
      <c r="BM82" s="370"/>
      <c r="BN82" s="370"/>
      <c r="BO82" s="370"/>
      <c r="BP82" s="370"/>
      <c r="BQ82" s="370"/>
      <c r="BR82" s="370"/>
      <c r="BS82" s="370"/>
      <c r="BT82" s="370"/>
      <c r="BU82" s="370"/>
      <c r="BV82" s="370"/>
      <c r="BW82" s="370"/>
      <c r="BX82" s="370"/>
      <c r="BY82" s="370"/>
      <c r="BZ82" s="370"/>
      <c r="CA82" s="370"/>
      <c r="CB82" s="370"/>
      <c r="CC82" s="370"/>
      <c r="CD82" s="370"/>
      <c r="CE82" s="370"/>
      <c r="CF82" s="370"/>
      <c r="CG82" s="370"/>
      <c r="CH82" s="370"/>
      <c r="CI82" s="370"/>
      <c r="CJ82" s="370"/>
      <c r="CK82" s="370"/>
      <c r="CL82" s="370"/>
      <c r="CM82" s="370"/>
      <c r="CN82" s="370"/>
      <c r="CO82" s="370"/>
    </row>
    <row r="83" spans="1:93">
      <c r="A83" s="365" t="s">
        <v>459</v>
      </c>
      <c r="B83" s="398">
        <v>1288.4028966999999</v>
      </c>
      <c r="C83" s="399">
        <v>1142.4710314399999</v>
      </c>
      <c r="D83" s="399">
        <v>364.89010446999998</v>
      </c>
      <c r="E83" s="400">
        <v>371.53711342999998</v>
      </c>
      <c r="F83" s="399">
        <v>377.74261174999998</v>
      </c>
      <c r="G83" s="399">
        <v>361.2731708799999</v>
      </c>
      <c r="H83" s="198">
        <v>392.79629721999999</v>
      </c>
      <c r="I83" s="198">
        <v>395.96978152280002</v>
      </c>
      <c r="J83" s="198">
        <v>406.29339423999994</v>
      </c>
      <c r="K83" s="210">
        <v>392.84435288999998</v>
      </c>
      <c r="L83" s="198">
        <v>435.65119946000004</v>
      </c>
      <c r="M83" s="198">
        <v>464.57500348000002</v>
      </c>
      <c r="N83" s="198">
        <v>492.18883113999999</v>
      </c>
      <c r="O83" s="210">
        <v>485.78555505999992</v>
      </c>
      <c r="P83" s="198">
        <v>494.79382902999998</v>
      </c>
      <c r="Q83" s="198">
        <v>489.35476612000002</v>
      </c>
      <c r="R83" s="210">
        <v>512.43925998999998</v>
      </c>
      <c r="S83" s="198">
        <v>482.94430677999998</v>
      </c>
      <c r="T83" s="198">
        <v>523.65306783000005</v>
      </c>
      <c r="U83" s="200">
        <v>563.13052413000003</v>
      </c>
      <c r="V83" s="200">
        <v>525.50622984999995</v>
      </c>
      <c r="W83" s="200">
        <v>541.17276724999999</v>
      </c>
      <c r="X83" s="200">
        <v>601.70877480000001</v>
      </c>
      <c r="Y83" s="200">
        <v>579.38835280000001</v>
      </c>
      <c r="Z83" s="200">
        <v>599.22890469000004</v>
      </c>
      <c r="AA83" s="200">
        <v>578.31237429000009</v>
      </c>
      <c r="AB83" s="200">
        <v>627.31717042000002</v>
      </c>
      <c r="AC83" s="200">
        <v>614.52894823999998</v>
      </c>
      <c r="AD83" s="200">
        <v>619.44313608000004</v>
      </c>
      <c r="AE83" s="200">
        <v>644.72197798000002</v>
      </c>
      <c r="AF83" s="200">
        <v>669.98763797000004</v>
      </c>
      <c r="AG83" s="200">
        <v>875.19918820237604</v>
      </c>
      <c r="AH83" s="200">
        <v>905.16163470832009</v>
      </c>
      <c r="AI83" s="200">
        <v>908.12934231320014</v>
      </c>
      <c r="AJ83" s="200">
        <v>881.49437006085202</v>
      </c>
      <c r="AK83" s="200">
        <v>918.61654992675187</v>
      </c>
      <c r="AL83" s="200">
        <v>924.92525241010003</v>
      </c>
      <c r="AM83" s="261">
        <v>913.10821523229492</v>
      </c>
      <c r="AN83" s="261">
        <v>912.74951691573392</v>
      </c>
      <c r="AO83" s="261">
        <v>954.65386559680007</v>
      </c>
      <c r="AP83" s="261">
        <v>972.78625592079709</v>
      </c>
      <c r="AQ83" s="261">
        <v>961.43556071123601</v>
      </c>
      <c r="AR83" s="398">
        <v>935.60417892166424</v>
      </c>
      <c r="AS83" s="398">
        <v>972.64749743000004</v>
      </c>
      <c r="AT83" s="398">
        <v>1006.2832463537439</v>
      </c>
      <c r="AU83" s="398">
        <v>974.55496344596088</v>
      </c>
      <c r="AV83" s="398">
        <v>1145.2025050770162</v>
      </c>
      <c r="AW83" s="370">
        <v>1102.7026943426999</v>
      </c>
      <c r="AX83" s="370">
        <v>1244.6777932577199</v>
      </c>
      <c r="AY83" s="370">
        <v>1178.324305945951</v>
      </c>
      <c r="AZ83" s="370">
        <v>1147.4822046049328</v>
      </c>
      <c r="BA83" s="370">
        <v>1226.0130953266641</v>
      </c>
      <c r="BB83" s="370">
        <v>1130.831365794076</v>
      </c>
      <c r="BC83" s="370">
        <v>1161.0049242005227</v>
      </c>
      <c r="BD83" s="370">
        <v>1138.1084595318023</v>
      </c>
      <c r="BE83" s="370">
        <v>1123.993487389524</v>
      </c>
      <c r="BF83" s="370">
        <v>1133.0116091832831</v>
      </c>
      <c r="BG83" s="370">
        <v>1305.724522441257</v>
      </c>
      <c r="BH83" s="370">
        <v>1224.3618363164971</v>
      </c>
      <c r="BI83" s="370">
        <v>1163.8796294166771</v>
      </c>
      <c r="BJ83" s="370">
        <v>1237.3087397362349</v>
      </c>
      <c r="BK83" s="370">
        <v>1102.0277948633261</v>
      </c>
      <c r="BL83" s="370">
        <v>1174.2555251794386</v>
      </c>
      <c r="BM83" s="370">
        <v>1155.302251097108</v>
      </c>
      <c r="BN83" s="370">
        <v>1085.1373713034893</v>
      </c>
      <c r="BO83" s="370">
        <v>1086.6804317518943</v>
      </c>
      <c r="BP83" s="370">
        <v>1071.348358192444</v>
      </c>
      <c r="BQ83" s="370">
        <v>1073.1653971900901</v>
      </c>
      <c r="BR83" s="370">
        <v>1065.5033262616471</v>
      </c>
      <c r="BS83" s="370">
        <v>1045.2787308082959</v>
      </c>
      <c r="BT83" s="370">
        <v>1041.0996945637849</v>
      </c>
      <c r="BU83" s="370">
        <v>1060.6760272550459</v>
      </c>
      <c r="BV83" s="370">
        <v>1176.4084249068701</v>
      </c>
      <c r="BW83" s="370">
        <v>1185.024616495182</v>
      </c>
      <c r="BX83" s="370">
        <v>1162.3262351214998</v>
      </c>
      <c r="BY83" s="370">
        <v>1183.6110580476</v>
      </c>
      <c r="BZ83" s="370">
        <v>1195.5999999999999</v>
      </c>
      <c r="CA83" s="370">
        <v>1192.1574438227958</v>
      </c>
      <c r="CB83" s="370">
        <v>1073.6470583212299</v>
      </c>
      <c r="CC83" s="370">
        <v>1077.9918923652272</v>
      </c>
      <c r="CD83" s="370">
        <v>1084.1454481332021</v>
      </c>
      <c r="CE83" s="370">
        <v>1103.6823464717027</v>
      </c>
      <c r="CF83" s="370">
        <v>1119.5677648416001</v>
      </c>
      <c r="CG83" s="370">
        <v>1230.3950879736667</v>
      </c>
      <c r="CH83" s="370">
        <v>1236.8341882504856</v>
      </c>
      <c r="CI83" s="370">
        <v>1315.6299738747839</v>
      </c>
      <c r="CJ83" s="370">
        <v>1204.5498861639221</v>
      </c>
      <c r="CK83" s="370">
        <v>1224.7085962183671</v>
      </c>
      <c r="CL83" s="370">
        <v>1222.2855631336461</v>
      </c>
      <c r="CM83" s="370">
        <v>1253.1570082457781</v>
      </c>
      <c r="CN83" s="370">
        <v>1340.4090720608729</v>
      </c>
      <c r="CO83" s="370">
        <v>1285.152678053041</v>
      </c>
    </row>
    <row r="84" spans="1:93">
      <c r="A84" s="371" t="s">
        <v>398</v>
      </c>
      <c r="B84" s="398"/>
      <c r="C84" s="399"/>
      <c r="D84" s="399"/>
      <c r="E84" s="400"/>
      <c r="F84" s="399"/>
      <c r="G84" s="399"/>
      <c r="H84" s="260"/>
      <c r="I84" s="260"/>
      <c r="J84" s="260"/>
      <c r="K84" s="207"/>
      <c r="L84" s="260"/>
      <c r="M84" s="260"/>
      <c r="N84" s="260"/>
      <c r="O84" s="207"/>
      <c r="P84" s="260"/>
      <c r="Q84" s="260"/>
      <c r="R84" s="207"/>
      <c r="S84" s="260"/>
      <c r="T84" s="260"/>
      <c r="U84" s="373"/>
      <c r="V84" s="373"/>
      <c r="W84" s="373"/>
      <c r="X84" s="373"/>
      <c r="Y84" s="373"/>
      <c r="Z84" s="373"/>
      <c r="AA84" s="373"/>
      <c r="AB84" s="373"/>
      <c r="AC84" s="373"/>
      <c r="AD84" s="373"/>
      <c r="AE84" s="373"/>
      <c r="AF84" s="373"/>
      <c r="AG84" s="373"/>
      <c r="AH84" s="373"/>
      <c r="AI84" s="373"/>
      <c r="AJ84" s="373"/>
      <c r="AK84" s="373"/>
      <c r="AL84" s="373"/>
      <c r="AM84" s="261"/>
      <c r="AN84" s="261"/>
      <c r="AO84" s="261"/>
      <c r="AP84" s="261"/>
      <c r="AQ84" s="261"/>
      <c r="AR84" s="398"/>
      <c r="AS84" s="398"/>
      <c r="AT84" s="398"/>
      <c r="AU84" s="398"/>
      <c r="AV84" s="398"/>
      <c r="AW84" s="370"/>
      <c r="AX84" s="370"/>
      <c r="AY84" s="370"/>
      <c r="AZ84" s="370"/>
      <c r="BA84" s="370"/>
      <c r="BB84" s="370"/>
      <c r="BC84" s="370"/>
      <c r="BD84" s="370"/>
      <c r="BE84" s="370"/>
      <c r="BF84" s="370"/>
      <c r="BG84" s="370"/>
      <c r="BH84" s="370"/>
      <c r="BI84" s="370"/>
      <c r="BJ84" s="370"/>
      <c r="BK84" s="370"/>
      <c r="BL84" s="370"/>
      <c r="BM84" s="370"/>
      <c r="BN84" s="370"/>
      <c r="BO84" s="370"/>
      <c r="BP84" s="370"/>
      <c r="BQ84" s="370"/>
      <c r="BR84" s="370"/>
      <c r="BS84" s="370"/>
      <c r="BT84" s="370"/>
      <c r="BU84" s="370"/>
      <c r="BV84" s="370"/>
      <c r="BW84" s="370"/>
      <c r="BX84" s="370"/>
      <c r="BY84" s="370"/>
      <c r="BZ84" s="370"/>
      <c r="CA84" s="370"/>
      <c r="CB84" s="370"/>
      <c r="CC84" s="370"/>
      <c r="CD84" s="370"/>
      <c r="CE84" s="370"/>
      <c r="CF84" s="370"/>
      <c r="CG84" s="370"/>
      <c r="CH84" s="370"/>
      <c r="CI84" s="370"/>
      <c r="CJ84" s="370"/>
      <c r="CK84" s="370"/>
      <c r="CL84" s="370"/>
      <c r="CM84" s="370"/>
      <c r="CN84" s="370"/>
      <c r="CO84" s="370"/>
    </row>
    <row r="85" spans="1:93">
      <c r="A85" s="371" t="s">
        <v>460</v>
      </c>
      <c r="B85" s="372">
        <v>1003.3572246700001</v>
      </c>
      <c r="C85" s="260">
        <v>990.17613920999997</v>
      </c>
      <c r="D85" s="260">
        <v>215.02073419999999</v>
      </c>
      <c r="E85" s="207">
        <v>221.98029814999995</v>
      </c>
      <c r="F85" s="260">
        <v>196.36938244999999</v>
      </c>
      <c r="G85" s="260">
        <v>180.39305244999997</v>
      </c>
      <c r="H85" s="260">
        <v>201.92223041999998</v>
      </c>
      <c r="I85" s="260">
        <v>173.67776625279998</v>
      </c>
      <c r="J85" s="260">
        <v>179.38042033000002</v>
      </c>
      <c r="K85" s="207">
        <v>158.81067775</v>
      </c>
      <c r="L85" s="260">
        <v>168.05945237</v>
      </c>
      <c r="M85" s="260">
        <v>164.56924794000003</v>
      </c>
      <c r="N85" s="260">
        <v>179.80557682</v>
      </c>
      <c r="O85" s="207">
        <v>166.23065051</v>
      </c>
      <c r="P85" s="260">
        <v>169.56623184</v>
      </c>
      <c r="Q85" s="260">
        <v>166.04875318000001</v>
      </c>
      <c r="R85" s="207">
        <v>184.46480410999999</v>
      </c>
      <c r="S85" s="260">
        <v>168.46826140000002</v>
      </c>
      <c r="T85" s="260">
        <v>186.75646523</v>
      </c>
      <c r="U85" s="373">
        <v>204.83071408999999</v>
      </c>
      <c r="V85" s="373">
        <v>159.12027782999999</v>
      </c>
      <c r="W85" s="373">
        <v>164.30575118000002</v>
      </c>
      <c r="X85" s="373">
        <v>208.15284751999999</v>
      </c>
      <c r="Y85" s="373">
        <v>177.17968572999999</v>
      </c>
      <c r="Z85" s="373">
        <v>179.72442908000005</v>
      </c>
      <c r="AA85" s="373">
        <v>163.6702607</v>
      </c>
      <c r="AB85" s="373">
        <v>194.11456060000003</v>
      </c>
      <c r="AC85" s="373">
        <v>181.42659131000002</v>
      </c>
      <c r="AD85" s="373">
        <v>183.23072406</v>
      </c>
      <c r="AE85" s="373">
        <v>211.39669401999998</v>
      </c>
      <c r="AF85" s="373">
        <v>254.59472289000001</v>
      </c>
      <c r="AG85" s="373">
        <v>219.42867057999999</v>
      </c>
      <c r="AH85" s="373">
        <v>254.90609262000001</v>
      </c>
      <c r="AI85" s="373">
        <v>238.30351843</v>
      </c>
      <c r="AJ85" s="373">
        <v>236.07852179000002</v>
      </c>
      <c r="AK85" s="373">
        <v>248.97932025</v>
      </c>
      <c r="AL85" s="373">
        <v>239.93421801000002</v>
      </c>
      <c r="AM85" s="262">
        <v>217.57599929</v>
      </c>
      <c r="AN85" s="262">
        <v>210.66561617000002</v>
      </c>
      <c r="AO85" s="262">
        <v>262.96666052</v>
      </c>
      <c r="AP85" s="262">
        <v>225.77103247660003</v>
      </c>
      <c r="AQ85" s="262">
        <v>224.08543610160001</v>
      </c>
      <c r="AR85" s="372">
        <v>231.24230522960002</v>
      </c>
      <c r="AS85" s="372">
        <v>236.88848839000002</v>
      </c>
      <c r="AT85" s="372">
        <v>181.029583328</v>
      </c>
      <c r="AU85" s="372">
        <v>188.22738373880003</v>
      </c>
      <c r="AV85" s="372">
        <v>196.95278670100001</v>
      </c>
      <c r="AW85" s="201">
        <v>185.25011029319998</v>
      </c>
      <c r="AX85" s="201">
        <v>306.73583615759998</v>
      </c>
      <c r="AY85" s="201">
        <v>251.26642658920002</v>
      </c>
      <c r="AZ85" s="201">
        <v>197.22532055729997</v>
      </c>
      <c r="BA85" s="201">
        <v>274.34911475900009</v>
      </c>
      <c r="BB85" s="201">
        <v>193.47024474830002</v>
      </c>
      <c r="BC85" s="201">
        <v>206.91007548119998</v>
      </c>
      <c r="BD85" s="201">
        <v>215.83015771499998</v>
      </c>
      <c r="BE85" s="374">
        <v>207.41798266519996</v>
      </c>
      <c r="BF85" s="374">
        <v>203.47366546500001</v>
      </c>
      <c r="BG85" s="374">
        <v>205.13348557200004</v>
      </c>
      <c r="BH85" s="374">
        <v>285.42884916269998</v>
      </c>
      <c r="BI85" s="374">
        <v>339.10770391759996</v>
      </c>
      <c r="BJ85" s="374">
        <v>424.96512534879992</v>
      </c>
      <c r="BK85" s="374">
        <v>256.48091189859997</v>
      </c>
      <c r="BL85" s="374">
        <v>324.61175804378843</v>
      </c>
      <c r="BM85" s="374">
        <v>300.32245418939993</v>
      </c>
      <c r="BN85" s="374">
        <v>256.75641149479998</v>
      </c>
      <c r="BO85" s="374">
        <v>251.25756277279999</v>
      </c>
      <c r="BP85" s="374">
        <v>242.95102314580001</v>
      </c>
      <c r="BQ85" s="374">
        <v>246.05658869679999</v>
      </c>
      <c r="BR85" s="374">
        <v>247.79219444950002</v>
      </c>
      <c r="BS85" s="374">
        <v>252.7615975352</v>
      </c>
      <c r="BT85" s="374">
        <v>255.26522692211003</v>
      </c>
      <c r="BU85" s="374">
        <v>262.26037256841801</v>
      </c>
      <c r="BV85" s="374">
        <v>244.542399468474</v>
      </c>
      <c r="BW85" s="374">
        <v>249.18572984496501</v>
      </c>
      <c r="BX85" s="374">
        <v>242.13766908349999</v>
      </c>
      <c r="BY85" s="374">
        <v>244.60551647039998</v>
      </c>
      <c r="BZ85" s="374">
        <v>249.7</v>
      </c>
      <c r="CA85" s="374">
        <v>239.05725530160001</v>
      </c>
      <c r="CB85" s="374">
        <v>223.12175609920001</v>
      </c>
      <c r="CC85" s="374">
        <v>222.00437685750001</v>
      </c>
      <c r="CD85" s="374">
        <v>225.39189220846197</v>
      </c>
      <c r="CE85" s="374">
        <v>228.25089033133003</v>
      </c>
      <c r="CF85" s="374">
        <v>260.344546273844</v>
      </c>
      <c r="CG85" s="374">
        <v>403.9193663578933</v>
      </c>
      <c r="CH85" s="374">
        <v>422.73584837028716</v>
      </c>
      <c r="CI85" s="374">
        <v>498.70842374931783</v>
      </c>
      <c r="CJ85" s="374">
        <v>449.50701056563202</v>
      </c>
      <c r="CK85" s="374">
        <v>457.74191750031201</v>
      </c>
      <c r="CL85" s="374">
        <v>436.37944778426061</v>
      </c>
      <c r="CM85" s="374">
        <v>454.40869176505646</v>
      </c>
      <c r="CN85" s="374">
        <v>544.47681704779188</v>
      </c>
      <c r="CO85" s="374">
        <v>498.23170117533186</v>
      </c>
    </row>
    <row r="86" spans="1:93">
      <c r="A86" s="371" t="s">
        <v>461</v>
      </c>
      <c r="B86" s="372">
        <v>0.69274532</v>
      </c>
      <c r="C86" s="260">
        <v>0.66161731999999995</v>
      </c>
      <c r="D86" s="260">
        <v>0.27465232000000001</v>
      </c>
      <c r="E86" s="207">
        <v>0.14202632000000001</v>
      </c>
      <c r="F86" s="260">
        <v>0.13103186</v>
      </c>
      <c r="G86" s="260">
        <v>0.24168931999999999</v>
      </c>
      <c r="H86" s="260">
        <v>0.25872931999999998</v>
      </c>
      <c r="I86" s="260">
        <v>0.28362831999999999</v>
      </c>
      <c r="J86" s="260">
        <v>0.28638832000000003</v>
      </c>
      <c r="K86" s="207">
        <v>1.7274504099999999</v>
      </c>
      <c r="L86" s="260">
        <v>27.220345469999998</v>
      </c>
      <c r="M86" s="260">
        <v>65.214018910000007</v>
      </c>
      <c r="N86" s="260">
        <v>93.588372230000004</v>
      </c>
      <c r="O86" s="207">
        <v>106.64346950999999</v>
      </c>
      <c r="P86" s="260">
        <v>113.03227240000001</v>
      </c>
      <c r="Q86" s="260">
        <v>117.39399884000001</v>
      </c>
      <c r="R86" s="207">
        <v>122.96482440999999</v>
      </c>
      <c r="S86" s="260">
        <v>132.68995436999998</v>
      </c>
      <c r="T86" s="260">
        <v>159.77552125</v>
      </c>
      <c r="U86" s="373">
        <v>164.5992067</v>
      </c>
      <c r="V86" s="373">
        <v>179.22844996999999</v>
      </c>
      <c r="W86" s="373">
        <v>184.32212657999997</v>
      </c>
      <c r="X86" s="373">
        <v>194.23318760999996</v>
      </c>
      <c r="Y86" s="373">
        <v>195.56070651999994</v>
      </c>
      <c r="Z86" s="373">
        <v>221.84858540000002</v>
      </c>
      <c r="AA86" s="373">
        <v>226.38540115999999</v>
      </c>
      <c r="AB86" s="373">
        <v>245.87974885000003</v>
      </c>
      <c r="AC86" s="373">
        <v>250.15751631999998</v>
      </c>
      <c r="AD86" s="373">
        <v>247.13055068999998</v>
      </c>
      <c r="AE86" s="373">
        <v>247.61354051000001</v>
      </c>
      <c r="AF86" s="373">
        <v>227.39873095999997</v>
      </c>
      <c r="AG86" s="373">
        <v>223.87538663999999</v>
      </c>
      <c r="AH86" s="373">
        <v>225.03130724000002</v>
      </c>
      <c r="AI86" s="373">
        <v>227.25464790999999</v>
      </c>
      <c r="AJ86" s="373">
        <v>214.41177765</v>
      </c>
      <c r="AK86" s="373">
        <v>226.21673707999994</v>
      </c>
      <c r="AL86" s="373">
        <v>228.80407049999999</v>
      </c>
      <c r="AM86" s="262">
        <v>217.30634305000001</v>
      </c>
      <c r="AN86" s="262">
        <v>233.65335765</v>
      </c>
      <c r="AO86" s="262">
        <v>238.91322309000003</v>
      </c>
      <c r="AP86" s="262">
        <v>257.98632599000001</v>
      </c>
      <c r="AQ86" s="262">
        <v>249.25280749000001</v>
      </c>
      <c r="AR86" s="372">
        <v>247.67783625000001</v>
      </c>
      <c r="AS86" s="372">
        <v>253.48509066</v>
      </c>
      <c r="AT86" s="372">
        <v>308.40863846999997</v>
      </c>
      <c r="AU86" s="372">
        <v>303.74237059999996</v>
      </c>
      <c r="AV86" s="372">
        <v>316.36196386</v>
      </c>
      <c r="AW86" s="201">
        <v>316.75506407</v>
      </c>
      <c r="AX86" s="201">
        <v>309.59709845999998</v>
      </c>
      <c r="AY86" s="201">
        <v>311.43951162999997</v>
      </c>
      <c r="AZ86" s="201">
        <v>302.01984916999993</v>
      </c>
      <c r="BA86" s="201">
        <v>291.15736994999997</v>
      </c>
      <c r="BB86" s="201">
        <v>297.84480109000003</v>
      </c>
      <c r="BC86" s="201">
        <v>288.90294362999998</v>
      </c>
      <c r="BD86" s="201">
        <v>264.04311855000003</v>
      </c>
      <c r="BE86" s="374">
        <v>264.68516525000001</v>
      </c>
      <c r="BF86" s="374">
        <v>271.55939524000001</v>
      </c>
      <c r="BG86" s="374">
        <v>271.02884849999998</v>
      </c>
      <c r="BH86" s="374">
        <v>273.57531112000004</v>
      </c>
      <c r="BI86" s="374">
        <v>247.33716596000002</v>
      </c>
      <c r="BJ86" s="374">
        <v>233.13455670999997</v>
      </c>
      <c r="BK86" s="374">
        <v>266.32883949000001</v>
      </c>
      <c r="BL86" s="374">
        <v>271.90960486000006</v>
      </c>
      <c r="BM86" s="374">
        <v>266.44189790000001</v>
      </c>
      <c r="BN86" s="374">
        <v>261.55825563175</v>
      </c>
      <c r="BO86" s="374">
        <v>268.16998295000002</v>
      </c>
      <c r="BP86" s="374">
        <v>267.61853050999997</v>
      </c>
      <c r="BQ86" s="374">
        <v>260.98292048999997</v>
      </c>
      <c r="BR86" s="374">
        <v>258.61594904999998</v>
      </c>
      <c r="BS86" s="374">
        <v>250.83898643999999</v>
      </c>
      <c r="BT86" s="374">
        <v>241.67748234000001</v>
      </c>
      <c r="BU86" s="374">
        <v>246.19869747000004</v>
      </c>
      <c r="BV86" s="374">
        <v>248.85800791000003</v>
      </c>
      <c r="BW86" s="374">
        <v>246.92093638999998</v>
      </c>
      <c r="BX86" s="374">
        <v>246.738968</v>
      </c>
      <c r="BY86" s="374">
        <v>256.77900899999997</v>
      </c>
      <c r="BZ86" s="374">
        <v>255.6</v>
      </c>
      <c r="CA86" s="374">
        <v>258.98447447999996</v>
      </c>
      <c r="CB86" s="374">
        <v>259.18894384999999</v>
      </c>
      <c r="CC86" s="374">
        <v>259.93746066</v>
      </c>
      <c r="CD86" s="374">
        <v>256.17625300999998</v>
      </c>
      <c r="CE86" s="374">
        <v>249.93565891999998</v>
      </c>
      <c r="CF86" s="374">
        <v>253.60360581999998</v>
      </c>
      <c r="CG86" s="374">
        <v>255.39421365999999</v>
      </c>
      <c r="CH86" s="374">
        <v>264.76110014</v>
      </c>
      <c r="CI86" s="374">
        <v>261.38856346000006</v>
      </c>
      <c r="CJ86" s="374">
        <v>252.94617406000003</v>
      </c>
      <c r="CK86" s="374">
        <v>253.98390782000001</v>
      </c>
      <c r="CL86" s="374">
        <v>251.01374727999999</v>
      </c>
      <c r="CM86" s="374">
        <v>252.89396282000001</v>
      </c>
      <c r="CN86" s="374">
        <v>247.84343826</v>
      </c>
      <c r="CO86" s="374">
        <v>243.08996217000001</v>
      </c>
    </row>
    <row r="87" spans="1:93">
      <c r="A87" s="371" t="s">
        <v>462</v>
      </c>
      <c r="B87" s="372">
        <v>6.0675792799999995</v>
      </c>
      <c r="C87" s="260">
        <v>6.3799121000000003</v>
      </c>
      <c r="D87" s="260">
        <v>5.7025643199999996</v>
      </c>
      <c r="E87" s="207">
        <v>5.5092628999999995</v>
      </c>
      <c r="F87" s="260">
        <v>5.2635429900000004</v>
      </c>
      <c r="G87" s="260">
        <v>5.6278757300000004</v>
      </c>
      <c r="H87" s="260">
        <v>5.3140654899999999</v>
      </c>
      <c r="I87" s="260">
        <v>5.32739312</v>
      </c>
      <c r="J87" s="260">
        <v>5.5304802300000002</v>
      </c>
      <c r="K87" s="207">
        <v>5.0026731900000003</v>
      </c>
      <c r="L87" s="260">
        <v>4.2434131200000005</v>
      </c>
      <c r="M87" s="260">
        <v>4.7794964099999815</v>
      </c>
      <c r="N87" s="260">
        <v>3.3449213600000118</v>
      </c>
      <c r="O87" s="207">
        <v>4.3645148799999998</v>
      </c>
      <c r="P87" s="260">
        <v>4.125483259999986</v>
      </c>
      <c r="Q87" s="260">
        <v>4.2113440599999992</v>
      </c>
      <c r="R87" s="207">
        <v>4.18420813</v>
      </c>
      <c r="S87" s="260">
        <v>2.9359140299999997</v>
      </c>
      <c r="T87" s="260">
        <v>5.1041778499999992</v>
      </c>
      <c r="U87" s="373">
        <v>4.8015753099999996</v>
      </c>
      <c r="V87" s="373">
        <v>4.7329412300000007</v>
      </c>
      <c r="W87" s="373">
        <v>4.6795259600000003</v>
      </c>
      <c r="X87" s="373">
        <v>4.702836379999999</v>
      </c>
      <c r="Y87" s="373">
        <v>4.73150885</v>
      </c>
      <c r="Z87" s="373">
        <v>2.1199692799999998</v>
      </c>
      <c r="AA87" s="373">
        <v>2.9562785599999999</v>
      </c>
      <c r="AB87" s="373">
        <v>2.8312427599999999</v>
      </c>
      <c r="AC87" s="373">
        <v>3.4715882499999999</v>
      </c>
      <c r="AD87" s="373">
        <v>2.8188206899999999</v>
      </c>
      <c r="AE87" s="373">
        <v>3.5744988099999997</v>
      </c>
      <c r="AF87" s="373">
        <v>2.9232478199999998</v>
      </c>
      <c r="AG87" s="373">
        <v>234.58632690000002</v>
      </c>
      <c r="AH87" s="373">
        <v>233.60753159000001</v>
      </c>
      <c r="AI87" s="373">
        <v>233.60228148000002</v>
      </c>
      <c r="AJ87" s="373">
        <v>234.32091231999999</v>
      </c>
      <c r="AK87" s="373">
        <v>236.30657102000001</v>
      </c>
      <c r="AL87" s="373">
        <v>226.58450656999997</v>
      </c>
      <c r="AM87" s="262">
        <v>225.27045018999999</v>
      </c>
      <c r="AN87" s="262">
        <v>225.43403218</v>
      </c>
      <c r="AO87" s="262">
        <v>226.08997924000002</v>
      </c>
      <c r="AP87" s="262">
        <v>225.84874418999999</v>
      </c>
      <c r="AQ87" s="262">
        <v>228.13656768999999</v>
      </c>
      <c r="AR87" s="372">
        <v>219.38014188</v>
      </c>
      <c r="AS87" s="372">
        <v>213.3855557</v>
      </c>
      <c r="AT87" s="372">
        <v>213.79904245</v>
      </c>
      <c r="AU87" s="372">
        <v>214.54623911000002</v>
      </c>
      <c r="AV87" s="372">
        <v>214.72194997</v>
      </c>
      <c r="AW87" s="201">
        <v>214.13554803</v>
      </c>
      <c r="AX87" s="201">
        <v>203.95354651</v>
      </c>
      <c r="AY87" s="201">
        <v>203.59980625999998</v>
      </c>
      <c r="AZ87" s="201">
        <v>203.55187291999999</v>
      </c>
      <c r="BA87" s="201">
        <v>203.58630334</v>
      </c>
      <c r="BB87" s="201">
        <v>203.57906084000001</v>
      </c>
      <c r="BC87" s="201">
        <v>203.45796325999999</v>
      </c>
      <c r="BD87" s="201">
        <v>193.83738475999999</v>
      </c>
      <c r="BE87" s="374">
        <v>193.79641894</v>
      </c>
      <c r="BF87" s="374">
        <v>193.75864953999999</v>
      </c>
      <c r="BG87" s="374">
        <v>193.65226262000002</v>
      </c>
      <c r="BH87" s="374">
        <v>193.69717065999998</v>
      </c>
      <c r="BI87" s="374">
        <v>193.69332840000001</v>
      </c>
      <c r="BJ87" s="374">
        <v>184.11560825000001</v>
      </c>
      <c r="BK87" s="374">
        <v>184.04030236</v>
      </c>
      <c r="BL87" s="374">
        <v>184.21403699000001</v>
      </c>
      <c r="BM87" s="374">
        <v>184.30588549000001</v>
      </c>
      <c r="BN87" s="374">
        <v>184.31617674</v>
      </c>
      <c r="BO87" s="374">
        <v>184.30898919999998</v>
      </c>
      <c r="BP87" s="374">
        <v>174.59579892999997</v>
      </c>
      <c r="BQ87" s="374">
        <v>174.5394287</v>
      </c>
      <c r="BR87" s="374">
        <v>174.5150907</v>
      </c>
      <c r="BS87" s="374">
        <v>174.53697056000001</v>
      </c>
      <c r="BT87" s="374">
        <v>174.46204139</v>
      </c>
      <c r="BU87" s="374">
        <v>174.48525966</v>
      </c>
      <c r="BV87" s="374">
        <v>165.05113765000002</v>
      </c>
      <c r="BW87" s="374">
        <v>165.02227711</v>
      </c>
      <c r="BX87" s="374">
        <v>164.99763299999998</v>
      </c>
      <c r="BY87" s="374">
        <v>165.11437699999999</v>
      </c>
      <c r="BZ87" s="374">
        <v>165.2</v>
      </c>
      <c r="CA87" s="374">
        <v>165.41982898000001</v>
      </c>
      <c r="CB87" s="374">
        <v>155.66405348999999</v>
      </c>
      <c r="CC87" s="374">
        <v>155.58247512</v>
      </c>
      <c r="CD87" s="374">
        <v>155.53206240999998</v>
      </c>
      <c r="CE87" s="374">
        <v>155.51997097</v>
      </c>
      <c r="CF87" s="374">
        <v>155.46880864999997</v>
      </c>
      <c r="CG87" s="374">
        <v>155.37889684000001</v>
      </c>
      <c r="CH87" s="374">
        <v>145.81984776000002</v>
      </c>
      <c r="CI87" s="374">
        <v>145.67974021000001</v>
      </c>
      <c r="CJ87" s="374">
        <v>146.32464302</v>
      </c>
      <c r="CK87" s="374">
        <v>146.38995348</v>
      </c>
      <c r="CL87" s="374">
        <v>146.39728055</v>
      </c>
      <c r="CM87" s="374">
        <v>146.38539861999999</v>
      </c>
      <c r="CN87" s="374">
        <v>136.94207484</v>
      </c>
      <c r="CO87" s="374">
        <v>136.93775564999999</v>
      </c>
    </row>
    <row r="88" spans="1:93">
      <c r="A88" s="371" t="s">
        <v>463</v>
      </c>
      <c r="B88" s="372">
        <v>64.305025139999998</v>
      </c>
      <c r="C88" s="260">
        <v>64.410387069999999</v>
      </c>
      <c r="D88" s="260">
        <v>62.527931809999998</v>
      </c>
      <c r="E88" s="207">
        <v>53.491311119999999</v>
      </c>
      <c r="F88" s="260">
        <v>72.454271090000006</v>
      </c>
      <c r="G88" s="260">
        <v>69.507567269999996</v>
      </c>
      <c r="H88" s="260">
        <v>75.590285519999995</v>
      </c>
      <c r="I88" s="260">
        <v>74.361456689999997</v>
      </c>
      <c r="J88" s="260">
        <v>72.97030676</v>
      </c>
      <c r="K88" s="207">
        <v>75.488963999999996</v>
      </c>
      <c r="L88" s="260">
        <v>83.428469750000005</v>
      </c>
      <c r="M88" s="260">
        <v>82.422700240000012</v>
      </c>
      <c r="N88" s="260">
        <v>75.975285179999986</v>
      </c>
      <c r="O88" s="207">
        <v>62.716257620000007</v>
      </c>
      <c r="P88" s="260">
        <v>63.299879750000002</v>
      </c>
      <c r="Q88" s="260">
        <v>61.133792390000004</v>
      </c>
      <c r="R88" s="207">
        <v>67.217385300000018</v>
      </c>
      <c r="S88" s="260">
        <v>49.633252129999995</v>
      </c>
      <c r="T88" s="260">
        <v>50.677388480000005</v>
      </c>
      <c r="U88" s="373">
        <v>63.656802670000005</v>
      </c>
      <c r="V88" s="373">
        <v>55.248537539999994</v>
      </c>
      <c r="W88" s="373">
        <v>58.833755610000004</v>
      </c>
      <c r="X88" s="373">
        <v>57.916210050000011</v>
      </c>
      <c r="Y88" s="373">
        <v>60.2835222</v>
      </c>
      <c r="Z88" s="373">
        <v>53.650485880000005</v>
      </c>
      <c r="AA88" s="373">
        <v>52.967518839999997</v>
      </c>
      <c r="AB88" s="373">
        <v>53.362233800000006</v>
      </c>
      <c r="AC88" s="373">
        <v>47.478002830000001</v>
      </c>
      <c r="AD88" s="373">
        <v>55.202753009999988</v>
      </c>
      <c r="AE88" s="373">
        <v>45.670907369999995</v>
      </c>
      <c r="AF88" s="373">
        <v>49.274646359999998</v>
      </c>
      <c r="AG88" s="373">
        <v>48.01154141</v>
      </c>
      <c r="AH88" s="373">
        <v>42.093704580000001</v>
      </c>
      <c r="AI88" s="373">
        <v>32.948458199999997</v>
      </c>
      <c r="AJ88" s="373">
        <v>35.583476000000005</v>
      </c>
      <c r="AK88" s="373">
        <v>43.305932970000008</v>
      </c>
      <c r="AL88" s="373">
        <v>53.374015479999997</v>
      </c>
      <c r="AM88" s="262">
        <v>46.158967839999995</v>
      </c>
      <c r="AN88" s="262">
        <v>54.347754619999996</v>
      </c>
      <c r="AO88" s="262">
        <v>48.525518700000006</v>
      </c>
      <c r="AP88" s="262">
        <v>52.860461799799992</v>
      </c>
      <c r="AQ88" s="262">
        <v>53.070695175200001</v>
      </c>
      <c r="AR88" s="372">
        <v>63.981940783999995</v>
      </c>
      <c r="AS88" s="372">
        <v>55.699059699999992</v>
      </c>
      <c r="AT88" s="372">
        <v>56.677409847200003</v>
      </c>
      <c r="AU88" s="372">
        <v>59.019868471200006</v>
      </c>
      <c r="AV88" s="372">
        <v>63.042268194000002</v>
      </c>
      <c r="AW88" s="201">
        <v>55.394679115200006</v>
      </c>
      <c r="AX88" s="201">
        <v>53.872736435199997</v>
      </c>
      <c r="AY88" s="201">
        <v>49.063188840800002</v>
      </c>
      <c r="AZ88" s="201">
        <v>53.4720252973</v>
      </c>
      <c r="BA88" s="201">
        <v>52.107485867799994</v>
      </c>
      <c r="BB88" s="201">
        <v>47.097178803000006</v>
      </c>
      <c r="BC88" s="201">
        <v>50.952590386399997</v>
      </c>
      <c r="BD88" s="201">
        <v>52.515943265000018</v>
      </c>
      <c r="BE88" s="374">
        <v>44.703751737499999</v>
      </c>
      <c r="BF88" s="374">
        <v>49.227843590000006</v>
      </c>
      <c r="BG88" s="374">
        <v>45.595012431999997</v>
      </c>
      <c r="BH88" s="374">
        <v>47.1451664792</v>
      </c>
      <c r="BI88" s="374">
        <v>50.2027641102</v>
      </c>
      <c r="BJ88" s="374">
        <v>50.072110066200004</v>
      </c>
      <c r="BK88" s="374">
        <v>54.903676090600008</v>
      </c>
      <c r="BL88" s="374">
        <v>53.200212702500004</v>
      </c>
      <c r="BM88" s="374">
        <v>52.8312616746</v>
      </c>
      <c r="BN88" s="374">
        <v>55.053590408799998</v>
      </c>
      <c r="BO88" s="374">
        <v>57.961530281199998</v>
      </c>
      <c r="BP88" s="374">
        <v>66.371450070899996</v>
      </c>
      <c r="BQ88" s="374">
        <v>68.323603144499984</v>
      </c>
      <c r="BR88" s="374">
        <v>60.966072810099995</v>
      </c>
      <c r="BS88" s="374">
        <v>56.997552879200015</v>
      </c>
      <c r="BT88" s="374">
        <v>53.629983508960009</v>
      </c>
      <c r="BU88" s="374">
        <v>60.554701980456002</v>
      </c>
      <c r="BV88" s="374">
        <v>55.701739239142</v>
      </c>
      <c r="BW88" s="374">
        <v>58.668343509259998</v>
      </c>
      <c r="BX88" s="374">
        <v>57.457198165000001</v>
      </c>
      <c r="BY88" s="374">
        <v>55.877334342600008</v>
      </c>
      <c r="BZ88" s="374">
        <v>56.2</v>
      </c>
      <c r="CA88" s="374">
        <v>53.228000044300003</v>
      </c>
      <c r="CB88" s="374">
        <v>53.528072708800003</v>
      </c>
      <c r="CC88" s="374">
        <v>52.917980476316998</v>
      </c>
      <c r="CD88" s="374">
        <v>62.460235662292007</v>
      </c>
      <c r="CE88" s="374">
        <v>62.935848441642207</v>
      </c>
      <c r="CF88" s="374">
        <v>62.663625340576239</v>
      </c>
      <c r="CG88" s="374">
        <v>65.742422482846678</v>
      </c>
      <c r="CH88" s="374">
        <v>60.632789729900004</v>
      </c>
      <c r="CI88" s="374">
        <v>62.870534400000004</v>
      </c>
      <c r="CJ88" s="374">
        <v>67.517907890000018</v>
      </c>
      <c r="CK88" s="374">
        <v>60.903891130000005</v>
      </c>
      <c r="CL88" s="374">
        <v>63.550595969999996</v>
      </c>
      <c r="CM88" s="374">
        <v>63.836284769999992</v>
      </c>
      <c r="CN88" s="374">
        <v>64.490997109999995</v>
      </c>
      <c r="CO88" s="374">
        <v>60.317251660000011</v>
      </c>
    </row>
    <row r="89" spans="1:93">
      <c r="A89" s="371" t="s">
        <v>464</v>
      </c>
      <c r="B89" s="372">
        <v>171.65605704000001</v>
      </c>
      <c r="C89" s="260">
        <v>33.317444590000001</v>
      </c>
      <c r="D89" s="260">
        <v>32.025845710000006</v>
      </c>
      <c r="E89" s="207">
        <v>34.958413289999996</v>
      </c>
      <c r="F89" s="260">
        <v>45.978065890000003</v>
      </c>
      <c r="G89" s="260">
        <v>50.347736910000002</v>
      </c>
      <c r="H89" s="260">
        <v>49.352268650000006</v>
      </c>
      <c r="I89" s="260">
        <v>82.946417170000004</v>
      </c>
      <c r="J89" s="260">
        <v>85.933542500000001</v>
      </c>
      <c r="K89" s="207">
        <v>89.194672460000007</v>
      </c>
      <c r="L89" s="260">
        <v>93.413848460000011</v>
      </c>
      <c r="M89" s="260">
        <v>94.379553670000007</v>
      </c>
      <c r="N89" s="260">
        <v>90.990209329999999</v>
      </c>
      <c r="O89" s="207">
        <v>94.149863209999992</v>
      </c>
      <c r="P89" s="260">
        <v>92.369877990000006</v>
      </c>
      <c r="Q89" s="260">
        <v>87.737623689999992</v>
      </c>
      <c r="R89" s="207">
        <v>87.24471521000001</v>
      </c>
      <c r="S89" s="260">
        <v>87.121757759999994</v>
      </c>
      <c r="T89" s="260">
        <v>85.740809509999991</v>
      </c>
      <c r="U89" s="373">
        <v>86.460201620000007</v>
      </c>
      <c r="V89" s="373">
        <v>88.641028899999995</v>
      </c>
      <c r="W89" s="373">
        <v>86.879794500000003</v>
      </c>
      <c r="X89" s="373">
        <v>89.822815009999999</v>
      </c>
      <c r="Y89" s="373">
        <v>89.170840589999997</v>
      </c>
      <c r="Z89" s="373">
        <v>88.372358590000005</v>
      </c>
      <c r="AA89" s="373">
        <v>80.77291922000002</v>
      </c>
      <c r="AB89" s="373">
        <v>81.217964789999996</v>
      </c>
      <c r="AC89" s="373">
        <v>80.568758670000008</v>
      </c>
      <c r="AD89" s="373">
        <v>76.571829509999986</v>
      </c>
      <c r="AE89" s="373">
        <v>80.062509559999995</v>
      </c>
      <c r="AF89" s="373">
        <v>77.912084700000023</v>
      </c>
      <c r="AG89" s="373">
        <v>76.315950380000004</v>
      </c>
      <c r="AH89" s="373">
        <v>73.958580850000004</v>
      </c>
      <c r="AI89" s="373">
        <v>68.50618252000001</v>
      </c>
      <c r="AJ89" s="373">
        <v>67.849605120000007</v>
      </c>
      <c r="AK89" s="373">
        <v>68.041894810000002</v>
      </c>
      <c r="AL89" s="373">
        <v>84.150337359999995</v>
      </c>
      <c r="AM89" s="262">
        <v>88.72816112000001</v>
      </c>
      <c r="AN89" s="262">
        <v>70.906875680000013</v>
      </c>
      <c r="AO89" s="262">
        <v>67.887707739999996</v>
      </c>
      <c r="AP89" s="262">
        <v>59.662527829999995</v>
      </c>
      <c r="AQ89" s="262">
        <v>61.711041339999994</v>
      </c>
      <c r="AR89" s="372">
        <v>64.561846590000002</v>
      </c>
      <c r="AS89" s="372">
        <v>65.349665520000002</v>
      </c>
      <c r="AT89" s="372">
        <v>66.132030009999994</v>
      </c>
      <c r="AU89" s="372">
        <v>68.530294299999994</v>
      </c>
      <c r="AV89" s="372">
        <v>67.346674230000005</v>
      </c>
      <c r="AW89" s="201">
        <v>68.428518339999997</v>
      </c>
      <c r="AX89" s="201">
        <v>67.595359039999991</v>
      </c>
      <c r="AY89" s="201">
        <v>70.949900530000008</v>
      </c>
      <c r="AZ89" s="201">
        <v>75.698302859999998</v>
      </c>
      <c r="BA89" s="201">
        <v>71.952421629999989</v>
      </c>
      <c r="BB89" s="201">
        <v>70.688085779999994</v>
      </c>
      <c r="BC89" s="201">
        <v>74.886116440000009</v>
      </c>
      <c r="BD89" s="201">
        <v>73.004373120000011</v>
      </c>
      <c r="BE89" s="374">
        <v>69.971568810000008</v>
      </c>
      <c r="BF89" s="374">
        <v>70.604772030000007</v>
      </c>
      <c r="BG89" s="374">
        <v>74.759382679999987</v>
      </c>
      <c r="BH89" s="374">
        <v>74.46674895999999</v>
      </c>
      <c r="BI89" s="374">
        <v>77.837999969999984</v>
      </c>
      <c r="BJ89" s="374">
        <v>77.776151370000008</v>
      </c>
      <c r="BK89" s="374">
        <v>81.26819024000001</v>
      </c>
      <c r="BL89" s="374">
        <v>84.65606695999999</v>
      </c>
      <c r="BM89" s="374">
        <v>86.687970650000011</v>
      </c>
      <c r="BN89" s="374">
        <v>76.606500778907304</v>
      </c>
      <c r="BO89" s="374">
        <v>80.129626369999997</v>
      </c>
      <c r="BP89" s="374">
        <v>76.146434189999994</v>
      </c>
      <c r="BQ89" s="374">
        <v>76.137253459999997</v>
      </c>
      <c r="BR89" s="374">
        <v>86.024590925200016</v>
      </c>
      <c r="BS89" s="374">
        <v>88.017500857999991</v>
      </c>
      <c r="BT89" s="374">
        <v>87.20189198885501</v>
      </c>
      <c r="BU89" s="374">
        <v>85.859602339001981</v>
      </c>
      <c r="BV89" s="374">
        <v>226.50688152617801</v>
      </c>
      <c r="BW89" s="374">
        <v>227.66101207839</v>
      </c>
      <c r="BX89" s="374">
        <v>230.08876346149998</v>
      </c>
      <c r="BY89" s="374">
        <v>239.28996293630001</v>
      </c>
      <c r="BZ89" s="374">
        <v>237</v>
      </c>
      <c r="CA89" s="374">
        <v>232.2070900443</v>
      </c>
      <c r="CB89" s="374">
        <v>239.4707059328</v>
      </c>
      <c r="CC89" s="374">
        <v>243.71081602237001</v>
      </c>
      <c r="CD89" s="374">
        <v>243.962094719954</v>
      </c>
      <c r="CE89" s="374">
        <v>241.43516961573351</v>
      </c>
      <c r="CF89" s="374">
        <v>242.29445710160002</v>
      </c>
      <c r="CG89" s="374">
        <v>96.027138010000002</v>
      </c>
      <c r="CH89" s="374">
        <v>97.850375230000012</v>
      </c>
      <c r="CI89" s="374">
        <v>99.224728550000009</v>
      </c>
      <c r="CJ89" s="374">
        <v>97.954183380000003</v>
      </c>
      <c r="CK89" s="374">
        <v>100.86540133999999</v>
      </c>
      <c r="CL89" s="374">
        <v>90.72438425</v>
      </c>
      <c r="CM89" s="374">
        <v>88.612013609999991</v>
      </c>
      <c r="CN89" s="374">
        <v>92.881800429999998</v>
      </c>
      <c r="CO89" s="374">
        <v>88.91664947999999</v>
      </c>
    </row>
    <row r="90" spans="1:93">
      <c r="A90" s="371" t="s">
        <v>465</v>
      </c>
      <c r="B90" s="372">
        <v>7.8734201000000006</v>
      </c>
      <c r="C90" s="260">
        <v>8.12423948</v>
      </c>
      <c r="D90" s="260">
        <v>7.4374948200000004</v>
      </c>
      <c r="E90" s="207">
        <v>15.363490969999999</v>
      </c>
      <c r="F90" s="260">
        <v>14.68003485</v>
      </c>
      <c r="G90" s="260">
        <v>14.86879944</v>
      </c>
      <c r="H90" s="260">
        <v>14.666910120000001</v>
      </c>
      <c r="I90" s="260">
        <v>14.995390180000001</v>
      </c>
      <c r="J90" s="260">
        <v>14.288696640000001</v>
      </c>
      <c r="K90" s="207">
        <v>14.823433869999999</v>
      </c>
      <c r="L90" s="260">
        <v>14.216058840000001</v>
      </c>
      <c r="M90" s="260">
        <v>14.1933004</v>
      </c>
      <c r="N90" s="260">
        <v>13.89542456</v>
      </c>
      <c r="O90" s="207">
        <v>14.277940580000003</v>
      </c>
      <c r="P90" s="260">
        <v>13.777528200000001</v>
      </c>
      <c r="Q90" s="260">
        <v>14.250351239999999</v>
      </c>
      <c r="R90" s="207">
        <v>6.6764971199999996</v>
      </c>
      <c r="S90" s="260">
        <v>6.8548293599999992</v>
      </c>
      <c r="T90" s="260">
        <v>5.5056059800000003</v>
      </c>
      <c r="U90" s="373">
        <v>6.72710074</v>
      </c>
      <c r="V90" s="373">
        <v>6.6411584599999998</v>
      </c>
      <c r="W90" s="373">
        <v>6.8288568300000003</v>
      </c>
      <c r="X90" s="373">
        <v>6.98856156</v>
      </c>
      <c r="Y90" s="373">
        <v>6.73687272</v>
      </c>
      <c r="Z90" s="373">
        <v>7.4647409799999993</v>
      </c>
      <c r="AA90" s="373">
        <v>7.1861999299999999</v>
      </c>
      <c r="AB90" s="373">
        <v>7.373802959999999</v>
      </c>
      <c r="AC90" s="373">
        <v>6.9942047000000001</v>
      </c>
      <c r="AD90" s="373">
        <v>7.6367300800000004</v>
      </c>
      <c r="AE90" s="373">
        <v>8.1040530900000007</v>
      </c>
      <c r="AF90" s="373">
        <v>7.9350608200000003</v>
      </c>
      <c r="AG90" s="373">
        <v>7.8289382100000005</v>
      </c>
      <c r="AH90" s="373">
        <v>8.3825039399999994</v>
      </c>
      <c r="AI90" s="373">
        <v>31.542864260000002</v>
      </c>
      <c r="AJ90" s="373">
        <v>18.03628471</v>
      </c>
      <c r="AK90" s="373">
        <v>19.145671919999998</v>
      </c>
      <c r="AL90" s="373">
        <v>18.712149989999997</v>
      </c>
      <c r="AM90" s="262">
        <v>41.505096800000004</v>
      </c>
      <c r="AN90" s="262">
        <v>42.360433559999997</v>
      </c>
      <c r="AO90" s="262">
        <v>41.83166671</v>
      </c>
      <c r="AP90" s="262">
        <v>68.379420391599993</v>
      </c>
      <c r="AQ90" s="262">
        <v>59.1442670494</v>
      </c>
      <c r="AR90" s="372">
        <v>16.4931554996</v>
      </c>
      <c r="AS90" s="372">
        <v>44.900507609999991</v>
      </c>
      <c r="AT90" s="372">
        <v>72.50665291</v>
      </c>
      <c r="AU90" s="372">
        <v>26.51654826</v>
      </c>
      <c r="AV90" s="372">
        <v>57.734432510000005</v>
      </c>
      <c r="AW90" s="201">
        <v>23.938626840000001</v>
      </c>
      <c r="AX90" s="201">
        <v>48.143872219999999</v>
      </c>
      <c r="AY90" s="201">
        <v>28.353222479999999</v>
      </c>
      <c r="AZ90" s="201">
        <v>31.982017369999998</v>
      </c>
      <c r="BA90" s="201">
        <v>46.835380539999996</v>
      </c>
      <c r="BB90" s="201">
        <v>27.304262089999995</v>
      </c>
      <c r="BC90" s="201">
        <v>43.336962039999996</v>
      </c>
      <c r="BD90" s="201">
        <v>36.119298010000009</v>
      </c>
      <c r="BE90" s="374">
        <v>31.421963569999999</v>
      </c>
      <c r="BF90" s="374">
        <v>44.027103930000003</v>
      </c>
      <c r="BG90" s="374">
        <v>42.438372439999995</v>
      </c>
      <c r="BH90" s="374">
        <v>45.179139249999999</v>
      </c>
      <c r="BI90" s="374">
        <v>43.399822940000007</v>
      </c>
      <c r="BJ90" s="374">
        <v>34.93027867</v>
      </c>
      <c r="BK90" s="374">
        <v>30.263303269999994</v>
      </c>
      <c r="BL90" s="374">
        <v>39.21497875</v>
      </c>
      <c r="BM90" s="374">
        <v>44.532608019999998</v>
      </c>
      <c r="BN90" s="374">
        <v>41.192827639999997</v>
      </c>
      <c r="BO90" s="374">
        <v>29.850978990000002</v>
      </c>
      <c r="BP90" s="374">
        <v>39.425444129999995</v>
      </c>
      <c r="BQ90" s="374">
        <v>36.882975649999999</v>
      </c>
      <c r="BR90" s="374">
        <v>26.469191049999999</v>
      </c>
      <c r="BS90" s="374">
        <v>32.950469429999998</v>
      </c>
      <c r="BT90" s="374">
        <v>39.605742369999994</v>
      </c>
      <c r="BU90" s="374">
        <v>40.789607630000006</v>
      </c>
      <c r="BV90" s="374">
        <v>25.394526640000002</v>
      </c>
      <c r="BW90" s="374">
        <v>47.133704529999996</v>
      </c>
      <c r="BX90" s="374">
        <v>26.737968890000005</v>
      </c>
      <c r="BY90" s="374">
        <v>26.272059080000002</v>
      </c>
      <c r="BZ90" s="374">
        <v>30.8</v>
      </c>
      <c r="CA90" s="374">
        <v>33.13356211</v>
      </c>
      <c r="CB90" s="374">
        <v>27.833203090000001</v>
      </c>
      <c r="CC90" s="374">
        <v>34.178283350000008</v>
      </c>
      <c r="CD90" s="374">
        <v>25.864871340000001</v>
      </c>
      <c r="CE90" s="374">
        <v>32.431764259999994</v>
      </c>
      <c r="CF90" s="374">
        <v>28.648397790000004</v>
      </c>
      <c r="CG90" s="374">
        <v>50.38823235000001</v>
      </c>
      <c r="CH90" s="374">
        <v>40.501472410000005</v>
      </c>
      <c r="CI90" s="374">
        <v>43.239404429999993</v>
      </c>
      <c r="CJ90" s="374">
        <v>42.928889280000007</v>
      </c>
      <c r="CK90" s="374">
        <v>34.252710650000004</v>
      </c>
      <c r="CL90" s="374">
        <v>47.699756809999997</v>
      </c>
      <c r="CM90" s="374">
        <v>44.162795569999993</v>
      </c>
      <c r="CN90" s="374">
        <v>58.573878050000005</v>
      </c>
      <c r="CO90" s="374">
        <v>55.066359299999988</v>
      </c>
    </row>
    <row r="91" spans="1:93">
      <c r="A91" s="371" t="s">
        <v>407</v>
      </c>
      <c r="B91" s="372">
        <v>34.450845149999999</v>
      </c>
      <c r="C91" s="260">
        <v>39.401291669999999</v>
      </c>
      <c r="D91" s="260">
        <v>41.900881290000001</v>
      </c>
      <c r="E91" s="207">
        <v>40.092310679999997</v>
      </c>
      <c r="F91" s="260">
        <v>42.866282620000007</v>
      </c>
      <c r="G91" s="260">
        <v>40.286449760000004</v>
      </c>
      <c r="H91" s="260">
        <v>45.691807700000005</v>
      </c>
      <c r="I91" s="260">
        <v>44.377729790000004</v>
      </c>
      <c r="J91" s="260">
        <v>47.903559460000004</v>
      </c>
      <c r="K91" s="207">
        <v>47.79648121000001</v>
      </c>
      <c r="L91" s="260">
        <v>45.069611450000004</v>
      </c>
      <c r="M91" s="260">
        <v>39.01668591</v>
      </c>
      <c r="N91" s="260">
        <v>34.589041659999999</v>
      </c>
      <c r="O91" s="207">
        <v>37.40285875</v>
      </c>
      <c r="P91" s="260">
        <v>38.622555589999997</v>
      </c>
      <c r="Q91" s="260">
        <v>38.578902720000002</v>
      </c>
      <c r="R91" s="207">
        <v>39.686825710000001</v>
      </c>
      <c r="S91" s="260">
        <v>35.24033773</v>
      </c>
      <c r="T91" s="260">
        <v>30.093099529999996</v>
      </c>
      <c r="U91" s="373">
        <v>32.054923000000002</v>
      </c>
      <c r="V91" s="373">
        <v>31.893835920000001</v>
      </c>
      <c r="W91" s="373">
        <v>35.322956590000004</v>
      </c>
      <c r="X91" s="373">
        <v>39.892316670000007</v>
      </c>
      <c r="Y91" s="373">
        <v>45.725216189999998</v>
      </c>
      <c r="Z91" s="373">
        <v>46.048335479999999</v>
      </c>
      <c r="AA91" s="373">
        <v>44.373795880000003</v>
      </c>
      <c r="AB91" s="373">
        <v>42.537616660000005</v>
      </c>
      <c r="AC91" s="373">
        <v>44.432286159999997</v>
      </c>
      <c r="AD91" s="373">
        <v>46.851728039999998</v>
      </c>
      <c r="AE91" s="373">
        <v>48.299774620000001</v>
      </c>
      <c r="AF91" s="373">
        <v>49.949144420000003</v>
      </c>
      <c r="AG91" s="373">
        <v>65.152374082375999</v>
      </c>
      <c r="AH91" s="373">
        <v>67.181913888319997</v>
      </c>
      <c r="AI91" s="373">
        <v>75.971389513199995</v>
      </c>
      <c r="AJ91" s="373">
        <v>75.213792470851985</v>
      </c>
      <c r="AK91" s="373">
        <v>76.620421876752005</v>
      </c>
      <c r="AL91" s="373">
        <v>73.365954500099988</v>
      </c>
      <c r="AM91" s="262">
        <v>76.563196942294979</v>
      </c>
      <c r="AN91" s="262">
        <v>75.381447055734</v>
      </c>
      <c r="AO91" s="262">
        <v>68.439109596799995</v>
      </c>
      <c r="AP91" s="262">
        <v>82.277743242797001</v>
      </c>
      <c r="AQ91" s="262">
        <v>86.034745865036001</v>
      </c>
      <c r="AR91" s="372">
        <v>92.266952688464002</v>
      </c>
      <c r="AS91" s="372">
        <v>102.93912985000003</v>
      </c>
      <c r="AT91" s="372">
        <v>107.729889338544</v>
      </c>
      <c r="AU91" s="372">
        <v>113.97225896596099</v>
      </c>
      <c r="AV91" s="372">
        <v>229.04242961201598</v>
      </c>
      <c r="AW91" s="201">
        <v>238.80014765429999</v>
      </c>
      <c r="AX91" s="201">
        <v>254.77934443492001</v>
      </c>
      <c r="AY91" s="201">
        <v>263.65224961595101</v>
      </c>
      <c r="AZ91" s="201">
        <v>283.53281643033296</v>
      </c>
      <c r="BA91" s="201">
        <v>286.02501923986404</v>
      </c>
      <c r="BB91" s="201">
        <v>290.84773244277602</v>
      </c>
      <c r="BC91" s="201">
        <v>292.55827296292267</v>
      </c>
      <c r="BD91" s="201">
        <v>302.75818411180222</v>
      </c>
      <c r="BE91" s="374">
        <v>311.996636416824</v>
      </c>
      <c r="BF91" s="374">
        <v>300.36017938828309</v>
      </c>
      <c r="BG91" s="374">
        <v>473.11715819725703</v>
      </c>
      <c r="BH91" s="374">
        <v>304.86945068459704</v>
      </c>
      <c r="BI91" s="374">
        <v>212.300844118877</v>
      </c>
      <c r="BJ91" s="374">
        <v>232.31490932123504</v>
      </c>
      <c r="BK91" s="374">
        <v>228.74257151412601</v>
      </c>
      <c r="BL91" s="374">
        <v>216.44886687315</v>
      </c>
      <c r="BM91" s="374">
        <v>220.18017317310799</v>
      </c>
      <c r="BN91" s="374">
        <v>209.65360860923204</v>
      </c>
      <c r="BO91" s="374">
        <v>215.001761187894</v>
      </c>
      <c r="BP91" s="374">
        <v>204.239677215744</v>
      </c>
      <c r="BQ91" s="374">
        <v>210.24262704879001</v>
      </c>
      <c r="BR91" s="374">
        <v>211.12023727684701</v>
      </c>
      <c r="BS91" s="374">
        <v>189.17565310589603</v>
      </c>
      <c r="BT91" s="374">
        <v>189.25732604385999</v>
      </c>
      <c r="BU91" s="374">
        <v>190.52778560716999</v>
      </c>
      <c r="BV91" s="374">
        <v>210.35373247307604</v>
      </c>
      <c r="BW91" s="374">
        <v>190.43261303256702</v>
      </c>
      <c r="BX91" s="374">
        <v>194.16803452149998</v>
      </c>
      <c r="BY91" s="374">
        <v>195.67279921830001</v>
      </c>
      <c r="BZ91" s="374">
        <v>201.2</v>
      </c>
      <c r="CA91" s="374">
        <v>210.127232862596</v>
      </c>
      <c r="CB91" s="374">
        <v>114.84032315042998</v>
      </c>
      <c r="CC91" s="374">
        <v>109.66049987904</v>
      </c>
      <c r="CD91" s="374">
        <v>114.75803878249401</v>
      </c>
      <c r="CE91" s="374">
        <v>133.17304393299699</v>
      </c>
      <c r="CF91" s="374">
        <v>116.54432386558001</v>
      </c>
      <c r="CG91" s="374">
        <v>203.54481827292668</v>
      </c>
      <c r="CH91" s="374">
        <v>204.53275461029818</v>
      </c>
      <c r="CI91" s="374">
        <v>204.51857907546582</v>
      </c>
      <c r="CJ91" s="374">
        <v>147.37107796829</v>
      </c>
      <c r="CK91" s="374">
        <v>170.57081429805498</v>
      </c>
      <c r="CL91" s="374">
        <v>186.52035048938532</v>
      </c>
      <c r="CM91" s="374">
        <v>202.85786109072151</v>
      </c>
      <c r="CN91" s="374">
        <v>195.20006632308102</v>
      </c>
      <c r="CO91" s="374">
        <v>202.59299861770899</v>
      </c>
    </row>
    <row r="92" spans="1:93" ht="7.7" customHeight="1">
      <c r="A92" s="365"/>
      <c r="B92" s="398"/>
      <c r="C92" s="399"/>
      <c r="D92" s="399"/>
      <c r="E92" s="400"/>
      <c r="F92" s="399"/>
      <c r="G92" s="399"/>
      <c r="H92" s="260"/>
      <c r="I92" s="260"/>
      <c r="J92" s="260"/>
      <c r="K92" s="207"/>
      <c r="L92" s="260"/>
      <c r="M92" s="260"/>
      <c r="N92" s="260"/>
      <c r="O92" s="207"/>
      <c r="P92" s="260"/>
      <c r="Q92" s="260"/>
      <c r="R92" s="207"/>
      <c r="S92" s="260"/>
      <c r="T92" s="260"/>
      <c r="U92" s="373"/>
      <c r="V92" s="373"/>
      <c r="W92" s="373"/>
      <c r="X92" s="373"/>
      <c r="Y92" s="373"/>
      <c r="Z92" s="373"/>
      <c r="AA92" s="373"/>
      <c r="AB92" s="373"/>
      <c r="AC92" s="373"/>
      <c r="AD92" s="373"/>
      <c r="AE92" s="373"/>
      <c r="AF92" s="373"/>
      <c r="AG92" s="373"/>
      <c r="AH92" s="373"/>
      <c r="AI92" s="373"/>
      <c r="AJ92" s="373"/>
      <c r="AK92" s="373"/>
      <c r="AL92" s="373"/>
      <c r="AM92" s="261"/>
      <c r="AN92" s="261"/>
      <c r="AO92" s="261"/>
      <c r="AP92" s="261"/>
      <c r="AQ92" s="261"/>
      <c r="AR92" s="398"/>
      <c r="AS92" s="398"/>
      <c r="AT92" s="398"/>
      <c r="AU92" s="398"/>
      <c r="AV92" s="398"/>
      <c r="AW92" s="370"/>
      <c r="AX92" s="370"/>
      <c r="AY92" s="370"/>
      <c r="AZ92" s="370"/>
      <c r="BA92" s="370"/>
      <c r="BB92" s="370"/>
      <c r="BC92" s="370"/>
      <c r="BD92" s="370"/>
      <c r="BE92" s="370"/>
      <c r="BF92" s="370"/>
      <c r="BG92" s="370"/>
      <c r="BH92" s="370"/>
      <c r="BI92" s="370"/>
      <c r="BJ92" s="370"/>
      <c r="BK92" s="370"/>
      <c r="BL92" s="370"/>
      <c r="BM92" s="370"/>
      <c r="BN92" s="370"/>
      <c r="BO92" s="370"/>
      <c r="BP92" s="370"/>
      <c r="BQ92" s="370"/>
      <c r="BR92" s="370"/>
      <c r="BS92" s="370"/>
      <c r="BT92" s="370"/>
      <c r="BU92" s="370"/>
      <c r="BV92" s="370"/>
      <c r="BW92" s="370"/>
      <c r="BX92" s="370"/>
      <c r="BY92" s="370"/>
      <c r="BZ92" s="370"/>
      <c r="CA92" s="370"/>
      <c r="CB92" s="370"/>
      <c r="CC92" s="370"/>
      <c r="CD92" s="370"/>
      <c r="CE92" s="370"/>
      <c r="CF92" s="370"/>
      <c r="CG92" s="370"/>
      <c r="CH92" s="370"/>
      <c r="CI92" s="370"/>
      <c r="CJ92" s="370"/>
      <c r="CK92" s="370"/>
      <c r="CL92" s="370"/>
      <c r="CM92" s="370"/>
      <c r="CN92" s="370"/>
      <c r="CO92" s="370"/>
    </row>
    <row r="93" spans="1:93">
      <c r="A93" s="365" t="s">
        <v>466</v>
      </c>
      <c r="B93" s="398">
        <v>10239.246763938054</v>
      </c>
      <c r="C93" s="399">
        <v>10406.182058156483</v>
      </c>
      <c r="D93" s="399">
        <v>10207.053605573472</v>
      </c>
      <c r="E93" s="400">
        <v>10786.014004384326</v>
      </c>
      <c r="F93" s="399">
        <v>10348.732947104645</v>
      </c>
      <c r="G93" s="399">
        <v>10426.856366008687</v>
      </c>
      <c r="H93" s="198">
        <v>11402.531127569615</v>
      </c>
      <c r="I93" s="198">
        <v>11073.310422100827</v>
      </c>
      <c r="J93" s="198">
        <v>11170.116311757378</v>
      </c>
      <c r="K93" s="210">
        <v>11054.893956455007</v>
      </c>
      <c r="L93" s="198">
        <v>12706.913193714905</v>
      </c>
      <c r="M93" s="198">
        <v>12624.32533644574</v>
      </c>
      <c r="N93" s="198">
        <v>13343.68223578252</v>
      </c>
      <c r="O93" s="210">
        <v>13659.3271729853</v>
      </c>
      <c r="P93" s="198">
        <v>14471.049994724812</v>
      </c>
      <c r="Q93" s="198">
        <v>14862.707732863666</v>
      </c>
      <c r="R93" s="210">
        <v>15438.589441814758</v>
      </c>
      <c r="S93" s="198">
        <v>15668.785733133715</v>
      </c>
      <c r="T93" s="198">
        <v>16003.344815273844</v>
      </c>
      <c r="U93" s="200">
        <v>16714.050458770602</v>
      </c>
      <c r="V93" s="200">
        <v>15142.192310342396</v>
      </c>
      <c r="W93" s="200">
        <v>15948.306659457523</v>
      </c>
      <c r="X93" s="200">
        <v>15900.124786</v>
      </c>
      <c r="Y93" s="200">
        <v>15404.169353650997</v>
      </c>
      <c r="Z93" s="200">
        <v>15812.706045893879</v>
      </c>
      <c r="AA93" s="200">
        <v>15423.414469372505</v>
      </c>
      <c r="AB93" s="200">
        <v>15310.448769935267</v>
      </c>
      <c r="AC93" s="200">
        <v>16362.525815941681</v>
      </c>
      <c r="AD93" s="200">
        <v>16138.628881567543</v>
      </c>
      <c r="AE93" s="200">
        <v>16160.348298210391</v>
      </c>
      <c r="AF93" s="200">
        <v>16216.779619660781</v>
      </c>
      <c r="AG93" s="200">
        <v>16390.852792142639</v>
      </c>
      <c r="AH93" s="200">
        <v>15922.520545061707</v>
      </c>
      <c r="AI93" s="200">
        <v>17485.29606659507</v>
      </c>
      <c r="AJ93" s="200">
        <v>17364.193502192957</v>
      </c>
      <c r="AK93" s="200">
        <v>18294.640226317864</v>
      </c>
      <c r="AL93" s="200">
        <v>18819.651354419897</v>
      </c>
      <c r="AM93" s="261">
        <v>19679.802381715544</v>
      </c>
      <c r="AN93" s="261">
        <v>19463.126268720087</v>
      </c>
      <c r="AO93" s="261">
        <v>20223.846397168621</v>
      </c>
      <c r="AP93" s="261">
        <v>20303.324707540163</v>
      </c>
      <c r="AQ93" s="261">
        <v>20364.055083839761</v>
      </c>
      <c r="AR93" s="398">
        <v>20822.89067202574</v>
      </c>
      <c r="AS93" s="398">
        <v>19557.570671908437</v>
      </c>
      <c r="AT93" s="398">
        <v>19269.636936507271</v>
      </c>
      <c r="AU93" s="398">
        <v>19150.347099241455</v>
      </c>
      <c r="AV93" s="398">
        <v>19332.347141066122</v>
      </c>
      <c r="AW93" s="370">
        <v>18795.00539029521</v>
      </c>
      <c r="AX93" s="370">
        <v>18928.356050725099</v>
      </c>
      <c r="AY93" s="370">
        <v>18978.535396493622</v>
      </c>
      <c r="AZ93" s="370">
        <v>19955.178358342735</v>
      </c>
      <c r="BA93" s="370">
        <v>19768.854747974161</v>
      </c>
      <c r="BB93" s="370">
        <v>20904.672550630432</v>
      </c>
      <c r="BC93" s="370">
        <v>21025.776580457215</v>
      </c>
      <c r="BD93" s="370">
        <v>19830.579092448563</v>
      </c>
      <c r="BE93" s="370">
        <v>19787.438907336189</v>
      </c>
      <c r="BF93" s="370">
        <v>19946.015008541341</v>
      </c>
      <c r="BG93" s="370">
        <v>20150.551190495727</v>
      </c>
      <c r="BH93" s="370">
        <v>19914.750258629472</v>
      </c>
      <c r="BI93" s="370">
        <v>20106.847045109447</v>
      </c>
      <c r="BJ93" s="370">
        <v>20470.558232820073</v>
      </c>
      <c r="BK93" s="370">
        <v>20452.789682178445</v>
      </c>
      <c r="BL93" s="370">
        <v>20343.869900526428</v>
      </c>
      <c r="BM93" s="370">
        <v>20952.144708045562</v>
      </c>
      <c r="BN93" s="370">
        <v>21170.056383717772</v>
      </c>
      <c r="BO93" s="370">
        <v>21383.799717185822</v>
      </c>
      <c r="BP93" s="370">
        <v>23371.213060601367</v>
      </c>
      <c r="BQ93" s="370">
        <v>23048.414177633484</v>
      </c>
      <c r="BR93" s="370">
        <v>23299.47600025362</v>
      </c>
      <c r="BS93" s="370">
        <v>23845.265687813891</v>
      </c>
      <c r="BT93" s="370">
        <v>24301.653611378882</v>
      </c>
      <c r="BU93" s="370">
        <v>23937.36804056762</v>
      </c>
      <c r="BV93" s="370">
        <v>24471.318421993863</v>
      </c>
      <c r="BW93" s="370">
        <v>23955.212876430243</v>
      </c>
      <c r="BX93" s="370">
        <v>24413.351969916002</v>
      </c>
      <c r="BY93" s="370">
        <v>23387.569997847299</v>
      </c>
      <c r="BZ93" s="370">
        <v>23468.3</v>
      </c>
      <c r="CA93" s="370">
        <v>23751.442743380012</v>
      </c>
      <c r="CB93" s="370">
        <v>24033.783697151473</v>
      </c>
      <c r="CC93" s="370">
        <v>24173.990273972569</v>
      </c>
      <c r="CD93" s="370">
        <v>24028.50165559406</v>
      </c>
      <c r="CE93" s="370">
        <v>24375.446816106429</v>
      </c>
      <c r="CF93" s="370">
        <v>23380.959747794779</v>
      </c>
      <c r="CG93" s="370">
        <v>24021.056730519056</v>
      </c>
      <c r="CH93" s="370">
        <v>24964.162093929892</v>
      </c>
      <c r="CI93" s="370">
        <v>24792.829702087362</v>
      </c>
      <c r="CJ93" s="370">
        <v>24729.814581393097</v>
      </c>
      <c r="CK93" s="370">
        <v>24795.856673251728</v>
      </c>
      <c r="CL93" s="370">
        <v>24541.949671436556</v>
      </c>
      <c r="CM93" s="370">
        <v>25004.852043611609</v>
      </c>
      <c r="CN93" s="370">
        <v>25463.076390590864</v>
      </c>
      <c r="CO93" s="370">
        <v>25595.92829118748</v>
      </c>
    </row>
    <row r="94" spans="1:93">
      <c r="A94" s="371" t="s">
        <v>398</v>
      </c>
      <c r="B94" s="398"/>
      <c r="C94" s="399"/>
      <c r="D94" s="399"/>
      <c r="E94" s="400"/>
      <c r="F94" s="399"/>
      <c r="G94" s="399"/>
      <c r="H94" s="260"/>
      <c r="I94" s="260"/>
      <c r="J94" s="260"/>
      <c r="K94" s="207"/>
      <c r="L94" s="260"/>
      <c r="M94" s="260"/>
      <c r="N94" s="260"/>
      <c r="O94" s="207"/>
      <c r="P94" s="260"/>
      <c r="Q94" s="260"/>
      <c r="R94" s="207"/>
      <c r="S94" s="260"/>
      <c r="T94" s="260"/>
      <c r="U94" s="373"/>
      <c r="V94" s="373"/>
      <c r="W94" s="373"/>
      <c r="X94" s="373"/>
      <c r="Y94" s="373"/>
      <c r="Z94" s="373"/>
      <c r="AA94" s="373"/>
      <c r="AB94" s="373"/>
      <c r="AC94" s="373"/>
      <c r="AD94" s="373"/>
      <c r="AE94" s="373"/>
      <c r="AF94" s="373"/>
      <c r="AG94" s="373"/>
      <c r="AH94" s="373"/>
      <c r="AI94" s="373"/>
      <c r="AJ94" s="373"/>
      <c r="AK94" s="373"/>
      <c r="AL94" s="373"/>
      <c r="AM94" s="261"/>
      <c r="AN94" s="261"/>
      <c r="AO94" s="261"/>
      <c r="AP94" s="261"/>
      <c r="AQ94" s="261"/>
      <c r="AR94" s="398"/>
      <c r="AS94" s="398"/>
      <c r="AT94" s="398"/>
      <c r="AU94" s="398"/>
      <c r="AV94" s="398"/>
      <c r="AW94" s="370"/>
      <c r="AX94" s="370"/>
      <c r="AY94" s="370"/>
      <c r="AZ94" s="370"/>
      <c r="BA94" s="370"/>
      <c r="BB94" s="370"/>
      <c r="BC94" s="370"/>
      <c r="BD94" s="370"/>
      <c r="BE94" s="370"/>
      <c r="BF94" s="370"/>
      <c r="BG94" s="370"/>
      <c r="BH94" s="370"/>
      <c r="BI94" s="370"/>
      <c r="BJ94" s="370"/>
      <c r="BK94" s="370"/>
      <c r="BL94" s="370"/>
      <c r="BM94" s="370"/>
      <c r="BN94" s="370"/>
      <c r="BO94" s="370"/>
      <c r="BP94" s="370"/>
      <c r="BQ94" s="370"/>
      <c r="BR94" s="370"/>
      <c r="BS94" s="370"/>
      <c r="BT94" s="370"/>
      <c r="BU94" s="370"/>
      <c r="BV94" s="370"/>
      <c r="BW94" s="370"/>
      <c r="BX94" s="370"/>
      <c r="BY94" s="370"/>
      <c r="BZ94" s="370"/>
      <c r="CA94" s="370"/>
      <c r="CB94" s="370"/>
      <c r="CC94" s="370"/>
      <c r="CD94" s="370"/>
      <c r="CE94" s="370"/>
      <c r="CF94" s="370"/>
      <c r="CG94" s="370"/>
      <c r="CH94" s="370"/>
      <c r="CI94" s="370"/>
      <c r="CJ94" s="370"/>
      <c r="CK94" s="370"/>
      <c r="CL94" s="370"/>
      <c r="CM94" s="370"/>
      <c r="CN94" s="370"/>
      <c r="CO94" s="370"/>
    </row>
    <row r="95" spans="1:93">
      <c r="A95" s="371" t="s">
        <v>467</v>
      </c>
      <c r="B95" s="372">
        <v>4.9045179999999995</v>
      </c>
      <c r="C95" s="260">
        <v>2.5930610000000001</v>
      </c>
      <c r="D95" s="260">
        <v>2.7619479999999998</v>
      </c>
      <c r="E95" s="207">
        <v>2.6722790000000001</v>
      </c>
      <c r="F95" s="260">
        <v>4.4402275400000004</v>
      </c>
      <c r="G95" s="260">
        <v>8.8841290499999985</v>
      </c>
      <c r="H95" s="260">
        <v>3.6144039500000003</v>
      </c>
      <c r="I95" s="260">
        <v>9.9661430000000006</v>
      </c>
      <c r="J95" s="260">
        <v>9.8340397300000006</v>
      </c>
      <c r="K95" s="207">
        <v>10.246136890000001</v>
      </c>
      <c r="L95" s="260">
        <v>9.9625671999999987</v>
      </c>
      <c r="M95" s="260">
        <v>14.934986349999999</v>
      </c>
      <c r="N95" s="260">
        <v>14.874248570000001</v>
      </c>
      <c r="O95" s="207">
        <v>15.06938912</v>
      </c>
      <c r="P95" s="260">
        <v>16.276806060000002</v>
      </c>
      <c r="Q95" s="260">
        <v>11.71659125</v>
      </c>
      <c r="R95" s="207">
        <v>10.555385080000001</v>
      </c>
      <c r="S95" s="260">
        <v>11.46800625</v>
      </c>
      <c r="T95" s="260">
        <v>11.013948210000001</v>
      </c>
      <c r="U95" s="373">
        <v>12.57314891</v>
      </c>
      <c r="V95" s="373">
        <v>12.443879340000001</v>
      </c>
      <c r="W95" s="373">
        <v>16.364145780000001</v>
      </c>
      <c r="X95" s="373">
        <v>19.069219009999998</v>
      </c>
      <c r="Y95" s="373">
        <v>13.8105504</v>
      </c>
      <c r="Z95" s="373">
        <v>12.69293869</v>
      </c>
      <c r="AA95" s="373">
        <v>12.691935800000001</v>
      </c>
      <c r="AB95" s="373">
        <v>14.188990689999999</v>
      </c>
      <c r="AC95" s="373">
        <v>9.862601960000001</v>
      </c>
      <c r="AD95" s="373">
        <v>11.321037499999999</v>
      </c>
      <c r="AE95" s="373">
        <v>12.87908021</v>
      </c>
      <c r="AF95" s="373">
        <v>16.04744938</v>
      </c>
      <c r="AG95" s="373">
        <v>13.398075990000001</v>
      </c>
      <c r="AH95" s="373">
        <v>10.005299619999999</v>
      </c>
      <c r="AI95" s="373">
        <v>28.95724968</v>
      </c>
      <c r="AJ95" s="373">
        <v>21.930325359999998</v>
      </c>
      <c r="AK95" s="373">
        <v>16.845786539999999</v>
      </c>
      <c r="AL95" s="373">
        <v>19.348860689999999</v>
      </c>
      <c r="AM95" s="262">
        <v>29.22510132</v>
      </c>
      <c r="AN95" s="262">
        <v>30.019139630000002</v>
      </c>
      <c r="AO95" s="262">
        <v>42.983233649999995</v>
      </c>
      <c r="AP95" s="262">
        <v>69.737272219999994</v>
      </c>
      <c r="AQ95" s="262">
        <v>70.885334819999997</v>
      </c>
      <c r="AR95" s="372">
        <v>60.793728689999995</v>
      </c>
      <c r="AS95" s="372">
        <v>61.134252320000002</v>
      </c>
      <c r="AT95" s="372">
        <v>61.990585320000001</v>
      </c>
      <c r="AU95" s="372">
        <v>82.084445319999986</v>
      </c>
      <c r="AV95" s="372">
        <v>73.414663250000004</v>
      </c>
      <c r="AW95" s="201">
        <v>69.813362720000001</v>
      </c>
      <c r="AX95" s="201">
        <v>61.827411549999994</v>
      </c>
      <c r="AY95" s="201">
        <v>66.063057000000001</v>
      </c>
      <c r="AZ95" s="201">
        <v>56.058306439999996</v>
      </c>
      <c r="BA95" s="201">
        <v>66.997788409999998</v>
      </c>
      <c r="BB95" s="201">
        <v>56.892161300000005</v>
      </c>
      <c r="BC95" s="201">
        <v>47.256914389999999</v>
      </c>
      <c r="BD95" s="201">
        <v>34.731450000000002</v>
      </c>
      <c r="BE95" s="374">
        <v>37.430674000000003</v>
      </c>
      <c r="BF95" s="374">
        <v>36.551178999999998</v>
      </c>
      <c r="BG95" s="374">
        <v>33.25754981</v>
      </c>
      <c r="BH95" s="374">
        <v>38.052050739999999</v>
      </c>
      <c r="BI95" s="374">
        <v>37.943505999999999</v>
      </c>
      <c r="BJ95" s="374">
        <v>42.199926989999994</v>
      </c>
      <c r="BK95" s="374">
        <v>36.935164</v>
      </c>
      <c r="BL95" s="374">
        <v>37.87817708</v>
      </c>
      <c r="BM95" s="374">
        <v>42.307136</v>
      </c>
      <c r="BN95" s="374">
        <v>43.304243230000004</v>
      </c>
      <c r="BO95" s="374">
        <v>48.659097000000003</v>
      </c>
      <c r="BP95" s="374">
        <v>50.835060769999998</v>
      </c>
      <c r="BQ95" s="374">
        <v>51.045758890000002</v>
      </c>
      <c r="BR95" s="374">
        <v>50.124512790000004</v>
      </c>
      <c r="BS95" s="374">
        <v>54.963033589999995</v>
      </c>
      <c r="BT95" s="374">
        <v>44.677905659999993</v>
      </c>
      <c r="BU95" s="374">
        <v>49.875298099999995</v>
      </c>
      <c r="BV95" s="374">
        <v>44.972405109999997</v>
      </c>
      <c r="BW95" s="374">
        <v>45.128035730000001</v>
      </c>
      <c r="BX95" s="374">
        <v>47.923345999999995</v>
      </c>
      <c r="BY95" s="374">
        <v>50.804738</v>
      </c>
      <c r="BZ95" s="374">
        <v>38.4</v>
      </c>
      <c r="CA95" s="374">
        <v>37.006069629999999</v>
      </c>
      <c r="CB95" s="374">
        <v>40.081002810000001</v>
      </c>
      <c r="CC95" s="374">
        <v>42.238968499999999</v>
      </c>
      <c r="CD95" s="374">
        <v>41.647586230000002</v>
      </c>
      <c r="CE95" s="374">
        <v>46.654936120000002</v>
      </c>
      <c r="CF95" s="374">
        <v>32.151660239999998</v>
      </c>
      <c r="CG95" s="374">
        <v>34.580458130000004</v>
      </c>
      <c r="CH95" s="374">
        <v>33.636910820000004</v>
      </c>
      <c r="CI95" s="374">
        <v>33.018045020000002</v>
      </c>
      <c r="CJ95" s="374">
        <v>34.541678240000003</v>
      </c>
      <c r="CK95" s="374">
        <v>32.667870839999999</v>
      </c>
      <c r="CL95" s="374">
        <v>54.789500190000005</v>
      </c>
      <c r="CM95" s="374">
        <v>33.50317416</v>
      </c>
      <c r="CN95" s="374">
        <v>33.827824470000003</v>
      </c>
      <c r="CO95" s="374">
        <v>29.114454440000003</v>
      </c>
    </row>
    <row r="96" spans="1:93">
      <c r="A96" s="371" t="s">
        <v>468</v>
      </c>
      <c r="B96" s="372">
        <v>458.56225221</v>
      </c>
      <c r="C96" s="260">
        <v>410.25812970000004</v>
      </c>
      <c r="D96" s="260">
        <v>403.02830119000004</v>
      </c>
      <c r="E96" s="207">
        <v>329.05903873000386</v>
      </c>
      <c r="F96" s="260">
        <v>341.95476552078139</v>
      </c>
      <c r="G96" s="260">
        <v>339.09278306834017</v>
      </c>
      <c r="H96" s="260">
        <v>420.28988859024321</v>
      </c>
      <c r="I96" s="260">
        <v>378.73481136024321</v>
      </c>
      <c r="J96" s="260">
        <v>360.9729199002432</v>
      </c>
      <c r="K96" s="207">
        <v>355.90044921367502</v>
      </c>
      <c r="L96" s="260">
        <v>390.51876092775501</v>
      </c>
      <c r="M96" s="260">
        <v>389.15838209775501</v>
      </c>
      <c r="N96" s="260">
        <v>181.60498554</v>
      </c>
      <c r="O96" s="207">
        <v>204.11329756000001</v>
      </c>
      <c r="P96" s="260">
        <v>197.38224117999999</v>
      </c>
      <c r="Q96" s="260">
        <v>292.87685069010007</v>
      </c>
      <c r="R96" s="207">
        <v>254.40152639999997</v>
      </c>
      <c r="S96" s="260">
        <v>208.07787175000004</v>
      </c>
      <c r="T96" s="260">
        <v>248.59148288</v>
      </c>
      <c r="U96" s="373">
        <v>302.94367345000006</v>
      </c>
      <c r="V96" s="373">
        <v>307.40363624000003</v>
      </c>
      <c r="W96" s="373">
        <v>470.47246289999998</v>
      </c>
      <c r="X96" s="373">
        <v>438.98922529000004</v>
      </c>
      <c r="Y96" s="373">
        <v>476.09153550000002</v>
      </c>
      <c r="Z96" s="373">
        <v>453.07723897999995</v>
      </c>
      <c r="AA96" s="373">
        <v>481.83735429000006</v>
      </c>
      <c r="AB96" s="373">
        <v>522.59824073999994</v>
      </c>
      <c r="AC96" s="373">
        <v>539.11396489999993</v>
      </c>
      <c r="AD96" s="373">
        <v>551.16096037</v>
      </c>
      <c r="AE96" s="373">
        <v>533.11707913999999</v>
      </c>
      <c r="AF96" s="373">
        <v>571.28253526999993</v>
      </c>
      <c r="AG96" s="373">
        <v>550.96294891000002</v>
      </c>
      <c r="AH96" s="373">
        <v>528.01371347999998</v>
      </c>
      <c r="AI96" s="373">
        <v>522.64509634000001</v>
      </c>
      <c r="AJ96" s="373">
        <v>472.12721420999998</v>
      </c>
      <c r="AK96" s="373">
        <v>419.47476452000001</v>
      </c>
      <c r="AL96" s="373">
        <v>415.71260592000004</v>
      </c>
      <c r="AM96" s="262">
        <v>415.73243699</v>
      </c>
      <c r="AN96" s="262">
        <v>414.82680673999999</v>
      </c>
      <c r="AO96" s="262">
        <v>431.93540259000002</v>
      </c>
      <c r="AP96" s="262">
        <v>505.06526922210003</v>
      </c>
      <c r="AQ96" s="262">
        <v>426.30727753039997</v>
      </c>
      <c r="AR96" s="372">
        <v>459.28211493840001</v>
      </c>
      <c r="AS96" s="372">
        <v>400.14385020999998</v>
      </c>
      <c r="AT96" s="372">
        <v>423.051291026</v>
      </c>
      <c r="AU96" s="372">
        <v>401.35562827059999</v>
      </c>
      <c r="AV96" s="372">
        <v>384.34107685000015</v>
      </c>
      <c r="AW96" s="201">
        <v>220.02334320040001</v>
      </c>
      <c r="AX96" s="201">
        <v>207.45671959079999</v>
      </c>
      <c r="AY96" s="201">
        <v>210.0750525981</v>
      </c>
      <c r="AZ96" s="201">
        <v>184.37448961959998</v>
      </c>
      <c r="BA96" s="201">
        <v>214.48794284760001</v>
      </c>
      <c r="BB96" s="201">
        <v>199.46192767739998</v>
      </c>
      <c r="BC96" s="201">
        <v>172.30331233359999</v>
      </c>
      <c r="BD96" s="201">
        <v>111.413711564</v>
      </c>
      <c r="BE96" s="374">
        <v>111.09404101280001</v>
      </c>
      <c r="BF96" s="374">
        <v>120.67677614750001</v>
      </c>
      <c r="BG96" s="374">
        <v>149.15916136200002</v>
      </c>
      <c r="BH96" s="374">
        <v>151.92989694620002</v>
      </c>
      <c r="BI96" s="374">
        <v>151.90765576679999</v>
      </c>
      <c r="BJ96" s="374">
        <v>168.5504862057</v>
      </c>
      <c r="BK96" s="374">
        <v>142.80875612940002</v>
      </c>
      <c r="BL96" s="374">
        <v>140.34380577929997</v>
      </c>
      <c r="BM96" s="374">
        <v>161.80180081260002</v>
      </c>
      <c r="BN96" s="374">
        <v>163.47942299759998</v>
      </c>
      <c r="BO96" s="374">
        <v>161.8139939216</v>
      </c>
      <c r="BP96" s="374">
        <v>151.78985120440001</v>
      </c>
      <c r="BQ96" s="374">
        <v>146.00171220810003</v>
      </c>
      <c r="BR96" s="374">
        <v>161.91336487500001</v>
      </c>
      <c r="BS96" s="374">
        <v>192.13894060680002</v>
      </c>
      <c r="BT96" s="374">
        <v>156.65662444099999</v>
      </c>
      <c r="BU96" s="374">
        <v>281.23640318665201</v>
      </c>
      <c r="BV96" s="374">
        <v>301.19833118999998</v>
      </c>
      <c r="BW96" s="374">
        <v>326.28566699527499</v>
      </c>
      <c r="BX96" s="374">
        <v>322.96316003800001</v>
      </c>
      <c r="BY96" s="374">
        <v>329.38223694919998</v>
      </c>
      <c r="BZ96" s="374">
        <v>343.2</v>
      </c>
      <c r="CA96" s="374">
        <v>374.67520907369999</v>
      </c>
      <c r="CB96" s="374">
        <v>310.43440835119998</v>
      </c>
      <c r="CC96" s="374">
        <v>258.92055705416186</v>
      </c>
      <c r="CD96" s="374">
        <v>334.06053435010597</v>
      </c>
      <c r="CE96" s="374">
        <v>297.98444443243886</v>
      </c>
      <c r="CF96" s="374">
        <v>307.04168828399003</v>
      </c>
      <c r="CG96" s="374">
        <v>335.6517644195867</v>
      </c>
      <c r="CH96" s="374">
        <v>284.06548669775566</v>
      </c>
      <c r="CI96" s="374">
        <v>342.46164094060055</v>
      </c>
      <c r="CJ96" s="374">
        <v>347.40254422716998</v>
      </c>
      <c r="CK96" s="374">
        <v>381.41656484351699</v>
      </c>
      <c r="CL96" s="374">
        <v>339.72788373997435</v>
      </c>
      <c r="CM96" s="374">
        <v>347.978404498136</v>
      </c>
      <c r="CN96" s="374">
        <v>320.29628878</v>
      </c>
      <c r="CO96" s="374">
        <v>352.42983462000007</v>
      </c>
    </row>
    <row r="97" spans="1:93">
      <c r="A97" s="371" t="s">
        <v>469</v>
      </c>
      <c r="B97" s="372">
        <v>2563.9704272600002</v>
      </c>
      <c r="C97" s="260">
        <v>3245.9522036799999</v>
      </c>
      <c r="D97" s="260">
        <v>3247.1019830000005</v>
      </c>
      <c r="E97" s="207">
        <v>3415.5594353922224</v>
      </c>
      <c r="F97" s="260">
        <v>3169.5879776383335</v>
      </c>
      <c r="G97" s="260">
        <v>3198.0400410183333</v>
      </c>
      <c r="H97" s="260">
        <v>3294.6856943783332</v>
      </c>
      <c r="I97" s="260">
        <v>3219.9639974583329</v>
      </c>
      <c r="J97" s="260">
        <v>3253.6764692583333</v>
      </c>
      <c r="K97" s="207">
        <v>3262.317456528333</v>
      </c>
      <c r="L97" s="260">
        <v>3138.7950710183336</v>
      </c>
      <c r="M97" s="260">
        <v>3221.2310814983334</v>
      </c>
      <c r="N97" s="260">
        <v>3583.5491130699997</v>
      </c>
      <c r="O97" s="207">
        <v>3697.6646452499995</v>
      </c>
      <c r="P97" s="260">
        <v>3885.34004052</v>
      </c>
      <c r="Q97" s="260">
        <v>4123.0217166231005</v>
      </c>
      <c r="R97" s="207">
        <v>4200.1537452088196</v>
      </c>
      <c r="S97" s="260">
        <v>4117.6612422323396</v>
      </c>
      <c r="T97" s="260">
        <v>4447.8047711792506</v>
      </c>
      <c r="U97" s="373">
        <v>4588.8682646858597</v>
      </c>
      <c r="V97" s="373">
        <v>4308.3374376725251</v>
      </c>
      <c r="W97" s="373">
        <v>4473.3940746526996</v>
      </c>
      <c r="X97" s="373">
        <v>4472.6898375225492</v>
      </c>
      <c r="Y97" s="373">
        <v>4246.7176312110614</v>
      </c>
      <c r="Z97" s="373">
        <v>4476.5082070665367</v>
      </c>
      <c r="AA97" s="373">
        <v>4362.1870549193436</v>
      </c>
      <c r="AB97" s="373">
        <v>4206.2011534326502</v>
      </c>
      <c r="AC97" s="373">
        <v>4129.0862973779995</v>
      </c>
      <c r="AD97" s="373">
        <v>3821.8227647000699</v>
      </c>
      <c r="AE97" s="373">
        <v>3719.218586447143</v>
      </c>
      <c r="AF97" s="373">
        <v>3778.5605503167508</v>
      </c>
      <c r="AG97" s="373">
        <v>3698.0188956592401</v>
      </c>
      <c r="AH97" s="373">
        <v>3453.3596177423997</v>
      </c>
      <c r="AI97" s="373">
        <v>3403.1616083785075</v>
      </c>
      <c r="AJ97" s="373">
        <v>3200.4759877640563</v>
      </c>
      <c r="AK97" s="373">
        <v>3245.9896350499871</v>
      </c>
      <c r="AL97" s="373">
        <v>2879.4464343076015</v>
      </c>
      <c r="AM97" s="262">
        <v>3133.7692147697339</v>
      </c>
      <c r="AN97" s="262">
        <v>3613.3243036667777</v>
      </c>
      <c r="AO97" s="262">
        <v>3826.3674270747147</v>
      </c>
      <c r="AP97" s="262">
        <v>4046.4495650802146</v>
      </c>
      <c r="AQ97" s="262">
        <v>4175.2848149041147</v>
      </c>
      <c r="AR97" s="372">
        <v>4365.1638130544643</v>
      </c>
      <c r="AS97" s="372">
        <v>4171.0563628956643</v>
      </c>
      <c r="AT97" s="372">
        <v>4019.995452652769</v>
      </c>
      <c r="AU97" s="372">
        <v>3939.1217516854126</v>
      </c>
      <c r="AV97" s="372">
        <v>3907.7119051107138</v>
      </c>
      <c r="AW97" s="201">
        <v>4119.3108599709149</v>
      </c>
      <c r="AX97" s="201">
        <v>4213.5366982021142</v>
      </c>
      <c r="AY97" s="201">
        <v>3936.749447916256</v>
      </c>
      <c r="AZ97" s="201">
        <v>3511.5180610625944</v>
      </c>
      <c r="BA97" s="201">
        <v>3436.4015037429949</v>
      </c>
      <c r="BB97" s="201">
        <v>3618.7884375695144</v>
      </c>
      <c r="BC97" s="201">
        <v>3581.5214842677137</v>
      </c>
      <c r="BD97" s="201">
        <v>3275.4391089557548</v>
      </c>
      <c r="BE97" s="374">
        <v>3233.4531317637343</v>
      </c>
      <c r="BF97" s="374">
        <v>3235.8133675267145</v>
      </c>
      <c r="BG97" s="374">
        <v>3605.179638938514</v>
      </c>
      <c r="BH97" s="374">
        <v>3199.6223504474342</v>
      </c>
      <c r="BI97" s="374">
        <v>3622.6036794827346</v>
      </c>
      <c r="BJ97" s="374">
        <v>3514.1536301157748</v>
      </c>
      <c r="BK97" s="374">
        <v>3331.9965153145727</v>
      </c>
      <c r="BL97" s="374">
        <v>3253.8211511223139</v>
      </c>
      <c r="BM97" s="374">
        <v>3269.4633381787689</v>
      </c>
      <c r="BN97" s="374">
        <v>3323.3014528958024</v>
      </c>
      <c r="BO97" s="374">
        <v>3313.6797171324238</v>
      </c>
      <c r="BP97" s="374">
        <v>3112.0300106809682</v>
      </c>
      <c r="BQ97" s="374">
        <v>3051.2564302442966</v>
      </c>
      <c r="BR97" s="374">
        <v>3045.1375149969799</v>
      </c>
      <c r="BS97" s="374">
        <v>3543.4071539475199</v>
      </c>
      <c r="BT97" s="374">
        <v>3803.0876005267</v>
      </c>
      <c r="BU97" s="374">
        <v>3280.8602856862803</v>
      </c>
      <c r="BV97" s="374">
        <v>3352.6545404298581</v>
      </c>
      <c r="BW97" s="374">
        <v>3046.052725914335</v>
      </c>
      <c r="BX97" s="374">
        <v>2775.2754322005003</v>
      </c>
      <c r="BY97" s="374">
        <v>2848.2652017419005</v>
      </c>
      <c r="BZ97" s="374">
        <v>2634.5</v>
      </c>
      <c r="CA97" s="374">
        <v>2446.6151896215697</v>
      </c>
      <c r="CB97" s="374">
        <v>2350.7854610935169</v>
      </c>
      <c r="CC97" s="374">
        <v>2126.6094122995</v>
      </c>
      <c r="CD97" s="374">
        <v>2145.3452387380676</v>
      </c>
      <c r="CE97" s="374">
        <v>2368.4847978793455</v>
      </c>
      <c r="CF97" s="374">
        <v>2109.3762112946088</v>
      </c>
      <c r="CG97" s="374">
        <v>2175.8216241959267</v>
      </c>
      <c r="CH97" s="374">
        <v>2345.7790300879487</v>
      </c>
      <c r="CI97" s="374">
        <v>2233.5758634700451</v>
      </c>
      <c r="CJ97" s="374">
        <v>2249.7278603445702</v>
      </c>
      <c r="CK97" s="374">
        <v>2457.9441949691059</v>
      </c>
      <c r="CL97" s="374">
        <v>1983.392954014688</v>
      </c>
      <c r="CM97" s="374">
        <v>1926.8855084993738</v>
      </c>
      <c r="CN97" s="374">
        <v>2257.5859043407841</v>
      </c>
      <c r="CO97" s="374">
        <v>2161.0683882842072</v>
      </c>
    </row>
    <row r="98" spans="1:93">
      <c r="A98" s="371" t="s">
        <v>470</v>
      </c>
      <c r="B98" s="372">
        <v>87.711047879999995</v>
      </c>
      <c r="C98" s="260">
        <v>87.23537374</v>
      </c>
      <c r="D98" s="260">
        <v>86.763602249999991</v>
      </c>
      <c r="E98" s="207">
        <v>136.29410518</v>
      </c>
      <c r="F98" s="260">
        <v>136.37495138</v>
      </c>
      <c r="G98" s="260">
        <v>135.31764812</v>
      </c>
      <c r="H98" s="260">
        <v>24.832373199999999</v>
      </c>
      <c r="I98" s="260">
        <v>24.364547479999999</v>
      </c>
      <c r="J98" s="260">
        <v>24.216398359999999</v>
      </c>
      <c r="K98" s="207">
        <v>23.514482040000001</v>
      </c>
      <c r="L98" s="260">
        <v>22.901835519999999</v>
      </c>
      <c r="M98" s="260">
        <v>22.402974329999999</v>
      </c>
      <c r="N98" s="260">
        <v>21.906625369999997</v>
      </c>
      <c r="O98" s="207">
        <v>21.404850240000002</v>
      </c>
      <c r="P98" s="260">
        <v>6.5</v>
      </c>
      <c r="Q98" s="260">
        <v>6.53132</v>
      </c>
      <c r="R98" s="207">
        <v>6.5</v>
      </c>
      <c r="S98" s="260">
        <v>6.5</v>
      </c>
      <c r="T98" s="260">
        <v>6.5</v>
      </c>
      <c r="U98" s="373">
        <v>6.5</v>
      </c>
      <c r="V98" s="373">
        <v>6.5</v>
      </c>
      <c r="W98" s="373">
        <v>6.5</v>
      </c>
      <c r="X98" s="373">
        <v>6.5002195599999997</v>
      </c>
      <c r="Y98" s="373">
        <v>6.5</v>
      </c>
      <c r="Z98" s="373">
        <v>6.5</v>
      </c>
      <c r="AA98" s="373">
        <v>6.5</v>
      </c>
      <c r="AB98" s="373">
        <v>6.5</v>
      </c>
      <c r="AC98" s="373">
        <v>6.5</v>
      </c>
      <c r="AD98" s="373">
        <v>6.5</v>
      </c>
      <c r="AE98" s="373">
        <v>6.5</v>
      </c>
      <c r="AF98" s="373">
        <v>6.5002380000000004</v>
      </c>
      <c r="AG98" s="373">
        <v>6.5189180000000002</v>
      </c>
      <c r="AH98" s="373">
        <v>6.5002399999999998</v>
      </c>
      <c r="AI98" s="373">
        <v>6.5044225599999992</v>
      </c>
      <c r="AJ98" s="373">
        <v>6.5002360000000001</v>
      </c>
      <c r="AK98" s="373">
        <v>6.500254</v>
      </c>
      <c r="AL98" s="373">
        <v>84.972913100000014</v>
      </c>
      <c r="AM98" s="262">
        <v>116.23986896</v>
      </c>
      <c r="AN98" s="262">
        <v>292.0267952726</v>
      </c>
      <c r="AO98" s="262">
        <v>364.49077288310002</v>
      </c>
      <c r="AP98" s="262">
        <v>236.79753667800301</v>
      </c>
      <c r="AQ98" s="262">
        <v>236.19022687685401</v>
      </c>
      <c r="AR98" s="372">
        <v>234.39160893746799</v>
      </c>
      <c r="AS98" s="372">
        <v>291.83981005999999</v>
      </c>
      <c r="AT98" s="372">
        <v>136.85403206999999</v>
      </c>
      <c r="AU98" s="372">
        <v>134.99995465999999</v>
      </c>
      <c r="AV98" s="372">
        <v>132.88275013000001</v>
      </c>
      <c r="AW98" s="201">
        <v>130.69888889000001</v>
      </c>
      <c r="AX98" s="201">
        <v>128.58849473999999</v>
      </c>
      <c r="AY98" s="201">
        <v>126.43155626000001</v>
      </c>
      <c r="AZ98" s="201">
        <v>124.25816643</v>
      </c>
      <c r="BA98" s="201">
        <v>122.04283488999999</v>
      </c>
      <c r="BB98" s="201">
        <v>119.80981906000001</v>
      </c>
      <c r="BC98" s="201">
        <v>117.58767493000001</v>
      </c>
      <c r="BD98" s="201">
        <v>115.34965885</v>
      </c>
      <c r="BE98" s="374">
        <v>113.08956507000001</v>
      </c>
      <c r="BF98" s="374">
        <v>113.75152331</v>
      </c>
      <c r="BG98" s="374">
        <v>8.1195020299999996</v>
      </c>
      <c r="BH98" s="374">
        <v>8.1184999999999992</v>
      </c>
      <c r="BI98" s="374">
        <v>8.1184999999999992</v>
      </c>
      <c r="BJ98" s="374">
        <v>8.1705000000000005</v>
      </c>
      <c r="BK98" s="374">
        <v>8.1706395300000008</v>
      </c>
      <c r="BL98" s="374">
        <v>8.1710042499999993</v>
      </c>
      <c r="BM98" s="374">
        <v>8.2198796699999992</v>
      </c>
      <c r="BN98" s="374">
        <v>7.9494999999999996</v>
      </c>
      <c r="BO98" s="374">
        <v>7.9494999999999996</v>
      </c>
      <c r="BP98" s="374">
        <v>7.6764999999999999</v>
      </c>
      <c r="BQ98" s="374">
        <v>7.6764999999999999</v>
      </c>
      <c r="BR98" s="374">
        <v>7.6764999999999999</v>
      </c>
      <c r="BS98" s="374">
        <v>7.6764999999999999</v>
      </c>
      <c r="BT98" s="374">
        <v>7.6764999999999999</v>
      </c>
      <c r="BU98" s="374">
        <v>7.6764999999999999</v>
      </c>
      <c r="BV98" s="374">
        <v>9.2302020000000002</v>
      </c>
      <c r="BW98" s="374">
        <v>10.095631000000001</v>
      </c>
      <c r="BX98" s="374">
        <v>9.2302020000000002</v>
      </c>
      <c r="BY98" s="374">
        <v>9.23</v>
      </c>
      <c r="BZ98" s="374">
        <v>9.1999999999999993</v>
      </c>
      <c r="CA98" s="374">
        <v>9.23</v>
      </c>
      <c r="CB98" s="374">
        <v>9.3440100000000008</v>
      </c>
      <c r="CC98" s="374">
        <v>9.3440100000000008</v>
      </c>
      <c r="CD98" s="374">
        <v>9.3440100000000008</v>
      </c>
      <c r="CE98" s="374">
        <v>9.3546212200000003</v>
      </c>
      <c r="CF98" s="374">
        <v>9.3580840000000016</v>
      </c>
      <c r="CG98" s="374">
        <v>9.3579106200000002</v>
      </c>
      <c r="CH98" s="374">
        <v>1.3760290000000001E-2</v>
      </c>
      <c r="CI98" s="374">
        <v>5.9129999999999999E-3</v>
      </c>
      <c r="CJ98" s="374">
        <v>9.5551649999999988E-2</v>
      </c>
      <c r="CK98" s="374">
        <v>1.8079499999999998E-2</v>
      </c>
      <c r="CL98" s="374">
        <v>1.1941790000000001E-2</v>
      </c>
      <c r="CM98" s="374">
        <v>1.0566790000000001E-2</v>
      </c>
      <c r="CN98" s="374">
        <v>1.148191E-2</v>
      </c>
      <c r="CO98" s="374">
        <v>9.1796100000000012E-3</v>
      </c>
    </row>
    <row r="99" spans="1:93">
      <c r="A99" s="371" t="s">
        <v>471</v>
      </c>
      <c r="B99" s="372">
        <v>185.20317135999997</v>
      </c>
      <c r="C99" s="260">
        <v>187.90801233999997</v>
      </c>
      <c r="D99" s="260">
        <v>194.08208089000004</v>
      </c>
      <c r="E99" s="207">
        <v>210.36974814999999</v>
      </c>
      <c r="F99" s="260">
        <v>215.56163597000003</v>
      </c>
      <c r="G99" s="260">
        <v>235.5792629357</v>
      </c>
      <c r="H99" s="260">
        <v>435.39563840999995</v>
      </c>
      <c r="I99" s="260">
        <v>387.50842507000004</v>
      </c>
      <c r="J99" s="260">
        <v>304.06025365999994</v>
      </c>
      <c r="K99" s="207">
        <v>292.24339026000001</v>
      </c>
      <c r="L99" s="260">
        <v>306.38062955999999</v>
      </c>
      <c r="M99" s="260">
        <v>294.86824723000001</v>
      </c>
      <c r="N99" s="260">
        <v>282.02337148000004</v>
      </c>
      <c r="O99" s="207">
        <v>310.96630834999996</v>
      </c>
      <c r="P99" s="260">
        <v>318.34908197999994</v>
      </c>
      <c r="Q99" s="260">
        <v>319.90471190999995</v>
      </c>
      <c r="R99" s="207">
        <v>318.67521477999998</v>
      </c>
      <c r="S99" s="260">
        <v>318.77939139999995</v>
      </c>
      <c r="T99" s="260">
        <v>326.91259193000002</v>
      </c>
      <c r="U99" s="373">
        <v>358.82074175000002</v>
      </c>
      <c r="V99" s="373">
        <v>319.17839400000003</v>
      </c>
      <c r="W99" s="373">
        <v>327.59200720000001</v>
      </c>
      <c r="X99" s="373">
        <v>320.40623551000004</v>
      </c>
      <c r="Y99" s="373">
        <v>322.88736379999995</v>
      </c>
      <c r="Z99" s="373">
        <v>316.95812301000001</v>
      </c>
      <c r="AA99" s="373">
        <v>293.78175304000001</v>
      </c>
      <c r="AB99" s="373">
        <v>272.63401559000005</v>
      </c>
      <c r="AC99" s="373">
        <v>155.90102480000002</v>
      </c>
      <c r="AD99" s="373">
        <v>180.43408848000001</v>
      </c>
      <c r="AE99" s="373">
        <v>170.30640887999999</v>
      </c>
      <c r="AF99" s="373">
        <v>208.18358467000002</v>
      </c>
      <c r="AG99" s="373">
        <v>212.44825832000004</v>
      </c>
      <c r="AH99" s="373">
        <v>226.32060888000001</v>
      </c>
      <c r="AI99" s="373">
        <v>299.41302808000006</v>
      </c>
      <c r="AJ99" s="373">
        <v>388.99981198499995</v>
      </c>
      <c r="AK99" s="373">
        <v>401.00022699499999</v>
      </c>
      <c r="AL99" s="373">
        <v>378.60530072</v>
      </c>
      <c r="AM99" s="262">
        <v>414.23817852499997</v>
      </c>
      <c r="AN99" s="262">
        <v>372.24626378999994</v>
      </c>
      <c r="AO99" s="262">
        <v>346.29605989500004</v>
      </c>
      <c r="AP99" s="262">
        <v>328.88665951690001</v>
      </c>
      <c r="AQ99" s="262">
        <v>325.34614498399998</v>
      </c>
      <c r="AR99" s="372">
        <v>600.15440630260002</v>
      </c>
      <c r="AS99" s="372">
        <v>443.43151562999998</v>
      </c>
      <c r="AT99" s="372">
        <v>423.63595256740001</v>
      </c>
      <c r="AU99" s="372">
        <v>454.58265854299998</v>
      </c>
      <c r="AV99" s="372">
        <v>518.80168487600008</v>
      </c>
      <c r="AW99" s="201">
        <v>606.6952508700499</v>
      </c>
      <c r="AX99" s="201">
        <v>627.91408924847497</v>
      </c>
      <c r="AY99" s="201">
        <v>687.78706260697106</v>
      </c>
      <c r="AZ99" s="201">
        <v>787.65242554868598</v>
      </c>
      <c r="BA99" s="201">
        <v>773.61235472999999</v>
      </c>
      <c r="BB99" s="201">
        <v>752.88096248290003</v>
      </c>
      <c r="BC99" s="201">
        <v>769.81463182979996</v>
      </c>
      <c r="BD99" s="201">
        <v>902.64682031999996</v>
      </c>
      <c r="BE99" s="374">
        <v>897.72737644850008</v>
      </c>
      <c r="BF99" s="374">
        <v>847.74924172099986</v>
      </c>
      <c r="BG99" s="374">
        <v>788.22460027800003</v>
      </c>
      <c r="BH99" s="374">
        <v>811.39179054039994</v>
      </c>
      <c r="BI99" s="374">
        <v>872.47320154249996</v>
      </c>
      <c r="BJ99" s="374">
        <v>903.83692580930006</v>
      </c>
      <c r="BK99" s="374">
        <v>974.5391210002</v>
      </c>
      <c r="BL99" s="374">
        <v>915.34603206259987</v>
      </c>
      <c r="BM99" s="374">
        <v>977.19577565400004</v>
      </c>
      <c r="BN99" s="374">
        <v>956.09327772300003</v>
      </c>
      <c r="BO99" s="374">
        <v>916.69655005480001</v>
      </c>
      <c r="BP99" s="374">
        <v>978.89973404</v>
      </c>
      <c r="BQ99" s="374">
        <v>767.52691697629996</v>
      </c>
      <c r="BR99" s="374">
        <v>861.08378199299977</v>
      </c>
      <c r="BS99" s="374">
        <v>870.99274113440015</v>
      </c>
      <c r="BT99" s="374">
        <v>932.57963933649989</v>
      </c>
      <c r="BU99" s="374">
        <v>899.20173616124794</v>
      </c>
      <c r="BV99" s="374">
        <v>858.33024937361597</v>
      </c>
      <c r="BW99" s="374">
        <v>894.12813590486996</v>
      </c>
      <c r="BX99" s="374">
        <v>915.53442298300001</v>
      </c>
      <c r="BY99" s="374">
        <v>881.21824795549992</v>
      </c>
      <c r="BZ99" s="374">
        <v>1158.5999999999999</v>
      </c>
      <c r="CA99" s="374">
        <v>1669.7786998369002</v>
      </c>
      <c r="CB99" s="374">
        <v>979.50007842539981</v>
      </c>
      <c r="CC99" s="374">
        <v>1012.6294994022001</v>
      </c>
      <c r="CD99" s="374">
        <v>1008.9264088955917</v>
      </c>
      <c r="CE99" s="374">
        <v>588.16601591873723</v>
      </c>
      <c r="CF99" s="374">
        <v>567.61900842683986</v>
      </c>
      <c r="CG99" s="374">
        <v>555.40778413253668</v>
      </c>
      <c r="CH99" s="374">
        <v>581.84559862027345</v>
      </c>
      <c r="CI99" s="374">
        <v>628.92124794464837</v>
      </c>
      <c r="CJ99" s="374">
        <v>586.55950193630599</v>
      </c>
      <c r="CK99" s="374">
        <v>602.04242589</v>
      </c>
      <c r="CL99" s="374">
        <v>533.62354291999998</v>
      </c>
      <c r="CM99" s="374">
        <v>860.09848991500007</v>
      </c>
      <c r="CN99" s="374">
        <v>878.09817760500005</v>
      </c>
      <c r="CO99" s="374">
        <v>852.10210693249996</v>
      </c>
    </row>
    <row r="100" spans="1:93">
      <c r="A100" s="371" t="s">
        <v>472</v>
      </c>
      <c r="B100" s="372">
        <v>714.69791464449997</v>
      </c>
      <c r="C100" s="260">
        <v>609.97317856999996</v>
      </c>
      <c r="D100" s="260">
        <v>584.83938008999996</v>
      </c>
      <c r="E100" s="207">
        <v>818.77560125039997</v>
      </c>
      <c r="F100" s="260">
        <v>822.05765346479996</v>
      </c>
      <c r="G100" s="260">
        <v>826.83608893626763</v>
      </c>
      <c r="H100" s="260">
        <v>890.8246249852001</v>
      </c>
      <c r="I100" s="260">
        <v>619.88005194136997</v>
      </c>
      <c r="J100" s="260">
        <v>703.13107186720003</v>
      </c>
      <c r="K100" s="207">
        <v>705.33570654439995</v>
      </c>
      <c r="L100" s="260">
        <v>695.09410273376739</v>
      </c>
      <c r="M100" s="260">
        <v>703.50408094345426</v>
      </c>
      <c r="N100" s="260">
        <v>734.68697424995776</v>
      </c>
      <c r="O100" s="207">
        <v>717.95744650379993</v>
      </c>
      <c r="P100" s="260">
        <v>723.59506086616409</v>
      </c>
      <c r="Q100" s="260">
        <v>754.56626723869999</v>
      </c>
      <c r="R100" s="207">
        <v>770.0674528510001</v>
      </c>
      <c r="S100" s="260">
        <v>808.44522681559999</v>
      </c>
      <c r="T100" s="260">
        <v>736.59105190999992</v>
      </c>
      <c r="U100" s="373">
        <v>799.79405567525794</v>
      </c>
      <c r="V100" s="373">
        <v>936.6830903924149</v>
      </c>
      <c r="W100" s="373">
        <v>1013.1736650591851</v>
      </c>
      <c r="X100" s="373">
        <v>1084.2326746755821</v>
      </c>
      <c r="Y100" s="373">
        <v>926.18866461550783</v>
      </c>
      <c r="Z100" s="373">
        <v>1855.4002443724978</v>
      </c>
      <c r="AA100" s="373">
        <v>1661.6434256461564</v>
      </c>
      <c r="AB100" s="373">
        <v>1657.9978314761324</v>
      </c>
      <c r="AC100" s="373">
        <v>1882.902730647935</v>
      </c>
      <c r="AD100" s="373">
        <v>2029.5459584542771</v>
      </c>
      <c r="AE100" s="373">
        <v>2121.655358206996</v>
      </c>
      <c r="AF100" s="373">
        <v>2098.0112250705502</v>
      </c>
      <c r="AG100" s="373">
        <v>2158.8833239561445</v>
      </c>
      <c r="AH100" s="373">
        <v>2489.7712049900401</v>
      </c>
      <c r="AI100" s="373">
        <v>3744.2692637208961</v>
      </c>
      <c r="AJ100" s="373">
        <v>4155.8679908568829</v>
      </c>
      <c r="AK100" s="373">
        <v>4454.3598172714346</v>
      </c>
      <c r="AL100" s="373">
        <v>4989.9076507462632</v>
      </c>
      <c r="AM100" s="262">
        <v>5493.4411654425985</v>
      </c>
      <c r="AN100" s="262">
        <v>4706.5288888501009</v>
      </c>
      <c r="AO100" s="262">
        <v>4838.4834164824651</v>
      </c>
      <c r="AP100" s="262">
        <v>4483.7849558840016</v>
      </c>
      <c r="AQ100" s="262">
        <v>4401.6200424451417</v>
      </c>
      <c r="AR100" s="372">
        <v>4013.7287109496592</v>
      </c>
      <c r="AS100" s="372">
        <v>3995.3991917870385</v>
      </c>
      <c r="AT100" s="372">
        <v>3807.2270378305357</v>
      </c>
      <c r="AU100" s="372">
        <v>3975.51400469891</v>
      </c>
      <c r="AV100" s="372">
        <v>4030.2719575240917</v>
      </c>
      <c r="AW100" s="201">
        <v>3822.1326939366368</v>
      </c>
      <c r="AX100" s="201">
        <v>3576.041704142755</v>
      </c>
      <c r="AY100" s="201">
        <v>3760.3622018337101</v>
      </c>
      <c r="AZ100" s="201">
        <v>4321.7628450836828</v>
      </c>
      <c r="BA100" s="201">
        <v>4286.1327192511326</v>
      </c>
      <c r="BB100" s="201">
        <v>5076.4133249375518</v>
      </c>
      <c r="BC100" s="201">
        <v>5032.9457677654027</v>
      </c>
      <c r="BD100" s="201">
        <v>4634.8070307125636</v>
      </c>
      <c r="BE100" s="374">
        <v>4566.9877742784865</v>
      </c>
      <c r="BF100" s="374">
        <v>4236.1309651734</v>
      </c>
      <c r="BG100" s="374">
        <v>4506.9717652589998</v>
      </c>
      <c r="BH100" s="374">
        <v>4438.0138212631291</v>
      </c>
      <c r="BI100" s="374">
        <v>4580.9228817900894</v>
      </c>
      <c r="BJ100" s="374">
        <v>4407.1366620156086</v>
      </c>
      <c r="BK100" s="374">
        <v>4107.1727612484401</v>
      </c>
      <c r="BL100" s="374">
        <v>4359.6045222536904</v>
      </c>
      <c r="BM100" s="374">
        <v>4668.4158780293619</v>
      </c>
      <c r="BN100" s="374">
        <v>4701.5166690812084</v>
      </c>
      <c r="BO100" s="374">
        <v>4783.799419619425</v>
      </c>
      <c r="BP100" s="374">
        <v>5260.9006798971914</v>
      </c>
      <c r="BQ100" s="374">
        <v>5096.2989496242744</v>
      </c>
      <c r="BR100" s="374">
        <v>5038.5606199521235</v>
      </c>
      <c r="BS100" s="374">
        <v>5474.6890044584716</v>
      </c>
      <c r="BT100" s="374">
        <v>5560.205297856578</v>
      </c>
      <c r="BU100" s="374">
        <v>5408.3974051894747</v>
      </c>
      <c r="BV100" s="374">
        <v>5598.2392397336644</v>
      </c>
      <c r="BW100" s="374">
        <v>5462.1298817169245</v>
      </c>
      <c r="BX100" s="374">
        <v>5525.5667349415007</v>
      </c>
      <c r="BY100" s="374">
        <v>5709.7100208644006</v>
      </c>
      <c r="BZ100" s="374">
        <v>5688.6</v>
      </c>
      <c r="CA100" s="374">
        <v>5611.7488778820198</v>
      </c>
      <c r="CB100" s="374">
        <v>6966.9247731276555</v>
      </c>
      <c r="CC100" s="374">
        <v>7859.6954385377103</v>
      </c>
      <c r="CD100" s="374">
        <v>7505.8112808411697</v>
      </c>
      <c r="CE100" s="374">
        <v>7215.123862775863</v>
      </c>
      <c r="CF100" s="374">
        <v>6457.8209475162639</v>
      </c>
      <c r="CG100" s="374">
        <v>6899.7869665262961</v>
      </c>
      <c r="CH100" s="374">
        <v>7303.4483771381629</v>
      </c>
      <c r="CI100" s="374">
        <v>6752.2187619599708</v>
      </c>
      <c r="CJ100" s="374">
        <v>6792.2447299277528</v>
      </c>
      <c r="CK100" s="374">
        <v>6712.9474384153946</v>
      </c>
      <c r="CL100" s="374">
        <v>6596.0007252802234</v>
      </c>
      <c r="CM100" s="374">
        <v>6605.9548178585792</v>
      </c>
      <c r="CN100" s="374">
        <v>6592.225891089859</v>
      </c>
      <c r="CO100" s="374">
        <v>6704.7852407125683</v>
      </c>
    </row>
    <row r="101" spans="1:93">
      <c r="A101" s="371" t="s">
        <v>473</v>
      </c>
      <c r="B101" s="372">
        <v>381.14089100000001</v>
      </c>
      <c r="C101" s="260">
        <v>302.61128963000004</v>
      </c>
      <c r="D101" s="260">
        <v>285.53637800000001</v>
      </c>
      <c r="E101" s="207">
        <v>284.21448800000002</v>
      </c>
      <c r="F101" s="260">
        <v>274.02513800000003</v>
      </c>
      <c r="G101" s="260">
        <v>374.02534300000002</v>
      </c>
      <c r="H101" s="260">
        <v>368.18711999999999</v>
      </c>
      <c r="I101" s="260">
        <v>334.661451</v>
      </c>
      <c r="J101" s="260">
        <v>432.17281000000003</v>
      </c>
      <c r="K101" s="207">
        <v>441.52141273000001</v>
      </c>
      <c r="L101" s="260">
        <v>2052.3029062099999</v>
      </c>
      <c r="M101" s="260">
        <v>2048.7337489199999</v>
      </c>
      <c r="N101" s="260">
        <v>2338.9024081794018</v>
      </c>
      <c r="O101" s="207">
        <v>2353.964952379401</v>
      </c>
      <c r="P101" s="260">
        <v>2397.9630134694012</v>
      </c>
      <c r="Q101" s="260">
        <v>2389.7803961655663</v>
      </c>
      <c r="R101" s="207">
        <v>2339.8218220753397</v>
      </c>
      <c r="S101" s="260">
        <v>2366.8926311532732</v>
      </c>
      <c r="T101" s="260">
        <v>2347.6050583645938</v>
      </c>
      <c r="U101" s="373">
        <v>2338.7577917844678</v>
      </c>
      <c r="V101" s="373">
        <v>813.77663583446781</v>
      </c>
      <c r="W101" s="373">
        <v>800.93301396543848</v>
      </c>
      <c r="X101" s="373">
        <v>762.53315009543849</v>
      </c>
      <c r="Y101" s="373">
        <v>690.77569324543856</v>
      </c>
      <c r="Z101" s="373">
        <v>875.22545058905791</v>
      </c>
      <c r="AA101" s="373">
        <v>856.39211658905788</v>
      </c>
      <c r="AB101" s="373">
        <v>846.17491996905778</v>
      </c>
      <c r="AC101" s="373">
        <v>962.37317897051287</v>
      </c>
      <c r="AD101" s="373">
        <v>910.00165437592636</v>
      </c>
      <c r="AE101" s="373">
        <v>903.5156826259265</v>
      </c>
      <c r="AF101" s="373">
        <v>905.56880137592634</v>
      </c>
      <c r="AG101" s="373">
        <v>903.24171565592633</v>
      </c>
      <c r="AH101" s="373">
        <v>870.58053361592636</v>
      </c>
      <c r="AI101" s="373">
        <v>844.03356805300098</v>
      </c>
      <c r="AJ101" s="373">
        <v>789.98935332300096</v>
      </c>
      <c r="AK101" s="373">
        <v>776.08177119300103</v>
      </c>
      <c r="AL101" s="373">
        <v>739.87209321773605</v>
      </c>
      <c r="AM101" s="262">
        <v>729.26508691773608</v>
      </c>
      <c r="AN101" s="262">
        <v>629.52247591773607</v>
      </c>
      <c r="AO101" s="262">
        <v>634.03069074906625</v>
      </c>
      <c r="AP101" s="262">
        <v>628.47410435906625</v>
      </c>
      <c r="AQ101" s="262">
        <v>617.57752563906627</v>
      </c>
      <c r="AR101" s="372">
        <v>607.74584303573283</v>
      </c>
      <c r="AS101" s="372">
        <v>605.66193696573293</v>
      </c>
      <c r="AT101" s="372">
        <v>588.7356674257328</v>
      </c>
      <c r="AU101" s="372">
        <v>574.60864812609407</v>
      </c>
      <c r="AV101" s="372">
        <v>566.27279296609402</v>
      </c>
      <c r="AW101" s="201">
        <v>557.94309238609412</v>
      </c>
      <c r="AX101" s="201">
        <v>759.54389995805184</v>
      </c>
      <c r="AY101" s="201">
        <v>753.54239917805182</v>
      </c>
      <c r="AZ101" s="201">
        <v>695.2011811780518</v>
      </c>
      <c r="BA101" s="201">
        <v>702.75181049288278</v>
      </c>
      <c r="BB101" s="201">
        <v>691.00808081288278</v>
      </c>
      <c r="BC101" s="201">
        <v>679.33504925288287</v>
      </c>
      <c r="BD101" s="201">
        <v>788.07075187510304</v>
      </c>
      <c r="BE101" s="374">
        <v>777.97135363510301</v>
      </c>
      <c r="BF101" s="374">
        <v>763.48328460510299</v>
      </c>
      <c r="BG101" s="374">
        <v>768.64001738133641</v>
      </c>
      <c r="BH101" s="374">
        <v>755.30659838133647</v>
      </c>
      <c r="BI101" s="374">
        <v>741.97326438133643</v>
      </c>
      <c r="BJ101" s="374">
        <v>820.6427628737564</v>
      </c>
      <c r="BK101" s="374">
        <v>810.81510727375655</v>
      </c>
      <c r="BL101" s="374">
        <v>793.98801387375636</v>
      </c>
      <c r="BM101" s="374">
        <v>960.40302395000003</v>
      </c>
      <c r="BN101" s="374">
        <v>830.93890644232317</v>
      </c>
      <c r="BO101" s="374">
        <v>812.01249773232314</v>
      </c>
      <c r="BP101" s="374">
        <v>798.13518832049795</v>
      </c>
      <c r="BQ101" s="374">
        <v>785.70795316049794</v>
      </c>
      <c r="BR101" s="374">
        <v>771.47003816049789</v>
      </c>
      <c r="BS101" s="374">
        <v>764.92091790800782</v>
      </c>
      <c r="BT101" s="374">
        <v>728.10997330156067</v>
      </c>
      <c r="BU101" s="374">
        <v>746.36401860156059</v>
      </c>
      <c r="BV101" s="374">
        <v>884.22925797999994</v>
      </c>
      <c r="BW101" s="374">
        <v>852.79331327999989</v>
      </c>
      <c r="BX101" s="374">
        <v>931.98122499999999</v>
      </c>
      <c r="BY101" s="374">
        <v>932.64709300000004</v>
      </c>
      <c r="BZ101" s="374">
        <v>922.2</v>
      </c>
      <c r="CA101" s="374">
        <v>921.22766354275007</v>
      </c>
      <c r="CB101" s="374">
        <v>907.98291426275011</v>
      </c>
      <c r="CC101" s="374">
        <v>308.30996425000001</v>
      </c>
      <c r="CD101" s="374">
        <v>417.75223341999998</v>
      </c>
      <c r="CE101" s="374">
        <v>519.08684378999999</v>
      </c>
      <c r="CF101" s="374">
        <v>511.8668419</v>
      </c>
      <c r="CG101" s="374">
        <v>504.52041152000004</v>
      </c>
      <c r="CH101" s="374">
        <v>541.17620889</v>
      </c>
      <c r="CI101" s="374">
        <v>538.10996406000004</v>
      </c>
      <c r="CJ101" s="374">
        <v>540.13928379000004</v>
      </c>
      <c r="CK101" s="374">
        <v>536.76707811999995</v>
      </c>
      <c r="CL101" s="374">
        <v>456.26798581000003</v>
      </c>
      <c r="CM101" s="374">
        <v>425.08917665000001</v>
      </c>
      <c r="CN101" s="374">
        <v>412.26895896999997</v>
      </c>
      <c r="CO101" s="374">
        <v>398.37499306999996</v>
      </c>
    </row>
    <row r="102" spans="1:93">
      <c r="A102" s="371" t="s">
        <v>407</v>
      </c>
      <c r="B102" s="372">
        <v>5843.0565415835536</v>
      </c>
      <c r="C102" s="260">
        <v>5559.6508094964829</v>
      </c>
      <c r="D102" s="260">
        <v>5402.9399321534711</v>
      </c>
      <c r="E102" s="207">
        <v>5589.0693086817</v>
      </c>
      <c r="F102" s="260">
        <v>5384.7305975907293</v>
      </c>
      <c r="G102" s="260">
        <v>5309.0810698800469</v>
      </c>
      <c r="H102" s="260">
        <v>5964.7013840558393</v>
      </c>
      <c r="I102" s="260">
        <v>6098.2309947908798</v>
      </c>
      <c r="J102" s="260">
        <v>6082.0523489815996</v>
      </c>
      <c r="K102" s="207">
        <v>5963.8149222485999</v>
      </c>
      <c r="L102" s="260">
        <v>6090.9573205450479</v>
      </c>
      <c r="M102" s="260">
        <v>5929.4918350761973</v>
      </c>
      <c r="N102" s="260">
        <v>6186.1345093231603</v>
      </c>
      <c r="O102" s="207">
        <v>6338.1862835821003</v>
      </c>
      <c r="P102" s="260">
        <v>6925.6437506492466</v>
      </c>
      <c r="Q102" s="260">
        <v>6964.3098789862006</v>
      </c>
      <c r="R102" s="207">
        <v>7538.4142954195995</v>
      </c>
      <c r="S102" s="260">
        <v>7830.9613635325013</v>
      </c>
      <c r="T102" s="260">
        <v>7878.3259107999993</v>
      </c>
      <c r="U102" s="373">
        <v>8305.7927825150182</v>
      </c>
      <c r="V102" s="373">
        <v>8437.8692368629872</v>
      </c>
      <c r="W102" s="373">
        <v>8839.8772899001997</v>
      </c>
      <c r="X102" s="373">
        <v>8795.7042239999992</v>
      </c>
      <c r="Y102" s="373">
        <v>8721.1979148789906</v>
      </c>
      <c r="Z102" s="373">
        <v>7816.3438431857876</v>
      </c>
      <c r="AA102" s="373">
        <v>7748.380829087946</v>
      </c>
      <c r="AB102" s="373">
        <v>7784.153618037426</v>
      </c>
      <c r="AC102" s="373">
        <v>8676.7860172852324</v>
      </c>
      <c r="AD102" s="373">
        <v>8627.8424176872686</v>
      </c>
      <c r="AE102" s="373">
        <v>8693.1561027003245</v>
      </c>
      <c r="AF102" s="373">
        <v>8632.6252355775541</v>
      </c>
      <c r="AG102" s="373">
        <v>8847.3806556513282</v>
      </c>
      <c r="AH102" s="373">
        <v>8337.9693267333387</v>
      </c>
      <c r="AI102" s="373">
        <v>8636.3118297826659</v>
      </c>
      <c r="AJ102" s="373">
        <v>8328.3025826940157</v>
      </c>
      <c r="AK102" s="373">
        <v>8974.3879707484375</v>
      </c>
      <c r="AL102" s="373">
        <v>9311.7854957182954</v>
      </c>
      <c r="AM102" s="262">
        <v>9347.8913287904797</v>
      </c>
      <c r="AN102" s="262">
        <v>9404.6315948528718</v>
      </c>
      <c r="AO102" s="262">
        <v>9739.2593938442769</v>
      </c>
      <c r="AP102" s="262">
        <v>10004.12934457988</v>
      </c>
      <c r="AQ102" s="262">
        <v>10110.843716640182</v>
      </c>
      <c r="AR102" s="372">
        <v>10481.630446117419</v>
      </c>
      <c r="AS102" s="372">
        <v>9588.9037520400016</v>
      </c>
      <c r="AT102" s="372">
        <v>9808.146917614833</v>
      </c>
      <c r="AU102" s="372">
        <v>9588.0800079374403</v>
      </c>
      <c r="AV102" s="372">
        <v>9718.6503103592222</v>
      </c>
      <c r="AW102" s="201">
        <v>9268.3878983211143</v>
      </c>
      <c r="AX102" s="201">
        <v>9353.4470332928995</v>
      </c>
      <c r="AY102" s="201">
        <v>9437.5246191005372</v>
      </c>
      <c r="AZ102" s="201">
        <v>10274.352882980123</v>
      </c>
      <c r="BA102" s="201">
        <v>10166.427793609553</v>
      </c>
      <c r="BB102" s="201">
        <v>10389.417836790184</v>
      </c>
      <c r="BC102" s="201">
        <v>10625.011745687814</v>
      </c>
      <c r="BD102" s="201">
        <v>9968.1205601711408</v>
      </c>
      <c r="BE102" s="374">
        <v>10049.684991127566</v>
      </c>
      <c r="BF102" s="374">
        <v>10591.858671057624</v>
      </c>
      <c r="BG102" s="374">
        <v>10290.99895543688</v>
      </c>
      <c r="BH102" s="374">
        <v>10512.315250310969</v>
      </c>
      <c r="BI102" s="374">
        <v>10090.904356145989</v>
      </c>
      <c r="BJ102" s="374">
        <v>10605.867338809932</v>
      </c>
      <c r="BK102" s="374">
        <v>11040.351617682078</v>
      </c>
      <c r="BL102" s="374">
        <v>10834.717194104769</v>
      </c>
      <c r="BM102" s="374">
        <v>10864.337875750831</v>
      </c>
      <c r="BN102" s="374">
        <v>11143.472911347837</v>
      </c>
      <c r="BO102" s="374">
        <v>11339.18894172525</v>
      </c>
      <c r="BP102" s="374">
        <v>13010.94603568831</v>
      </c>
      <c r="BQ102" s="374">
        <v>13142.899956530015</v>
      </c>
      <c r="BR102" s="374">
        <v>13363.50966748602</v>
      </c>
      <c r="BS102" s="374">
        <v>12936.477396168693</v>
      </c>
      <c r="BT102" s="374">
        <v>13068.660070256547</v>
      </c>
      <c r="BU102" s="374">
        <v>13263.756393642407</v>
      </c>
      <c r="BV102" s="374">
        <v>13422.464196176719</v>
      </c>
      <c r="BW102" s="374">
        <v>13318.599485888837</v>
      </c>
      <c r="BX102" s="374">
        <v>13884.877446752998</v>
      </c>
      <c r="BY102" s="374">
        <v>12626.312459336299</v>
      </c>
      <c r="BZ102" s="374">
        <v>12673.5</v>
      </c>
      <c r="CA102" s="374">
        <v>12681.161033793069</v>
      </c>
      <c r="CB102" s="374">
        <v>12468.731049080949</v>
      </c>
      <c r="CC102" s="374">
        <v>12556.242423928998</v>
      </c>
      <c r="CD102" s="374">
        <v>12565.614363119123</v>
      </c>
      <c r="CE102" s="374">
        <v>13330.591293970043</v>
      </c>
      <c r="CF102" s="374">
        <v>13385.725306133078</v>
      </c>
      <c r="CG102" s="374">
        <v>13505.929810974714</v>
      </c>
      <c r="CH102" s="374">
        <v>13874.19672138575</v>
      </c>
      <c r="CI102" s="374">
        <v>14264.518265692097</v>
      </c>
      <c r="CJ102" s="374">
        <v>14179.103431277292</v>
      </c>
      <c r="CK102" s="374">
        <v>14072.053020673709</v>
      </c>
      <c r="CL102" s="374">
        <v>14578.135137691666</v>
      </c>
      <c r="CM102" s="374">
        <v>14805.33190524052</v>
      </c>
      <c r="CN102" s="374">
        <v>14968.761863425219</v>
      </c>
      <c r="CO102" s="374">
        <v>15098.044093518205</v>
      </c>
    </row>
    <row r="103" spans="1:93" ht="7.7" customHeight="1">
      <c r="A103" s="365"/>
      <c r="B103" s="398"/>
      <c r="C103" s="399"/>
      <c r="D103" s="399"/>
      <c r="E103" s="400"/>
      <c r="F103" s="399"/>
      <c r="G103" s="399"/>
      <c r="H103" s="260"/>
      <c r="I103" s="260"/>
      <c r="J103" s="260"/>
      <c r="K103" s="207"/>
      <c r="L103" s="260"/>
      <c r="M103" s="260"/>
      <c r="N103" s="260"/>
      <c r="O103" s="207"/>
      <c r="P103" s="260"/>
      <c r="Q103" s="260"/>
      <c r="R103" s="207"/>
      <c r="S103" s="260"/>
      <c r="T103" s="260"/>
      <c r="U103" s="373"/>
      <c r="V103" s="373"/>
      <c r="W103" s="373"/>
      <c r="X103" s="373"/>
      <c r="Y103" s="373"/>
      <c r="Z103" s="373"/>
      <c r="AA103" s="373"/>
      <c r="AB103" s="373"/>
      <c r="AC103" s="373"/>
      <c r="AD103" s="373"/>
      <c r="AE103" s="373"/>
      <c r="AF103" s="373"/>
      <c r="AG103" s="373"/>
      <c r="AH103" s="373"/>
      <c r="AI103" s="373"/>
      <c r="AJ103" s="373"/>
      <c r="AK103" s="373"/>
      <c r="AL103" s="373"/>
      <c r="AM103" s="261"/>
      <c r="AN103" s="261"/>
      <c r="AO103" s="261"/>
      <c r="AP103" s="261"/>
      <c r="AQ103" s="261"/>
      <c r="AR103" s="398"/>
      <c r="AS103" s="398"/>
      <c r="AT103" s="398"/>
      <c r="AU103" s="398"/>
      <c r="AV103" s="398"/>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0"/>
      <c r="BT103" s="370"/>
      <c r="BU103" s="370"/>
      <c r="BV103" s="370"/>
      <c r="BW103" s="370"/>
      <c r="BX103" s="370"/>
      <c r="BY103" s="370"/>
      <c r="BZ103" s="370"/>
      <c r="CA103" s="370"/>
      <c r="CB103" s="370"/>
      <c r="CC103" s="370"/>
      <c r="CD103" s="370"/>
      <c r="CE103" s="370"/>
      <c r="CF103" s="370"/>
      <c r="CG103" s="370"/>
      <c r="CH103" s="370"/>
      <c r="CI103" s="370"/>
      <c r="CJ103" s="370"/>
      <c r="CK103" s="370"/>
      <c r="CL103" s="370"/>
      <c r="CM103" s="370"/>
      <c r="CN103" s="370"/>
      <c r="CO103" s="370"/>
    </row>
    <row r="104" spans="1:93">
      <c r="A104" s="365" t="s">
        <v>474</v>
      </c>
      <c r="B104" s="398">
        <v>1509.70975011</v>
      </c>
      <c r="C104" s="399">
        <v>1523.1343472900003</v>
      </c>
      <c r="D104" s="399">
        <v>1435.4538235392199</v>
      </c>
      <c r="E104" s="400">
        <v>1777.6978128800001</v>
      </c>
      <c r="F104" s="399">
        <v>1783.0134692099998</v>
      </c>
      <c r="G104" s="399">
        <v>1782.97130324</v>
      </c>
      <c r="H104" s="198">
        <v>1928.6365559099997</v>
      </c>
      <c r="I104" s="198">
        <v>2159.7271055099995</v>
      </c>
      <c r="J104" s="198">
        <v>2096.2796883999999</v>
      </c>
      <c r="K104" s="210">
        <v>2240.9168075799998</v>
      </c>
      <c r="L104" s="198">
        <v>2359.1139275</v>
      </c>
      <c r="M104" s="198">
        <v>2532.0489711800001</v>
      </c>
      <c r="N104" s="198">
        <v>2832.795467736827</v>
      </c>
      <c r="O104" s="210">
        <v>3056.7181062300001</v>
      </c>
      <c r="P104" s="198">
        <v>2950.8056036100006</v>
      </c>
      <c r="Q104" s="198">
        <v>3271.7490953799997</v>
      </c>
      <c r="R104" s="210">
        <v>3261.0112979267997</v>
      </c>
      <c r="S104" s="198">
        <v>3222.4995605480003</v>
      </c>
      <c r="T104" s="198">
        <v>3446.5573752949999</v>
      </c>
      <c r="U104" s="200">
        <v>3722.3216707786</v>
      </c>
      <c r="V104" s="200">
        <v>3555.3852888812253</v>
      </c>
      <c r="W104" s="200">
        <v>3906.7524735088</v>
      </c>
      <c r="X104" s="200">
        <v>3980.1829983998005</v>
      </c>
      <c r="Y104" s="200">
        <v>3955.0857712682723</v>
      </c>
      <c r="Z104" s="200">
        <v>4136.6673557411377</v>
      </c>
      <c r="AA104" s="200">
        <v>4719.2753357909669</v>
      </c>
      <c r="AB104" s="200">
        <v>4731.3731359345293</v>
      </c>
      <c r="AC104" s="200">
        <v>5472.0266775643213</v>
      </c>
      <c r="AD104" s="200">
        <v>5284.1989032000001</v>
      </c>
      <c r="AE104" s="200">
        <v>5278.0772102500014</v>
      </c>
      <c r="AF104" s="200">
        <v>5297.4631043299996</v>
      </c>
      <c r="AG104" s="200">
        <v>5292.8926040299993</v>
      </c>
      <c r="AH104" s="200">
        <v>5252.9533871599997</v>
      </c>
      <c r="AI104" s="200">
        <v>5191.3927255099989</v>
      </c>
      <c r="AJ104" s="200">
        <v>5257.7029262500009</v>
      </c>
      <c r="AK104" s="200">
        <v>5222.8961423800001</v>
      </c>
      <c r="AL104" s="200">
        <v>5124.9316933700011</v>
      </c>
      <c r="AM104" s="261">
        <v>6001.12399671</v>
      </c>
      <c r="AN104" s="261">
        <v>5071.9550348500006</v>
      </c>
      <c r="AO104" s="261">
        <v>5134.7203384800005</v>
      </c>
      <c r="AP104" s="261">
        <v>5214.7937380833009</v>
      </c>
      <c r="AQ104" s="261">
        <v>5019.2706518697996</v>
      </c>
      <c r="AR104" s="398">
        <v>5011.9611979984011</v>
      </c>
      <c r="AS104" s="398">
        <v>5012.5874523900002</v>
      </c>
      <c r="AT104" s="398">
        <v>5093.6261356928017</v>
      </c>
      <c r="AU104" s="398">
        <v>5227.9352840696001</v>
      </c>
      <c r="AV104" s="398">
        <v>5213.4135083210003</v>
      </c>
      <c r="AW104" s="370">
        <v>5192.8869614513997</v>
      </c>
      <c r="AX104" s="370">
        <v>5170.2930121266008</v>
      </c>
      <c r="AY104" s="370">
        <v>5117.4767530987019</v>
      </c>
      <c r="AZ104" s="370">
        <v>4969.6525154068004</v>
      </c>
      <c r="BA104" s="370">
        <v>4952.8842333205994</v>
      </c>
      <c r="BB104" s="370">
        <v>4968.2237115259986</v>
      </c>
      <c r="BC104" s="370">
        <v>4991.351040043799</v>
      </c>
      <c r="BD104" s="370">
        <v>4679.0333738847994</v>
      </c>
      <c r="BE104" s="370">
        <v>4739.297370675099</v>
      </c>
      <c r="BF104" s="370">
        <v>4737.8399976220007</v>
      </c>
      <c r="BG104" s="370">
        <v>5011.7861140549994</v>
      </c>
      <c r="BH104" s="370">
        <v>4984.6044536206</v>
      </c>
      <c r="BI104" s="370">
        <v>4599.8889201365</v>
      </c>
      <c r="BJ104" s="370">
        <v>4626.6899196592994</v>
      </c>
      <c r="BK104" s="370">
        <v>4607.3518246560006</v>
      </c>
      <c r="BL104" s="370">
        <v>4604.0258776235996</v>
      </c>
      <c r="BM104" s="370">
        <v>4515.9871865396008</v>
      </c>
      <c r="BN104" s="370">
        <v>4503.6206132851003</v>
      </c>
      <c r="BO104" s="370">
        <v>4515.6693013260001</v>
      </c>
      <c r="BP104" s="370">
        <v>4596.0199963968998</v>
      </c>
      <c r="BQ104" s="370">
        <v>4538.0364011846996</v>
      </c>
      <c r="BR104" s="370">
        <v>4533.8173955696002</v>
      </c>
      <c r="BS104" s="370">
        <v>4561.4763032700002</v>
      </c>
      <c r="BT104" s="370">
        <v>4485.4882666535559</v>
      </c>
      <c r="BU104" s="370">
        <v>4742.118447319458</v>
      </c>
      <c r="BV104" s="370">
        <v>4869.9260031321537</v>
      </c>
      <c r="BW104" s="370">
        <v>4820.9327075944093</v>
      </c>
      <c r="BX104" s="370">
        <v>4778.5848931379996</v>
      </c>
      <c r="BY104" s="370">
        <v>4918.598412099901</v>
      </c>
      <c r="BZ104" s="370">
        <v>4850.2</v>
      </c>
      <c r="CA104" s="370">
        <v>4837.9414658570431</v>
      </c>
      <c r="CB104" s="370">
        <v>5008.919048558656</v>
      </c>
      <c r="CC104" s="370">
        <v>5247.7130071773581</v>
      </c>
      <c r="CD104" s="370">
        <v>4798.6357955309813</v>
      </c>
      <c r="CE104" s="370">
        <v>4772.9053229254278</v>
      </c>
      <c r="CF104" s="370">
        <v>5010.3745755004684</v>
      </c>
      <c r="CG104" s="370">
        <v>4983.999164788378</v>
      </c>
      <c r="CH104" s="370">
        <v>5339.7968440045843</v>
      </c>
      <c r="CI104" s="370">
        <v>5104.4157031112536</v>
      </c>
      <c r="CJ104" s="370">
        <v>4609.8845675915545</v>
      </c>
      <c r="CK104" s="370">
        <v>4519.6842046908441</v>
      </c>
      <c r="CL104" s="370">
        <v>4589.0669697419962</v>
      </c>
      <c r="CM104" s="370">
        <v>4611.6554767679072</v>
      </c>
      <c r="CN104" s="370">
        <v>4939.7034843434312</v>
      </c>
      <c r="CO104" s="370">
        <v>4601.7767237080379</v>
      </c>
    </row>
    <row r="105" spans="1:93">
      <c r="A105" s="371" t="s">
        <v>398</v>
      </c>
      <c r="B105" s="398"/>
      <c r="C105" s="399"/>
      <c r="D105" s="399"/>
      <c r="E105" s="400"/>
      <c r="F105" s="399"/>
      <c r="G105" s="399"/>
      <c r="H105" s="260"/>
      <c r="I105" s="260"/>
      <c r="J105" s="260"/>
      <c r="K105" s="207"/>
      <c r="L105" s="260"/>
      <c r="M105" s="260"/>
      <c r="N105" s="260"/>
      <c r="O105" s="207"/>
      <c r="P105" s="260"/>
      <c r="Q105" s="260"/>
      <c r="R105" s="207"/>
      <c r="S105" s="260"/>
      <c r="T105" s="260"/>
      <c r="U105" s="373"/>
      <c r="V105" s="373"/>
      <c r="W105" s="373"/>
      <c r="X105" s="373"/>
      <c r="Y105" s="373"/>
      <c r="Z105" s="373"/>
      <c r="AA105" s="373"/>
      <c r="AB105" s="373"/>
      <c r="AC105" s="373"/>
      <c r="AD105" s="373"/>
      <c r="AE105" s="373"/>
      <c r="AF105" s="373"/>
      <c r="AG105" s="373"/>
      <c r="AH105" s="373"/>
      <c r="AI105" s="373"/>
      <c r="AJ105" s="373"/>
      <c r="AK105" s="373"/>
      <c r="AL105" s="373"/>
      <c r="AM105" s="261"/>
      <c r="AN105" s="261"/>
      <c r="AO105" s="261"/>
      <c r="AP105" s="261"/>
      <c r="AQ105" s="262"/>
      <c r="AR105" s="398"/>
      <c r="AS105" s="398"/>
      <c r="AT105" s="398"/>
      <c r="AU105" s="398"/>
      <c r="AV105" s="398"/>
      <c r="AW105" s="370"/>
      <c r="AX105" s="370"/>
      <c r="AY105" s="370"/>
      <c r="AZ105" s="370"/>
      <c r="BA105" s="370"/>
      <c r="BB105" s="370"/>
      <c r="BC105" s="370"/>
      <c r="BD105" s="370"/>
      <c r="BE105" s="370"/>
      <c r="BF105" s="370"/>
      <c r="BG105" s="370"/>
      <c r="BH105" s="370"/>
      <c r="BI105" s="370"/>
      <c r="BJ105" s="370"/>
      <c r="BK105" s="370"/>
      <c r="BL105" s="370"/>
      <c r="BM105" s="370"/>
      <c r="BN105" s="370"/>
      <c r="BO105" s="370"/>
      <c r="BP105" s="370"/>
      <c r="BQ105" s="370"/>
      <c r="BR105" s="370"/>
      <c r="BS105" s="370"/>
      <c r="BT105" s="370"/>
      <c r="BU105" s="370"/>
      <c r="BV105" s="370"/>
      <c r="BW105" s="370"/>
      <c r="BX105" s="370"/>
      <c r="BY105" s="370"/>
      <c r="BZ105" s="370"/>
      <c r="CA105" s="370"/>
      <c r="CB105" s="370"/>
      <c r="CC105" s="370"/>
      <c r="CD105" s="370"/>
      <c r="CE105" s="370"/>
      <c r="CF105" s="370"/>
      <c r="CG105" s="370"/>
      <c r="CH105" s="370"/>
      <c r="CI105" s="370"/>
      <c r="CJ105" s="370"/>
      <c r="CK105" s="370"/>
      <c r="CL105" s="370"/>
      <c r="CM105" s="370"/>
      <c r="CN105" s="370"/>
      <c r="CO105" s="370"/>
    </row>
    <row r="106" spans="1:93">
      <c r="A106" s="371" t="s">
        <v>475</v>
      </c>
      <c r="B106" s="372">
        <v>119.49455534000001</v>
      </c>
      <c r="C106" s="260">
        <v>119.30625034000001</v>
      </c>
      <c r="D106" s="260">
        <v>119.30625000000001</v>
      </c>
      <c r="E106" s="207">
        <v>112.289063</v>
      </c>
      <c r="F106" s="260">
        <v>112.48625563</v>
      </c>
      <c r="G106" s="260">
        <v>112.76867897</v>
      </c>
      <c r="H106" s="260">
        <v>105.74606136</v>
      </c>
      <c r="I106" s="260">
        <v>105.74100195</v>
      </c>
      <c r="J106" s="260">
        <v>105.73498293</v>
      </c>
      <c r="K106" s="207">
        <v>24.019706510000002</v>
      </c>
      <c r="L106" s="260">
        <v>0.45148349999999998</v>
      </c>
      <c r="M106" s="260">
        <v>0.44630403999999996</v>
      </c>
      <c r="N106" s="260">
        <v>0.44039478000000004</v>
      </c>
      <c r="O106" s="207">
        <v>20.754899780000002</v>
      </c>
      <c r="P106" s="260">
        <v>0.95627418999999991</v>
      </c>
      <c r="Q106" s="260">
        <v>0.94292693999999999</v>
      </c>
      <c r="R106" s="207">
        <v>1.03827666</v>
      </c>
      <c r="S106" s="260">
        <v>1.40527326</v>
      </c>
      <c r="T106" s="260">
        <v>1.38103205</v>
      </c>
      <c r="U106" s="373">
        <v>1.4526903</v>
      </c>
      <c r="V106" s="373">
        <v>1.53126601</v>
      </c>
      <c r="W106" s="373">
        <v>1.8102425200000001</v>
      </c>
      <c r="X106" s="373">
        <v>1.81593559</v>
      </c>
      <c r="Y106" s="373">
        <v>2.6619332999999998</v>
      </c>
      <c r="Z106" s="373">
        <v>2.6905306600000003</v>
      </c>
      <c r="AA106" s="373">
        <v>59.017689750000002</v>
      </c>
      <c r="AB106" s="373">
        <v>59.236836029999999</v>
      </c>
      <c r="AC106" s="373">
        <v>58.907486890000001</v>
      </c>
      <c r="AD106" s="373">
        <v>58.931897870000007</v>
      </c>
      <c r="AE106" s="373">
        <v>57.013748010000008</v>
      </c>
      <c r="AF106" s="373">
        <v>51.077286660000006</v>
      </c>
      <c r="AG106" s="373">
        <v>49.599513710000004</v>
      </c>
      <c r="AH106" s="373">
        <v>46.855433259999998</v>
      </c>
      <c r="AI106" s="373">
        <v>44.036852079999996</v>
      </c>
      <c r="AJ106" s="373">
        <v>48.907155380000006</v>
      </c>
      <c r="AK106" s="373">
        <v>51.11775424999999</v>
      </c>
      <c r="AL106" s="373">
        <v>25.436707629999997</v>
      </c>
      <c r="AM106" s="262">
        <v>47.410901860000003</v>
      </c>
      <c r="AN106" s="262">
        <v>43.159645169999997</v>
      </c>
      <c r="AO106" s="262">
        <v>41.302958429999997</v>
      </c>
      <c r="AP106" s="262">
        <v>45.216777900000004</v>
      </c>
      <c r="AQ106" s="262">
        <v>44.099737509999997</v>
      </c>
      <c r="AR106" s="372">
        <v>45.059103379999996</v>
      </c>
      <c r="AS106" s="372">
        <v>45.224328409999998</v>
      </c>
      <c r="AT106" s="372">
        <v>47.191116170000001</v>
      </c>
      <c r="AU106" s="372">
        <v>43.811339769999996</v>
      </c>
      <c r="AV106" s="372">
        <v>41.335493360000001</v>
      </c>
      <c r="AW106" s="201">
        <v>39.050217979999999</v>
      </c>
      <c r="AX106" s="201">
        <v>37.830638819999997</v>
      </c>
      <c r="AY106" s="201">
        <v>36.384225139999998</v>
      </c>
      <c r="AZ106" s="201">
        <v>35.162277520000004</v>
      </c>
      <c r="BA106" s="201">
        <v>33.40985053</v>
      </c>
      <c r="BB106" s="201">
        <v>33.574761459999998</v>
      </c>
      <c r="BC106" s="201">
        <v>29.755468539999999</v>
      </c>
      <c r="BD106" s="201">
        <v>34.904166840000002</v>
      </c>
      <c r="BE106" s="374">
        <v>34.125251879999993</v>
      </c>
      <c r="BF106" s="374">
        <v>34.632319320000001</v>
      </c>
      <c r="BG106" s="374">
        <v>465.04032915999994</v>
      </c>
      <c r="BH106" s="374">
        <v>466.30826980000001</v>
      </c>
      <c r="BI106" s="374">
        <v>41.138195430000003</v>
      </c>
      <c r="BJ106" s="374">
        <v>38.765016780000003</v>
      </c>
      <c r="BK106" s="374">
        <v>36.797917529999999</v>
      </c>
      <c r="BL106" s="374">
        <v>35.637485759999997</v>
      </c>
      <c r="BM106" s="374">
        <v>35.087282939999994</v>
      </c>
      <c r="BN106" s="374">
        <v>34.263288586750001</v>
      </c>
      <c r="BO106" s="374">
        <v>38.249361739999998</v>
      </c>
      <c r="BP106" s="374">
        <v>21.898889609999998</v>
      </c>
      <c r="BQ106" s="374">
        <v>20.16773263</v>
      </c>
      <c r="BR106" s="374">
        <v>25.65319182</v>
      </c>
      <c r="BS106" s="374">
        <v>17.75135903</v>
      </c>
      <c r="BT106" s="374">
        <v>16.87788802</v>
      </c>
      <c r="BU106" s="374">
        <v>14.272777870000001</v>
      </c>
      <c r="BV106" s="374">
        <v>13.225327569999999</v>
      </c>
      <c r="BW106" s="374">
        <v>12.52046803</v>
      </c>
      <c r="BX106" s="374">
        <v>11.871399</v>
      </c>
      <c r="BY106" s="374">
        <v>11.17329</v>
      </c>
      <c r="BZ106" s="374">
        <v>10.9</v>
      </c>
      <c r="CA106" s="374">
        <v>9.8260235500000004</v>
      </c>
      <c r="CB106" s="374">
        <v>8.2108843300000007</v>
      </c>
      <c r="CC106" s="374">
        <v>403.39722673</v>
      </c>
      <c r="CD106" s="374">
        <v>21.864306820000003</v>
      </c>
      <c r="CE106" s="374">
        <v>19.04434878</v>
      </c>
      <c r="CF106" s="374">
        <v>9.2798890000000007</v>
      </c>
      <c r="CG106" s="374">
        <v>5.2046002800000002</v>
      </c>
      <c r="CH106" s="374">
        <v>3.5374280100000002</v>
      </c>
      <c r="CI106" s="374">
        <v>2.3785914999999997</v>
      </c>
      <c r="CJ106" s="374">
        <v>3.4697751399999999</v>
      </c>
      <c r="CK106" s="374">
        <v>2.4355652700000001</v>
      </c>
      <c r="CL106" s="374">
        <v>16.650414300000001</v>
      </c>
      <c r="CM106" s="374">
        <v>32.544520750000004</v>
      </c>
      <c r="CN106" s="374">
        <v>64.723370339999988</v>
      </c>
      <c r="CO106" s="374">
        <v>71.935314459999987</v>
      </c>
    </row>
    <row r="107" spans="1:93">
      <c r="A107" s="371" t="s">
        <v>476</v>
      </c>
      <c r="B107" s="372">
        <v>8.6698999999999998E-2</v>
      </c>
      <c r="C107" s="260">
        <v>8.7903999999999996E-2</v>
      </c>
      <c r="D107" s="260">
        <v>0</v>
      </c>
      <c r="E107" s="207">
        <v>0</v>
      </c>
      <c r="F107" s="260">
        <v>0</v>
      </c>
      <c r="G107" s="260">
        <v>0</v>
      </c>
      <c r="H107" s="260">
        <v>0</v>
      </c>
      <c r="I107" s="260">
        <v>0</v>
      </c>
      <c r="J107" s="260">
        <v>0</v>
      </c>
      <c r="K107" s="207">
        <v>0</v>
      </c>
      <c r="L107" s="260">
        <v>0</v>
      </c>
      <c r="M107" s="260">
        <v>0</v>
      </c>
      <c r="N107" s="260">
        <v>1.7000000000000001E-7</v>
      </c>
      <c r="O107" s="207">
        <v>0</v>
      </c>
      <c r="P107" s="260">
        <v>0</v>
      </c>
      <c r="Q107" s="260">
        <v>0</v>
      </c>
      <c r="R107" s="207">
        <v>0</v>
      </c>
      <c r="S107" s="260">
        <v>0</v>
      </c>
      <c r="T107" s="260">
        <v>0</v>
      </c>
      <c r="U107" s="373">
        <v>0</v>
      </c>
      <c r="V107" s="373">
        <v>0</v>
      </c>
      <c r="W107" s="373">
        <v>0</v>
      </c>
      <c r="X107" s="373">
        <v>0</v>
      </c>
      <c r="Y107" s="373">
        <v>0</v>
      </c>
      <c r="Z107" s="373">
        <v>0</v>
      </c>
      <c r="AA107" s="373">
        <v>0</v>
      </c>
      <c r="AB107" s="373">
        <v>0</v>
      </c>
      <c r="AC107" s="373">
        <v>0</v>
      </c>
      <c r="AD107" s="373">
        <v>0</v>
      </c>
      <c r="AE107" s="373">
        <v>0</v>
      </c>
      <c r="AF107" s="373">
        <v>0</v>
      </c>
      <c r="AG107" s="373">
        <v>0.87286981999999991</v>
      </c>
      <c r="AH107" s="373">
        <v>0.83348158999999999</v>
      </c>
      <c r="AI107" s="373">
        <v>0.82566706999999995</v>
      </c>
      <c r="AJ107" s="373">
        <v>0.84184024000000002</v>
      </c>
      <c r="AK107" s="373">
        <v>0.84622047999999994</v>
      </c>
      <c r="AL107" s="373">
        <v>0.80138970999999992</v>
      </c>
      <c r="AM107" s="262">
        <v>0.80229708999999994</v>
      </c>
      <c r="AN107" s="262">
        <v>0.83257758999999998</v>
      </c>
      <c r="AO107" s="262">
        <v>0.83681335999999995</v>
      </c>
      <c r="AP107" s="262">
        <v>0.77550790000000003</v>
      </c>
      <c r="AQ107" s="262">
        <v>0.82390682000000004</v>
      </c>
      <c r="AR107" s="372">
        <v>0.77461053000000002</v>
      </c>
      <c r="AS107" s="372">
        <v>0.80295496000000011</v>
      </c>
      <c r="AT107" s="372">
        <v>0.78176608999999997</v>
      </c>
      <c r="AU107" s="372">
        <v>0.81492243999999991</v>
      </c>
      <c r="AV107" s="372">
        <v>0.87455806000000003</v>
      </c>
      <c r="AW107" s="201">
        <v>0.89304991999999994</v>
      </c>
      <c r="AX107" s="201">
        <v>0.88163465000000008</v>
      </c>
      <c r="AY107" s="201">
        <v>0.80285133000000009</v>
      </c>
      <c r="AZ107" s="201">
        <v>0.85393606000000011</v>
      </c>
      <c r="BA107" s="201">
        <v>0.89275982000000009</v>
      </c>
      <c r="BB107" s="201">
        <v>0.93817373999999998</v>
      </c>
      <c r="BC107" s="201">
        <v>0.89677717999999995</v>
      </c>
      <c r="BD107" s="201">
        <v>0.82711160000000006</v>
      </c>
      <c r="BE107" s="374">
        <v>0.82887506999999994</v>
      </c>
      <c r="BF107" s="374">
        <v>0.87387207000000011</v>
      </c>
      <c r="BG107" s="374">
        <v>0.83807326000000004</v>
      </c>
      <c r="BH107" s="374">
        <v>0.79597003</v>
      </c>
      <c r="BI107" s="374">
        <v>0.74438353000000002</v>
      </c>
      <c r="BJ107" s="374">
        <v>0.81301922999999998</v>
      </c>
      <c r="BK107" s="374">
        <v>0.89484501999999999</v>
      </c>
      <c r="BL107" s="374">
        <v>0.83976812000000001</v>
      </c>
      <c r="BM107" s="374">
        <v>0.77374410999999987</v>
      </c>
      <c r="BN107" s="374">
        <v>0.74394908000000004</v>
      </c>
      <c r="BO107" s="374">
        <v>0.95615585999999997</v>
      </c>
      <c r="BP107" s="374">
        <v>0.70921234000000011</v>
      </c>
      <c r="BQ107" s="374">
        <v>0.76676848000000009</v>
      </c>
      <c r="BR107" s="374">
        <v>0.78927779999999992</v>
      </c>
      <c r="BS107" s="374">
        <v>0.70710201000000006</v>
      </c>
      <c r="BT107" s="374">
        <v>0.75653966999999989</v>
      </c>
      <c r="BU107" s="374">
        <v>169.49915914499999</v>
      </c>
      <c r="BV107" s="374">
        <v>0.7341534999999999</v>
      </c>
      <c r="BW107" s="374">
        <v>1.5788452951299998</v>
      </c>
      <c r="BX107" s="374">
        <v>0.68706699999999998</v>
      </c>
      <c r="BY107" s="374">
        <v>0.63937699999999997</v>
      </c>
      <c r="BZ107" s="374">
        <v>0.7</v>
      </c>
      <c r="CA107" s="374">
        <v>0.66250910000000007</v>
      </c>
      <c r="CB107" s="374">
        <v>0.62058137000000002</v>
      </c>
      <c r="CC107" s="374">
        <v>0.64621927999999995</v>
      </c>
      <c r="CD107" s="374">
        <v>0.64745849999999994</v>
      </c>
      <c r="CE107" s="374">
        <v>0.59894466000000002</v>
      </c>
      <c r="CF107" s="374">
        <v>0.60216871000000005</v>
      </c>
      <c r="CG107" s="374">
        <v>0.59884506000000004</v>
      </c>
      <c r="CH107" s="374">
        <v>0.3291482</v>
      </c>
      <c r="CI107" s="374">
        <v>0.30758937000000003</v>
      </c>
      <c r="CJ107" s="374">
        <v>0.34192033999999993</v>
      </c>
      <c r="CK107" s="374">
        <v>0.33796384999999995</v>
      </c>
      <c r="CL107" s="374">
        <v>0.26031196999999995</v>
      </c>
      <c r="CM107" s="374">
        <v>0.32560691999999997</v>
      </c>
      <c r="CN107" s="374">
        <v>0.20557094000000001</v>
      </c>
      <c r="CO107" s="374">
        <v>0.16930111</v>
      </c>
    </row>
    <row r="108" spans="1:93">
      <c r="A108" s="371" t="s">
        <v>477</v>
      </c>
      <c r="B108" s="372">
        <v>1319.58720836</v>
      </c>
      <c r="C108" s="260">
        <v>1346.0016246800001</v>
      </c>
      <c r="D108" s="260">
        <v>1242.73591231</v>
      </c>
      <c r="E108" s="207">
        <v>1572.2854826100001</v>
      </c>
      <c r="F108" s="260">
        <v>1560.9065010899999</v>
      </c>
      <c r="G108" s="260">
        <v>1585.3775773699999</v>
      </c>
      <c r="H108" s="260">
        <v>1721.5423900999999</v>
      </c>
      <c r="I108" s="260">
        <v>1981.72471215</v>
      </c>
      <c r="J108" s="260">
        <v>1912.35082405</v>
      </c>
      <c r="K108" s="207">
        <v>2120.2220272499999</v>
      </c>
      <c r="L108" s="260">
        <v>2296.5238972900001</v>
      </c>
      <c r="M108" s="260">
        <v>2451.2847674</v>
      </c>
      <c r="N108" s="260">
        <v>2786.516032406827</v>
      </c>
      <c r="O108" s="207">
        <v>2985.8160611999997</v>
      </c>
      <c r="P108" s="260">
        <v>2893.4227878400002</v>
      </c>
      <c r="Q108" s="260">
        <v>3215.2856183099998</v>
      </c>
      <c r="R108" s="207">
        <v>3204.9002545967996</v>
      </c>
      <c r="S108" s="260">
        <v>3168.6164450880001</v>
      </c>
      <c r="T108" s="260">
        <v>3390.6271246749998</v>
      </c>
      <c r="U108" s="373">
        <v>3659.5488182685999</v>
      </c>
      <c r="V108" s="373">
        <v>3497.147517511225</v>
      </c>
      <c r="W108" s="373">
        <v>3849.4241273387997</v>
      </c>
      <c r="X108" s="373">
        <v>3910.4604776198003</v>
      </c>
      <c r="Y108" s="373">
        <v>3898.9584248482724</v>
      </c>
      <c r="Z108" s="373">
        <v>4075.0927027111379</v>
      </c>
      <c r="AA108" s="373">
        <v>4612.2420968709675</v>
      </c>
      <c r="AB108" s="373">
        <v>4623.8598898145292</v>
      </c>
      <c r="AC108" s="373">
        <v>5363.4843688043211</v>
      </c>
      <c r="AD108" s="373">
        <v>5174.6025133200001</v>
      </c>
      <c r="AE108" s="373">
        <v>5176.9895113700004</v>
      </c>
      <c r="AF108" s="373">
        <v>5175.3655062399994</v>
      </c>
      <c r="AG108" s="373">
        <v>5115.5871677599998</v>
      </c>
      <c r="AH108" s="373">
        <v>5088.6933811600002</v>
      </c>
      <c r="AI108" s="373">
        <v>5015.0515038200001</v>
      </c>
      <c r="AJ108" s="373">
        <v>5052.1303271600009</v>
      </c>
      <c r="AK108" s="373">
        <v>5034.8292972400004</v>
      </c>
      <c r="AL108" s="373">
        <v>5004.8375547700007</v>
      </c>
      <c r="AM108" s="262">
        <v>5829.4497738800001</v>
      </c>
      <c r="AN108" s="262">
        <v>4929.5849083399999</v>
      </c>
      <c r="AO108" s="262">
        <v>4968.2986028400001</v>
      </c>
      <c r="AP108" s="262">
        <v>5029.3694211400007</v>
      </c>
      <c r="AQ108" s="262">
        <v>4860.9992540900002</v>
      </c>
      <c r="AR108" s="372">
        <v>4843.83837726</v>
      </c>
      <c r="AS108" s="372">
        <v>4829.9899116300003</v>
      </c>
      <c r="AT108" s="372">
        <v>4949.3120753600006</v>
      </c>
      <c r="AU108" s="372">
        <v>5070.2892873400006</v>
      </c>
      <c r="AV108" s="372">
        <v>5058.7642513500004</v>
      </c>
      <c r="AW108" s="201">
        <v>5030.5074466900005</v>
      </c>
      <c r="AX108" s="201">
        <v>5035.8267314900004</v>
      </c>
      <c r="AY108" s="201">
        <v>4954.3828010300003</v>
      </c>
      <c r="AZ108" s="201">
        <v>4818.5299336300004</v>
      </c>
      <c r="BA108" s="201">
        <v>4795.4212070799986</v>
      </c>
      <c r="BB108" s="201">
        <v>4826.1915849399993</v>
      </c>
      <c r="BC108" s="201">
        <v>4814.5322764699995</v>
      </c>
      <c r="BD108" s="201">
        <v>4538.6064292900001</v>
      </c>
      <c r="BE108" s="374">
        <v>4576.0364318099992</v>
      </c>
      <c r="BF108" s="374">
        <v>4549.8133272599989</v>
      </c>
      <c r="BG108" s="374">
        <v>4416.3221045199998</v>
      </c>
      <c r="BH108" s="374">
        <v>4389.6163489</v>
      </c>
      <c r="BI108" s="374">
        <v>4409.6554666700004</v>
      </c>
      <c r="BJ108" s="374">
        <v>4412.4316824099997</v>
      </c>
      <c r="BK108" s="374">
        <v>4301.3054654000007</v>
      </c>
      <c r="BL108" s="374">
        <v>4303.9825675500006</v>
      </c>
      <c r="BM108" s="374">
        <v>4201.8497396499997</v>
      </c>
      <c r="BN108" s="374">
        <v>4197.0589122947504</v>
      </c>
      <c r="BO108" s="374">
        <v>4217.8194457</v>
      </c>
      <c r="BP108" s="374">
        <v>4264.6437833400005</v>
      </c>
      <c r="BQ108" s="374">
        <v>4251.7259982899996</v>
      </c>
      <c r="BR108" s="374">
        <v>4214.8323523300005</v>
      </c>
      <c r="BS108" s="374">
        <v>4261.8394221799999</v>
      </c>
      <c r="BT108" s="374">
        <v>4208.7910649800006</v>
      </c>
      <c r="BU108" s="374">
        <v>4259.3839909247999</v>
      </c>
      <c r="BV108" s="374">
        <v>4489.1992416898283</v>
      </c>
      <c r="BW108" s="374">
        <v>4427.7451519286096</v>
      </c>
      <c r="BX108" s="374">
        <v>4339.8851194660001</v>
      </c>
      <c r="BY108" s="374">
        <v>4448.9700860049006</v>
      </c>
      <c r="BZ108" s="374">
        <v>4366.5</v>
      </c>
      <c r="CA108" s="374">
        <v>4349.2459709611421</v>
      </c>
      <c r="CB108" s="374">
        <v>4441.2232165070554</v>
      </c>
      <c r="CC108" s="374">
        <v>4327.2875934964195</v>
      </c>
      <c r="CD108" s="374">
        <v>4246.3807298002403</v>
      </c>
      <c r="CE108" s="374">
        <v>4160.090667905074</v>
      </c>
      <c r="CF108" s="374">
        <v>4434.0156219142282</v>
      </c>
      <c r="CG108" s="374">
        <v>4398.5630761263819</v>
      </c>
      <c r="CH108" s="374">
        <v>4609.233803477754</v>
      </c>
      <c r="CI108" s="374">
        <v>4586.4869699307737</v>
      </c>
      <c r="CJ108" s="374">
        <v>4081.2354941919698</v>
      </c>
      <c r="CK108" s="374">
        <v>3983.91017562052</v>
      </c>
      <c r="CL108" s="374">
        <v>4076.316736397242</v>
      </c>
      <c r="CM108" s="374">
        <v>4095.7705147939887</v>
      </c>
      <c r="CN108" s="374">
        <v>4381.7516204980566</v>
      </c>
      <c r="CO108" s="374">
        <v>4034.1868612702842</v>
      </c>
    </row>
    <row r="109" spans="1:93">
      <c r="A109" s="371" t="s">
        <v>478</v>
      </c>
      <c r="B109" s="372">
        <v>0.81684999999999997</v>
      </c>
      <c r="C109" s="260">
        <v>0</v>
      </c>
      <c r="D109" s="260">
        <v>11.844215</v>
      </c>
      <c r="E109" s="207">
        <v>6.8813989999999992</v>
      </c>
      <c r="F109" s="260">
        <v>6.0880850000000004</v>
      </c>
      <c r="G109" s="260">
        <v>8.1711910000000003</v>
      </c>
      <c r="H109" s="260">
        <v>8.1863609099999994</v>
      </c>
      <c r="I109" s="260">
        <v>8.9182209100000005</v>
      </c>
      <c r="J109" s="260">
        <v>10.50457791</v>
      </c>
      <c r="K109" s="207">
        <v>10.390245910000001</v>
      </c>
      <c r="L109" s="260">
        <v>9.1430439099999994</v>
      </c>
      <c r="M109" s="260">
        <v>7.4867906500000005</v>
      </c>
      <c r="N109" s="260">
        <v>7.2407209100000003</v>
      </c>
      <c r="O109" s="207">
        <v>8.7733349199999999</v>
      </c>
      <c r="P109" s="260">
        <v>10.23856928</v>
      </c>
      <c r="Q109" s="260">
        <v>8.5962449099999994</v>
      </c>
      <c r="R109" s="207">
        <v>11.016232909999999</v>
      </c>
      <c r="S109" s="260">
        <v>12.863376909999999</v>
      </c>
      <c r="T109" s="260">
        <v>10.09026534</v>
      </c>
      <c r="U109" s="373">
        <v>11.67338152</v>
      </c>
      <c r="V109" s="373">
        <v>11.16142391</v>
      </c>
      <c r="W109" s="373">
        <v>10.774765</v>
      </c>
      <c r="X109" s="373">
        <v>10.509497849999999</v>
      </c>
      <c r="Y109" s="373">
        <v>9.0157019100000007</v>
      </c>
      <c r="Z109" s="373">
        <v>12.978799909999999</v>
      </c>
      <c r="AA109" s="373">
        <v>7.9233559099999997</v>
      </c>
      <c r="AB109" s="373">
        <v>7.9181519099999997</v>
      </c>
      <c r="AC109" s="373">
        <v>9.4929859099999998</v>
      </c>
      <c r="AD109" s="373">
        <v>10.089240910000001</v>
      </c>
      <c r="AE109" s="373">
        <v>5.18979313</v>
      </c>
      <c r="AF109" s="373">
        <v>11.56585475</v>
      </c>
      <c r="AG109" s="373">
        <v>15.37978461</v>
      </c>
      <c r="AH109" s="373">
        <v>14.12042258</v>
      </c>
      <c r="AI109" s="373">
        <v>14.404598179999999</v>
      </c>
      <c r="AJ109" s="373">
        <v>6.5812866799999998</v>
      </c>
      <c r="AK109" s="373">
        <v>8.5091888299999994</v>
      </c>
      <c r="AL109" s="373">
        <v>7.5591589099999998</v>
      </c>
      <c r="AM109" s="262">
        <v>10.80766068</v>
      </c>
      <c r="AN109" s="262">
        <v>9.7869349999999997</v>
      </c>
      <c r="AO109" s="262">
        <v>11.759848199999999</v>
      </c>
      <c r="AP109" s="262">
        <v>14.98682466</v>
      </c>
      <c r="AQ109" s="262">
        <v>15.743302760000001</v>
      </c>
      <c r="AR109" s="372">
        <v>11.847971509999999</v>
      </c>
      <c r="AS109" s="372">
        <v>18.601202390000001</v>
      </c>
      <c r="AT109" s="372">
        <v>11.677629509999999</v>
      </c>
      <c r="AU109" s="372">
        <v>17.40752311</v>
      </c>
      <c r="AV109" s="372">
        <v>17.416470610000001</v>
      </c>
      <c r="AW109" s="201">
        <v>26.68121932</v>
      </c>
      <c r="AX109" s="201">
        <v>20.425204000000001</v>
      </c>
      <c r="AY109" s="201">
        <v>26.0479713</v>
      </c>
      <c r="AZ109" s="201">
        <v>28.16887088</v>
      </c>
      <c r="BA109" s="201">
        <v>28.152225999999999</v>
      </c>
      <c r="BB109" s="201">
        <v>23.520713000000001</v>
      </c>
      <c r="BC109" s="201">
        <v>25.044303729999999</v>
      </c>
      <c r="BD109" s="201">
        <v>23.834988980000002</v>
      </c>
      <c r="BE109" s="374">
        <v>26.000541329999997</v>
      </c>
      <c r="BF109" s="374">
        <v>22.890717600000002</v>
      </c>
      <c r="BG109" s="374">
        <v>22.487036979999999</v>
      </c>
      <c r="BH109" s="374">
        <v>25.070526430000001</v>
      </c>
      <c r="BI109" s="374">
        <v>23.788984750000001</v>
      </c>
      <c r="BJ109" s="374">
        <v>17.35900401</v>
      </c>
      <c r="BK109" s="374">
        <v>28.07215489</v>
      </c>
      <c r="BL109" s="374">
        <v>22.056186230000002</v>
      </c>
      <c r="BM109" s="374">
        <v>22.104652999999999</v>
      </c>
      <c r="BN109" s="374">
        <v>32.884591620000002</v>
      </c>
      <c r="BO109" s="374">
        <v>23.542453119999998</v>
      </c>
      <c r="BP109" s="374">
        <v>19.302671509999996</v>
      </c>
      <c r="BQ109" s="374">
        <v>15.77436159</v>
      </c>
      <c r="BR109" s="374">
        <v>23.609853189999999</v>
      </c>
      <c r="BS109" s="374">
        <v>25.716662410000001</v>
      </c>
      <c r="BT109" s="374">
        <v>29.603765509999999</v>
      </c>
      <c r="BU109" s="374">
        <v>26.531213649999998</v>
      </c>
      <c r="BV109" s="374">
        <v>33.183538390279999</v>
      </c>
      <c r="BW109" s="374">
        <v>43.526287574195003</v>
      </c>
      <c r="BX109" s="374">
        <v>45.661362313000005</v>
      </c>
      <c r="BY109" s="374">
        <v>38.596264365699994</v>
      </c>
      <c r="BZ109" s="374">
        <v>39.799999999999997</v>
      </c>
      <c r="CA109" s="374">
        <v>35.331133653400002</v>
      </c>
      <c r="CB109" s="374">
        <v>45.5031258908</v>
      </c>
      <c r="CC109" s="374">
        <v>55.242610352699998</v>
      </c>
      <c r="CD109" s="374">
        <v>57.959092523351991</v>
      </c>
      <c r="CE109" s="374">
        <v>57.291352610758352</v>
      </c>
      <c r="CF109" s="374">
        <v>61.720470467269998</v>
      </c>
      <c r="CG109" s="374">
        <v>56.667438807496652</v>
      </c>
      <c r="CH109" s="374">
        <v>60.005597887442995</v>
      </c>
      <c r="CI109" s="374">
        <v>59.944224292605284</v>
      </c>
      <c r="CJ109" s="374">
        <v>59.054715681393994</v>
      </c>
      <c r="CK109" s="374">
        <v>60.059581362655997</v>
      </c>
      <c r="CL109" s="374">
        <v>50.669229443998837</v>
      </c>
      <c r="CM109" s="374">
        <v>50.952494412469001</v>
      </c>
      <c r="CN109" s="374">
        <v>55.309514801311998</v>
      </c>
      <c r="CO109" s="374">
        <v>58.978096684732009</v>
      </c>
    </row>
    <row r="110" spans="1:93">
      <c r="A110" s="371" t="s">
        <v>479</v>
      </c>
      <c r="B110" s="372">
        <v>29.916249409999995</v>
      </c>
      <c r="C110" s="260">
        <v>13.868404450000002</v>
      </c>
      <c r="D110" s="260">
        <v>11.16747</v>
      </c>
      <c r="E110" s="207">
        <v>40.664183999999999</v>
      </c>
      <c r="F110" s="260">
        <v>55.99290036</v>
      </c>
      <c r="G110" s="260">
        <v>26.74011617</v>
      </c>
      <c r="H110" s="260">
        <v>60.275657619999997</v>
      </c>
      <c r="I110" s="260">
        <v>25.37442854</v>
      </c>
      <c r="J110" s="260">
        <v>25.906917989999997</v>
      </c>
      <c r="K110" s="207">
        <v>44.361882489999992</v>
      </c>
      <c r="L110" s="260">
        <v>13.727620009999999</v>
      </c>
      <c r="M110" s="260">
        <v>28.545128579999997</v>
      </c>
      <c r="N110" s="260">
        <v>0.43871838000000002</v>
      </c>
      <c r="O110" s="207">
        <v>1.7868999999999999E-2</v>
      </c>
      <c r="P110" s="260">
        <v>1.8152999999999999E-2</v>
      </c>
      <c r="Q110" s="260">
        <v>2.1349E-2</v>
      </c>
      <c r="R110" s="207">
        <v>2.1707000000000001E-2</v>
      </c>
      <c r="S110" s="260">
        <v>2.2145000000000001E-2</v>
      </c>
      <c r="T110" s="260">
        <v>2.2516999999999999E-2</v>
      </c>
      <c r="U110" s="373">
        <v>2.2904000000000001E-2</v>
      </c>
      <c r="V110" s="373">
        <v>2.4581590200000001</v>
      </c>
      <c r="W110" s="373">
        <v>2.43941498</v>
      </c>
      <c r="X110" s="373">
        <v>13.451742380000001</v>
      </c>
      <c r="Y110" s="373">
        <v>2.4659810000000001E-2</v>
      </c>
      <c r="Z110" s="373">
        <v>2.5070290000000002E-2</v>
      </c>
      <c r="AA110" s="373">
        <v>2.536153E-2</v>
      </c>
      <c r="AB110" s="373">
        <v>2.5763999999999999E-2</v>
      </c>
      <c r="AC110" s="373">
        <v>2.6197999999999999E-2</v>
      </c>
      <c r="AD110" s="373">
        <v>2.6654000000000001E-2</v>
      </c>
      <c r="AE110" s="373">
        <v>2.7189000000000001E-2</v>
      </c>
      <c r="AF110" s="373">
        <v>2.7744540000000002E-2</v>
      </c>
      <c r="AG110" s="373">
        <v>-6.1803580000000004E-2</v>
      </c>
      <c r="AH110" s="373">
        <v>2.8865990000000001E-2</v>
      </c>
      <c r="AI110" s="373">
        <v>2.9451540000000002E-2</v>
      </c>
      <c r="AJ110" s="373">
        <v>2.9561E-2</v>
      </c>
      <c r="AK110" s="373">
        <v>3.027024E-2</v>
      </c>
      <c r="AL110" s="373">
        <v>3.0887589999999999E-2</v>
      </c>
      <c r="AM110" s="262">
        <v>3.1533699999999998E-2</v>
      </c>
      <c r="AN110" s="262">
        <v>3.1607999999999997E-2</v>
      </c>
      <c r="AO110" s="262">
        <v>6.172735E-2</v>
      </c>
      <c r="AP110" s="262">
        <v>24.771238</v>
      </c>
      <c r="AQ110" s="262">
        <v>21.010031650000002</v>
      </c>
      <c r="AR110" s="372">
        <v>20.170415849999998</v>
      </c>
      <c r="AS110" s="372">
        <v>17.80718821</v>
      </c>
      <c r="AT110" s="372">
        <v>3.4746470000000002E-2</v>
      </c>
      <c r="AU110" s="372">
        <v>3.5263000000000003E-2</v>
      </c>
      <c r="AV110" s="372">
        <v>3.5751999999999999E-2</v>
      </c>
      <c r="AW110" s="201">
        <v>3.6351000000000001E-2</v>
      </c>
      <c r="AX110" s="201">
        <v>3.6854999999999999E-2</v>
      </c>
      <c r="AY110" s="201">
        <v>3.7383E-2</v>
      </c>
      <c r="AZ110" s="201">
        <v>3.7919000000000001E-2</v>
      </c>
      <c r="BA110" s="201">
        <v>21.525558589999999</v>
      </c>
      <c r="BB110" s="201">
        <v>3.8996000000000003E-2</v>
      </c>
      <c r="BC110" s="201">
        <v>3.9622999999999998E-2</v>
      </c>
      <c r="BD110" s="201">
        <v>4.0343540000000004E-2</v>
      </c>
      <c r="BE110" s="374">
        <v>4.0835769999999993E-2</v>
      </c>
      <c r="BF110" s="374">
        <v>7.1233828499999996</v>
      </c>
      <c r="BG110" s="374">
        <v>4.1887000000000001E-2</v>
      </c>
      <c r="BH110" s="374">
        <v>4.2467999999999999E-2</v>
      </c>
      <c r="BI110" s="374">
        <v>4.3163E-2</v>
      </c>
      <c r="BJ110" s="374">
        <v>0.43112899999999998</v>
      </c>
      <c r="BK110" s="374">
        <v>33.240719640000002</v>
      </c>
      <c r="BL110" s="374">
        <v>10.31700418</v>
      </c>
      <c r="BM110" s="374">
        <v>15.924604240000001</v>
      </c>
      <c r="BN110" s="374">
        <v>8.2077499999999998E-2</v>
      </c>
      <c r="BO110" s="374">
        <v>0.51479399999999997</v>
      </c>
      <c r="BP110" s="374">
        <v>0.53654800000000002</v>
      </c>
      <c r="BQ110" s="374">
        <v>0.31197200000000003</v>
      </c>
      <c r="BR110" s="374">
        <v>1.0670120000000001</v>
      </c>
      <c r="BS110" s="374">
        <v>1.434744</v>
      </c>
      <c r="BT110" s="374">
        <v>0.54786199999999996</v>
      </c>
      <c r="BU110" s="374">
        <v>1.5273110000000001</v>
      </c>
      <c r="BV110" s="374">
        <v>0.64276699999999998</v>
      </c>
      <c r="BW110" s="374">
        <v>0.45477499999999998</v>
      </c>
      <c r="BX110" s="374">
        <v>8.1784999999999997E-2</v>
      </c>
      <c r="BY110" s="374">
        <v>3.1196999999999999E-2</v>
      </c>
      <c r="BZ110" s="374">
        <v>0.2</v>
      </c>
      <c r="CA110" s="374">
        <v>3.139057E-2</v>
      </c>
      <c r="CB110" s="374">
        <v>2.9498E-2</v>
      </c>
      <c r="CC110" s="374">
        <v>0.59469905000000001</v>
      </c>
      <c r="CD110" s="374">
        <v>0.12504047000000001</v>
      </c>
      <c r="CE110" s="374">
        <v>4.0900079599999994</v>
      </c>
      <c r="CF110" s="374">
        <v>4.45019864</v>
      </c>
      <c r="CG110" s="374">
        <v>5.1712630099999997</v>
      </c>
      <c r="CH110" s="374">
        <v>5.6681377500000014</v>
      </c>
      <c r="CI110" s="374">
        <v>5.8521851600000003</v>
      </c>
      <c r="CJ110" s="374">
        <v>7.0132549999999991</v>
      </c>
      <c r="CK110" s="374">
        <v>6.7578200600000002</v>
      </c>
      <c r="CL110" s="374">
        <v>6.4334912700000002</v>
      </c>
      <c r="CM110" s="374">
        <v>6.7079111699999991</v>
      </c>
      <c r="CN110" s="374">
        <v>8.0455208900000006</v>
      </c>
      <c r="CO110" s="374">
        <v>9.6373011599999998</v>
      </c>
    </row>
    <row r="111" spans="1:93">
      <c r="A111" s="371" t="s">
        <v>407</v>
      </c>
      <c r="B111" s="372">
        <v>39.808188000000001</v>
      </c>
      <c r="C111" s="260">
        <v>43.870163820000002</v>
      </c>
      <c r="D111" s="260">
        <v>50.399976229219611</v>
      </c>
      <c r="E111" s="207">
        <v>45.577684269999999</v>
      </c>
      <c r="F111" s="260">
        <v>47.539727130000003</v>
      </c>
      <c r="G111" s="260">
        <v>49.913739730000003</v>
      </c>
      <c r="H111" s="260">
        <v>32.886085919999999</v>
      </c>
      <c r="I111" s="260">
        <v>37.968741959999996</v>
      </c>
      <c r="J111" s="260">
        <v>41.782385519999998</v>
      </c>
      <c r="K111" s="207">
        <v>41.922945420000005</v>
      </c>
      <c r="L111" s="260">
        <v>39.267882790000002</v>
      </c>
      <c r="M111" s="260">
        <v>44.285980510000009</v>
      </c>
      <c r="N111" s="260">
        <v>38.159601090000002</v>
      </c>
      <c r="O111" s="207">
        <v>41.35594133</v>
      </c>
      <c r="P111" s="260">
        <v>46.1698193</v>
      </c>
      <c r="Q111" s="260">
        <v>46.90295622</v>
      </c>
      <c r="R111" s="207">
        <v>44.034826760000009</v>
      </c>
      <c r="S111" s="260">
        <v>39.592320289999996</v>
      </c>
      <c r="T111" s="260">
        <v>44.436436230000005</v>
      </c>
      <c r="U111" s="373">
        <v>49.623876689999996</v>
      </c>
      <c r="V111" s="373">
        <v>43.086922429999994</v>
      </c>
      <c r="W111" s="373">
        <v>42.303923670000003</v>
      </c>
      <c r="X111" s="373">
        <v>43.94534496</v>
      </c>
      <c r="Y111" s="373">
        <v>44.425051400000001</v>
      </c>
      <c r="Z111" s="373">
        <v>45.880252169999999</v>
      </c>
      <c r="AA111" s="373">
        <v>40.066831729999997</v>
      </c>
      <c r="AB111" s="373">
        <v>40.332494179999998</v>
      </c>
      <c r="AC111" s="373">
        <v>40.115637960000001</v>
      </c>
      <c r="AD111" s="373">
        <v>40.548597099999995</v>
      </c>
      <c r="AE111" s="373">
        <v>38.856968740000006</v>
      </c>
      <c r="AF111" s="373">
        <v>59.426712139999999</v>
      </c>
      <c r="AG111" s="373">
        <v>111.51507171000002</v>
      </c>
      <c r="AH111" s="373">
        <v>102.42180258</v>
      </c>
      <c r="AI111" s="373">
        <v>117.04465282</v>
      </c>
      <c r="AJ111" s="373">
        <v>149.21275578999999</v>
      </c>
      <c r="AK111" s="373">
        <v>127.56341133999999</v>
      </c>
      <c r="AL111" s="373">
        <v>86.265994759999984</v>
      </c>
      <c r="AM111" s="262">
        <v>112.6218295</v>
      </c>
      <c r="AN111" s="262">
        <v>88.559360749999996</v>
      </c>
      <c r="AO111" s="262">
        <v>112.46038829999999</v>
      </c>
      <c r="AP111" s="262">
        <v>99.673968483300001</v>
      </c>
      <c r="AQ111" s="262">
        <v>76.594419039800002</v>
      </c>
      <c r="AR111" s="372">
        <v>90.270719468400003</v>
      </c>
      <c r="AS111" s="372">
        <v>100.16186679</v>
      </c>
      <c r="AT111" s="372">
        <v>84.628802092799987</v>
      </c>
      <c r="AU111" s="372">
        <v>95.576948409599993</v>
      </c>
      <c r="AV111" s="372">
        <v>94.98698294099998</v>
      </c>
      <c r="AW111" s="201">
        <v>95.718676541400015</v>
      </c>
      <c r="AX111" s="201">
        <v>75.291948166599994</v>
      </c>
      <c r="AY111" s="201">
        <v>99.821521298699992</v>
      </c>
      <c r="AZ111" s="201">
        <v>86.899578316800003</v>
      </c>
      <c r="BA111" s="201">
        <v>73.482631300600005</v>
      </c>
      <c r="BB111" s="201">
        <v>83.959482385999991</v>
      </c>
      <c r="BC111" s="201">
        <v>121.0825911238</v>
      </c>
      <c r="BD111" s="201">
        <v>80.820333634800008</v>
      </c>
      <c r="BE111" s="374">
        <v>102.26543481509999</v>
      </c>
      <c r="BF111" s="374">
        <v>122.50637852199999</v>
      </c>
      <c r="BG111" s="374">
        <v>107.05668313499999</v>
      </c>
      <c r="BH111" s="374">
        <v>102.77087046060002</v>
      </c>
      <c r="BI111" s="374">
        <v>124.51872675649999</v>
      </c>
      <c r="BJ111" s="374">
        <v>156.8900682293</v>
      </c>
      <c r="BK111" s="374">
        <v>207.040722176</v>
      </c>
      <c r="BL111" s="374">
        <v>231.19286578359998</v>
      </c>
      <c r="BM111" s="374">
        <v>240.24716259959996</v>
      </c>
      <c r="BN111" s="374">
        <v>238.5877942036</v>
      </c>
      <c r="BO111" s="374">
        <v>234.58709090600001</v>
      </c>
      <c r="BP111" s="374">
        <v>288.92889159689997</v>
      </c>
      <c r="BQ111" s="374">
        <v>249.2895681947</v>
      </c>
      <c r="BR111" s="374">
        <v>267.86570842959998</v>
      </c>
      <c r="BS111" s="374">
        <v>254.02701364000001</v>
      </c>
      <c r="BT111" s="374">
        <v>228.91114647355502</v>
      </c>
      <c r="BU111" s="374">
        <v>270.903994729658</v>
      </c>
      <c r="BV111" s="374">
        <v>332.94097498204599</v>
      </c>
      <c r="BW111" s="374">
        <v>335.10717976647504</v>
      </c>
      <c r="BX111" s="374">
        <v>380.39816035900003</v>
      </c>
      <c r="BY111" s="374">
        <v>419.18819772929999</v>
      </c>
      <c r="BZ111" s="374">
        <v>432.1</v>
      </c>
      <c r="CA111" s="374">
        <v>442.84443802250007</v>
      </c>
      <c r="CB111" s="374">
        <v>513.33174246080011</v>
      </c>
      <c r="CC111" s="374">
        <v>460.54465826823792</v>
      </c>
      <c r="CD111" s="374">
        <v>471.65916741738994</v>
      </c>
      <c r="CE111" s="374">
        <v>531.79000100959479</v>
      </c>
      <c r="CF111" s="374">
        <v>500.30622676896968</v>
      </c>
      <c r="CG111" s="374">
        <v>517.79394150450003</v>
      </c>
      <c r="CH111" s="374">
        <v>661.02272867938598</v>
      </c>
      <c r="CI111" s="374">
        <v>449.44614285787361</v>
      </c>
      <c r="CJ111" s="374">
        <v>458.76940723819001</v>
      </c>
      <c r="CK111" s="374">
        <v>466.18309852766799</v>
      </c>
      <c r="CL111" s="374">
        <v>438.73678636075556</v>
      </c>
      <c r="CM111" s="374">
        <v>425.35442872144893</v>
      </c>
      <c r="CN111" s="374">
        <v>429.66788687406142</v>
      </c>
      <c r="CO111" s="374">
        <v>426.86984902302208</v>
      </c>
    </row>
    <row r="112" spans="1:93" ht="7.7" customHeight="1">
      <c r="A112" s="365"/>
      <c r="B112" s="398"/>
      <c r="C112" s="399"/>
      <c r="D112" s="399"/>
      <c r="E112" s="400"/>
      <c r="F112" s="399"/>
      <c r="G112" s="399"/>
      <c r="H112" s="260"/>
      <c r="I112" s="260"/>
      <c r="J112" s="260"/>
      <c r="K112" s="207"/>
      <c r="L112" s="260"/>
      <c r="M112" s="260"/>
      <c r="N112" s="260"/>
      <c r="O112" s="207"/>
      <c r="P112" s="260"/>
      <c r="Q112" s="260"/>
      <c r="R112" s="207"/>
      <c r="S112" s="260"/>
      <c r="T112" s="260"/>
      <c r="U112" s="373"/>
      <c r="V112" s="373"/>
      <c r="W112" s="373"/>
      <c r="X112" s="373"/>
      <c r="Y112" s="373"/>
      <c r="Z112" s="373"/>
      <c r="AA112" s="373"/>
      <c r="AB112" s="373"/>
      <c r="AC112" s="373"/>
      <c r="AD112" s="373"/>
      <c r="AE112" s="373"/>
      <c r="AF112" s="373"/>
      <c r="AG112" s="373"/>
      <c r="AH112" s="373"/>
      <c r="AI112" s="373"/>
      <c r="AJ112" s="373"/>
      <c r="AK112" s="373"/>
      <c r="AL112" s="373"/>
      <c r="AM112" s="261"/>
      <c r="AN112" s="261"/>
      <c r="AO112" s="261"/>
      <c r="AP112" s="261"/>
      <c r="AQ112" s="262"/>
      <c r="AR112" s="398"/>
      <c r="AS112" s="398"/>
      <c r="AT112" s="398"/>
      <c r="AU112" s="398"/>
      <c r="AV112" s="398"/>
      <c r="AW112" s="370"/>
      <c r="AX112" s="370"/>
      <c r="AY112" s="370"/>
      <c r="AZ112" s="370"/>
      <c r="BA112" s="370"/>
      <c r="BB112" s="370"/>
      <c r="BC112" s="370"/>
      <c r="BD112" s="370"/>
      <c r="BE112" s="370"/>
      <c r="BF112" s="370"/>
      <c r="BG112" s="370"/>
      <c r="BH112" s="370"/>
      <c r="BI112" s="370"/>
      <c r="BJ112" s="370"/>
      <c r="BK112" s="370"/>
      <c r="BL112" s="370"/>
      <c r="BM112" s="370"/>
      <c r="BN112" s="370"/>
      <c r="BO112" s="370"/>
      <c r="BP112" s="370"/>
      <c r="BQ112" s="370"/>
      <c r="BR112" s="370"/>
      <c r="BS112" s="370"/>
      <c r="BT112" s="370"/>
      <c r="BU112" s="370"/>
      <c r="BV112" s="370"/>
      <c r="BW112" s="370"/>
      <c r="BX112" s="370"/>
      <c r="BY112" s="370"/>
      <c r="BZ112" s="370"/>
      <c r="CA112" s="370"/>
      <c r="CB112" s="370"/>
      <c r="CC112" s="370"/>
      <c r="CD112" s="370"/>
      <c r="CE112" s="370"/>
      <c r="CF112" s="370"/>
      <c r="CG112" s="370"/>
      <c r="CH112" s="370"/>
      <c r="CI112" s="370"/>
      <c r="CJ112" s="370"/>
      <c r="CK112" s="370"/>
      <c r="CL112" s="370"/>
      <c r="CM112" s="370"/>
      <c r="CN112" s="370"/>
      <c r="CO112" s="370"/>
    </row>
    <row r="113" spans="1:93" ht="18" customHeight="1">
      <c r="A113" s="365" t="s">
        <v>480</v>
      </c>
      <c r="B113" s="398">
        <v>43.150614399999995</v>
      </c>
      <c r="C113" s="399">
        <v>42.207274249999998</v>
      </c>
      <c r="D113" s="399">
        <v>42.512318749999999</v>
      </c>
      <c r="E113" s="400">
        <v>41.809370599999994</v>
      </c>
      <c r="F113" s="399">
        <v>47.301994409999999</v>
      </c>
      <c r="G113" s="399">
        <v>199.47419263999998</v>
      </c>
      <c r="H113" s="198">
        <v>62.735003629999994</v>
      </c>
      <c r="I113" s="198">
        <v>59.889912649999999</v>
      </c>
      <c r="J113" s="198">
        <v>65.213463569999988</v>
      </c>
      <c r="K113" s="210">
        <v>71.142156270000001</v>
      </c>
      <c r="L113" s="198">
        <v>80.642934280000006</v>
      </c>
      <c r="M113" s="198">
        <v>80.446369410000003</v>
      </c>
      <c r="N113" s="198">
        <v>79.685080139999997</v>
      </c>
      <c r="O113" s="210">
        <v>82.64223527</v>
      </c>
      <c r="P113" s="198">
        <v>94.409450730000003</v>
      </c>
      <c r="Q113" s="198">
        <v>104.50950939000001</v>
      </c>
      <c r="R113" s="210">
        <v>98.667446409999997</v>
      </c>
      <c r="S113" s="198">
        <v>108.93932369999999</v>
      </c>
      <c r="T113" s="198">
        <v>121.25759981</v>
      </c>
      <c r="U113" s="200">
        <v>138.49179686000002</v>
      </c>
      <c r="V113" s="200">
        <v>146.85775838000004</v>
      </c>
      <c r="W113" s="200">
        <v>146.53598158000003</v>
      </c>
      <c r="X113" s="200">
        <v>146.58059299999999</v>
      </c>
      <c r="Y113" s="200">
        <v>146.72446094999998</v>
      </c>
      <c r="Z113" s="200">
        <v>95.140797540000008</v>
      </c>
      <c r="AA113" s="200">
        <v>53.62281668</v>
      </c>
      <c r="AB113" s="200">
        <v>53.616845520000005</v>
      </c>
      <c r="AC113" s="200">
        <v>52.152415769999998</v>
      </c>
      <c r="AD113" s="200">
        <v>52.342236230000005</v>
      </c>
      <c r="AE113" s="200">
        <v>55.405798879999999</v>
      </c>
      <c r="AF113" s="200">
        <v>55.671171610000002</v>
      </c>
      <c r="AG113" s="200">
        <v>48.651752860000002</v>
      </c>
      <c r="AH113" s="200">
        <v>48.309266000000001</v>
      </c>
      <c r="AI113" s="200">
        <v>48.683567750000002</v>
      </c>
      <c r="AJ113" s="200">
        <v>48.213574289999997</v>
      </c>
      <c r="AK113" s="200">
        <v>48.213015290000001</v>
      </c>
      <c r="AL113" s="200">
        <v>47.749111720000002</v>
      </c>
      <c r="AM113" s="261">
        <v>47.243044304499996</v>
      </c>
      <c r="AN113" s="261">
        <v>47.243352719999997</v>
      </c>
      <c r="AO113" s="261">
        <v>46.795961959999993</v>
      </c>
      <c r="AP113" s="261">
        <v>47.020105870000002</v>
      </c>
      <c r="AQ113" s="261">
        <v>45.856592560000003</v>
      </c>
      <c r="AR113" s="398">
        <v>45.206261120000008</v>
      </c>
      <c r="AS113" s="398">
        <v>148.69999999999999</v>
      </c>
      <c r="AT113" s="398">
        <v>48.81600928999999</v>
      </c>
      <c r="AU113" s="398">
        <v>48.946116539999998</v>
      </c>
      <c r="AV113" s="398">
        <v>48.133050670000003</v>
      </c>
      <c r="AW113" s="370">
        <v>44.245487049999994</v>
      </c>
      <c r="AX113" s="370">
        <v>49.020420189999996</v>
      </c>
      <c r="AY113" s="370">
        <v>4.6218399999999997</v>
      </c>
      <c r="AZ113" s="370">
        <v>8.1419823999999998</v>
      </c>
      <c r="BA113" s="370">
        <v>4.9027830000000003</v>
      </c>
      <c r="BB113" s="370">
        <v>8.0384530099999996</v>
      </c>
      <c r="BC113" s="370">
        <v>8.4703702300000003</v>
      </c>
      <c r="BD113" s="370">
        <v>7.9456505399999999</v>
      </c>
      <c r="BE113" s="370">
        <v>4.00258</v>
      </c>
      <c r="BF113" s="370">
        <v>7.3090130100000001</v>
      </c>
      <c r="BG113" s="370">
        <v>7.2887738899999999</v>
      </c>
      <c r="BH113" s="370">
        <v>7.2096222499999998</v>
      </c>
      <c r="BI113" s="370">
        <v>7.14423545</v>
      </c>
      <c r="BJ113" s="370">
        <v>7.1485296399999996</v>
      </c>
      <c r="BK113" s="370">
        <v>6.5151346800000001</v>
      </c>
      <c r="BL113" s="370">
        <v>6.4557929299999994</v>
      </c>
      <c r="BM113" s="370">
        <v>66.207861170000015</v>
      </c>
      <c r="BN113" s="370">
        <v>6.33510039</v>
      </c>
      <c r="BO113" s="370">
        <v>6.2741989500000006</v>
      </c>
      <c r="BP113" s="370">
        <v>6.2117400099999998</v>
      </c>
      <c r="BQ113" s="370">
        <v>5.6498558799999996</v>
      </c>
      <c r="BR113" s="370">
        <v>5.5873898300000002</v>
      </c>
      <c r="BS113" s="370">
        <v>5.5224426399999995</v>
      </c>
      <c r="BT113" s="370">
        <v>5.4587292699999992</v>
      </c>
      <c r="BU113" s="370">
        <v>5.3939733399999996</v>
      </c>
      <c r="BV113" s="370">
        <v>7.5654054200000003</v>
      </c>
      <c r="BW113" s="370">
        <v>5.22774406</v>
      </c>
      <c r="BX113" s="370">
        <v>5.4301870000000001</v>
      </c>
      <c r="BY113" s="370">
        <v>5.8820139999999999</v>
      </c>
      <c r="BZ113" s="370">
        <v>5.4</v>
      </c>
      <c r="CA113" s="370">
        <v>5.3</v>
      </c>
      <c r="CB113" s="370">
        <v>3.6</v>
      </c>
      <c r="CC113" s="370">
        <v>3.0946150000000001</v>
      </c>
      <c r="CD113" s="370">
        <v>3.0779450000000002</v>
      </c>
      <c r="CE113" s="370">
        <v>3.016289</v>
      </c>
      <c r="CF113" s="370">
        <v>2.0226440000000001</v>
      </c>
      <c r="CG113" s="370">
        <v>3.04628649</v>
      </c>
      <c r="CH113" s="370">
        <v>3.0264083199999998</v>
      </c>
      <c r="CI113" s="370">
        <v>2.50541379</v>
      </c>
      <c r="CJ113" s="370">
        <v>2.4662520699999999</v>
      </c>
      <c r="CK113" s="370">
        <v>2.4441150599999997</v>
      </c>
      <c r="CL113" s="370">
        <v>2.4319014010000002</v>
      </c>
      <c r="CM113" s="370">
        <v>2.4139252600000001</v>
      </c>
      <c r="CN113" s="370">
        <v>2.4324319000000001</v>
      </c>
      <c r="CO113" s="370">
        <v>1.8798628399999999</v>
      </c>
    </row>
    <row r="114" spans="1:93" ht="7.7" customHeight="1">
      <c r="A114" s="365"/>
      <c r="B114" s="398"/>
      <c r="C114" s="399"/>
      <c r="D114" s="399"/>
      <c r="E114" s="400"/>
      <c r="F114" s="399"/>
      <c r="G114" s="399"/>
      <c r="H114" s="260"/>
      <c r="I114" s="260"/>
      <c r="J114" s="260"/>
      <c r="K114" s="207"/>
      <c r="L114" s="260"/>
      <c r="M114" s="260"/>
      <c r="N114" s="260"/>
      <c r="O114" s="207"/>
      <c r="P114" s="260"/>
      <c r="Q114" s="260"/>
      <c r="R114" s="207"/>
      <c r="S114" s="260"/>
      <c r="T114" s="260"/>
      <c r="U114" s="373"/>
      <c r="V114" s="373"/>
      <c r="W114" s="373"/>
      <c r="X114" s="373"/>
      <c r="Y114" s="373"/>
      <c r="Z114" s="373"/>
      <c r="AA114" s="373"/>
      <c r="AB114" s="373"/>
      <c r="AC114" s="373"/>
      <c r="AD114" s="373"/>
      <c r="AE114" s="373"/>
      <c r="AF114" s="373"/>
      <c r="AG114" s="373"/>
      <c r="AH114" s="373"/>
      <c r="AI114" s="373"/>
      <c r="AJ114" s="373"/>
      <c r="AK114" s="373"/>
      <c r="AL114" s="373"/>
      <c r="AM114" s="261"/>
      <c r="AN114" s="261"/>
      <c r="AO114" s="261"/>
      <c r="AP114" s="261"/>
      <c r="AQ114" s="261"/>
      <c r="AR114" s="398"/>
      <c r="AS114" s="398"/>
      <c r="AT114" s="398"/>
      <c r="AU114" s="398"/>
      <c r="AV114" s="398"/>
      <c r="AW114" s="370"/>
      <c r="AX114" s="370"/>
      <c r="AY114" s="370"/>
      <c r="AZ114" s="370"/>
      <c r="BA114" s="370"/>
      <c r="BB114" s="370"/>
      <c r="BC114" s="370"/>
      <c r="BD114" s="370"/>
      <c r="BE114" s="370"/>
      <c r="BF114" s="370"/>
      <c r="BG114" s="370"/>
      <c r="BH114" s="370"/>
      <c r="BI114" s="370"/>
      <c r="BJ114" s="370"/>
      <c r="BK114" s="370"/>
      <c r="BL114" s="370"/>
      <c r="BM114" s="370"/>
      <c r="BN114" s="370"/>
      <c r="BO114" s="370"/>
      <c r="BP114" s="370"/>
      <c r="BQ114" s="370"/>
      <c r="BR114" s="370"/>
      <c r="BS114" s="370"/>
      <c r="BT114" s="370"/>
      <c r="BU114" s="370"/>
      <c r="BV114" s="370"/>
      <c r="BW114" s="370"/>
      <c r="BX114" s="370"/>
      <c r="BY114" s="370"/>
      <c r="BZ114" s="370"/>
      <c r="CA114" s="370"/>
      <c r="CB114" s="370"/>
      <c r="CC114" s="370"/>
      <c r="CD114" s="370"/>
      <c r="CE114" s="370"/>
      <c r="CF114" s="370"/>
      <c r="CG114" s="370"/>
      <c r="CH114" s="370"/>
      <c r="CI114" s="370"/>
      <c r="CJ114" s="370"/>
      <c r="CK114" s="370"/>
      <c r="CL114" s="370"/>
      <c r="CM114" s="370"/>
      <c r="CN114" s="370"/>
      <c r="CO114" s="370"/>
    </row>
    <row r="115" spans="1:93" ht="18" customHeight="1">
      <c r="A115" s="365" t="s">
        <v>481</v>
      </c>
      <c r="B115" s="398">
        <v>6087.5339999999997</v>
      </c>
      <c r="C115" s="399">
        <v>6282.2809999999999</v>
      </c>
      <c r="D115" s="399">
        <v>6278.3530000000001</v>
      </c>
      <c r="E115" s="400">
        <v>6540.0770000000002</v>
      </c>
      <c r="F115" s="399">
        <v>7791.7597525270503</v>
      </c>
      <c r="G115" s="399">
        <v>8301.3367181460035</v>
      </c>
      <c r="H115" s="198">
        <v>9681.1409026227993</v>
      </c>
      <c r="I115" s="198">
        <v>9148.4428674504306</v>
      </c>
      <c r="J115" s="198">
        <v>8837.0183888883985</v>
      </c>
      <c r="K115" s="210">
        <v>9765.5623922953801</v>
      </c>
      <c r="L115" s="198">
        <v>9904.6604144988996</v>
      </c>
      <c r="M115" s="198">
        <v>9146.6745993924997</v>
      </c>
      <c r="N115" s="198">
        <v>8938.3034120034863</v>
      </c>
      <c r="O115" s="210">
        <v>9012.8890734600009</v>
      </c>
      <c r="P115" s="198">
        <v>9640.0199489482911</v>
      </c>
      <c r="Q115" s="198">
        <v>10191.4248335068</v>
      </c>
      <c r="R115" s="210">
        <v>10434.874630715985</v>
      </c>
      <c r="S115" s="198">
        <v>9915.4804170865864</v>
      </c>
      <c r="T115" s="198">
        <v>9325.0663377259862</v>
      </c>
      <c r="U115" s="200">
        <v>8383.1485167143164</v>
      </c>
      <c r="V115" s="200">
        <v>8354.5385764243238</v>
      </c>
      <c r="W115" s="200">
        <v>7942.615334895987</v>
      </c>
      <c r="X115" s="200">
        <v>7621.1513219999997</v>
      </c>
      <c r="Y115" s="200">
        <v>7247.1779320284859</v>
      </c>
      <c r="Z115" s="200">
        <v>6904.1</v>
      </c>
      <c r="AA115" s="200">
        <v>6596.2549728348622</v>
      </c>
      <c r="AB115" s="200">
        <v>6824.8353906312623</v>
      </c>
      <c r="AC115" s="200">
        <v>6772.2111154775102</v>
      </c>
      <c r="AD115" s="200">
        <v>6484.9072354850105</v>
      </c>
      <c r="AE115" s="200">
        <v>6828.2469018691863</v>
      </c>
      <c r="AF115" s="200">
        <v>6886.4714352862666</v>
      </c>
      <c r="AG115" s="200">
        <v>7455.1138198725166</v>
      </c>
      <c r="AH115" s="200">
        <v>7374.7690133325168</v>
      </c>
      <c r="AI115" s="200">
        <v>7264.4454413325157</v>
      </c>
      <c r="AJ115" s="200">
        <v>7264.2725329717005</v>
      </c>
      <c r="AK115" s="200">
        <v>7109.0688772004696</v>
      </c>
      <c r="AL115" s="200">
        <v>7768.0838362606182</v>
      </c>
      <c r="AM115" s="261">
        <v>6874.5503868074684</v>
      </c>
      <c r="AN115" s="261">
        <v>7139.4956924856006</v>
      </c>
      <c r="AO115" s="261">
        <v>8563.0663027631017</v>
      </c>
      <c r="AP115" s="261">
        <v>7619.511050453787</v>
      </c>
      <c r="AQ115" s="261">
        <v>8425.0455872916864</v>
      </c>
      <c r="AR115" s="398">
        <v>9206.2720706570453</v>
      </c>
      <c r="AS115" s="398">
        <v>10288.1</v>
      </c>
      <c r="AT115" s="398">
        <v>11983.528431303679</v>
      </c>
      <c r="AU115" s="398">
        <v>11905.548058594413</v>
      </c>
      <c r="AV115" s="398">
        <v>11976.820928203735</v>
      </c>
      <c r="AW115" s="370">
        <v>12136.830411973338</v>
      </c>
      <c r="AX115" s="370">
        <v>12136.735695298354</v>
      </c>
      <c r="AY115" s="370">
        <v>12375.565437237236</v>
      </c>
      <c r="AZ115" s="370">
        <v>11946.025530794048</v>
      </c>
      <c r="BA115" s="370">
        <v>11968.77704559256</v>
      </c>
      <c r="BB115" s="370">
        <v>12104.112189095818</v>
      </c>
      <c r="BC115" s="370">
        <v>10317.39016114209</v>
      </c>
      <c r="BD115" s="370">
        <v>10928.459762339055</v>
      </c>
      <c r="BE115" s="370">
        <v>10519.436166373454</v>
      </c>
      <c r="BF115" s="370">
        <v>10005.688965027455</v>
      </c>
      <c r="BG115" s="370">
        <v>10381.779196739439</v>
      </c>
      <c r="BH115" s="370">
        <v>9623.3347607017604</v>
      </c>
      <c r="BI115" s="370">
        <v>10529.082894091322</v>
      </c>
      <c r="BJ115" s="370">
        <v>10248.054642308682</v>
      </c>
      <c r="BK115" s="370">
        <v>9603.0785451887896</v>
      </c>
      <c r="BL115" s="370">
        <v>8441.3102252899371</v>
      </c>
      <c r="BM115" s="370">
        <v>8401.1349433418</v>
      </c>
      <c r="BN115" s="370">
        <v>8361.2331617861255</v>
      </c>
      <c r="BO115" s="370">
        <v>7823.9781826218095</v>
      </c>
      <c r="BP115" s="370">
        <v>8957.2432000743593</v>
      </c>
      <c r="BQ115" s="370">
        <v>7437.6127609682599</v>
      </c>
      <c r="BR115" s="370">
        <v>7405.7139424756606</v>
      </c>
      <c r="BS115" s="370">
        <v>7468.0103895869597</v>
      </c>
      <c r="BT115" s="370">
        <v>6843.9208039492114</v>
      </c>
      <c r="BU115" s="370">
        <v>6897.8749128561594</v>
      </c>
      <c r="BV115" s="370">
        <v>7083.6699501072599</v>
      </c>
      <c r="BW115" s="370">
        <v>6692.5169704858399</v>
      </c>
      <c r="BX115" s="370">
        <v>6892.6479768524996</v>
      </c>
      <c r="BY115" s="370">
        <v>6858.5721894185444</v>
      </c>
      <c r="BZ115" s="370">
        <v>7082.6</v>
      </c>
      <c r="CA115" s="370">
        <v>6534.3329141403501</v>
      </c>
      <c r="CB115" s="370">
        <v>3878.3103971488567</v>
      </c>
      <c r="CC115" s="370">
        <v>4235.4853295428575</v>
      </c>
      <c r="CD115" s="370">
        <v>4568.6010120400206</v>
      </c>
      <c r="CE115" s="370">
        <v>4466.3129372281783</v>
      </c>
      <c r="CF115" s="370">
        <v>4829.0300226617501</v>
      </c>
      <c r="CG115" s="370">
        <v>4887.4298985143396</v>
      </c>
      <c r="CH115" s="370">
        <v>4898.3645975176578</v>
      </c>
      <c r="CI115" s="370">
        <v>5457.1038770263049</v>
      </c>
      <c r="CJ115" s="370">
        <v>5344.7690008277323</v>
      </c>
      <c r="CK115" s="370">
        <v>5636.1930700774219</v>
      </c>
      <c r="CL115" s="370">
        <v>6595.1493897188029</v>
      </c>
      <c r="CM115" s="370">
        <v>5302.0541086554767</v>
      </c>
      <c r="CN115" s="370">
        <v>6478.7426833224245</v>
      </c>
      <c r="CO115" s="370">
        <v>6247.3900088797291</v>
      </c>
    </row>
    <row r="116" spans="1:93" ht="7.7" customHeight="1">
      <c r="A116" s="365"/>
      <c r="B116" s="398"/>
      <c r="C116" s="399"/>
      <c r="D116" s="399"/>
      <c r="E116" s="400"/>
      <c r="F116" s="399"/>
      <c r="G116" s="399"/>
      <c r="H116" s="260"/>
      <c r="I116" s="260"/>
      <c r="J116" s="260"/>
      <c r="K116" s="207"/>
      <c r="L116" s="260"/>
      <c r="M116" s="260"/>
      <c r="N116" s="260"/>
      <c r="O116" s="207"/>
      <c r="P116" s="260"/>
      <c r="Q116" s="260"/>
      <c r="R116" s="207"/>
      <c r="S116" s="260"/>
      <c r="T116" s="260"/>
      <c r="U116" s="373"/>
      <c r="V116" s="373"/>
      <c r="W116" s="373"/>
      <c r="X116" s="373"/>
      <c r="Y116" s="373"/>
      <c r="Z116" s="373"/>
      <c r="AA116" s="373"/>
      <c r="AB116" s="373"/>
      <c r="AC116" s="373"/>
      <c r="AD116" s="373"/>
      <c r="AE116" s="373"/>
      <c r="AF116" s="373"/>
      <c r="AG116" s="373"/>
      <c r="AH116" s="373"/>
      <c r="AI116" s="373"/>
      <c r="AJ116" s="373"/>
      <c r="AK116" s="373"/>
      <c r="AL116" s="373"/>
      <c r="AM116" s="261"/>
      <c r="AN116" s="261"/>
      <c r="AO116" s="261"/>
      <c r="AP116" s="261"/>
      <c r="AQ116" s="261"/>
      <c r="AR116" s="398"/>
      <c r="AS116" s="398"/>
      <c r="AT116" s="398"/>
      <c r="AU116" s="398"/>
      <c r="AV116" s="398"/>
      <c r="AW116" s="370"/>
      <c r="AX116" s="370"/>
      <c r="AY116" s="370"/>
      <c r="AZ116" s="370"/>
      <c r="BA116" s="370"/>
      <c r="BB116" s="370"/>
      <c r="BC116" s="370"/>
      <c r="BD116" s="370"/>
      <c r="BE116" s="370"/>
      <c r="BF116" s="370"/>
      <c r="BG116" s="370"/>
      <c r="BH116" s="370"/>
      <c r="BI116" s="370"/>
      <c r="BJ116" s="370"/>
      <c r="BK116" s="370"/>
      <c r="BL116" s="370"/>
      <c r="BM116" s="370"/>
      <c r="BN116" s="370"/>
      <c r="BO116" s="370"/>
      <c r="BP116" s="370"/>
      <c r="BQ116" s="370"/>
      <c r="BR116" s="370"/>
      <c r="BS116" s="370"/>
      <c r="BT116" s="370"/>
      <c r="BU116" s="370"/>
      <c r="BV116" s="370"/>
      <c r="BW116" s="370"/>
      <c r="BX116" s="370"/>
      <c r="BY116" s="370"/>
      <c r="BZ116" s="370"/>
      <c r="CA116" s="370"/>
      <c r="CB116" s="370"/>
      <c r="CC116" s="370"/>
      <c r="CD116" s="370"/>
      <c r="CE116" s="370"/>
      <c r="CF116" s="370"/>
      <c r="CG116" s="370"/>
      <c r="CH116" s="370"/>
      <c r="CI116" s="370"/>
      <c r="CJ116" s="370"/>
      <c r="CK116" s="370"/>
      <c r="CL116" s="370"/>
      <c r="CM116" s="370"/>
      <c r="CN116" s="370"/>
      <c r="CO116" s="370"/>
    </row>
    <row r="117" spans="1:93" ht="18" customHeight="1">
      <c r="A117" s="365" t="s">
        <v>482</v>
      </c>
      <c r="B117" s="398">
        <v>0</v>
      </c>
      <c r="C117" s="399">
        <v>0</v>
      </c>
      <c r="D117" s="399">
        <v>0</v>
      </c>
      <c r="E117" s="400">
        <v>0</v>
      </c>
      <c r="F117" s="399">
        <v>0</v>
      </c>
      <c r="G117" s="399">
        <v>0</v>
      </c>
      <c r="H117" s="198">
        <v>0</v>
      </c>
      <c r="I117" s="198">
        <v>0</v>
      </c>
      <c r="J117" s="198">
        <v>0</v>
      </c>
      <c r="K117" s="210">
        <v>0</v>
      </c>
      <c r="L117" s="198">
        <v>0</v>
      </c>
      <c r="M117" s="198">
        <v>1.4883000000000002E-4</v>
      </c>
      <c r="N117" s="198">
        <v>0</v>
      </c>
      <c r="O117" s="210">
        <v>0</v>
      </c>
      <c r="P117" s="198">
        <v>2.5469999999999998E-5</v>
      </c>
      <c r="Q117" s="198">
        <v>1.1640999999999999E-4</v>
      </c>
      <c r="R117" s="210">
        <v>2.0886E-4</v>
      </c>
      <c r="S117" s="198">
        <v>0</v>
      </c>
      <c r="T117" s="198">
        <v>0</v>
      </c>
      <c r="U117" s="200">
        <v>8.5140000000000001E-5</v>
      </c>
      <c r="V117" s="200">
        <v>0</v>
      </c>
      <c r="W117" s="200">
        <v>0</v>
      </c>
      <c r="X117" s="200">
        <v>0</v>
      </c>
      <c r="Y117" s="200">
        <v>0</v>
      </c>
      <c r="Z117" s="200">
        <v>0</v>
      </c>
      <c r="AA117" s="200">
        <v>0</v>
      </c>
      <c r="AB117" s="200">
        <v>0</v>
      </c>
      <c r="AC117" s="200">
        <v>2.0101E-4</v>
      </c>
      <c r="AD117" s="200">
        <v>0</v>
      </c>
      <c r="AE117" s="200">
        <v>0</v>
      </c>
      <c r="AF117" s="200">
        <v>0</v>
      </c>
      <c r="AG117" s="200">
        <v>0</v>
      </c>
      <c r="AH117" s="200">
        <v>0</v>
      </c>
      <c r="AI117" s="200">
        <v>0</v>
      </c>
      <c r="AJ117" s="200">
        <v>0</v>
      </c>
      <c r="AK117" s="200">
        <v>0.50244900000000003</v>
      </c>
      <c r="AL117" s="200">
        <v>0.49416765000000001</v>
      </c>
      <c r="AM117" s="261">
        <v>0.48826822999999997</v>
      </c>
      <c r="AN117" s="261">
        <v>0</v>
      </c>
      <c r="AO117" s="261">
        <v>0</v>
      </c>
      <c r="AP117" s="261">
        <v>0</v>
      </c>
      <c r="AQ117" s="261">
        <v>0</v>
      </c>
      <c r="AR117" s="398">
        <v>0</v>
      </c>
      <c r="AS117" s="398">
        <v>0</v>
      </c>
      <c r="AT117" s="398">
        <v>0</v>
      </c>
      <c r="AU117" s="398">
        <v>0</v>
      </c>
      <c r="AV117" s="398">
        <v>0</v>
      </c>
      <c r="AW117" s="370">
        <v>0</v>
      </c>
      <c r="AX117" s="370">
        <v>0</v>
      </c>
      <c r="AY117" s="370">
        <v>0</v>
      </c>
      <c r="AZ117" s="370">
        <v>0</v>
      </c>
      <c r="BA117" s="370">
        <v>0</v>
      </c>
      <c r="BB117" s="370">
        <v>0</v>
      </c>
      <c r="BC117" s="370">
        <v>0</v>
      </c>
      <c r="BD117" s="370">
        <v>0</v>
      </c>
      <c r="BE117" s="370">
        <v>0</v>
      </c>
      <c r="BF117" s="370">
        <v>0</v>
      </c>
      <c r="BG117" s="370">
        <v>0</v>
      </c>
      <c r="BH117" s="370">
        <v>0</v>
      </c>
      <c r="BI117" s="370">
        <v>0</v>
      </c>
      <c r="BJ117" s="370">
        <v>0</v>
      </c>
      <c r="BK117" s="370">
        <v>0</v>
      </c>
      <c r="BL117" s="370">
        <v>0</v>
      </c>
      <c r="BM117" s="370">
        <v>2.4752959999999997E-2</v>
      </c>
      <c r="BN117" s="370">
        <v>2.4512889999999999E-2</v>
      </c>
      <c r="BO117" s="370">
        <v>2.4298400000000001E-2</v>
      </c>
      <c r="BP117" s="370">
        <v>2.4071950000000002E-2</v>
      </c>
      <c r="BQ117" s="370">
        <v>2.3842560000000002E-2</v>
      </c>
      <c r="BR117" s="370">
        <v>2.3582869999999999E-2</v>
      </c>
      <c r="BS117" s="370">
        <v>2.3347360000000001E-2</v>
      </c>
      <c r="BT117" s="370">
        <v>2.309137E-2</v>
      </c>
      <c r="BU117" s="370">
        <v>2.285912E-2</v>
      </c>
      <c r="BV117" s="370">
        <v>2.260653E-2</v>
      </c>
      <c r="BW117" s="370">
        <v>2.234216E-2</v>
      </c>
      <c r="BX117" s="370">
        <v>2.2100999999999999E-2</v>
      </c>
      <c r="BY117" s="370">
        <v>2.1847999999999999E-2</v>
      </c>
      <c r="BZ117" s="370">
        <v>0</v>
      </c>
      <c r="CA117" s="370">
        <v>2.1323330000000001E-2</v>
      </c>
      <c r="CB117" s="370">
        <v>2.105255E-2</v>
      </c>
      <c r="CC117" s="370">
        <v>2.0794630000000001E-2</v>
      </c>
      <c r="CD117" s="370">
        <v>2.0509939999999997E-2</v>
      </c>
      <c r="CE117" s="370">
        <v>2.0229839999999999E-2</v>
      </c>
      <c r="CF117" s="370">
        <v>1.9953950000000002E-2</v>
      </c>
      <c r="CG117" s="370">
        <v>1.9674520000000001E-2</v>
      </c>
      <c r="CH117" s="370">
        <v>1.937695E-2</v>
      </c>
      <c r="CI117" s="370">
        <v>1.9098299999999999E-2</v>
      </c>
      <c r="CJ117" s="370">
        <v>1.8809119999999999E-2</v>
      </c>
      <c r="CK117" s="370">
        <v>1.8494409999999999E-2</v>
      </c>
      <c r="CL117" s="370">
        <v>1.8211950000000001E-2</v>
      </c>
      <c r="CM117" s="370">
        <v>1.7904929999999999E-2</v>
      </c>
      <c r="CN117" s="370">
        <v>1.7600900000000003E-2</v>
      </c>
      <c r="CO117" s="370">
        <v>1.7292990000000001E-2</v>
      </c>
    </row>
    <row r="118" spans="1:93" ht="7.7" customHeight="1">
      <c r="A118" s="365"/>
      <c r="B118" s="398"/>
      <c r="C118" s="399"/>
      <c r="D118" s="399"/>
      <c r="E118" s="400"/>
      <c r="F118" s="399"/>
      <c r="G118" s="399"/>
      <c r="H118" s="260"/>
      <c r="I118" s="260"/>
      <c r="J118" s="260"/>
      <c r="K118" s="207"/>
      <c r="L118" s="260"/>
      <c r="M118" s="260"/>
      <c r="N118" s="260"/>
      <c r="O118" s="207"/>
      <c r="P118" s="260"/>
      <c r="Q118" s="260"/>
      <c r="R118" s="210"/>
      <c r="S118" s="260"/>
      <c r="T118" s="260"/>
      <c r="U118" s="373"/>
      <c r="V118" s="373"/>
      <c r="W118" s="373"/>
      <c r="X118" s="373"/>
      <c r="Y118" s="373"/>
      <c r="Z118" s="373"/>
      <c r="AA118" s="373"/>
      <c r="AB118" s="373"/>
      <c r="AC118" s="373"/>
      <c r="AD118" s="373"/>
      <c r="AE118" s="373"/>
      <c r="AF118" s="373"/>
      <c r="AG118" s="373"/>
      <c r="AH118" s="373"/>
      <c r="AI118" s="373"/>
      <c r="AJ118" s="373"/>
      <c r="AK118" s="373"/>
      <c r="AL118" s="373"/>
      <c r="AM118" s="261"/>
      <c r="AN118" s="261"/>
      <c r="AO118" s="261"/>
      <c r="AP118" s="261"/>
      <c r="AQ118" s="261"/>
      <c r="AR118" s="398"/>
      <c r="AS118" s="398"/>
      <c r="AT118" s="398"/>
      <c r="AU118" s="398"/>
      <c r="AV118" s="398"/>
      <c r="AW118" s="370"/>
      <c r="AX118" s="370"/>
      <c r="AY118" s="370"/>
      <c r="AZ118" s="370"/>
      <c r="BA118" s="370"/>
      <c r="BB118" s="370"/>
      <c r="BC118" s="370"/>
      <c r="BD118" s="370"/>
      <c r="BE118" s="370"/>
      <c r="BF118" s="370"/>
      <c r="BG118" s="370"/>
      <c r="BH118" s="370"/>
      <c r="BI118" s="370"/>
      <c r="BJ118" s="370"/>
      <c r="BK118" s="370"/>
      <c r="BL118" s="370"/>
      <c r="BM118" s="370"/>
      <c r="BN118" s="370"/>
      <c r="BO118" s="370"/>
      <c r="BP118" s="370"/>
      <c r="BQ118" s="370"/>
      <c r="BR118" s="370"/>
      <c r="BS118" s="370"/>
      <c r="BT118" s="370"/>
      <c r="BU118" s="370"/>
      <c r="BV118" s="370"/>
      <c r="BW118" s="370"/>
      <c r="BX118" s="370"/>
      <c r="BY118" s="370"/>
      <c r="BZ118" s="370"/>
      <c r="CA118" s="370"/>
      <c r="CB118" s="370"/>
      <c r="CC118" s="370"/>
      <c r="CD118" s="370"/>
      <c r="CE118" s="370"/>
      <c r="CF118" s="370"/>
      <c r="CG118" s="370"/>
      <c r="CH118" s="370"/>
      <c r="CI118" s="370"/>
      <c r="CJ118" s="370"/>
      <c r="CK118" s="370"/>
      <c r="CL118" s="370"/>
      <c r="CM118" s="370"/>
      <c r="CN118" s="370"/>
      <c r="CO118" s="370"/>
    </row>
    <row r="119" spans="1:93" ht="18" customHeight="1">
      <c r="A119" s="365" t="s">
        <v>483</v>
      </c>
      <c r="B119" s="398">
        <v>0</v>
      </c>
      <c r="C119" s="399">
        <v>0</v>
      </c>
      <c r="D119" s="399">
        <v>0</v>
      </c>
      <c r="E119" s="400">
        <v>0</v>
      </c>
      <c r="F119" s="399">
        <v>0</v>
      </c>
      <c r="G119" s="399">
        <v>0</v>
      </c>
      <c r="H119" s="198">
        <v>0</v>
      </c>
      <c r="I119" s="198">
        <v>0</v>
      </c>
      <c r="J119" s="198">
        <v>0</v>
      </c>
      <c r="K119" s="210">
        <v>0</v>
      </c>
      <c r="L119" s="198">
        <v>0</v>
      </c>
      <c r="M119" s="198">
        <v>0</v>
      </c>
      <c r="N119" s="198">
        <v>0</v>
      </c>
      <c r="O119" s="210">
        <v>0</v>
      </c>
      <c r="P119" s="198">
        <v>0</v>
      </c>
      <c r="Q119" s="198">
        <v>0</v>
      </c>
      <c r="R119" s="210">
        <v>0</v>
      </c>
      <c r="S119" s="198">
        <v>0</v>
      </c>
      <c r="T119" s="198">
        <v>0</v>
      </c>
      <c r="U119" s="200">
        <v>0</v>
      </c>
      <c r="V119" s="200">
        <v>0</v>
      </c>
      <c r="W119" s="200">
        <v>0</v>
      </c>
      <c r="X119" s="200">
        <v>0.5</v>
      </c>
      <c r="Y119" s="200">
        <v>0.5</v>
      </c>
      <c r="Z119" s="200">
        <v>0.5</v>
      </c>
      <c r="AA119" s="200">
        <v>0.49168200000000001</v>
      </c>
      <c r="AB119" s="200">
        <v>0.5</v>
      </c>
      <c r="AC119" s="200">
        <v>0.47814400000000001</v>
      </c>
      <c r="AD119" s="200">
        <v>0.48294900000000002</v>
      </c>
      <c r="AE119" s="200">
        <v>0.48796400000000001</v>
      </c>
      <c r="AF119" s="200">
        <v>0.49321199999999998</v>
      </c>
      <c r="AG119" s="200">
        <v>0.49831999999999999</v>
      </c>
      <c r="AH119" s="200">
        <v>0.50212699999999999</v>
      </c>
      <c r="AI119" s="200">
        <v>0.50164900000000001</v>
      </c>
      <c r="AJ119" s="200">
        <v>0.5</v>
      </c>
      <c r="AK119" s="200">
        <v>0.5</v>
      </c>
      <c r="AL119" s="200">
        <v>0.5</v>
      </c>
      <c r="AM119" s="261">
        <v>21.547833710000003</v>
      </c>
      <c r="AN119" s="261">
        <v>0</v>
      </c>
      <c r="AO119" s="261">
        <v>0</v>
      </c>
      <c r="AP119" s="261">
        <v>0</v>
      </c>
      <c r="AQ119" s="261">
        <v>0</v>
      </c>
      <c r="AR119" s="398">
        <v>0</v>
      </c>
      <c r="AS119" s="398">
        <v>0</v>
      </c>
      <c r="AT119" s="398">
        <v>0</v>
      </c>
      <c r="AU119" s="398">
        <v>0.12320594999999999</v>
      </c>
      <c r="AV119" s="398">
        <v>0</v>
      </c>
      <c r="AW119" s="370">
        <v>0</v>
      </c>
      <c r="AX119" s="370">
        <v>0</v>
      </c>
      <c r="AY119" s="370">
        <v>0</v>
      </c>
      <c r="AZ119" s="370">
        <v>0</v>
      </c>
      <c r="BA119" s="370">
        <v>0</v>
      </c>
      <c r="BB119" s="370">
        <v>0</v>
      </c>
      <c r="BC119" s="370">
        <v>0</v>
      </c>
      <c r="BD119" s="370">
        <v>0</v>
      </c>
      <c r="BE119" s="370">
        <v>0</v>
      </c>
      <c r="BF119" s="370">
        <v>0</v>
      </c>
      <c r="BG119" s="370">
        <v>0</v>
      </c>
      <c r="BH119" s="370">
        <v>0</v>
      </c>
      <c r="BI119" s="370">
        <v>0</v>
      </c>
      <c r="BJ119" s="370">
        <v>0</v>
      </c>
      <c r="BK119" s="370">
        <v>0</v>
      </c>
      <c r="BL119" s="370">
        <v>0</v>
      </c>
      <c r="BM119" s="370">
        <v>0</v>
      </c>
      <c r="BN119" s="370">
        <v>0</v>
      </c>
      <c r="BO119" s="370">
        <v>0</v>
      </c>
      <c r="BP119" s="370">
        <v>0</v>
      </c>
      <c r="BQ119" s="370">
        <v>0</v>
      </c>
      <c r="BR119" s="370">
        <v>0</v>
      </c>
      <c r="BS119" s="370">
        <v>0</v>
      </c>
      <c r="BT119" s="370">
        <v>0</v>
      </c>
      <c r="BU119" s="370">
        <v>0</v>
      </c>
      <c r="BV119" s="370">
        <v>0</v>
      </c>
      <c r="BW119" s="370">
        <v>0</v>
      </c>
      <c r="BX119" s="370">
        <v>0</v>
      </c>
      <c r="BY119" s="370">
        <v>0</v>
      </c>
      <c r="BZ119" s="370">
        <v>0</v>
      </c>
      <c r="CA119" s="370">
        <v>0</v>
      </c>
      <c r="CB119" s="370">
        <v>0</v>
      </c>
      <c r="CC119" s="370">
        <v>0</v>
      </c>
      <c r="CD119" s="370">
        <v>0</v>
      </c>
      <c r="CE119" s="370">
        <v>0</v>
      </c>
      <c r="CF119" s="370">
        <v>0</v>
      </c>
      <c r="CG119" s="370">
        <v>0</v>
      </c>
      <c r="CH119" s="370">
        <v>0</v>
      </c>
      <c r="CI119" s="370">
        <v>0</v>
      </c>
      <c r="CJ119" s="370">
        <v>6.8999999999999997E-5</v>
      </c>
      <c r="CK119" s="370">
        <v>0</v>
      </c>
      <c r="CL119" s="370">
        <v>0</v>
      </c>
      <c r="CM119" s="370">
        <v>0</v>
      </c>
      <c r="CN119" s="370">
        <v>0</v>
      </c>
      <c r="CO119" s="370">
        <v>0</v>
      </c>
    </row>
    <row r="120" spans="1:93" ht="7.7" customHeight="1">
      <c r="A120" s="365"/>
      <c r="B120" s="398"/>
      <c r="C120" s="399"/>
      <c r="D120" s="399"/>
      <c r="E120" s="400"/>
      <c r="F120" s="399"/>
      <c r="G120" s="399"/>
      <c r="H120" s="260"/>
      <c r="I120" s="260"/>
      <c r="J120" s="260"/>
      <c r="K120" s="207"/>
      <c r="L120" s="260"/>
      <c r="M120" s="260"/>
      <c r="N120" s="260"/>
      <c r="O120" s="207"/>
      <c r="P120" s="260"/>
      <c r="Q120" s="260"/>
      <c r="R120" s="207"/>
      <c r="S120" s="260"/>
      <c r="T120" s="260"/>
      <c r="U120" s="373"/>
      <c r="V120" s="373"/>
      <c r="W120" s="373"/>
      <c r="X120" s="373"/>
      <c r="Y120" s="373"/>
      <c r="Z120" s="373"/>
      <c r="AA120" s="373"/>
      <c r="AB120" s="373"/>
      <c r="AC120" s="373"/>
      <c r="AD120" s="373"/>
      <c r="AE120" s="373"/>
      <c r="AF120" s="373"/>
      <c r="AG120" s="373"/>
      <c r="AH120" s="373"/>
      <c r="AI120" s="373"/>
      <c r="AJ120" s="373"/>
      <c r="AK120" s="373"/>
      <c r="AL120" s="373"/>
      <c r="AM120" s="261"/>
      <c r="AN120" s="261"/>
      <c r="AO120" s="261"/>
      <c r="AP120" s="261"/>
      <c r="AQ120" s="261"/>
      <c r="AR120" s="398"/>
      <c r="AS120" s="398"/>
      <c r="AT120" s="398"/>
      <c r="AU120" s="398"/>
      <c r="AV120" s="398"/>
      <c r="AW120" s="370"/>
      <c r="AX120" s="370"/>
      <c r="AY120" s="370"/>
      <c r="AZ120" s="370"/>
      <c r="BA120" s="370"/>
      <c r="BB120" s="370"/>
      <c r="BC120" s="370"/>
      <c r="BD120" s="370"/>
      <c r="BE120" s="370"/>
      <c r="BF120" s="370"/>
      <c r="BG120" s="370"/>
      <c r="BH120" s="370"/>
      <c r="BI120" s="370"/>
      <c r="BJ120" s="370"/>
      <c r="BK120" s="370"/>
      <c r="BL120" s="370"/>
      <c r="BM120" s="370"/>
      <c r="BN120" s="370"/>
      <c r="BO120" s="370"/>
      <c r="BP120" s="370"/>
      <c r="BQ120" s="370"/>
      <c r="BR120" s="370"/>
      <c r="BS120" s="370"/>
      <c r="BT120" s="370"/>
      <c r="BU120" s="370"/>
      <c r="BV120" s="370"/>
      <c r="BW120" s="370"/>
      <c r="BX120" s="370"/>
      <c r="BY120" s="370"/>
      <c r="BZ120" s="370"/>
      <c r="CA120" s="370"/>
      <c r="CB120" s="370"/>
      <c r="CC120" s="370"/>
      <c r="CD120" s="370"/>
      <c r="CE120" s="370"/>
      <c r="CF120" s="370"/>
      <c r="CG120" s="370"/>
      <c r="CH120" s="370"/>
      <c r="CI120" s="370"/>
      <c r="CJ120" s="370"/>
      <c r="CK120" s="370"/>
      <c r="CL120" s="370"/>
      <c r="CM120" s="370"/>
      <c r="CN120" s="370"/>
      <c r="CO120" s="370"/>
    </row>
    <row r="121" spans="1:93" ht="18" customHeight="1">
      <c r="A121" s="365" t="s">
        <v>484</v>
      </c>
      <c r="B121" s="398">
        <v>192.01951221000002</v>
      </c>
      <c r="C121" s="399">
        <v>235.97923191000001</v>
      </c>
      <c r="D121" s="399">
        <v>222.77310564999999</v>
      </c>
      <c r="E121" s="400">
        <v>328.35369524999999</v>
      </c>
      <c r="F121" s="399">
        <v>298.92589276389003</v>
      </c>
      <c r="G121" s="399">
        <v>315.70135072696672</v>
      </c>
      <c r="H121" s="198">
        <v>308.77856265807998</v>
      </c>
      <c r="I121" s="198">
        <v>338.71059661696006</v>
      </c>
      <c r="J121" s="198">
        <v>288.23941493000001</v>
      </c>
      <c r="K121" s="210">
        <v>244.13335043999999</v>
      </c>
      <c r="L121" s="198">
        <v>254.35291572999998</v>
      </c>
      <c r="M121" s="198">
        <v>316.76744101499997</v>
      </c>
      <c r="N121" s="198">
        <v>355.94994093999998</v>
      </c>
      <c r="O121" s="210">
        <v>326.38525176999997</v>
      </c>
      <c r="P121" s="198">
        <v>299.53073412419997</v>
      </c>
      <c r="Q121" s="198">
        <v>295.95905259000006</v>
      </c>
      <c r="R121" s="210">
        <v>279.10486991999994</v>
      </c>
      <c r="S121" s="198">
        <v>326.57767074000003</v>
      </c>
      <c r="T121" s="198">
        <v>299.72776546999995</v>
      </c>
      <c r="U121" s="200">
        <v>353.15642659000002</v>
      </c>
      <c r="V121" s="200">
        <v>311.63890915999997</v>
      </c>
      <c r="W121" s="200">
        <v>387.74889279000001</v>
      </c>
      <c r="X121" s="200">
        <v>334.29616931999999</v>
      </c>
      <c r="Y121" s="200">
        <v>376.36085786000001</v>
      </c>
      <c r="Z121" s="200">
        <v>320.22612536999998</v>
      </c>
      <c r="AA121" s="200">
        <v>312.08657906999997</v>
      </c>
      <c r="AB121" s="200">
        <v>321.70331481999995</v>
      </c>
      <c r="AC121" s="200">
        <v>320.87883112000003</v>
      </c>
      <c r="AD121" s="200">
        <v>339.37122112000003</v>
      </c>
      <c r="AE121" s="200">
        <v>370.10273545999996</v>
      </c>
      <c r="AF121" s="200">
        <v>388.47943285000002</v>
      </c>
      <c r="AG121" s="200">
        <v>473.94413900000001</v>
      </c>
      <c r="AH121" s="200">
        <v>370.34552758000001</v>
      </c>
      <c r="AI121" s="200">
        <v>448.24496029999995</v>
      </c>
      <c r="AJ121" s="200">
        <v>469.50031194000002</v>
      </c>
      <c r="AK121" s="200">
        <v>531.65268503000004</v>
      </c>
      <c r="AL121" s="200">
        <v>488.35580938999999</v>
      </c>
      <c r="AM121" s="261">
        <v>453.84445075999997</v>
      </c>
      <c r="AN121" s="261">
        <v>461.19285909999996</v>
      </c>
      <c r="AO121" s="261">
        <v>442.76116218000004</v>
      </c>
      <c r="AP121" s="261">
        <v>442.59654288109999</v>
      </c>
      <c r="AQ121" s="261">
        <v>522.8364317214</v>
      </c>
      <c r="AR121" s="398">
        <v>498.09112754999995</v>
      </c>
      <c r="AS121" s="398">
        <v>492.31680511000002</v>
      </c>
      <c r="AT121" s="398">
        <v>417.21709975459999</v>
      </c>
      <c r="AU121" s="398">
        <v>431.57107893541098</v>
      </c>
      <c r="AV121" s="398">
        <v>442.43659571196002</v>
      </c>
      <c r="AW121" s="370">
        <v>465.66307396300806</v>
      </c>
      <c r="AX121" s="370">
        <v>650.52181283149002</v>
      </c>
      <c r="AY121" s="370">
        <v>686.832253480031</v>
      </c>
      <c r="AZ121" s="370">
        <v>713.94402035169787</v>
      </c>
      <c r="BA121" s="370">
        <v>727.84612771812408</v>
      </c>
      <c r="BB121" s="370">
        <v>657.86232802095992</v>
      </c>
      <c r="BC121" s="370">
        <v>710.12737937048507</v>
      </c>
      <c r="BD121" s="370">
        <v>634.37569963012299</v>
      </c>
      <c r="BE121" s="370">
        <v>647.97382662779</v>
      </c>
      <c r="BF121" s="370">
        <v>537.88422335361201</v>
      </c>
      <c r="BG121" s="370">
        <v>627.61083330546705</v>
      </c>
      <c r="BH121" s="370">
        <v>663.40927889077591</v>
      </c>
      <c r="BI121" s="370">
        <v>728.34664285774807</v>
      </c>
      <c r="BJ121" s="370">
        <v>707.78712348586896</v>
      </c>
      <c r="BK121" s="370">
        <v>526.40086285119298</v>
      </c>
      <c r="BL121" s="370">
        <v>485.52887384065707</v>
      </c>
      <c r="BM121" s="370">
        <v>490.471644806722</v>
      </c>
      <c r="BN121" s="370">
        <v>485.75293444996026</v>
      </c>
      <c r="BO121" s="370">
        <v>455.68923262062003</v>
      </c>
      <c r="BP121" s="370">
        <v>513.23423920703692</v>
      </c>
      <c r="BQ121" s="370">
        <v>479.00872848077796</v>
      </c>
      <c r="BR121" s="370">
        <v>518.53530125219891</v>
      </c>
      <c r="BS121" s="370">
        <v>501.36558687436201</v>
      </c>
      <c r="BT121" s="370">
        <v>465.01497381285702</v>
      </c>
      <c r="BU121" s="370">
        <v>513.62045026578505</v>
      </c>
      <c r="BV121" s="370">
        <v>485.15274489162999</v>
      </c>
      <c r="BW121" s="370">
        <v>534.20309589646297</v>
      </c>
      <c r="BX121" s="370">
        <v>565.91842836649994</v>
      </c>
      <c r="BY121" s="370">
        <v>536.36884661930003</v>
      </c>
      <c r="BZ121" s="370">
        <v>456.6</v>
      </c>
      <c r="CA121" s="370">
        <v>508.84501449909203</v>
      </c>
      <c r="CB121" s="370">
        <v>450.13484469470802</v>
      </c>
      <c r="CC121" s="370">
        <v>461.26877017055995</v>
      </c>
      <c r="CD121" s="370">
        <v>477.92985982939206</v>
      </c>
      <c r="CE121" s="370">
        <v>468.70256496830564</v>
      </c>
      <c r="CF121" s="370">
        <v>502.50511292237599</v>
      </c>
      <c r="CG121" s="370">
        <v>546.64038052038325</v>
      </c>
      <c r="CH121" s="370">
        <v>568.53301375424587</v>
      </c>
      <c r="CI121" s="370">
        <v>546.46712202075094</v>
      </c>
      <c r="CJ121" s="370">
        <v>500.03160609152997</v>
      </c>
      <c r="CK121" s="370">
        <v>494.53909139215398</v>
      </c>
      <c r="CL121" s="370">
        <v>535.00024466534353</v>
      </c>
      <c r="CM121" s="370">
        <v>515.52924364255546</v>
      </c>
      <c r="CN121" s="370">
        <v>488.90663818366602</v>
      </c>
      <c r="CO121" s="370">
        <v>483.39833002803698</v>
      </c>
    </row>
    <row r="122" spans="1:93" ht="7.7" customHeight="1">
      <c r="A122" s="365"/>
      <c r="B122" s="398"/>
      <c r="C122" s="399"/>
      <c r="D122" s="399"/>
      <c r="E122" s="400"/>
      <c r="F122" s="399"/>
      <c r="G122" s="399"/>
      <c r="H122" s="198"/>
      <c r="I122" s="198"/>
      <c r="J122" s="198"/>
      <c r="K122" s="210"/>
      <c r="L122" s="198"/>
      <c r="M122" s="198"/>
      <c r="N122" s="198"/>
      <c r="O122" s="210"/>
      <c r="P122" s="198"/>
      <c r="Q122" s="198"/>
      <c r="R122" s="210"/>
      <c r="S122" s="198"/>
      <c r="T122" s="198"/>
      <c r="U122" s="200"/>
      <c r="V122" s="200"/>
      <c r="W122" s="200"/>
      <c r="X122" s="200"/>
      <c r="Y122" s="200"/>
      <c r="Z122" s="200"/>
      <c r="AA122" s="200"/>
      <c r="AB122" s="200"/>
      <c r="AC122" s="200"/>
      <c r="AD122" s="200"/>
      <c r="AE122" s="200"/>
      <c r="AF122" s="200"/>
      <c r="AG122" s="200"/>
      <c r="AH122" s="200"/>
      <c r="AI122" s="200"/>
      <c r="AJ122" s="200"/>
      <c r="AK122" s="200"/>
      <c r="AL122" s="200"/>
      <c r="AM122" s="261"/>
      <c r="AN122" s="261"/>
      <c r="AO122" s="261"/>
      <c r="AP122" s="261"/>
      <c r="AQ122" s="261"/>
      <c r="AR122" s="398"/>
      <c r="AS122" s="398"/>
      <c r="AT122" s="398"/>
      <c r="AU122" s="398"/>
      <c r="AV122" s="398"/>
      <c r="AW122" s="370"/>
      <c r="AX122" s="370"/>
      <c r="AY122" s="370"/>
      <c r="AZ122" s="370"/>
      <c r="BA122" s="370"/>
      <c r="BB122" s="370"/>
      <c r="BC122" s="370"/>
      <c r="BD122" s="370"/>
      <c r="BE122" s="370"/>
      <c r="BF122" s="370"/>
      <c r="BG122" s="370"/>
      <c r="BH122" s="370"/>
      <c r="BI122" s="370"/>
      <c r="BJ122" s="370"/>
      <c r="BK122" s="370"/>
      <c r="BL122" s="370"/>
      <c r="BM122" s="370"/>
      <c r="BN122" s="370"/>
      <c r="BO122" s="370"/>
      <c r="BP122" s="370"/>
      <c r="BQ122" s="370"/>
      <c r="BR122" s="370"/>
      <c r="BS122" s="370"/>
      <c r="BT122" s="370"/>
      <c r="BU122" s="370"/>
      <c r="BV122" s="370"/>
      <c r="BW122" s="370"/>
      <c r="BX122" s="370"/>
      <c r="BY122" s="370"/>
      <c r="BZ122" s="370"/>
      <c r="CA122" s="370"/>
      <c r="CB122" s="370"/>
      <c r="CC122" s="370"/>
      <c r="CD122" s="370"/>
      <c r="CE122" s="370"/>
      <c r="CF122" s="370"/>
      <c r="CG122" s="370"/>
      <c r="CH122" s="370"/>
      <c r="CI122" s="370"/>
      <c r="CJ122" s="370"/>
      <c r="CK122" s="370"/>
      <c r="CL122" s="370"/>
      <c r="CM122" s="370"/>
      <c r="CN122" s="370"/>
      <c r="CO122" s="370"/>
    </row>
    <row r="123" spans="1:93" ht="18" customHeight="1">
      <c r="A123" s="365" t="s">
        <v>485</v>
      </c>
      <c r="B123" s="398">
        <v>22.896724710000001</v>
      </c>
      <c r="C123" s="399">
        <v>23.930499189999999</v>
      </c>
      <c r="D123" s="399">
        <v>21.771200949999997</v>
      </c>
      <c r="E123" s="400">
        <v>21.311337690000002</v>
      </c>
      <c r="F123" s="399">
        <v>22.385842310000001</v>
      </c>
      <c r="G123" s="399">
        <v>23.233362689999996</v>
      </c>
      <c r="H123" s="198">
        <v>23.580355480000001</v>
      </c>
      <c r="I123" s="198">
        <v>23.529080230000002</v>
      </c>
      <c r="J123" s="198">
        <v>23.54986761</v>
      </c>
      <c r="K123" s="210">
        <v>25.251241350000001</v>
      </c>
      <c r="L123" s="198">
        <v>27.155479019999998</v>
      </c>
      <c r="M123" s="198">
        <v>26.195889389999998</v>
      </c>
      <c r="N123" s="198">
        <v>27.685987150000003</v>
      </c>
      <c r="O123" s="210">
        <v>53.465920170000004</v>
      </c>
      <c r="P123" s="198">
        <v>53.160079099999997</v>
      </c>
      <c r="Q123" s="198">
        <v>53.535575270000002</v>
      </c>
      <c r="R123" s="210">
        <v>55.322908229999996</v>
      </c>
      <c r="S123" s="198">
        <v>58.121747859999999</v>
      </c>
      <c r="T123" s="198">
        <v>58.569311729999995</v>
      </c>
      <c r="U123" s="200">
        <v>55.885943249999997</v>
      </c>
      <c r="V123" s="200">
        <v>58.05498369</v>
      </c>
      <c r="W123" s="200">
        <v>66.578060450000009</v>
      </c>
      <c r="X123" s="200">
        <v>65.956417860000002</v>
      </c>
      <c r="Y123" s="200">
        <v>65.611733479999998</v>
      </c>
      <c r="Z123" s="200">
        <v>64.422081540000008</v>
      </c>
      <c r="AA123" s="200">
        <v>57.374158710000003</v>
      </c>
      <c r="AB123" s="200">
        <v>55.552250749999999</v>
      </c>
      <c r="AC123" s="200">
        <v>55.499747559999996</v>
      </c>
      <c r="AD123" s="200">
        <v>61.388863400000005</v>
      </c>
      <c r="AE123" s="200">
        <v>60.400083690000002</v>
      </c>
      <c r="AF123" s="200">
        <v>74.928552969999998</v>
      </c>
      <c r="AG123" s="200">
        <v>76.824820310000007</v>
      </c>
      <c r="AH123" s="200">
        <v>73.240572389999997</v>
      </c>
      <c r="AI123" s="200">
        <v>73.781270960000015</v>
      </c>
      <c r="AJ123" s="200">
        <v>72.424761520000004</v>
      </c>
      <c r="AK123" s="200">
        <v>73.89141223</v>
      </c>
      <c r="AL123" s="200">
        <v>72.014711359999993</v>
      </c>
      <c r="AM123" s="261">
        <v>66.513168229999991</v>
      </c>
      <c r="AN123" s="261">
        <v>70.982842469999994</v>
      </c>
      <c r="AO123" s="261">
        <v>68.225400809999996</v>
      </c>
      <c r="AP123" s="261">
        <v>67.693869339200006</v>
      </c>
      <c r="AQ123" s="261">
        <v>69.855168853799995</v>
      </c>
      <c r="AR123" s="398">
        <v>158.67615725920001</v>
      </c>
      <c r="AS123" s="398">
        <v>236.32443824000001</v>
      </c>
      <c r="AT123" s="398">
        <v>226.02536978800001</v>
      </c>
      <c r="AU123" s="398">
        <v>331.35528857699995</v>
      </c>
      <c r="AV123" s="398">
        <v>351.05741903400002</v>
      </c>
      <c r="AW123" s="370">
        <v>362.7615856164</v>
      </c>
      <c r="AX123" s="370">
        <v>465.88054793000009</v>
      </c>
      <c r="AY123" s="370">
        <v>392.98434266000004</v>
      </c>
      <c r="AZ123" s="370">
        <v>372.78182311999996</v>
      </c>
      <c r="BA123" s="370">
        <v>371.82525555000001</v>
      </c>
      <c r="BB123" s="370">
        <v>369.62381545</v>
      </c>
      <c r="BC123" s="370">
        <v>368.35598655000001</v>
      </c>
      <c r="BD123" s="370">
        <v>430.94066263000002</v>
      </c>
      <c r="BE123" s="370">
        <v>431.92189302999992</v>
      </c>
      <c r="BF123" s="370">
        <v>428.85056360999994</v>
      </c>
      <c r="BG123" s="370">
        <v>423.95907757999993</v>
      </c>
      <c r="BH123" s="370">
        <v>448.53600299999999</v>
      </c>
      <c r="BI123" s="370">
        <v>450.30419853000001</v>
      </c>
      <c r="BJ123" s="370">
        <v>557.21806895999998</v>
      </c>
      <c r="BK123" s="370">
        <v>564.87396211999999</v>
      </c>
      <c r="BL123" s="370">
        <v>562.47330939999995</v>
      </c>
      <c r="BM123" s="370">
        <v>563.27044503999991</v>
      </c>
      <c r="BN123" s="370">
        <v>565.04797779000012</v>
      </c>
      <c r="BO123" s="370">
        <v>561.35771807000003</v>
      </c>
      <c r="BP123" s="370">
        <v>552.14333354000007</v>
      </c>
      <c r="BQ123" s="370">
        <v>554.23283441000001</v>
      </c>
      <c r="BR123" s="370">
        <v>556.17932862999999</v>
      </c>
      <c r="BS123" s="370">
        <v>564.25831009000001</v>
      </c>
      <c r="BT123" s="370">
        <v>563.03809707000016</v>
      </c>
      <c r="BU123" s="370">
        <v>559.93400370999996</v>
      </c>
      <c r="BV123" s="370">
        <v>573.12150758999985</v>
      </c>
      <c r="BW123" s="370">
        <v>574.98574414000007</v>
      </c>
      <c r="BX123" s="370">
        <v>568.19618385000001</v>
      </c>
      <c r="BY123" s="370">
        <v>572.85721200000012</v>
      </c>
      <c r="BZ123" s="370">
        <v>569.4</v>
      </c>
      <c r="CA123" s="370">
        <v>583.75626207999994</v>
      </c>
      <c r="CB123" s="370">
        <v>582.78793920999999</v>
      </c>
      <c r="CC123" s="370">
        <v>592.13248998999995</v>
      </c>
      <c r="CD123" s="370">
        <v>569.98832315999994</v>
      </c>
      <c r="CE123" s="370">
        <v>564.79191700000001</v>
      </c>
      <c r="CF123" s="370">
        <v>561.91405387000009</v>
      </c>
      <c r="CG123" s="370">
        <v>553.35197152000012</v>
      </c>
      <c r="CH123" s="370">
        <v>563.27310087000001</v>
      </c>
      <c r="CI123" s="370">
        <v>562.02645163000011</v>
      </c>
      <c r="CJ123" s="370">
        <v>675.63768110000001</v>
      </c>
      <c r="CK123" s="370">
        <v>673.72784215000001</v>
      </c>
      <c r="CL123" s="370">
        <v>669.50396338999997</v>
      </c>
      <c r="CM123" s="370">
        <v>663.41997140000012</v>
      </c>
      <c r="CN123" s="370">
        <v>640.99952871000005</v>
      </c>
      <c r="CO123" s="370">
        <v>662.20459431999996</v>
      </c>
    </row>
    <row r="124" spans="1:93" ht="7.7" customHeight="1">
      <c r="A124" s="365"/>
      <c r="B124" s="398"/>
      <c r="C124" s="399"/>
      <c r="D124" s="399"/>
      <c r="E124" s="400"/>
      <c r="F124" s="399"/>
      <c r="G124" s="399"/>
      <c r="H124" s="260"/>
      <c r="I124" s="260"/>
      <c r="J124" s="260"/>
      <c r="K124" s="207"/>
      <c r="L124" s="260"/>
      <c r="M124" s="260"/>
      <c r="N124" s="260"/>
      <c r="O124" s="207"/>
      <c r="P124" s="260"/>
      <c r="Q124" s="260"/>
      <c r="R124" s="210"/>
      <c r="S124" s="260"/>
      <c r="T124" s="260"/>
      <c r="U124" s="373"/>
      <c r="V124" s="373"/>
      <c r="W124" s="373"/>
      <c r="X124" s="373"/>
      <c r="Y124" s="373"/>
      <c r="Z124" s="373"/>
      <c r="AA124" s="373"/>
      <c r="AB124" s="373"/>
      <c r="AC124" s="373"/>
      <c r="AD124" s="373"/>
      <c r="AE124" s="373"/>
      <c r="AF124" s="373"/>
      <c r="AG124" s="373"/>
      <c r="AH124" s="373"/>
      <c r="AI124" s="373"/>
      <c r="AJ124" s="373"/>
      <c r="AK124" s="373"/>
      <c r="AL124" s="373"/>
      <c r="AM124" s="261"/>
      <c r="AN124" s="261"/>
      <c r="AO124" s="261"/>
      <c r="AP124" s="261"/>
      <c r="AQ124" s="261"/>
      <c r="AR124" s="398"/>
      <c r="AS124" s="398"/>
      <c r="AT124" s="398"/>
      <c r="AU124" s="398"/>
      <c r="AV124" s="398"/>
      <c r="AW124" s="370"/>
      <c r="AX124" s="370"/>
      <c r="AY124" s="370"/>
      <c r="AZ124" s="370"/>
      <c r="BA124" s="370"/>
      <c r="BB124" s="370"/>
      <c r="BC124" s="370"/>
      <c r="BD124" s="370"/>
      <c r="BE124" s="370"/>
      <c r="BF124" s="370"/>
      <c r="BG124" s="370"/>
      <c r="BH124" s="370"/>
      <c r="BI124" s="370"/>
      <c r="BJ124" s="370"/>
      <c r="BK124" s="370"/>
      <c r="BL124" s="370"/>
      <c r="BM124" s="370"/>
      <c r="BN124" s="370"/>
      <c r="BO124" s="370"/>
      <c r="BP124" s="370"/>
      <c r="BQ124" s="370"/>
      <c r="BR124" s="370"/>
      <c r="BS124" s="370"/>
      <c r="BT124" s="370"/>
      <c r="BU124" s="370"/>
      <c r="BV124" s="370"/>
      <c r="BW124" s="370"/>
      <c r="BX124" s="370"/>
      <c r="BY124" s="370"/>
      <c r="BZ124" s="370"/>
      <c r="CA124" s="370"/>
      <c r="CB124" s="370"/>
      <c r="CC124" s="370"/>
      <c r="CD124" s="370"/>
      <c r="CE124" s="370"/>
      <c r="CF124" s="370"/>
      <c r="CG124" s="370"/>
      <c r="CH124" s="370"/>
      <c r="CI124" s="370"/>
      <c r="CJ124" s="370"/>
      <c r="CK124" s="370"/>
      <c r="CL124" s="370"/>
      <c r="CM124" s="370"/>
      <c r="CN124" s="370"/>
      <c r="CO124" s="370"/>
    </row>
    <row r="125" spans="1:93" ht="18" customHeight="1">
      <c r="A125" s="365" t="s">
        <v>501</v>
      </c>
      <c r="B125" s="398">
        <v>0</v>
      </c>
      <c r="C125" s="399">
        <v>0.10020628999999999</v>
      </c>
      <c r="D125" s="399">
        <v>6.761955E-2</v>
      </c>
      <c r="E125" s="400">
        <v>9.1557119999999992E-2</v>
      </c>
      <c r="F125" s="399">
        <v>8.0903940000000008E-2</v>
      </c>
      <c r="G125" s="399">
        <v>9.8683999999999994E-2</v>
      </c>
      <c r="H125" s="198">
        <v>0</v>
      </c>
      <c r="I125" s="198">
        <v>5.6153000000000002E-2</v>
      </c>
      <c r="J125" s="198">
        <v>0</v>
      </c>
      <c r="K125" s="210">
        <v>9.98E-2</v>
      </c>
      <c r="L125" s="198">
        <v>0.1011533</v>
      </c>
      <c r="M125" s="198">
        <v>0.10257558</v>
      </c>
      <c r="N125" s="198">
        <v>3.3465179999999997E-2</v>
      </c>
      <c r="O125" s="210">
        <v>0.1</v>
      </c>
      <c r="P125" s="198">
        <v>3.4433360000000003E-2</v>
      </c>
      <c r="Q125" s="198">
        <v>9.6010520000000002E-2</v>
      </c>
      <c r="R125" s="210">
        <v>3.1390910000000001E-2</v>
      </c>
      <c r="S125" s="198">
        <v>6.2217429999999997E-2</v>
      </c>
      <c r="T125" s="198">
        <v>0.14941817000000002</v>
      </c>
      <c r="U125" s="200">
        <v>0.16524712</v>
      </c>
      <c r="V125" s="200">
        <v>9.5903779999999994E-2</v>
      </c>
      <c r="W125" s="200">
        <v>0.12796542</v>
      </c>
      <c r="X125" s="200">
        <v>9.8810070000000014E-2</v>
      </c>
      <c r="Y125" s="200">
        <v>0.17254763000000001</v>
      </c>
      <c r="Z125" s="200">
        <v>0.10180569</v>
      </c>
      <c r="AA125" s="200">
        <v>0.15710617999999998</v>
      </c>
      <c r="AB125" s="200">
        <v>0.10312319</v>
      </c>
      <c r="AC125" s="200">
        <v>0.10086730000000001</v>
      </c>
      <c r="AD125" s="200">
        <v>0.11887236999999999</v>
      </c>
      <c r="AE125" s="200">
        <v>0.10578132000000001</v>
      </c>
      <c r="AF125" s="200">
        <v>0.10267535000000001</v>
      </c>
      <c r="AG125" s="200">
        <v>0.10157836000000001</v>
      </c>
      <c r="AH125" s="200">
        <v>0.11142025999999999</v>
      </c>
      <c r="AI125" s="200">
        <v>1.9604E-4</v>
      </c>
      <c r="AJ125" s="200">
        <v>1.5587370000000001E-2</v>
      </c>
      <c r="AK125" s="200">
        <v>7.8306880000000009E-2</v>
      </c>
      <c r="AL125" s="200">
        <v>5.3264699999999998E-2</v>
      </c>
      <c r="AM125" s="261">
        <v>7.9935800000000001E-3</v>
      </c>
      <c r="AN125" s="261">
        <v>6.2540600000000005E-3</v>
      </c>
      <c r="AO125" s="261">
        <v>9.5938509999999991E-2</v>
      </c>
      <c r="AP125" s="261">
        <v>2.2045550000000001E-2</v>
      </c>
      <c r="AQ125" s="261">
        <v>8.771669E-2</v>
      </c>
      <c r="AR125" s="398">
        <v>2.2879769999999997E-2</v>
      </c>
      <c r="AS125" s="398">
        <v>2.6735385299999996</v>
      </c>
      <c r="AT125" s="398">
        <v>2.7082639999999998E-2</v>
      </c>
      <c r="AU125" s="398">
        <v>8.5475720000000005E-2</v>
      </c>
      <c r="AV125" s="398">
        <v>0</v>
      </c>
      <c r="AW125" s="370">
        <v>0</v>
      </c>
      <c r="AX125" s="370">
        <v>0</v>
      </c>
      <c r="AY125" s="370">
        <v>2.9583299999999999E-3</v>
      </c>
      <c r="AZ125" s="370">
        <v>0.34326441999999996</v>
      </c>
      <c r="BA125" s="370">
        <v>0.35115745000000004</v>
      </c>
      <c r="BB125" s="370">
        <v>0.39273246999999994</v>
      </c>
      <c r="BC125" s="370">
        <v>0.35254471000000004</v>
      </c>
      <c r="BD125" s="370">
        <v>0.26229183</v>
      </c>
      <c r="BE125" s="370">
        <v>0.23854133999999999</v>
      </c>
      <c r="BF125" s="370">
        <v>0.21045760999999999</v>
      </c>
      <c r="BG125" s="370">
        <v>0.1980634</v>
      </c>
      <c r="BH125" s="370">
        <v>0.27884430999999998</v>
      </c>
      <c r="BI125" s="370">
        <v>0.48020114000000003</v>
      </c>
      <c r="BJ125" s="370">
        <v>0.6479838</v>
      </c>
      <c r="BK125" s="370">
        <v>0.49181095000000002</v>
      </c>
      <c r="BL125" s="370">
        <v>0.51331262</v>
      </c>
      <c r="BM125" s="370">
        <v>0.47312671999999995</v>
      </c>
      <c r="BN125" s="370">
        <v>0.48631702999999998</v>
      </c>
      <c r="BO125" s="370">
        <v>0.44240933999999998</v>
      </c>
      <c r="BP125" s="370">
        <v>0.51672671999999997</v>
      </c>
      <c r="BQ125" s="370">
        <v>0.47716392000000002</v>
      </c>
      <c r="BR125" s="370">
        <v>0.48608786999999998</v>
      </c>
      <c r="BS125" s="370">
        <v>0.36313711999999998</v>
      </c>
      <c r="BT125" s="370">
        <v>9.6190479999999995E-2</v>
      </c>
      <c r="BU125" s="370">
        <v>0.17090801999999999</v>
      </c>
      <c r="BV125" s="370">
        <v>0.16124117999999998</v>
      </c>
      <c r="BW125" s="370">
        <v>0.18289442</v>
      </c>
      <c r="BX125" s="370">
        <v>0.195213</v>
      </c>
      <c r="BY125" s="370">
        <v>0.25817200000000001</v>
      </c>
      <c r="BZ125" s="370">
        <v>0.1</v>
      </c>
      <c r="CA125" s="370">
        <v>0.12053949999999999</v>
      </c>
      <c r="CB125" s="370">
        <v>0.10335031</v>
      </c>
      <c r="CC125" s="370">
        <v>0.23272893</v>
      </c>
      <c r="CD125" s="370">
        <v>0.15786333</v>
      </c>
      <c r="CE125" s="370">
        <v>0.17289642999999999</v>
      </c>
      <c r="CF125" s="370">
        <v>8.004246000000001E-2</v>
      </c>
      <c r="CG125" s="370">
        <v>0.26916702000000003</v>
      </c>
      <c r="CH125" s="370">
        <v>0.14101710000000001</v>
      </c>
      <c r="CI125" s="370">
        <v>0.14179847000000001</v>
      </c>
      <c r="CJ125" s="370">
        <v>7.2719359999999997E-2</v>
      </c>
      <c r="CK125" s="370">
        <v>0.12986126000000001</v>
      </c>
      <c r="CL125" s="370">
        <v>0.24060016000000001</v>
      </c>
      <c r="CM125" s="370">
        <v>8.2547750000000003E-2</v>
      </c>
      <c r="CN125" s="370">
        <v>0.17928139000000001</v>
      </c>
      <c r="CO125" s="370">
        <v>0.11504833</v>
      </c>
    </row>
    <row r="126" spans="1:93" ht="7.7" customHeight="1">
      <c r="A126" s="365"/>
      <c r="B126" s="398"/>
      <c r="C126" s="399"/>
      <c r="D126" s="399"/>
      <c r="E126" s="400"/>
      <c r="F126" s="399"/>
      <c r="G126" s="399"/>
      <c r="H126" s="260"/>
      <c r="I126" s="260"/>
      <c r="J126" s="260"/>
      <c r="K126" s="207"/>
      <c r="L126" s="260"/>
      <c r="M126" s="260"/>
      <c r="N126" s="260"/>
      <c r="O126" s="207"/>
      <c r="P126" s="260"/>
      <c r="Q126" s="260"/>
      <c r="R126" s="210"/>
      <c r="S126" s="260"/>
      <c r="T126" s="260"/>
      <c r="U126" s="373"/>
      <c r="V126" s="373"/>
      <c r="W126" s="373"/>
      <c r="X126" s="373"/>
      <c r="Y126" s="373"/>
      <c r="Z126" s="373"/>
      <c r="AA126" s="373"/>
      <c r="AB126" s="373"/>
      <c r="AC126" s="373"/>
      <c r="AD126" s="373"/>
      <c r="AE126" s="373"/>
      <c r="AF126" s="373"/>
      <c r="AG126" s="373"/>
      <c r="AH126" s="373"/>
      <c r="AI126" s="373"/>
      <c r="AJ126" s="373"/>
      <c r="AK126" s="373"/>
      <c r="AL126" s="373"/>
      <c r="AM126" s="261"/>
      <c r="AN126" s="261"/>
      <c r="AO126" s="261"/>
      <c r="AP126" s="261"/>
      <c r="AQ126" s="261"/>
      <c r="AR126" s="398"/>
      <c r="AS126" s="398"/>
      <c r="AT126" s="398"/>
      <c r="AU126" s="398"/>
      <c r="AV126" s="398"/>
      <c r="AW126" s="370"/>
      <c r="AX126" s="370"/>
      <c r="AY126" s="370"/>
      <c r="AZ126" s="370"/>
      <c r="BA126" s="370"/>
      <c r="BB126" s="370"/>
      <c r="BC126" s="370"/>
      <c r="BD126" s="370"/>
      <c r="BE126" s="370"/>
      <c r="BF126" s="370"/>
      <c r="BG126" s="370"/>
      <c r="BH126" s="370"/>
      <c r="BI126" s="370"/>
      <c r="BJ126" s="370"/>
      <c r="BK126" s="370"/>
      <c r="BL126" s="370"/>
      <c r="BM126" s="370"/>
      <c r="BN126" s="370"/>
      <c r="BO126" s="370"/>
      <c r="BP126" s="370"/>
      <c r="BQ126" s="370"/>
      <c r="BR126" s="370"/>
      <c r="BS126" s="370"/>
      <c r="BT126" s="370"/>
      <c r="BU126" s="370"/>
      <c r="BV126" s="370"/>
      <c r="BW126" s="370"/>
      <c r="BX126" s="370"/>
      <c r="BY126" s="370"/>
      <c r="BZ126" s="370"/>
      <c r="CA126" s="370"/>
      <c r="CB126" s="370"/>
      <c r="CC126" s="370"/>
      <c r="CD126" s="370"/>
      <c r="CE126" s="370"/>
      <c r="CF126" s="370"/>
      <c r="CG126" s="370"/>
      <c r="CH126" s="370"/>
      <c r="CI126" s="370"/>
      <c r="CJ126" s="370"/>
      <c r="CK126" s="370"/>
      <c r="CL126" s="370"/>
      <c r="CM126" s="370"/>
      <c r="CN126" s="370"/>
      <c r="CO126" s="370"/>
    </row>
    <row r="127" spans="1:93" ht="18" customHeight="1">
      <c r="A127" s="365" t="s">
        <v>487</v>
      </c>
      <c r="B127" s="398">
        <v>9790.045050772891</v>
      </c>
      <c r="C127" s="399">
        <v>9986.3961003334498</v>
      </c>
      <c r="D127" s="399">
        <v>10209.995867710812</v>
      </c>
      <c r="E127" s="400">
        <v>10432.8348678612</v>
      </c>
      <c r="F127" s="399">
        <v>10514.343421066342</v>
      </c>
      <c r="G127" s="399">
        <v>10558.572846353722</v>
      </c>
      <c r="H127" s="198">
        <v>10650.817464525007</v>
      </c>
      <c r="I127" s="198">
        <v>10865.470252023104</v>
      </c>
      <c r="J127" s="198">
        <v>10808.406246173154</v>
      </c>
      <c r="K127" s="210">
        <v>10889.744637304719</v>
      </c>
      <c r="L127" s="198">
        <v>11062.191939743261</v>
      </c>
      <c r="M127" s="198">
        <v>11169.928581971792</v>
      </c>
      <c r="N127" s="198">
        <v>11342.374480553241</v>
      </c>
      <c r="O127" s="210">
        <v>11513.742697203381</v>
      </c>
      <c r="P127" s="198">
        <v>11774.519083411018</v>
      </c>
      <c r="Q127" s="198">
        <v>11900.311620778139</v>
      </c>
      <c r="R127" s="210">
        <v>12027.583041713906</v>
      </c>
      <c r="S127" s="198">
        <v>12228.994347227699</v>
      </c>
      <c r="T127" s="198">
        <v>12333.674972365743</v>
      </c>
      <c r="U127" s="200">
        <v>12244.001248503282</v>
      </c>
      <c r="V127" s="200">
        <v>12464.2</v>
      </c>
      <c r="W127" s="200">
        <v>12636.652618985401</v>
      </c>
      <c r="X127" s="200">
        <v>12861.332507102421</v>
      </c>
      <c r="Y127" s="200">
        <v>13083.296898922819</v>
      </c>
      <c r="Z127" s="200">
        <v>13683.234964317679</v>
      </c>
      <c r="AA127" s="200">
        <v>13793.725565746914</v>
      </c>
      <c r="AB127" s="200">
        <v>13982.668306506057</v>
      </c>
      <c r="AC127" s="200">
        <v>14416.67917953707</v>
      </c>
      <c r="AD127" s="200">
        <v>14551.626994553373</v>
      </c>
      <c r="AE127" s="200">
        <v>14572.817867088917</v>
      </c>
      <c r="AF127" s="200">
        <v>14603.941787074096</v>
      </c>
      <c r="AG127" s="200">
        <v>14815.562716546658</v>
      </c>
      <c r="AH127" s="200">
        <v>15015.769864481666</v>
      </c>
      <c r="AI127" s="200">
        <v>15022.676045626004</v>
      </c>
      <c r="AJ127" s="200">
        <v>15447.09179016795</v>
      </c>
      <c r="AK127" s="200">
        <v>15630.598440553978</v>
      </c>
      <c r="AL127" s="200">
        <v>15887.422199267327</v>
      </c>
      <c r="AM127" s="261">
        <v>15962.735813987501</v>
      </c>
      <c r="AN127" s="261">
        <v>16371.418397999467</v>
      </c>
      <c r="AO127" s="261">
        <v>16420.080103193748</v>
      </c>
      <c r="AP127" s="261">
        <v>16107.465390099163</v>
      </c>
      <c r="AQ127" s="261">
        <v>16491.299348792898</v>
      </c>
      <c r="AR127" s="398">
        <v>16227.661819672245</v>
      </c>
      <c r="AS127" s="398">
        <v>16059.329087977025</v>
      </c>
      <c r="AT127" s="398">
        <v>16295.837263044999</v>
      </c>
      <c r="AU127" s="398">
        <v>16078.241918447135</v>
      </c>
      <c r="AV127" s="398">
        <v>16358.111570699528</v>
      </c>
      <c r="AW127" s="370">
        <v>16515.208503223741</v>
      </c>
      <c r="AX127" s="370">
        <v>16545.692590268452</v>
      </c>
      <c r="AY127" s="370">
        <v>16687.192837372349</v>
      </c>
      <c r="AZ127" s="370">
        <v>16909.525077160015</v>
      </c>
      <c r="BA127" s="370">
        <v>17166.63407633148</v>
      </c>
      <c r="BB127" s="370">
        <v>17151.264039742859</v>
      </c>
      <c r="BC127" s="370">
        <v>17340.838347319463</v>
      </c>
      <c r="BD127" s="370">
        <v>17497.170825648853</v>
      </c>
      <c r="BE127" s="370">
        <v>17517.162705528153</v>
      </c>
      <c r="BF127" s="370">
        <v>17555.48410475018</v>
      </c>
      <c r="BG127" s="370">
        <v>17700.387852660984</v>
      </c>
      <c r="BH127" s="370">
        <v>18061.029446577362</v>
      </c>
      <c r="BI127" s="370">
        <v>18257.117385018057</v>
      </c>
      <c r="BJ127" s="370">
        <v>18697.693358555691</v>
      </c>
      <c r="BK127" s="370">
        <v>19022.022843857656</v>
      </c>
      <c r="BL127" s="370">
        <v>19330.271049491424</v>
      </c>
      <c r="BM127" s="370">
        <v>19297.925347383687</v>
      </c>
      <c r="BN127" s="370">
        <v>19513.226306280776</v>
      </c>
      <c r="BO127" s="370">
        <v>19514.56770589696</v>
      </c>
      <c r="BP127" s="370">
        <v>19628.551855321362</v>
      </c>
      <c r="BQ127" s="370">
        <v>19656.370448151294</v>
      </c>
      <c r="BR127" s="370">
        <v>19911.448382358667</v>
      </c>
      <c r="BS127" s="370">
        <v>19854.57600142336</v>
      </c>
      <c r="BT127" s="370">
        <v>20139.833453830524</v>
      </c>
      <c r="BU127" s="370">
        <v>20146.787427912044</v>
      </c>
      <c r="BV127" s="370">
        <v>20398.12057305262</v>
      </c>
      <c r="BW127" s="370">
        <v>20635.070604589255</v>
      </c>
      <c r="BX127" s="370">
        <v>20526.429714971</v>
      </c>
      <c r="BY127" s="370">
        <v>20793.933260346261</v>
      </c>
      <c r="BZ127" s="370">
        <v>20877.900000000001</v>
      </c>
      <c r="CA127" s="370">
        <v>21023.808850275538</v>
      </c>
      <c r="CB127" s="370">
        <v>21076.539777110454</v>
      </c>
      <c r="CC127" s="370">
        <v>20965.060474669979</v>
      </c>
      <c r="CD127" s="370">
        <v>21460.59754397806</v>
      </c>
      <c r="CE127" s="370">
        <v>20959.809601039939</v>
      </c>
      <c r="CF127" s="370">
        <v>21211.885401975993</v>
      </c>
      <c r="CG127" s="370">
        <v>21700.471021414629</v>
      </c>
      <c r="CH127" s="370">
        <v>22201.886394609784</v>
      </c>
      <c r="CI127" s="370">
        <v>22269.388728977763</v>
      </c>
      <c r="CJ127" s="370">
        <v>22515.227323714975</v>
      </c>
      <c r="CK127" s="370">
        <v>23044.113819403501</v>
      </c>
      <c r="CL127" s="370">
        <v>23112.787964617382</v>
      </c>
      <c r="CM127" s="370">
        <v>23387.988670274819</v>
      </c>
      <c r="CN127" s="370">
        <v>23605.689522440694</v>
      </c>
      <c r="CO127" s="370">
        <v>23729.654381368855</v>
      </c>
    </row>
    <row r="128" spans="1:93" ht="7.7" customHeight="1">
      <c r="A128" s="365"/>
      <c r="B128" s="398"/>
      <c r="C128" s="399"/>
      <c r="D128" s="399"/>
      <c r="E128" s="400"/>
      <c r="F128" s="399"/>
      <c r="G128" s="399"/>
      <c r="H128" s="198"/>
      <c r="I128" s="198"/>
      <c r="J128" s="198"/>
      <c r="K128" s="210"/>
      <c r="L128" s="198"/>
      <c r="M128" s="198"/>
      <c r="N128" s="198"/>
      <c r="O128" s="210"/>
      <c r="P128" s="198"/>
      <c r="Q128" s="198"/>
      <c r="R128" s="210"/>
      <c r="S128" s="198"/>
      <c r="T128" s="198"/>
      <c r="U128" s="200"/>
      <c r="V128" s="200"/>
      <c r="W128" s="200"/>
      <c r="X128" s="200"/>
      <c r="Y128" s="200"/>
      <c r="Z128" s="200"/>
      <c r="AA128" s="200"/>
      <c r="AB128" s="200"/>
      <c r="AC128" s="200"/>
      <c r="AD128" s="200"/>
      <c r="AE128" s="200"/>
      <c r="AF128" s="200"/>
      <c r="AG128" s="200"/>
      <c r="AH128" s="200"/>
      <c r="AI128" s="200"/>
      <c r="AJ128" s="200"/>
      <c r="AK128" s="200"/>
      <c r="AL128" s="200"/>
      <c r="AM128" s="261"/>
      <c r="AN128" s="261"/>
      <c r="AO128" s="261"/>
      <c r="AP128" s="261"/>
      <c r="AQ128" s="261"/>
      <c r="AR128" s="398"/>
      <c r="AS128" s="398"/>
      <c r="AT128" s="398"/>
      <c r="AU128" s="398"/>
      <c r="AV128" s="398"/>
      <c r="AW128" s="370"/>
      <c r="AX128" s="370"/>
      <c r="AY128" s="370"/>
      <c r="AZ128" s="370"/>
      <c r="BA128" s="370"/>
      <c r="BB128" s="370"/>
      <c r="BC128" s="370"/>
      <c r="BD128" s="370"/>
      <c r="BE128" s="370"/>
      <c r="BF128" s="370"/>
      <c r="BG128" s="370"/>
      <c r="BH128" s="370"/>
      <c r="BI128" s="370"/>
      <c r="BJ128" s="370"/>
      <c r="BK128" s="370"/>
      <c r="BL128" s="370"/>
      <c r="BM128" s="370"/>
      <c r="BN128" s="370"/>
      <c r="BO128" s="370"/>
      <c r="BP128" s="370"/>
      <c r="BQ128" s="370"/>
      <c r="BR128" s="370"/>
      <c r="BS128" s="370"/>
      <c r="BT128" s="370"/>
      <c r="BU128" s="370"/>
      <c r="BV128" s="370"/>
      <c r="BW128" s="370"/>
      <c r="BX128" s="370"/>
      <c r="BY128" s="370"/>
      <c r="BZ128" s="370"/>
      <c r="CA128" s="370"/>
      <c r="CB128" s="370"/>
      <c r="CC128" s="370"/>
      <c r="CD128" s="370"/>
      <c r="CE128" s="370"/>
      <c r="CF128" s="370"/>
      <c r="CG128" s="370"/>
      <c r="CH128" s="370"/>
      <c r="CI128" s="370"/>
      <c r="CJ128" s="370"/>
      <c r="CK128" s="370"/>
      <c r="CL128" s="370"/>
      <c r="CM128" s="370"/>
      <c r="CN128" s="370"/>
      <c r="CO128" s="370"/>
    </row>
    <row r="129" spans="1:93" ht="18" customHeight="1">
      <c r="A129" s="365" t="s">
        <v>488</v>
      </c>
      <c r="B129" s="398">
        <v>912.91156464100015</v>
      </c>
      <c r="C129" s="399">
        <v>858.02914912959989</v>
      </c>
      <c r="D129" s="399">
        <v>835.47886478579721</v>
      </c>
      <c r="E129" s="400">
        <v>832.01588761540006</v>
      </c>
      <c r="F129" s="399">
        <v>901.81610340600002</v>
      </c>
      <c r="G129" s="399">
        <v>888.76451449264357</v>
      </c>
      <c r="H129" s="198">
        <v>833.58597364359991</v>
      </c>
      <c r="I129" s="198">
        <v>543.64790147990016</v>
      </c>
      <c r="J129" s="198">
        <v>593.66346007869993</v>
      </c>
      <c r="K129" s="210">
        <v>619.07801239879984</v>
      </c>
      <c r="L129" s="198">
        <v>631.81408800310828</v>
      </c>
      <c r="M129" s="198">
        <v>598.36736978520503</v>
      </c>
      <c r="N129" s="198">
        <v>600.48597685376956</v>
      </c>
      <c r="O129" s="210">
        <v>597.47430760564907</v>
      </c>
      <c r="P129" s="198">
        <v>554.91005578771433</v>
      </c>
      <c r="Q129" s="198">
        <v>540.66411722859993</v>
      </c>
      <c r="R129" s="210">
        <v>577.69079041029988</v>
      </c>
      <c r="S129" s="198">
        <v>580.84468701339995</v>
      </c>
      <c r="T129" s="198">
        <v>574.40200295499994</v>
      </c>
      <c r="U129" s="200">
        <v>599.63241908378689</v>
      </c>
      <c r="V129" s="200">
        <v>688</v>
      </c>
      <c r="W129" s="200">
        <v>621.16093315720013</v>
      </c>
      <c r="X129" s="200">
        <v>649.10251401168216</v>
      </c>
      <c r="Y129" s="200">
        <v>652.28850199914746</v>
      </c>
      <c r="Z129" s="200">
        <v>628.10836872099992</v>
      </c>
      <c r="AA129" s="200">
        <v>658.92311999178821</v>
      </c>
      <c r="AB129" s="200">
        <v>746.89077627295069</v>
      </c>
      <c r="AC129" s="200">
        <v>633.2124955132</v>
      </c>
      <c r="AD129" s="200">
        <v>587.3209362005</v>
      </c>
      <c r="AE129" s="200">
        <v>600.56279515166671</v>
      </c>
      <c r="AF129" s="200">
        <v>628.15293203124997</v>
      </c>
      <c r="AG129" s="200">
        <v>687.56889687600005</v>
      </c>
      <c r="AH129" s="200">
        <v>589.03119065600004</v>
      </c>
      <c r="AI129" s="200">
        <v>659.82843347760002</v>
      </c>
      <c r="AJ129" s="200">
        <v>658.24947077360002</v>
      </c>
      <c r="AK129" s="200">
        <v>767.25957665480007</v>
      </c>
      <c r="AL129" s="200">
        <v>805.25311067819996</v>
      </c>
      <c r="AM129" s="261">
        <v>694.90716569050005</v>
      </c>
      <c r="AN129" s="261">
        <v>690.4710326846</v>
      </c>
      <c r="AO129" s="261">
        <v>696.07028465594999</v>
      </c>
      <c r="AP129" s="261">
        <v>711.73778179559997</v>
      </c>
      <c r="AQ129" s="261">
        <v>686.64684909995992</v>
      </c>
      <c r="AR129" s="398">
        <v>840.51029365880004</v>
      </c>
      <c r="AS129" s="398">
        <v>788.80625844999997</v>
      </c>
      <c r="AT129" s="398">
        <v>718.34460550879999</v>
      </c>
      <c r="AU129" s="398">
        <v>742.36900684199998</v>
      </c>
      <c r="AV129" s="398">
        <v>734.2667839500001</v>
      </c>
      <c r="AW129" s="370">
        <v>750.81807837999997</v>
      </c>
      <c r="AX129" s="370">
        <v>755.843785723</v>
      </c>
      <c r="AY129" s="370">
        <v>768.17419093629996</v>
      </c>
      <c r="AZ129" s="370">
        <v>747.607448374</v>
      </c>
      <c r="BA129" s="370">
        <v>678.55194184959998</v>
      </c>
      <c r="BB129" s="370">
        <v>648.2424623009</v>
      </c>
      <c r="BC129" s="370">
        <v>750.7384607322</v>
      </c>
      <c r="BD129" s="370">
        <v>662.97466185840005</v>
      </c>
      <c r="BE129" s="370">
        <v>643.71501702579997</v>
      </c>
      <c r="BF129" s="370">
        <v>632.15434574599988</v>
      </c>
      <c r="BG129" s="370">
        <v>654.35852916899989</v>
      </c>
      <c r="BH129" s="370">
        <v>680.45328931359995</v>
      </c>
      <c r="BI129" s="370">
        <v>666.63816514680047</v>
      </c>
      <c r="BJ129" s="370">
        <v>836.48565125389996</v>
      </c>
      <c r="BK129" s="370">
        <v>742.4565244700002</v>
      </c>
      <c r="BL129" s="370">
        <v>693.03701535719745</v>
      </c>
      <c r="BM129" s="370">
        <v>717.04803844100115</v>
      </c>
      <c r="BN129" s="370">
        <v>677.63960194266792</v>
      </c>
      <c r="BO129" s="370">
        <v>693.77349805719996</v>
      </c>
      <c r="BP129" s="370">
        <v>727.43059189790074</v>
      </c>
      <c r="BQ129" s="370">
        <v>801.70350740029994</v>
      </c>
      <c r="BR129" s="370">
        <v>700.48942487170007</v>
      </c>
      <c r="BS129" s="370">
        <v>861.05334692399992</v>
      </c>
      <c r="BT129" s="370">
        <v>670.07253059156494</v>
      </c>
      <c r="BU129" s="370">
        <v>740.99160060224608</v>
      </c>
      <c r="BV129" s="370">
        <v>746.37360501299588</v>
      </c>
      <c r="BW129" s="370">
        <v>753.56223608414018</v>
      </c>
      <c r="BX129" s="370">
        <v>763.31914179699993</v>
      </c>
      <c r="BY129" s="370">
        <v>814.0253472638999</v>
      </c>
      <c r="BZ129" s="370">
        <v>841.9</v>
      </c>
      <c r="CA129" s="370">
        <v>857.7121836857001</v>
      </c>
      <c r="CB129" s="370">
        <v>832.98429684200005</v>
      </c>
      <c r="CC129" s="370">
        <v>831.19036345785003</v>
      </c>
      <c r="CD129" s="370">
        <v>833.53082311455216</v>
      </c>
      <c r="CE129" s="370">
        <v>1004.8134084108306</v>
      </c>
      <c r="CF129" s="370">
        <v>1059.1479246732576</v>
      </c>
      <c r="CG129" s="370">
        <v>1143.1815193269565</v>
      </c>
      <c r="CH129" s="370">
        <v>1184.5878360448382</v>
      </c>
      <c r="CI129" s="370">
        <v>1182.6782492037455</v>
      </c>
      <c r="CJ129" s="370">
        <v>1175.6355657950678</v>
      </c>
      <c r="CK129" s="370">
        <v>1296.7354863664912</v>
      </c>
      <c r="CL129" s="370">
        <v>1343.3719536913623</v>
      </c>
      <c r="CM129" s="370">
        <v>1333.0661792074238</v>
      </c>
      <c r="CN129" s="370">
        <v>1385.1083399816494</v>
      </c>
      <c r="CO129" s="370">
        <v>1353.37802701598</v>
      </c>
    </row>
    <row r="130" spans="1:93" ht="7.7" customHeight="1">
      <c r="A130" s="365"/>
      <c r="B130" s="398"/>
      <c r="C130" s="399"/>
      <c r="D130" s="399"/>
      <c r="E130" s="400"/>
      <c r="F130" s="399"/>
      <c r="G130" s="399"/>
      <c r="H130" s="198"/>
      <c r="I130" s="198"/>
      <c r="J130" s="198"/>
      <c r="K130" s="210"/>
      <c r="L130" s="198"/>
      <c r="M130" s="198"/>
      <c r="N130" s="198"/>
      <c r="O130" s="210"/>
      <c r="P130" s="198"/>
      <c r="Q130" s="198"/>
      <c r="R130" s="210"/>
      <c r="S130" s="198"/>
      <c r="T130" s="198"/>
      <c r="U130" s="200"/>
      <c r="V130" s="200"/>
      <c r="W130" s="200"/>
      <c r="X130" s="200"/>
      <c r="Y130" s="200"/>
      <c r="Z130" s="200"/>
      <c r="AA130" s="200"/>
      <c r="AB130" s="200"/>
      <c r="AC130" s="200"/>
      <c r="AD130" s="200"/>
      <c r="AE130" s="200"/>
      <c r="AF130" s="200"/>
      <c r="AG130" s="200"/>
      <c r="AH130" s="200"/>
      <c r="AI130" s="200"/>
      <c r="AJ130" s="200"/>
      <c r="AK130" s="200"/>
      <c r="AL130" s="200"/>
      <c r="AM130" s="261"/>
      <c r="AN130" s="261"/>
      <c r="AO130" s="261"/>
      <c r="AP130" s="261"/>
      <c r="AQ130" s="261"/>
      <c r="AR130" s="398"/>
      <c r="AS130" s="398"/>
      <c r="AT130" s="398"/>
      <c r="AU130" s="398"/>
      <c r="AV130" s="398"/>
      <c r="AW130" s="370"/>
      <c r="AX130" s="370"/>
      <c r="AY130" s="370"/>
      <c r="AZ130" s="370"/>
      <c r="BA130" s="370"/>
      <c r="BB130" s="370"/>
      <c r="BC130" s="370"/>
      <c r="BD130" s="370"/>
      <c r="BE130" s="370"/>
      <c r="BF130" s="370"/>
      <c r="BG130" s="370"/>
      <c r="BH130" s="370"/>
      <c r="BI130" s="370"/>
      <c r="BJ130" s="370"/>
      <c r="BK130" s="370"/>
      <c r="BL130" s="370"/>
      <c r="BM130" s="370"/>
      <c r="BN130" s="370"/>
      <c r="BO130" s="370"/>
      <c r="BP130" s="370"/>
      <c r="BQ130" s="370"/>
      <c r="BR130" s="370"/>
      <c r="BS130" s="370"/>
      <c r="BT130" s="370"/>
      <c r="BU130" s="370"/>
      <c r="BV130" s="370"/>
      <c r="BW130" s="370"/>
      <c r="BX130" s="370"/>
      <c r="BY130" s="370"/>
      <c r="BZ130" s="370"/>
      <c r="CA130" s="370"/>
      <c r="CB130" s="370"/>
      <c r="CC130" s="370"/>
      <c r="CD130" s="370"/>
      <c r="CE130" s="370"/>
      <c r="CF130" s="370"/>
      <c r="CG130" s="370"/>
      <c r="CH130" s="370"/>
      <c r="CI130" s="370"/>
      <c r="CJ130" s="370"/>
      <c r="CK130" s="370"/>
      <c r="CL130" s="370"/>
      <c r="CM130" s="370"/>
      <c r="CN130" s="370"/>
      <c r="CO130" s="370"/>
    </row>
    <row r="131" spans="1:93" ht="18" customHeight="1">
      <c r="A131" s="365" t="s">
        <v>489</v>
      </c>
      <c r="B131" s="398">
        <v>304.36347623</v>
      </c>
      <c r="C131" s="399">
        <v>314.96145514</v>
      </c>
      <c r="D131" s="399">
        <v>326.13509745000005</v>
      </c>
      <c r="E131" s="400">
        <v>337.68083187000002</v>
      </c>
      <c r="F131" s="399">
        <v>346.92900789999999</v>
      </c>
      <c r="G131" s="399">
        <v>362.92917839</v>
      </c>
      <c r="H131" s="198">
        <v>382.30194532000002</v>
      </c>
      <c r="I131" s="198">
        <v>382.97806269</v>
      </c>
      <c r="J131" s="198">
        <v>386.06934164999996</v>
      </c>
      <c r="K131" s="210">
        <v>383.56153938</v>
      </c>
      <c r="L131" s="198">
        <v>385.85855573000003</v>
      </c>
      <c r="M131" s="198">
        <v>382.08209017000001</v>
      </c>
      <c r="N131" s="198">
        <v>393.24178702</v>
      </c>
      <c r="O131" s="210">
        <v>416.36670764999997</v>
      </c>
      <c r="P131" s="198">
        <v>423.25744320000001</v>
      </c>
      <c r="Q131" s="198">
        <v>435.40900687999999</v>
      </c>
      <c r="R131" s="210">
        <v>454.49319216999993</v>
      </c>
      <c r="S131" s="198">
        <v>465.69068589999995</v>
      </c>
      <c r="T131" s="198">
        <v>475.6515790499999</v>
      </c>
      <c r="U131" s="200">
        <v>464.14658149000002</v>
      </c>
      <c r="V131" s="200">
        <v>459.63675174000002</v>
      </c>
      <c r="W131" s="200">
        <v>456.83237245000004</v>
      </c>
      <c r="X131" s="200">
        <v>456.8735628</v>
      </c>
      <c r="Y131" s="200">
        <v>454.63978777</v>
      </c>
      <c r="Z131" s="200">
        <v>466.42195318999995</v>
      </c>
      <c r="AA131" s="200">
        <v>470.07178521999998</v>
      </c>
      <c r="AB131" s="200">
        <v>472.19411570000005</v>
      </c>
      <c r="AC131" s="200">
        <v>471.89908602999998</v>
      </c>
      <c r="AD131" s="200">
        <v>474.48604018999998</v>
      </c>
      <c r="AE131" s="200">
        <v>477.47318732999997</v>
      </c>
      <c r="AF131" s="200">
        <v>486.20314439999999</v>
      </c>
      <c r="AG131" s="200">
        <v>478.58200696</v>
      </c>
      <c r="AH131" s="200">
        <v>487</v>
      </c>
      <c r="AI131" s="200">
        <v>499.83343634999994</v>
      </c>
      <c r="AJ131" s="200">
        <v>497.09910931999997</v>
      </c>
      <c r="AK131" s="200">
        <v>498.64532009999999</v>
      </c>
      <c r="AL131" s="200">
        <v>499.29630337999998</v>
      </c>
      <c r="AM131" s="261">
        <v>502.75928594000004</v>
      </c>
      <c r="AN131" s="261">
        <v>494.52795729000002</v>
      </c>
      <c r="AO131" s="261">
        <v>504.22063879000007</v>
      </c>
      <c r="AP131" s="261">
        <v>512.98139380769999</v>
      </c>
      <c r="AQ131" s="261">
        <v>529.11186431840008</v>
      </c>
      <c r="AR131" s="398">
        <v>536.97237490400005</v>
      </c>
      <c r="AS131" s="398">
        <v>527.89159414999995</v>
      </c>
      <c r="AT131" s="398">
        <v>526.44875625960003</v>
      </c>
      <c r="AU131" s="398">
        <v>536.28765548720003</v>
      </c>
      <c r="AV131" s="398">
        <v>546.6275412839999</v>
      </c>
      <c r="AW131" s="370">
        <v>548.04175296519998</v>
      </c>
      <c r="AX131" s="370">
        <v>590.97455289879997</v>
      </c>
      <c r="AY131" s="370">
        <v>599.42666034580009</v>
      </c>
      <c r="AZ131" s="370">
        <v>609.37487650550008</v>
      </c>
      <c r="BA131" s="370">
        <v>624.97790164560001</v>
      </c>
      <c r="BB131" s="370">
        <v>662.04897005160012</v>
      </c>
      <c r="BC131" s="370">
        <v>666.80158721919997</v>
      </c>
      <c r="BD131" s="370">
        <v>704.22667159939988</v>
      </c>
      <c r="BE131" s="370">
        <v>1019.0821344881998</v>
      </c>
      <c r="BF131" s="370">
        <v>1028.5938823699998</v>
      </c>
      <c r="BG131" s="370">
        <v>1076.4897914419998</v>
      </c>
      <c r="BH131" s="370">
        <v>1110.64080355647</v>
      </c>
      <c r="BI131" s="370">
        <v>1103.5038416586001</v>
      </c>
      <c r="BJ131" s="370">
        <v>1154.4182329623</v>
      </c>
      <c r="BK131" s="370">
        <v>864.34829495809993</v>
      </c>
      <c r="BL131" s="370">
        <v>1033.0580009147002</v>
      </c>
      <c r="BM131" s="370">
        <v>1040.4267757096</v>
      </c>
      <c r="BN131" s="370">
        <v>1059.3984358232001</v>
      </c>
      <c r="BO131" s="370">
        <v>1062.3156250695999</v>
      </c>
      <c r="BP131" s="370">
        <v>1107.3469645217997</v>
      </c>
      <c r="BQ131" s="370">
        <v>1104.0479586801</v>
      </c>
      <c r="BR131" s="370">
        <v>1112.0439739963999</v>
      </c>
      <c r="BS131" s="370">
        <v>1084.6852148664</v>
      </c>
      <c r="BT131" s="370">
        <v>1080.1513221408702</v>
      </c>
      <c r="BU131" s="370">
        <v>1071.7691171030162</v>
      </c>
      <c r="BV131" s="370">
        <v>1083.7863959399219</v>
      </c>
      <c r="BW131" s="370">
        <v>1088.6046281558151</v>
      </c>
      <c r="BX131" s="370">
        <v>1079.423092406</v>
      </c>
      <c r="BY131" s="370">
        <v>1099.4585695211001</v>
      </c>
      <c r="BZ131" s="370">
        <v>1087.3</v>
      </c>
      <c r="CA131" s="370">
        <v>1115.2883358414997</v>
      </c>
      <c r="CB131" s="370">
        <v>1144.9953883807998</v>
      </c>
      <c r="CC131" s="370">
        <v>1187.8044081367798</v>
      </c>
      <c r="CD131" s="370">
        <v>1274.7880631758478</v>
      </c>
      <c r="CE131" s="375">
        <v>1188.5999999999999</v>
      </c>
      <c r="CF131" s="375">
        <v>1229.7512019121282</v>
      </c>
      <c r="CG131" s="375">
        <v>1225.6581429908902</v>
      </c>
      <c r="CH131" s="375">
        <v>1239.369685146017</v>
      </c>
      <c r="CI131" s="375">
        <v>1232.8816483718724</v>
      </c>
      <c r="CJ131" s="375">
        <v>1232.5152536053861</v>
      </c>
      <c r="CK131" s="375">
        <v>1239.116302612877</v>
      </c>
      <c r="CL131" s="375">
        <v>1258.3494018586159</v>
      </c>
      <c r="CM131" s="375">
        <v>1256.9757655295275</v>
      </c>
      <c r="CN131" s="375">
        <v>1309.2419396538839</v>
      </c>
      <c r="CO131" s="375">
        <v>1299.9861182861703</v>
      </c>
    </row>
    <row r="132" spans="1:93" ht="7.7" customHeight="1">
      <c r="A132" s="365"/>
      <c r="B132" s="398"/>
      <c r="C132" s="399"/>
      <c r="D132" s="399"/>
      <c r="E132" s="400"/>
      <c r="F132" s="399"/>
      <c r="G132" s="399"/>
      <c r="H132" s="198"/>
      <c r="I132" s="198"/>
      <c r="J132" s="198"/>
      <c r="K132" s="210"/>
      <c r="L132" s="198"/>
      <c r="M132" s="198"/>
      <c r="N132" s="198"/>
      <c r="O132" s="210"/>
      <c r="P132" s="198"/>
      <c r="Q132" s="198"/>
      <c r="R132" s="210"/>
      <c r="S132" s="198"/>
      <c r="T132" s="198"/>
      <c r="U132" s="200"/>
      <c r="V132" s="200"/>
      <c r="W132" s="200"/>
      <c r="X132" s="200"/>
      <c r="Y132" s="200"/>
      <c r="Z132" s="200"/>
      <c r="AA132" s="200"/>
      <c r="AB132" s="200"/>
      <c r="AC132" s="200"/>
      <c r="AD132" s="200"/>
      <c r="AE132" s="200"/>
      <c r="AF132" s="200"/>
      <c r="AG132" s="200"/>
      <c r="AH132" s="200"/>
      <c r="AI132" s="200"/>
      <c r="AJ132" s="200"/>
      <c r="AK132" s="200"/>
      <c r="AL132" s="200"/>
      <c r="AM132" s="261"/>
      <c r="AN132" s="261"/>
      <c r="AO132" s="261"/>
      <c r="AP132" s="261"/>
      <c r="AQ132" s="261"/>
      <c r="AR132" s="398"/>
      <c r="AS132" s="398"/>
      <c r="AT132" s="398"/>
      <c r="AU132" s="398"/>
      <c r="AV132" s="398"/>
      <c r="AW132" s="370"/>
      <c r="AX132" s="370"/>
      <c r="AY132" s="370"/>
      <c r="AZ132" s="370"/>
      <c r="BA132" s="370"/>
      <c r="BB132" s="370"/>
      <c r="BC132" s="370"/>
      <c r="BD132" s="370"/>
      <c r="BE132" s="370"/>
      <c r="BF132" s="370"/>
      <c r="BG132" s="370"/>
      <c r="BH132" s="370"/>
      <c r="BI132" s="370"/>
      <c r="BJ132" s="370"/>
      <c r="BK132" s="370"/>
      <c r="BL132" s="370"/>
      <c r="BM132" s="370"/>
      <c r="BN132" s="370"/>
      <c r="BO132" s="370"/>
      <c r="BP132" s="370"/>
      <c r="BQ132" s="370"/>
      <c r="BR132" s="370"/>
      <c r="BS132" s="370"/>
      <c r="BT132" s="370"/>
      <c r="BU132" s="370"/>
      <c r="BV132" s="370"/>
      <c r="BW132" s="370"/>
      <c r="BX132" s="370"/>
      <c r="BY132" s="370"/>
      <c r="BZ132" s="370"/>
      <c r="CA132" s="370"/>
      <c r="CB132" s="370"/>
      <c r="CC132" s="370"/>
      <c r="CD132" s="370"/>
      <c r="CE132" s="370"/>
      <c r="CF132" s="370"/>
      <c r="CG132" s="370"/>
      <c r="CH132" s="370"/>
      <c r="CI132" s="370"/>
      <c r="CJ132" s="370"/>
      <c r="CK132" s="370"/>
      <c r="CL132" s="370"/>
      <c r="CM132" s="370"/>
      <c r="CN132" s="370"/>
      <c r="CO132" s="370"/>
    </row>
    <row r="133" spans="1:93" ht="18" customHeight="1">
      <c r="A133" s="365" t="s">
        <v>490</v>
      </c>
      <c r="B133" s="398">
        <v>0</v>
      </c>
      <c r="C133" s="399">
        <v>0</v>
      </c>
      <c r="D133" s="399">
        <v>0</v>
      </c>
      <c r="E133" s="400">
        <v>0</v>
      </c>
      <c r="F133" s="399">
        <v>0</v>
      </c>
      <c r="G133" s="399">
        <v>0</v>
      </c>
      <c r="H133" s="198">
        <v>0</v>
      </c>
      <c r="I133" s="198">
        <v>0</v>
      </c>
      <c r="J133" s="198">
        <v>0</v>
      </c>
      <c r="K133" s="210">
        <v>0</v>
      </c>
      <c r="L133" s="198">
        <v>0</v>
      </c>
      <c r="M133" s="198">
        <v>0</v>
      </c>
      <c r="N133" s="198">
        <v>0</v>
      </c>
      <c r="O133" s="210">
        <v>0</v>
      </c>
      <c r="P133" s="198">
        <v>0</v>
      </c>
      <c r="Q133" s="198">
        <v>0</v>
      </c>
      <c r="R133" s="210">
        <v>0.10087672</v>
      </c>
      <c r="S133" s="198">
        <v>9.3033859999999996E-2</v>
      </c>
      <c r="T133" s="198">
        <v>8.5084060000000003E-2</v>
      </c>
      <c r="U133" s="200">
        <v>8.6348800000000003E-2</v>
      </c>
      <c r="V133" s="200">
        <v>8.7475210000000012E-2</v>
      </c>
      <c r="W133" s="200">
        <v>8.1019270000000004E-2</v>
      </c>
      <c r="X133" s="200">
        <v>8.0608159999999998E-2</v>
      </c>
      <c r="Y133" s="200">
        <v>7.5373609999999994E-2</v>
      </c>
      <c r="Z133" s="200">
        <v>6.4261949999999998E-2</v>
      </c>
      <c r="AA133" s="200">
        <v>6.4527399999999999E-2</v>
      </c>
      <c r="AB133" s="200">
        <v>5.9065160000000005E-2</v>
      </c>
      <c r="AC133" s="200">
        <v>4.712595E-2</v>
      </c>
      <c r="AD133" s="200">
        <v>5.4468410000000002E-2</v>
      </c>
      <c r="AE133" s="200">
        <v>5.5329330000000003E-2</v>
      </c>
      <c r="AF133" s="200">
        <v>5.6124629999999995E-2</v>
      </c>
      <c r="AG133" s="200">
        <v>5.690539E-2</v>
      </c>
      <c r="AH133" s="200">
        <v>5.690539E-2</v>
      </c>
      <c r="AI133" s="200">
        <v>5.850934E-2</v>
      </c>
      <c r="AJ133" s="200">
        <v>2.697577E-2</v>
      </c>
      <c r="AK133" s="200">
        <v>2.7261859999999999E-2</v>
      </c>
      <c r="AL133" s="200">
        <v>2.1912669999999999E-2</v>
      </c>
      <c r="AM133" s="261">
        <v>2.2206689999999998E-2</v>
      </c>
      <c r="AN133" s="261">
        <v>0.50482453999999999</v>
      </c>
      <c r="AO133" s="261">
        <v>0.49515736999999999</v>
      </c>
      <c r="AP133" s="261">
        <v>0.48937787999999999</v>
      </c>
      <c r="AQ133" s="261">
        <v>0.47841082000000001</v>
      </c>
      <c r="AR133" s="398">
        <v>1.2447743500000001</v>
      </c>
      <c r="AS133" s="398">
        <v>1.26986339</v>
      </c>
      <c r="AT133" s="398">
        <v>1.407357</v>
      </c>
      <c r="AU133" s="398">
        <v>1.35975286</v>
      </c>
      <c r="AV133" s="398">
        <v>1.41136353</v>
      </c>
      <c r="AW133" s="370">
        <v>1.4193197500000001</v>
      </c>
      <c r="AX133" s="370">
        <v>1.4985454299999998</v>
      </c>
      <c r="AY133" s="370">
        <v>1.52212258</v>
      </c>
      <c r="AZ133" s="370">
        <v>1.5623691499999999</v>
      </c>
      <c r="BA133" s="370">
        <v>1.4861826699999998</v>
      </c>
      <c r="BB133" s="370">
        <v>1.4688475999999999</v>
      </c>
      <c r="BC133" s="370">
        <v>1.6668795900000002</v>
      </c>
      <c r="BD133" s="370">
        <v>4.2797597500000002</v>
      </c>
      <c r="BE133" s="370">
        <v>4.2309027700000001</v>
      </c>
      <c r="BF133" s="370">
        <v>4.1587023299999997</v>
      </c>
      <c r="BG133" s="370">
        <v>4.0860712999999995</v>
      </c>
      <c r="BH133" s="370">
        <v>4.4041465400000002</v>
      </c>
      <c r="BI133" s="370">
        <v>4.3032301200000003</v>
      </c>
      <c r="BJ133" s="370">
        <v>4.2721442500000002</v>
      </c>
      <c r="BK133" s="370">
        <v>4.2994641999999992</v>
      </c>
      <c r="BL133" s="370">
        <v>4.2201177100000002</v>
      </c>
      <c r="BM133" s="370">
        <v>4.1759818200000005</v>
      </c>
      <c r="BN133" s="370">
        <v>5.66691813</v>
      </c>
      <c r="BO133" s="370">
        <v>5.6341868699999997</v>
      </c>
      <c r="BP133" s="370">
        <v>4.1425310899999994</v>
      </c>
      <c r="BQ133" s="370">
        <v>4.0465567599999996</v>
      </c>
      <c r="BR133" s="370">
        <v>3.9127315700000005</v>
      </c>
      <c r="BS133" s="370">
        <v>3.9312320900000004</v>
      </c>
      <c r="BT133" s="370">
        <v>3.86538921</v>
      </c>
      <c r="BU133" s="370">
        <v>3.76318895</v>
      </c>
      <c r="BV133" s="370">
        <v>3.7179904000000006</v>
      </c>
      <c r="BW133" s="370">
        <v>3.7351206800000005</v>
      </c>
      <c r="BX133" s="370">
        <v>6.23620485</v>
      </c>
      <c r="BY133" s="370">
        <v>4.7085188799999997</v>
      </c>
      <c r="BZ133" s="370">
        <v>3.4</v>
      </c>
      <c r="CA133" s="370">
        <v>3.4210703699999998</v>
      </c>
      <c r="CB133" s="370">
        <v>2.4444298500000001</v>
      </c>
      <c r="CC133" s="370">
        <v>0.90229826000000002</v>
      </c>
      <c r="CD133" s="370">
        <v>3.3509531199999998</v>
      </c>
      <c r="CE133" s="370">
        <v>3.3274249600000001</v>
      </c>
      <c r="CF133" s="370">
        <v>1.7847882999999998</v>
      </c>
      <c r="CG133" s="370">
        <v>1.7609860799999997</v>
      </c>
      <c r="CH133" s="370">
        <v>1.75812875</v>
      </c>
      <c r="CI133" s="370">
        <v>1.74559453</v>
      </c>
      <c r="CJ133" s="370">
        <v>1.7236261900000001</v>
      </c>
      <c r="CK133" s="370">
        <v>1.72698434</v>
      </c>
      <c r="CL133" s="370">
        <v>1.70347311</v>
      </c>
      <c r="CM133" s="370">
        <v>1.6894532600000001</v>
      </c>
      <c r="CN133" s="370">
        <v>1.6849875400000001</v>
      </c>
      <c r="CO133" s="370">
        <v>1.6601772299999999</v>
      </c>
    </row>
    <row r="134" spans="1:93" ht="7.7" customHeight="1">
      <c r="A134" s="365"/>
      <c r="B134" s="398"/>
      <c r="C134" s="399"/>
      <c r="D134" s="399"/>
      <c r="E134" s="400"/>
      <c r="F134" s="399"/>
      <c r="G134" s="399"/>
      <c r="H134" s="198"/>
      <c r="I134" s="198"/>
      <c r="J134" s="198"/>
      <c r="K134" s="210"/>
      <c r="L134" s="198"/>
      <c r="M134" s="198"/>
      <c r="N134" s="198"/>
      <c r="O134" s="210"/>
      <c r="P134" s="198"/>
      <c r="Q134" s="198"/>
      <c r="R134" s="210"/>
      <c r="S134" s="198"/>
      <c r="T134" s="198"/>
      <c r="U134" s="200"/>
      <c r="V134" s="200"/>
      <c r="W134" s="200"/>
      <c r="X134" s="200"/>
      <c r="Y134" s="200"/>
      <c r="Z134" s="200"/>
      <c r="AA134" s="200"/>
      <c r="AB134" s="200"/>
      <c r="AC134" s="200"/>
      <c r="AD134" s="200"/>
      <c r="AE134" s="200"/>
      <c r="AF134" s="200"/>
      <c r="AG134" s="200"/>
      <c r="AH134" s="200"/>
      <c r="AI134" s="200"/>
      <c r="AJ134" s="200"/>
      <c r="AK134" s="200"/>
      <c r="AL134" s="200"/>
      <c r="AM134" s="261"/>
      <c r="AN134" s="261"/>
      <c r="AO134" s="261"/>
      <c r="AP134" s="261"/>
      <c r="AQ134" s="261"/>
      <c r="AR134" s="398"/>
      <c r="AS134" s="398"/>
      <c r="AT134" s="398"/>
      <c r="AU134" s="398"/>
      <c r="AV134" s="398"/>
      <c r="AW134" s="370"/>
      <c r="AX134" s="370"/>
      <c r="AY134" s="370"/>
      <c r="AZ134" s="370"/>
      <c r="BA134" s="370"/>
      <c r="BB134" s="370"/>
      <c r="BC134" s="370"/>
      <c r="BD134" s="370"/>
      <c r="BE134" s="370"/>
      <c r="BF134" s="370"/>
      <c r="BG134" s="370"/>
      <c r="BH134" s="370"/>
      <c r="BI134" s="370"/>
      <c r="BJ134" s="370"/>
      <c r="BK134" s="370"/>
      <c r="BL134" s="370"/>
      <c r="BM134" s="370"/>
      <c r="BN134" s="370"/>
      <c r="BO134" s="370"/>
      <c r="BP134" s="370"/>
      <c r="BQ134" s="370"/>
      <c r="BR134" s="370"/>
      <c r="BS134" s="370"/>
      <c r="BT134" s="370"/>
      <c r="BU134" s="370"/>
      <c r="BV134" s="370"/>
      <c r="BW134" s="370"/>
      <c r="BX134" s="370"/>
      <c r="BY134" s="370"/>
      <c r="BZ134" s="370"/>
      <c r="CA134" s="370"/>
      <c r="CB134" s="370"/>
      <c r="CC134" s="370"/>
      <c r="CD134" s="370"/>
      <c r="CE134" s="370"/>
      <c r="CF134" s="370"/>
      <c r="CG134" s="370"/>
      <c r="CH134" s="370"/>
      <c r="CI134" s="370"/>
      <c r="CJ134" s="370"/>
      <c r="CK134" s="370"/>
      <c r="CL134" s="370"/>
      <c r="CM134" s="370"/>
      <c r="CN134" s="370"/>
      <c r="CO134" s="370"/>
    </row>
    <row r="135" spans="1:93" ht="18" customHeight="1">
      <c r="A135" s="365" t="s">
        <v>491</v>
      </c>
      <c r="B135" s="398">
        <v>287.22859534000003</v>
      </c>
      <c r="C135" s="399">
        <v>268.57461703999996</v>
      </c>
      <c r="D135" s="399">
        <v>271.80349010999998</v>
      </c>
      <c r="E135" s="400">
        <v>278.44013769999998</v>
      </c>
      <c r="F135" s="399">
        <v>286.90412488999999</v>
      </c>
      <c r="G135" s="399">
        <v>288.87144493</v>
      </c>
      <c r="H135" s="198">
        <v>304.88393629999996</v>
      </c>
      <c r="I135" s="198">
        <v>302.04580614999998</v>
      </c>
      <c r="J135" s="198">
        <v>287.17521111000002</v>
      </c>
      <c r="K135" s="210">
        <v>266.01630877999997</v>
      </c>
      <c r="L135" s="198">
        <v>260.37415947</v>
      </c>
      <c r="M135" s="198">
        <v>254.00115382999999</v>
      </c>
      <c r="N135" s="198">
        <v>255.75935575999998</v>
      </c>
      <c r="O135" s="210">
        <v>265.67784211999998</v>
      </c>
      <c r="P135" s="198">
        <v>253.07559228</v>
      </c>
      <c r="Q135" s="198">
        <v>275.52187121999998</v>
      </c>
      <c r="R135" s="210">
        <v>264.80898824000002</v>
      </c>
      <c r="S135" s="198">
        <v>259.68262701999998</v>
      </c>
      <c r="T135" s="198">
        <v>260.29933140999998</v>
      </c>
      <c r="U135" s="200">
        <v>255.57459994000004</v>
      </c>
      <c r="V135" s="200">
        <v>257.82740379999996</v>
      </c>
      <c r="W135" s="200">
        <v>266.17066385000004</v>
      </c>
      <c r="X135" s="200">
        <v>263.3591194</v>
      </c>
      <c r="Y135" s="200">
        <v>261.91781927</v>
      </c>
      <c r="Z135" s="200">
        <v>376.70388485000001</v>
      </c>
      <c r="AA135" s="200">
        <v>373.41571051</v>
      </c>
      <c r="AB135" s="200">
        <v>373.60009302999998</v>
      </c>
      <c r="AC135" s="200">
        <v>310.98088115999997</v>
      </c>
      <c r="AD135" s="200">
        <v>290.2583755</v>
      </c>
      <c r="AE135" s="200">
        <v>304.09377171</v>
      </c>
      <c r="AF135" s="200">
        <v>328.52009240999996</v>
      </c>
      <c r="AG135" s="200">
        <v>308.09669937000001</v>
      </c>
      <c r="AH135" s="200">
        <v>368.9</v>
      </c>
      <c r="AI135" s="200">
        <v>523.92891439999994</v>
      </c>
      <c r="AJ135" s="200">
        <v>960.62879655559993</v>
      </c>
      <c r="AK135" s="200">
        <v>992.86634496319994</v>
      </c>
      <c r="AL135" s="200">
        <v>1013.8833783937943</v>
      </c>
      <c r="AM135" s="261">
        <v>565.47108052999999</v>
      </c>
      <c r="AN135" s="261">
        <v>543.84651354999994</v>
      </c>
      <c r="AO135" s="261">
        <v>539.95432477999998</v>
      </c>
      <c r="AP135" s="261">
        <v>536.61775257159991</v>
      </c>
      <c r="AQ135" s="261">
        <v>524.84483341319992</v>
      </c>
      <c r="AR135" s="398">
        <v>540.47310786119999</v>
      </c>
      <c r="AS135" s="398">
        <v>558.36207001999981</v>
      </c>
      <c r="AT135" s="398">
        <v>540.76934286680012</v>
      </c>
      <c r="AU135" s="398">
        <v>588.80363264519985</v>
      </c>
      <c r="AV135" s="398">
        <v>582.07076023253592</v>
      </c>
      <c r="AW135" s="370">
        <v>552.3987414515359</v>
      </c>
      <c r="AX135" s="370">
        <v>534.69526793</v>
      </c>
      <c r="AY135" s="370">
        <v>664.00430821229997</v>
      </c>
      <c r="AZ135" s="370">
        <v>680.07968300240009</v>
      </c>
      <c r="BA135" s="370">
        <v>692.8799637692</v>
      </c>
      <c r="BB135" s="370">
        <v>686.9660406859</v>
      </c>
      <c r="BC135" s="370">
        <v>678.24094486519994</v>
      </c>
      <c r="BD135" s="370">
        <v>720.8361377494</v>
      </c>
      <c r="BE135" s="370">
        <v>717.95302152829993</v>
      </c>
      <c r="BF135" s="370">
        <v>751.933831295</v>
      </c>
      <c r="BG135" s="370">
        <v>853.79386115799991</v>
      </c>
      <c r="BH135" s="370">
        <v>801.10988066959987</v>
      </c>
      <c r="BI135" s="370">
        <v>721.80350617299996</v>
      </c>
      <c r="BJ135" s="370">
        <v>725.91047188439984</v>
      </c>
      <c r="BK135" s="370">
        <v>717.14237654440001</v>
      </c>
      <c r="BL135" s="370">
        <v>720.14964042409997</v>
      </c>
      <c r="BM135" s="370">
        <v>747.15079339259989</v>
      </c>
      <c r="BN135" s="370">
        <v>750.4841369984</v>
      </c>
      <c r="BO135" s="370">
        <v>740.01755033759991</v>
      </c>
      <c r="BP135" s="370">
        <v>748.76030110579995</v>
      </c>
      <c r="BQ135" s="370">
        <v>777.59325813099997</v>
      </c>
      <c r="BR135" s="370">
        <v>782.57548280519995</v>
      </c>
      <c r="BS135" s="370">
        <v>856.2739621472</v>
      </c>
      <c r="BT135" s="370">
        <v>831.50493774565996</v>
      </c>
      <c r="BU135" s="370">
        <v>775.87189530757985</v>
      </c>
      <c r="BV135" s="370">
        <v>834.00912094664784</v>
      </c>
      <c r="BW135" s="370">
        <v>848.81595775108985</v>
      </c>
      <c r="BX135" s="370">
        <v>860.85738501499986</v>
      </c>
      <c r="BY135" s="370">
        <v>822.34834222079996</v>
      </c>
      <c r="BZ135" s="370">
        <v>817.9</v>
      </c>
      <c r="CA135" s="370">
        <v>855.84220932099993</v>
      </c>
      <c r="CB135" s="370">
        <v>844.1303506595998</v>
      </c>
      <c r="CC135" s="370">
        <v>845.40651498400007</v>
      </c>
      <c r="CD135" s="370">
        <v>851.8241941721559</v>
      </c>
      <c r="CE135" s="370">
        <v>879.45149189775145</v>
      </c>
      <c r="CF135" s="370">
        <v>847.42423840325171</v>
      </c>
      <c r="CG135" s="370">
        <v>930.98119326842675</v>
      </c>
      <c r="CH135" s="370">
        <v>907.2158339312831</v>
      </c>
      <c r="CI135" s="370">
        <v>900.6764657024205</v>
      </c>
      <c r="CJ135" s="370">
        <v>904.56211778885222</v>
      </c>
      <c r="CK135" s="370">
        <v>906.93730028648292</v>
      </c>
      <c r="CL135" s="370">
        <v>891.49755444556877</v>
      </c>
      <c r="CM135" s="370">
        <v>879.31322582952362</v>
      </c>
      <c r="CN135" s="370">
        <v>891.03589320329581</v>
      </c>
      <c r="CO135" s="370">
        <v>901.59371009464996</v>
      </c>
    </row>
    <row r="136" spans="1:93" ht="7.7" customHeight="1">
      <c r="A136" s="365"/>
      <c r="B136" s="398"/>
      <c r="C136" s="399"/>
      <c r="D136" s="399"/>
      <c r="E136" s="400"/>
      <c r="F136" s="399"/>
      <c r="G136" s="399"/>
      <c r="H136" s="198"/>
      <c r="I136" s="198"/>
      <c r="J136" s="198"/>
      <c r="K136" s="210"/>
      <c r="L136" s="198"/>
      <c r="M136" s="198"/>
      <c r="N136" s="198"/>
      <c r="O136" s="210"/>
      <c r="P136" s="198"/>
      <c r="Q136" s="198"/>
      <c r="R136" s="210"/>
      <c r="S136" s="198"/>
      <c r="T136" s="198"/>
      <c r="U136" s="200"/>
      <c r="V136" s="200"/>
      <c r="W136" s="200"/>
      <c r="X136" s="200"/>
      <c r="Y136" s="200"/>
      <c r="Z136" s="200"/>
      <c r="AA136" s="200"/>
      <c r="AB136" s="200"/>
      <c r="AC136" s="200"/>
      <c r="AD136" s="200"/>
      <c r="AE136" s="200"/>
      <c r="AF136" s="200"/>
      <c r="AG136" s="200"/>
      <c r="AH136" s="200"/>
      <c r="AI136" s="200"/>
      <c r="AJ136" s="200"/>
      <c r="AK136" s="200"/>
      <c r="AL136" s="200"/>
      <c r="AM136" s="261"/>
      <c r="AN136" s="261"/>
      <c r="AO136" s="261"/>
      <c r="AP136" s="261"/>
      <c r="AQ136" s="261"/>
      <c r="AR136" s="398"/>
      <c r="AS136" s="398"/>
      <c r="AT136" s="398"/>
      <c r="AU136" s="398"/>
      <c r="AV136" s="398"/>
      <c r="AW136" s="370"/>
      <c r="AX136" s="370"/>
      <c r="AY136" s="370"/>
      <c r="AZ136" s="370"/>
      <c r="BA136" s="370"/>
      <c r="BB136" s="370"/>
      <c r="BC136" s="370"/>
      <c r="BD136" s="370"/>
      <c r="BE136" s="370"/>
      <c r="BF136" s="370"/>
      <c r="BG136" s="370"/>
      <c r="BH136" s="370"/>
      <c r="BI136" s="370"/>
      <c r="BJ136" s="370"/>
      <c r="BK136" s="370"/>
      <c r="BL136" s="370"/>
      <c r="BM136" s="370"/>
      <c r="BN136" s="370"/>
      <c r="BO136" s="370"/>
      <c r="BP136" s="370"/>
      <c r="BQ136" s="370"/>
      <c r="BR136" s="370"/>
      <c r="BS136" s="370"/>
      <c r="BT136" s="370"/>
      <c r="BU136" s="370"/>
      <c r="BV136" s="370"/>
      <c r="BW136" s="370"/>
      <c r="BX136" s="370"/>
      <c r="BY136" s="370"/>
      <c r="BZ136" s="370"/>
      <c r="CA136" s="370"/>
      <c r="CB136" s="370"/>
      <c r="CC136" s="370"/>
      <c r="CD136" s="370"/>
      <c r="CE136" s="370"/>
      <c r="CF136" s="370"/>
      <c r="CG136" s="370"/>
      <c r="CH136" s="370"/>
      <c r="CI136" s="370"/>
      <c r="CJ136" s="370"/>
      <c r="CK136" s="370"/>
      <c r="CL136" s="370"/>
      <c r="CM136" s="370"/>
      <c r="CN136" s="370"/>
      <c r="CO136" s="370"/>
    </row>
    <row r="137" spans="1:93" ht="18" customHeight="1">
      <c r="A137" s="365" t="s">
        <v>312</v>
      </c>
      <c r="B137" s="398">
        <v>3495.4060436655004</v>
      </c>
      <c r="C137" s="399">
        <v>3463.0868282900005</v>
      </c>
      <c r="D137" s="399">
        <v>3503.1578714400007</v>
      </c>
      <c r="E137" s="400">
        <v>3483.4067525400001</v>
      </c>
      <c r="F137" s="399">
        <v>3602.61958383</v>
      </c>
      <c r="G137" s="399">
        <v>3670.8665471857644</v>
      </c>
      <c r="H137" s="198">
        <v>3689.0085963916008</v>
      </c>
      <c r="I137" s="198">
        <v>3705.8467303952002</v>
      </c>
      <c r="J137" s="198">
        <v>3732.1354258000001</v>
      </c>
      <c r="K137" s="210">
        <v>3734.0565967800003</v>
      </c>
      <c r="L137" s="198">
        <v>3759.0404508899996</v>
      </c>
      <c r="M137" s="198">
        <v>3730.4103821800009</v>
      </c>
      <c r="N137" s="198">
        <v>3779.6788263600001</v>
      </c>
      <c r="O137" s="210">
        <v>3745.8267996322002</v>
      </c>
      <c r="P137" s="198">
        <v>3775.3151233425074</v>
      </c>
      <c r="Q137" s="198">
        <v>3774.4853250792703</v>
      </c>
      <c r="R137" s="210">
        <v>3814.1635492099999</v>
      </c>
      <c r="S137" s="198">
        <v>3771.2450374700002</v>
      </c>
      <c r="T137" s="198">
        <v>3932.4980923250005</v>
      </c>
      <c r="U137" s="200">
        <v>3944.4684254852641</v>
      </c>
      <c r="V137" s="200">
        <v>3921.2089620711199</v>
      </c>
      <c r="W137" s="200">
        <v>4119.4561187726003</v>
      </c>
      <c r="X137" s="200">
        <v>4186.4620973402816</v>
      </c>
      <c r="Y137" s="200">
        <v>4160.0414260899906</v>
      </c>
      <c r="Z137" s="200">
        <v>4188.7184778990477</v>
      </c>
      <c r="AA137" s="200">
        <v>4122.2671755176079</v>
      </c>
      <c r="AB137" s="200">
        <v>4141.6132560283495</v>
      </c>
      <c r="AC137" s="200">
        <v>3898.0161843115002</v>
      </c>
      <c r="AD137" s="200">
        <v>4029.7373025354223</v>
      </c>
      <c r="AE137" s="200">
        <v>3973.9226638123228</v>
      </c>
      <c r="AF137" s="200">
        <v>4004.3397574744381</v>
      </c>
      <c r="AG137" s="200">
        <v>4079.3047442599245</v>
      </c>
      <c r="AH137" s="200">
        <v>4215.7</v>
      </c>
      <c r="AI137" s="200">
        <v>2462.7319088359995</v>
      </c>
      <c r="AJ137" s="200">
        <v>2775.2731997699998</v>
      </c>
      <c r="AK137" s="200">
        <v>2845.9925425557999</v>
      </c>
      <c r="AL137" s="200">
        <v>2837.6308934987046</v>
      </c>
      <c r="AM137" s="261">
        <v>2994.6119232731303</v>
      </c>
      <c r="AN137" s="261">
        <v>3144.7994182091443</v>
      </c>
      <c r="AO137" s="261">
        <v>2889.6156511134482</v>
      </c>
      <c r="AP137" s="261">
        <v>2777.1144497336099</v>
      </c>
      <c r="AQ137" s="261">
        <v>3018.215215511972</v>
      </c>
      <c r="AR137" s="398">
        <v>3201.9728741976014</v>
      </c>
      <c r="AS137" s="398">
        <v>3121.5566809412148</v>
      </c>
      <c r="AT137" s="398">
        <v>2620.4928808828722</v>
      </c>
      <c r="AU137" s="398">
        <v>2559.6456402468311</v>
      </c>
      <c r="AV137" s="398">
        <v>2610.9228676949997</v>
      </c>
      <c r="AW137" s="370">
        <v>2703.7054057018004</v>
      </c>
      <c r="AX137" s="370">
        <v>2739.8482486984003</v>
      </c>
      <c r="AY137" s="370">
        <v>2622.4679033689022</v>
      </c>
      <c r="AZ137" s="370">
        <v>2678.5375096307034</v>
      </c>
      <c r="BA137" s="370">
        <v>2617.8935571328011</v>
      </c>
      <c r="BB137" s="370">
        <v>2801.1162319305026</v>
      </c>
      <c r="BC137" s="370">
        <v>2941.0691630948991</v>
      </c>
      <c r="BD137" s="370">
        <v>2997.8981908490996</v>
      </c>
      <c r="BE137" s="370">
        <v>3017.73419649775</v>
      </c>
      <c r="BF137" s="370">
        <v>3151.9361739134597</v>
      </c>
      <c r="BG137" s="370">
        <v>3372.6850810739998</v>
      </c>
      <c r="BH137" s="370">
        <v>2955.6650639512973</v>
      </c>
      <c r="BI137" s="370">
        <v>2969.1681793196899</v>
      </c>
      <c r="BJ137" s="370">
        <v>3110.1530933591939</v>
      </c>
      <c r="BK137" s="370">
        <v>3030.9645218530968</v>
      </c>
      <c r="BL137" s="370">
        <v>3110.4851732094876</v>
      </c>
      <c r="BM137" s="370">
        <v>2991.4671679805929</v>
      </c>
      <c r="BN137" s="370">
        <v>3189.4581636220132</v>
      </c>
      <c r="BO137" s="370">
        <v>3144.4655955957974</v>
      </c>
      <c r="BP137" s="370">
        <v>3194.3426015998025</v>
      </c>
      <c r="BQ137" s="370">
        <v>3222.8904434173969</v>
      </c>
      <c r="BR137" s="370">
        <v>3336.5052414087991</v>
      </c>
      <c r="BS137" s="370">
        <v>3286.1066347392289</v>
      </c>
      <c r="BT137" s="370">
        <v>3392.8866640527458</v>
      </c>
      <c r="BU137" s="370">
        <v>3543.9502632694848</v>
      </c>
      <c r="BV137" s="370">
        <v>3655.0392261147399</v>
      </c>
      <c r="BW137" s="370">
        <v>3469.0694648409908</v>
      </c>
      <c r="BX137" s="370">
        <v>3580.6173286935004</v>
      </c>
      <c r="BY137" s="370">
        <v>3482.9893226881004</v>
      </c>
      <c r="BZ137" s="370">
        <v>3501.2</v>
      </c>
      <c r="CA137" s="370">
        <v>3575.6429674932019</v>
      </c>
      <c r="CB137" s="370">
        <v>3732.5913901994022</v>
      </c>
      <c r="CC137" s="370">
        <v>3778.12939158071</v>
      </c>
      <c r="CD137" s="370">
        <v>3773.33948217446</v>
      </c>
      <c r="CE137" s="370">
        <v>3880.0944014819638</v>
      </c>
      <c r="CF137" s="370">
        <v>3825.3364619346812</v>
      </c>
      <c r="CG137" s="370">
        <v>3910.7728696278741</v>
      </c>
      <c r="CH137" s="370">
        <v>4064.676398511127</v>
      </c>
      <c r="CI137" s="370">
        <v>3926.5127865058316</v>
      </c>
      <c r="CJ137" s="370">
        <v>3880.4472806399667</v>
      </c>
      <c r="CK137" s="370">
        <v>3914.3336355180759</v>
      </c>
      <c r="CL137" s="370">
        <v>4177.935634621821</v>
      </c>
      <c r="CM137" s="370">
        <v>4388.3289618207818</v>
      </c>
      <c r="CN137" s="370">
        <v>4418.2484915072973</v>
      </c>
      <c r="CO137" s="370">
        <v>4287.9070101081552</v>
      </c>
    </row>
    <row r="138" spans="1:93">
      <c r="A138" s="365"/>
      <c r="B138" s="398"/>
      <c r="C138" s="399"/>
      <c r="D138" s="399"/>
      <c r="E138" s="400"/>
      <c r="F138" s="399"/>
      <c r="G138" s="399"/>
      <c r="H138" s="198"/>
      <c r="I138" s="198"/>
      <c r="J138" s="198"/>
      <c r="K138" s="210"/>
      <c r="L138" s="198"/>
      <c r="M138" s="198"/>
      <c r="N138" s="198"/>
      <c r="O138" s="210"/>
      <c r="P138" s="198"/>
      <c r="Q138" s="198"/>
      <c r="R138" s="210"/>
      <c r="S138" s="198"/>
      <c r="T138" s="198"/>
      <c r="U138" s="200"/>
      <c r="V138" s="200"/>
      <c r="W138" s="200"/>
      <c r="X138" s="200"/>
      <c r="Y138" s="200"/>
      <c r="Z138" s="200"/>
      <c r="AA138" s="200"/>
      <c r="AB138" s="200"/>
      <c r="AC138" s="200"/>
      <c r="AD138" s="200"/>
      <c r="AE138" s="200"/>
      <c r="AF138" s="200"/>
      <c r="AG138" s="200"/>
      <c r="AH138" s="200"/>
      <c r="AI138" s="200"/>
      <c r="AJ138" s="200"/>
      <c r="AK138" s="200"/>
      <c r="AL138" s="200"/>
      <c r="AM138" s="261"/>
      <c r="AN138" s="261"/>
      <c r="AO138" s="261"/>
      <c r="AP138" s="261"/>
      <c r="AQ138" s="262"/>
      <c r="AR138" s="398"/>
      <c r="AS138" s="398"/>
      <c r="AT138" s="398"/>
      <c r="AU138" s="398"/>
      <c r="AV138" s="398"/>
      <c r="AW138" s="370"/>
      <c r="AX138" s="370"/>
      <c r="AY138" s="370"/>
      <c r="AZ138" s="370"/>
      <c r="BA138" s="370"/>
      <c r="BB138" s="370"/>
      <c r="BC138" s="370"/>
      <c r="BD138" s="370"/>
      <c r="BE138" s="370"/>
      <c r="BF138" s="370"/>
      <c r="BG138" s="370"/>
      <c r="BH138" s="370"/>
      <c r="BI138" s="370"/>
      <c r="BJ138" s="370"/>
      <c r="BK138" s="370"/>
      <c r="BL138" s="370"/>
      <c r="BM138" s="370"/>
      <c r="BN138" s="370"/>
      <c r="BO138" s="370"/>
      <c r="BP138" s="370"/>
      <c r="BQ138" s="370"/>
      <c r="BR138" s="370"/>
      <c r="BS138" s="370"/>
      <c r="BT138" s="370"/>
      <c r="BU138" s="370"/>
      <c r="BV138" s="370"/>
      <c r="BW138" s="370"/>
      <c r="BX138" s="370"/>
      <c r="BY138" s="370"/>
      <c r="BZ138" s="370"/>
      <c r="CA138" s="370"/>
      <c r="CB138" s="370"/>
      <c r="CC138" s="370"/>
      <c r="CD138" s="370"/>
      <c r="CE138" s="370"/>
      <c r="CF138" s="370"/>
      <c r="CG138" s="370"/>
      <c r="CH138" s="370"/>
      <c r="CI138" s="370"/>
      <c r="CJ138" s="370"/>
      <c r="CK138" s="370"/>
      <c r="CL138" s="370"/>
      <c r="CM138" s="370"/>
      <c r="CN138" s="370"/>
      <c r="CO138" s="370"/>
    </row>
    <row r="139" spans="1:93" ht="28.5" customHeight="1" thickBot="1">
      <c r="A139" s="401" t="s">
        <v>369</v>
      </c>
      <c r="B139" s="402">
        <v>105066.44738915763</v>
      </c>
      <c r="C139" s="403">
        <v>106387.98206130305</v>
      </c>
      <c r="D139" s="403">
        <v>105751.44392507621</v>
      </c>
      <c r="E139" s="404">
        <v>109143.81420217246</v>
      </c>
      <c r="F139" s="403">
        <v>111006.9700187656</v>
      </c>
      <c r="G139" s="403">
        <v>112633.48531363475</v>
      </c>
      <c r="H139" s="405">
        <v>116014.277660686</v>
      </c>
      <c r="I139" s="405">
        <v>115365.01556880238</v>
      </c>
      <c r="J139" s="405">
        <v>115374.80138122493</v>
      </c>
      <c r="K139" s="404">
        <v>115187.43252135989</v>
      </c>
      <c r="L139" s="403">
        <v>117809.48173978864</v>
      </c>
      <c r="M139" s="403">
        <v>118389.64262317181</v>
      </c>
      <c r="N139" s="403">
        <v>119471.44921010851</v>
      </c>
      <c r="O139" s="404">
        <v>122489.69981252497</v>
      </c>
      <c r="P139" s="403">
        <v>124473.72340609964</v>
      </c>
      <c r="Q139" s="403">
        <v>125528.91399626393</v>
      </c>
      <c r="R139" s="406">
        <v>127522.71225632911</v>
      </c>
      <c r="S139" s="403">
        <v>129013.04939609711</v>
      </c>
      <c r="T139" s="403">
        <v>131332.53047524224</v>
      </c>
      <c r="U139" s="407">
        <v>131417.67363209874</v>
      </c>
      <c r="V139" s="407">
        <v>130153.87655828777</v>
      </c>
      <c r="W139" s="407">
        <v>130240.43106546746</v>
      </c>
      <c r="X139" s="407">
        <v>130167.708</v>
      </c>
      <c r="Y139" s="407">
        <v>129289.92308643575</v>
      </c>
      <c r="Z139" s="407">
        <v>131381</v>
      </c>
      <c r="AA139" s="407">
        <v>131346.90959974233</v>
      </c>
      <c r="AB139" s="407">
        <v>134752.59892060608</v>
      </c>
      <c r="AC139" s="407">
        <v>135521.74101220103</v>
      </c>
      <c r="AD139" s="407">
        <v>138251.29535184326</v>
      </c>
      <c r="AE139" s="407">
        <v>140161.11722737836</v>
      </c>
      <c r="AF139" s="407">
        <v>145312.16251779645</v>
      </c>
      <c r="AG139" s="407">
        <v>147312.52759034661</v>
      </c>
      <c r="AH139" s="407">
        <v>147155.9</v>
      </c>
      <c r="AI139" s="407">
        <v>148058.6219404086</v>
      </c>
      <c r="AJ139" s="407">
        <v>150285.86448609616</v>
      </c>
      <c r="AK139" s="407">
        <v>152894.7702483997</v>
      </c>
      <c r="AL139" s="407">
        <v>155847.04161019632</v>
      </c>
      <c r="AM139" s="270">
        <v>159158.03487041316</v>
      </c>
      <c r="AN139" s="270">
        <v>159961.94220362703</v>
      </c>
      <c r="AO139" s="270">
        <v>166659.06347528775</v>
      </c>
      <c r="AP139" s="270">
        <v>169990.72098901286</v>
      </c>
      <c r="AQ139" s="261">
        <v>174227.13479766902</v>
      </c>
      <c r="AR139" s="402">
        <v>178924.55683905896</v>
      </c>
      <c r="AS139" s="402">
        <v>178413.0052715787</v>
      </c>
      <c r="AT139" s="402">
        <v>179015.02899586226</v>
      </c>
      <c r="AU139" s="402">
        <v>180230.98627791257</v>
      </c>
      <c r="AV139" s="402">
        <v>180559.19136943814</v>
      </c>
      <c r="AW139" s="408">
        <v>180922.88182509568</v>
      </c>
      <c r="AX139" s="408">
        <v>182681.42841028146</v>
      </c>
      <c r="AY139" s="408">
        <v>183340.94624707245</v>
      </c>
      <c r="AZ139" s="408">
        <v>183257.24700655282</v>
      </c>
      <c r="BA139" s="408">
        <v>181828.06830667562</v>
      </c>
      <c r="BB139" s="408">
        <v>181937.46630088161</v>
      </c>
      <c r="BC139" s="408">
        <v>182475.39384223995</v>
      </c>
      <c r="BD139" s="408">
        <v>184649.7119032123</v>
      </c>
      <c r="BE139" s="408">
        <v>184838.64385492675</v>
      </c>
      <c r="BF139" s="408">
        <v>185718.54753487738</v>
      </c>
      <c r="BG139" s="408">
        <v>188527.22214210039</v>
      </c>
      <c r="BH139" s="408">
        <v>188747.35259042089</v>
      </c>
      <c r="BI139" s="408">
        <v>192682.31333726743</v>
      </c>
      <c r="BJ139" s="408">
        <v>197816.45518417677</v>
      </c>
      <c r="BK139" s="408">
        <v>197245.32228771379</v>
      </c>
      <c r="BL139" s="370">
        <v>199695.79664051268</v>
      </c>
      <c r="BM139" s="370">
        <v>201328.75788357155</v>
      </c>
      <c r="BN139" s="370">
        <v>203273.25358399548</v>
      </c>
      <c r="BO139" s="370">
        <v>205107.19099190805</v>
      </c>
      <c r="BP139" s="370">
        <v>209569.52233308143</v>
      </c>
      <c r="BQ139" s="370">
        <v>207568.98456094388</v>
      </c>
      <c r="BR139" s="370">
        <v>209549.09140138922</v>
      </c>
      <c r="BS139" s="370">
        <v>209888.60986707319</v>
      </c>
      <c r="BT139" s="370">
        <v>211800.46138989946</v>
      </c>
      <c r="BU139" s="370">
        <v>212768.37474378379</v>
      </c>
      <c r="BV139" s="370">
        <v>216575.1715983022</v>
      </c>
      <c r="BW139" s="370">
        <v>218523.59266863906</v>
      </c>
      <c r="BX139" s="370">
        <v>220548.85725317549</v>
      </c>
      <c r="BY139" s="370">
        <v>222972.4538581646</v>
      </c>
      <c r="BZ139" s="370">
        <v>224812.79999999999</v>
      </c>
      <c r="CA139" s="370">
        <v>227091.29748322355</v>
      </c>
      <c r="CB139" s="370">
        <v>227043.85779236624</v>
      </c>
      <c r="CC139" s="370">
        <v>226985.83246727078</v>
      </c>
      <c r="CD139" s="370">
        <v>227198.93230258458</v>
      </c>
      <c r="CE139" s="370">
        <v>227801.3222094317</v>
      </c>
      <c r="CF139" s="370">
        <v>229270.21018310881</v>
      </c>
      <c r="CG139" s="370">
        <v>233658.74336860396</v>
      </c>
      <c r="CH139" s="370">
        <v>239760.28391368265</v>
      </c>
      <c r="CI139" s="370">
        <v>241238.13508193026</v>
      </c>
      <c r="CJ139" s="370">
        <v>243746.9147957883</v>
      </c>
      <c r="CK139" s="370">
        <v>245348.93434200805</v>
      </c>
      <c r="CL139" s="370">
        <v>248597.05051805204</v>
      </c>
      <c r="CM139" s="370">
        <v>251397.12366484999</v>
      </c>
      <c r="CN139" s="370">
        <v>256025.13014473565</v>
      </c>
      <c r="CO139" s="370">
        <v>255001.6336831318</v>
      </c>
    </row>
    <row r="140" spans="1:93" ht="13.5" customHeight="1" thickTop="1" thickBot="1">
      <c r="A140" s="401" t="s">
        <v>502</v>
      </c>
      <c r="B140" s="402">
        <v>7498</v>
      </c>
      <c r="C140" s="403">
        <v>7801.2</v>
      </c>
      <c r="D140" s="403">
        <v>7108.8</v>
      </c>
      <c r="E140" s="404">
        <v>6593</v>
      </c>
      <c r="F140" s="403">
        <v>6877.6435424908495</v>
      </c>
      <c r="G140" s="403">
        <v>7023.7998040963384</v>
      </c>
      <c r="H140" s="403">
        <v>6878.8</v>
      </c>
      <c r="I140" s="403">
        <v>6423.5</v>
      </c>
      <c r="J140" s="403">
        <v>7200.5</v>
      </c>
      <c r="K140" s="404">
        <v>6846</v>
      </c>
      <c r="L140" s="403">
        <v>7935.1</v>
      </c>
      <c r="M140" s="403">
        <v>8482.2999999999993</v>
      </c>
      <c r="N140" s="403">
        <v>8907.1</v>
      </c>
      <c r="O140" s="404">
        <v>7674.4</v>
      </c>
      <c r="P140" s="405">
        <v>7668.3</v>
      </c>
      <c r="Q140" s="405">
        <v>8508.2000000000007</v>
      </c>
      <c r="R140" s="406">
        <v>8648</v>
      </c>
      <c r="S140" s="405">
        <v>7537.1</v>
      </c>
      <c r="T140" s="405">
        <v>6819.8</v>
      </c>
      <c r="U140" s="409">
        <v>7363.5</v>
      </c>
      <c r="V140" s="409">
        <v>7094.1</v>
      </c>
      <c r="W140" s="409">
        <v>8165</v>
      </c>
      <c r="X140" s="409">
        <v>8660.9</v>
      </c>
      <c r="Y140" s="409">
        <v>10905.9</v>
      </c>
      <c r="Z140" s="409">
        <v>10158.200000000001</v>
      </c>
      <c r="AA140" s="409">
        <v>9810.4</v>
      </c>
      <c r="AB140" s="409">
        <v>9212.4</v>
      </c>
      <c r="AC140" s="409">
        <v>9457.2000000000007</v>
      </c>
      <c r="AD140" s="409">
        <v>10963.168</v>
      </c>
      <c r="AE140" s="409">
        <v>11087.178157012506</v>
      </c>
      <c r="AF140" s="409">
        <v>11746.8</v>
      </c>
      <c r="AG140" s="409">
        <v>12332.9</v>
      </c>
      <c r="AH140" s="409">
        <v>11070.7</v>
      </c>
      <c r="AI140" s="409">
        <v>10935.915015071438</v>
      </c>
      <c r="AJ140" s="409">
        <v>10116.96743827206</v>
      </c>
      <c r="AK140" s="409">
        <v>11784.059728036329</v>
      </c>
      <c r="AL140" s="409">
        <v>11264.009010570229</v>
      </c>
      <c r="AM140" s="409">
        <v>11573</v>
      </c>
      <c r="AN140" s="409">
        <v>12792.744410392674</v>
      </c>
      <c r="AO140" s="409">
        <v>14425.787912189246</v>
      </c>
      <c r="AP140" s="409">
        <v>12741</v>
      </c>
      <c r="AQ140" s="410">
        <v>16099.8</v>
      </c>
      <c r="AR140" s="402">
        <v>16653.7</v>
      </c>
      <c r="AS140" s="402">
        <v>17631.3</v>
      </c>
      <c r="AT140" s="402">
        <v>20040.5</v>
      </c>
      <c r="AU140" s="402">
        <v>19553.944</v>
      </c>
      <c r="AV140" s="402">
        <v>19389.5</v>
      </c>
      <c r="AW140" s="408">
        <v>19944.599999999999</v>
      </c>
      <c r="AX140" s="408">
        <v>18644.900000000001</v>
      </c>
      <c r="AY140" s="408">
        <v>17930.5</v>
      </c>
      <c r="AZ140" s="408">
        <v>17577.400000000001</v>
      </c>
      <c r="BA140" s="408">
        <v>17626.8</v>
      </c>
      <c r="BB140" s="408">
        <v>16983.099999999999</v>
      </c>
      <c r="BC140" s="408">
        <v>17191.099999999999</v>
      </c>
      <c r="BD140" s="408">
        <v>16984.090662227558</v>
      </c>
      <c r="BE140" s="408">
        <v>15314.8</v>
      </c>
      <c r="BF140" s="408">
        <v>16513.5</v>
      </c>
      <c r="BG140" s="408">
        <v>16240.2</v>
      </c>
      <c r="BH140" s="408">
        <v>15217.2</v>
      </c>
      <c r="BI140" s="408">
        <v>18727.099999999999</v>
      </c>
      <c r="BJ140" s="408">
        <v>19242.2</v>
      </c>
      <c r="BK140" s="408">
        <v>19176.599999999999</v>
      </c>
      <c r="BL140" s="411">
        <v>20414.599999999999</v>
      </c>
      <c r="BM140" s="411">
        <v>19903.400000000001</v>
      </c>
      <c r="BN140" s="411">
        <v>19536</v>
      </c>
      <c r="BO140" s="411">
        <v>19692.2</v>
      </c>
      <c r="BP140" s="411">
        <v>20427.7</v>
      </c>
      <c r="BQ140" s="411">
        <v>20451.3</v>
      </c>
      <c r="BR140" s="411">
        <v>20691.099999999999</v>
      </c>
      <c r="BS140" s="411">
        <v>21549.599999999999</v>
      </c>
      <c r="BT140" s="411">
        <v>20818.2</v>
      </c>
      <c r="BU140" s="411">
        <v>21804.3</v>
      </c>
      <c r="BV140" s="411">
        <v>21697.200000000001</v>
      </c>
      <c r="BW140" s="411">
        <v>22126</v>
      </c>
      <c r="BX140" s="411">
        <v>21644.799999999999</v>
      </c>
      <c r="BY140" s="411">
        <v>22114.799999999999</v>
      </c>
      <c r="BZ140" s="412">
        <v>23066</v>
      </c>
      <c r="CA140" s="412">
        <v>21712.1542625732</v>
      </c>
      <c r="CB140" s="412">
        <v>21696.255110837101</v>
      </c>
      <c r="CC140" s="412">
        <v>21860.7</v>
      </c>
      <c r="CD140" s="412">
        <v>21590.5</v>
      </c>
      <c r="CE140" s="412">
        <v>24633.3</v>
      </c>
      <c r="CF140" s="412">
        <v>25617.1</v>
      </c>
      <c r="CG140" s="412">
        <v>25871.3</v>
      </c>
      <c r="CH140" s="412">
        <v>27463.1</v>
      </c>
      <c r="CI140" s="412">
        <v>25789.9</v>
      </c>
      <c r="CJ140" s="412">
        <v>26319.8</v>
      </c>
      <c r="CK140" s="412">
        <v>24825.5</v>
      </c>
      <c r="CL140" s="412">
        <v>24639.4</v>
      </c>
      <c r="CM140" s="412">
        <v>25261.9</v>
      </c>
      <c r="CN140" s="412">
        <v>24522.991999999998</v>
      </c>
      <c r="CO140" s="412">
        <v>24587.882000000001</v>
      </c>
    </row>
    <row r="141" spans="1:93" ht="14.25" thickTop="1">
      <c r="A141" s="233" t="s">
        <v>503</v>
      </c>
      <c r="B141" s="142" t="s">
        <v>361</v>
      </c>
      <c r="C141" s="129"/>
      <c r="D141" s="129"/>
      <c r="E141" s="350"/>
      <c r="F141" s="413"/>
      <c r="G141" s="413"/>
      <c r="H141" s="350"/>
      <c r="I141" s="350"/>
      <c r="J141" s="350"/>
      <c r="K141" s="350"/>
      <c r="L141" s="350"/>
      <c r="M141" s="350"/>
      <c r="N141" s="237" t="s">
        <v>361</v>
      </c>
      <c r="O141" s="350"/>
      <c r="P141" s="350"/>
      <c r="Q141" s="350"/>
      <c r="R141" s="414"/>
      <c r="S141" s="350"/>
      <c r="T141" s="350"/>
      <c r="U141" s="350"/>
      <c r="V141" s="350"/>
      <c r="W141" s="350"/>
      <c r="X141" s="350"/>
      <c r="Y141" s="350"/>
      <c r="Z141" s="350"/>
      <c r="AA141" s="350"/>
      <c r="AB141" s="350"/>
      <c r="AC141" s="350"/>
      <c r="AD141" s="350"/>
      <c r="AE141" s="350"/>
      <c r="AF141" s="350"/>
      <c r="AG141" s="350"/>
      <c r="AH141" s="350"/>
      <c r="AI141" s="350"/>
      <c r="AJ141" s="350"/>
      <c r="AK141" s="350"/>
      <c r="AL141" s="350"/>
      <c r="AM141" s="350"/>
      <c r="AN141" s="350"/>
      <c r="AO141" s="350"/>
      <c r="AP141" s="350"/>
      <c r="AQ141" s="350"/>
      <c r="AR141" s="142"/>
      <c r="AS141" s="142"/>
      <c r="AT141" s="142"/>
      <c r="AU141" s="350"/>
      <c r="AV141" s="350"/>
      <c r="AW141" s="350"/>
      <c r="AX141" s="350"/>
      <c r="AY141" s="350"/>
      <c r="AZ141" s="350"/>
      <c r="BA141" s="350"/>
      <c r="BB141" s="350"/>
      <c r="BC141" s="350"/>
      <c r="BD141" s="350"/>
      <c r="BE141" s="350"/>
      <c r="BF141" s="350"/>
      <c r="BG141" s="414"/>
      <c r="BH141" s="350"/>
      <c r="BI141" s="350"/>
      <c r="BJ141" s="350"/>
      <c r="BK141" s="350"/>
      <c r="BL141" s="350"/>
      <c r="BM141" s="350"/>
      <c r="BN141" s="350"/>
      <c r="BO141" s="350"/>
      <c r="BP141" s="350"/>
      <c r="BQ141" s="350"/>
      <c r="BR141" s="350"/>
      <c r="BS141" s="350"/>
      <c r="BT141" s="350"/>
      <c r="BU141" s="350"/>
      <c r="BV141" s="350"/>
      <c r="BW141" s="350"/>
      <c r="BX141" s="141"/>
      <c r="BY141" s="141" t="s">
        <v>361</v>
      </c>
      <c r="BZ141" s="350"/>
      <c r="CA141" s="350"/>
      <c r="CB141" s="350"/>
    </row>
    <row r="142" spans="1:93" ht="13.5">
      <c r="A142" s="233" t="s">
        <v>504</v>
      </c>
      <c r="B142" s="129"/>
      <c r="C142" s="129"/>
      <c r="D142" s="129"/>
      <c r="E142" s="350"/>
      <c r="F142" s="350"/>
      <c r="G142" s="350"/>
      <c r="H142" s="414"/>
      <c r="I142" s="350"/>
      <c r="J142" s="350"/>
      <c r="K142" s="350"/>
      <c r="L142" s="350"/>
      <c r="M142" s="350"/>
      <c r="N142" s="350"/>
      <c r="O142" s="350"/>
      <c r="P142" s="350"/>
      <c r="Q142" s="350"/>
      <c r="R142" s="414"/>
      <c r="S142" s="350"/>
      <c r="T142" s="350"/>
      <c r="U142" s="350"/>
      <c r="V142" s="350"/>
      <c r="W142" s="350"/>
      <c r="X142" s="350"/>
      <c r="Y142" s="350"/>
      <c r="Z142" s="350"/>
      <c r="AA142" s="350"/>
      <c r="AB142" s="350"/>
      <c r="AC142" s="350"/>
      <c r="AD142" s="350"/>
      <c r="AE142" s="350"/>
      <c r="AF142" s="350"/>
      <c r="AG142" s="350"/>
      <c r="AH142" s="414">
        <v>139781.13098666747</v>
      </c>
      <c r="AI142" s="210">
        <v>167031.5</v>
      </c>
      <c r="AJ142" s="350"/>
      <c r="AK142" s="350"/>
      <c r="AL142" s="350"/>
      <c r="AM142" s="350">
        <v>0</v>
      </c>
      <c r="AN142" s="350"/>
      <c r="AO142" s="350"/>
      <c r="AP142" s="350"/>
      <c r="AQ142" s="350"/>
      <c r="AR142" s="129"/>
      <c r="AS142" s="129"/>
      <c r="AT142" s="129"/>
      <c r="AU142" s="350"/>
      <c r="AV142" s="350"/>
      <c r="AW142" s="350"/>
      <c r="AX142" s="350"/>
      <c r="AY142" s="350"/>
      <c r="AZ142" s="350"/>
      <c r="BA142" s="350"/>
      <c r="BB142" s="350"/>
      <c r="BC142" s="350"/>
      <c r="BD142" s="350"/>
      <c r="BE142" s="350"/>
      <c r="BF142" s="350"/>
      <c r="BG142" s="414"/>
      <c r="BH142" s="350"/>
      <c r="BI142" s="350"/>
      <c r="BJ142" s="350"/>
      <c r="BK142" s="350"/>
      <c r="BL142" s="350"/>
      <c r="BM142" s="350"/>
      <c r="BN142" s="350"/>
      <c r="BO142" s="350"/>
      <c r="BP142" s="350"/>
      <c r="BQ142" s="350"/>
      <c r="BR142" s="350"/>
      <c r="BS142" s="350"/>
      <c r="BT142" s="350"/>
      <c r="BU142" s="350"/>
      <c r="BV142" s="350"/>
      <c r="BW142" s="350"/>
      <c r="BX142" s="350"/>
      <c r="BY142" s="350"/>
      <c r="BZ142" s="350"/>
      <c r="CA142" s="350"/>
      <c r="CB142" s="350"/>
    </row>
    <row r="143" spans="1:93" s="416" customFormat="1">
      <c r="A143" s="142" t="s">
        <v>303</v>
      </c>
      <c r="B143" s="142"/>
      <c r="C143" s="142"/>
      <c r="D143" s="142"/>
      <c r="E143" s="142"/>
      <c r="F143" s="142"/>
      <c r="G143" s="142"/>
      <c r="H143" s="142"/>
      <c r="I143" s="142"/>
      <c r="J143" s="142"/>
      <c r="K143" s="142"/>
      <c r="L143" s="142"/>
      <c r="M143" s="142"/>
      <c r="N143" s="142"/>
      <c r="O143" s="142"/>
      <c r="P143" s="142"/>
      <c r="Q143" s="142"/>
      <c r="R143" s="415"/>
      <c r="S143" s="142"/>
      <c r="T143" s="142"/>
      <c r="U143" s="142"/>
      <c r="V143" s="142"/>
      <c r="W143" s="142"/>
      <c r="X143" s="142"/>
      <c r="Y143" s="142"/>
      <c r="Z143" s="142"/>
      <c r="AA143" s="415"/>
      <c r="AB143" s="142"/>
      <c r="AC143" s="142"/>
      <c r="AD143" s="142"/>
      <c r="AE143" s="142"/>
      <c r="AF143" s="142"/>
      <c r="AG143" s="142"/>
      <c r="AH143" s="142"/>
      <c r="AI143" s="142"/>
      <c r="AJ143" s="142"/>
      <c r="AK143" s="142"/>
      <c r="AL143" s="142"/>
      <c r="AM143" s="142"/>
      <c r="AN143" s="415"/>
      <c r="AO143" s="415"/>
      <c r="AP143" s="142"/>
      <c r="AQ143" s="142"/>
      <c r="AR143" s="142"/>
      <c r="AS143" s="142"/>
      <c r="AT143" s="142"/>
      <c r="AU143" s="142"/>
      <c r="AV143" s="142"/>
      <c r="AW143" s="142"/>
      <c r="AX143" s="142"/>
      <c r="AY143" s="142"/>
      <c r="AZ143" s="142"/>
      <c r="BA143" s="142"/>
      <c r="BB143" s="142"/>
      <c r="BC143" s="142"/>
      <c r="BD143" s="142"/>
      <c r="BE143" s="142"/>
      <c r="BF143" s="142"/>
      <c r="BG143" s="414"/>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row>
    <row r="144" spans="1:93" s="416" customFormat="1">
      <c r="R144" s="417"/>
      <c r="AA144" s="417"/>
      <c r="AN144" s="417"/>
      <c r="AO144" s="417"/>
    </row>
    <row r="145" spans="18:18">
      <c r="R145" s="304"/>
    </row>
    <row r="146" spans="18:18">
      <c r="R146" s="304"/>
    </row>
    <row r="147" spans="18:18">
      <c r="R147" s="304"/>
    </row>
    <row r="148" spans="18:18">
      <c r="R148" s="304"/>
    </row>
    <row r="149" spans="18:18">
      <c r="R149" s="304"/>
    </row>
    <row r="150" spans="18:18">
      <c r="R150" s="304"/>
    </row>
    <row r="151" spans="18:18">
      <c r="R151" s="304"/>
    </row>
    <row r="152" spans="18:18">
      <c r="R152" s="304"/>
    </row>
    <row r="153" spans="18:18">
      <c r="R153" s="304"/>
    </row>
    <row r="154" spans="18:18">
      <c r="R154" s="304"/>
    </row>
    <row r="155" spans="18:18">
      <c r="R155" s="304"/>
    </row>
    <row r="156" spans="18:18">
      <c r="R156" s="304"/>
    </row>
    <row r="157" spans="18:18">
      <c r="R157" s="304"/>
    </row>
    <row r="158" spans="18:18">
      <c r="R158" s="304"/>
    </row>
    <row r="159" spans="18:18">
      <c r="R159" s="304"/>
    </row>
    <row r="160" spans="18:18">
      <c r="R160" s="304"/>
    </row>
    <row r="161" spans="18:18">
      <c r="R161" s="304"/>
    </row>
    <row r="162" spans="18:18">
      <c r="R162" s="304"/>
    </row>
    <row r="163" spans="18:18">
      <c r="R163" s="304"/>
    </row>
    <row r="164" spans="18:18">
      <c r="R164" s="304"/>
    </row>
    <row r="165" spans="18:18">
      <c r="R165" s="304"/>
    </row>
    <row r="166" spans="18:18">
      <c r="R166" s="304"/>
    </row>
    <row r="167" spans="18:18">
      <c r="R167" s="304"/>
    </row>
    <row r="168" spans="18:18">
      <c r="R168" s="304"/>
    </row>
    <row r="169" spans="18:18">
      <c r="R169" s="304"/>
    </row>
    <row r="170" spans="18:18">
      <c r="R170" s="304"/>
    </row>
    <row r="171" spans="18:18">
      <c r="R171" s="304"/>
    </row>
    <row r="172" spans="18:18">
      <c r="R172" s="304"/>
    </row>
    <row r="173" spans="18:18">
      <c r="R173" s="304"/>
    </row>
    <row r="174" spans="18:18">
      <c r="R174" s="304"/>
    </row>
    <row r="175" spans="18:18">
      <c r="R175" s="304"/>
    </row>
    <row r="176" spans="18:18">
      <c r="R176" s="304"/>
    </row>
    <row r="177" spans="18:18">
      <c r="R177" s="304"/>
    </row>
    <row r="178" spans="18:18">
      <c r="R178" s="304"/>
    </row>
    <row r="179" spans="18:18">
      <c r="R179" s="304"/>
    </row>
    <row r="180" spans="18:18">
      <c r="R180" s="304"/>
    </row>
    <row r="181" spans="18:18">
      <c r="R181" s="304"/>
    </row>
    <row r="182" spans="18:18">
      <c r="R182" s="304"/>
    </row>
    <row r="183" spans="18:18">
      <c r="R183" s="304"/>
    </row>
    <row r="184" spans="18:18">
      <c r="R184" s="304"/>
    </row>
    <row r="185" spans="18:18">
      <c r="R185" s="304"/>
    </row>
    <row r="186" spans="18:18">
      <c r="R186" s="304"/>
    </row>
    <row r="187" spans="18:18">
      <c r="R187" s="304"/>
    </row>
    <row r="188" spans="18:18">
      <c r="R188" s="304"/>
    </row>
    <row r="189" spans="18:18">
      <c r="R189" s="304"/>
    </row>
    <row r="190" spans="18:18">
      <c r="R190" s="304"/>
    </row>
    <row r="191" spans="18:18">
      <c r="R191" s="304"/>
    </row>
    <row r="192" spans="18:18">
      <c r="R192" s="304"/>
    </row>
    <row r="193" spans="18:18">
      <c r="R193" s="304"/>
    </row>
    <row r="194" spans="18:18">
      <c r="R194" s="304"/>
    </row>
    <row r="195" spans="18:18">
      <c r="R195" s="304"/>
    </row>
    <row r="196" spans="18:18">
      <c r="R196" s="304"/>
    </row>
    <row r="197" spans="18:18">
      <c r="R197" s="304"/>
    </row>
    <row r="198" spans="18:18">
      <c r="R198" s="304"/>
    </row>
    <row r="199" spans="18:18">
      <c r="R199" s="304"/>
    </row>
    <row r="200" spans="18:18">
      <c r="R200" s="304"/>
    </row>
    <row r="201" spans="18:18">
      <c r="R201" s="304"/>
    </row>
    <row r="202" spans="18:18">
      <c r="R202" s="304"/>
    </row>
    <row r="203" spans="18:18">
      <c r="R203" s="304"/>
    </row>
    <row r="204" spans="18:18">
      <c r="R204" s="304"/>
    </row>
    <row r="205" spans="18:18">
      <c r="R205" s="304"/>
    </row>
    <row r="206" spans="18:18">
      <c r="R206" s="304"/>
    </row>
    <row r="207" spans="18:18">
      <c r="R207" s="304"/>
    </row>
    <row r="208" spans="18:18">
      <c r="R208" s="304"/>
    </row>
    <row r="209" spans="18:18">
      <c r="R209" s="304"/>
    </row>
    <row r="210" spans="18:18">
      <c r="R210" s="304"/>
    </row>
    <row r="211" spans="18:18">
      <c r="R211" s="304"/>
    </row>
    <row r="212" spans="18:18">
      <c r="R212" s="304"/>
    </row>
    <row r="213" spans="18:18">
      <c r="R213" s="304"/>
    </row>
    <row r="214" spans="18:18">
      <c r="R214" s="304"/>
    </row>
    <row r="215" spans="18:18">
      <c r="R215" s="304"/>
    </row>
    <row r="216" spans="18:18">
      <c r="R216" s="304"/>
    </row>
    <row r="217" spans="18:18">
      <c r="R217" s="304"/>
    </row>
    <row r="218" spans="18:18">
      <c r="R218" s="304"/>
    </row>
    <row r="219" spans="18:18">
      <c r="R219" s="304"/>
    </row>
    <row r="220" spans="18:18">
      <c r="R220" s="304"/>
    </row>
    <row r="221" spans="18:18">
      <c r="R221" s="304"/>
    </row>
    <row r="222" spans="18:18">
      <c r="R222" s="304"/>
    </row>
    <row r="223" spans="18:18">
      <c r="R223" s="304"/>
    </row>
    <row r="224" spans="18:18">
      <c r="R224" s="304"/>
    </row>
    <row r="225" spans="18:18">
      <c r="R225" s="304"/>
    </row>
    <row r="226" spans="18:18">
      <c r="R226" s="304"/>
    </row>
    <row r="227" spans="18:18">
      <c r="R227" s="304"/>
    </row>
    <row r="228" spans="18:18">
      <c r="R228" s="304"/>
    </row>
    <row r="229" spans="18:18">
      <c r="R229" s="304"/>
    </row>
    <row r="230" spans="18:18">
      <c r="R230" s="304"/>
    </row>
    <row r="231" spans="18:18">
      <c r="R231" s="304"/>
    </row>
    <row r="232" spans="18:18">
      <c r="R232" s="304"/>
    </row>
    <row r="233" spans="18:18">
      <c r="R233" s="304"/>
    </row>
    <row r="234" spans="18:18">
      <c r="R234" s="304"/>
    </row>
    <row r="235" spans="18:18">
      <c r="R235" s="304"/>
    </row>
    <row r="236" spans="18:18">
      <c r="R236" s="304"/>
    </row>
    <row r="237" spans="18:18">
      <c r="R237" s="304"/>
    </row>
    <row r="238" spans="18:18">
      <c r="R238" s="304"/>
    </row>
    <row r="239" spans="18:18">
      <c r="R239" s="304"/>
    </row>
    <row r="240" spans="18:18">
      <c r="R240" s="304"/>
    </row>
    <row r="241" spans="18:18">
      <c r="R241" s="304"/>
    </row>
    <row r="242" spans="18:18">
      <c r="R242" s="304"/>
    </row>
    <row r="243" spans="18:18">
      <c r="R243" s="304"/>
    </row>
    <row r="244" spans="18:18">
      <c r="R244" s="304"/>
    </row>
    <row r="245" spans="18:18">
      <c r="R245" s="304"/>
    </row>
    <row r="246" spans="18:18">
      <c r="R246" s="304"/>
    </row>
    <row r="247" spans="18:18">
      <c r="R247" s="304"/>
    </row>
    <row r="248" spans="18:18">
      <c r="R248" s="304"/>
    </row>
    <row r="249" spans="18:18">
      <c r="R249" s="304"/>
    </row>
    <row r="250" spans="18:18">
      <c r="R250" s="304"/>
    </row>
    <row r="251" spans="18:18">
      <c r="R251" s="304"/>
    </row>
    <row r="252" spans="18:18">
      <c r="R252" s="304"/>
    </row>
    <row r="253" spans="18:18">
      <c r="R253" s="304"/>
    </row>
    <row r="254" spans="18:18">
      <c r="R254" s="304"/>
    </row>
    <row r="255" spans="18:18">
      <c r="R255" s="304"/>
    </row>
    <row r="256" spans="18:18">
      <c r="R256" s="304"/>
    </row>
    <row r="257" spans="18:18">
      <c r="R257" s="304"/>
    </row>
    <row r="258" spans="18:18">
      <c r="R258" s="304"/>
    </row>
    <row r="259" spans="18:18">
      <c r="R259" s="304"/>
    </row>
    <row r="260" spans="18:18">
      <c r="R260" s="304"/>
    </row>
    <row r="261" spans="18:18">
      <c r="R261" s="304"/>
    </row>
    <row r="262" spans="18:18">
      <c r="R262" s="304"/>
    </row>
    <row r="263" spans="18:18">
      <c r="R263" s="304"/>
    </row>
    <row r="264" spans="18:18">
      <c r="R264" s="304"/>
    </row>
    <row r="265" spans="18:18">
      <c r="R265" s="304"/>
    </row>
    <row r="266" spans="18:18">
      <c r="R266" s="304"/>
    </row>
    <row r="267" spans="18:18">
      <c r="R267" s="304"/>
    </row>
    <row r="268" spans="18:18">
      <c r="R268" s="304"/>
    </row>
    <row r="269" spans="18:18">
      <c r="R269" s="304"/>
    </row>
    <row r="270" spans="18:18">
      <c r="R270" s="304"/>
    </row>
    <row r="271" spans="18:18">
      <c r="R271" s="304"/>
    </row>
    <row r="272" spans="18:18">
      <c r="R272" s="304"/>
    </row>
    <row r="273" spans="18:18">
      <c r="R273" s="304"/>
    </row>
    <row r="274" spans="18:18">
      <c r="R274" s="304"/>
    </row>
    <row r="275" spans="18:18">
      <c r="R275" s="304"/>
    </row>
    <row r="276" spans="18:18">
      <c r="R276" s="304"/>
    </row>
    <row r="277" spans="18:18">
      <c r="R277" s="304"/>
    </row>
    <row r="278" spans="18:18">
      <c r="R278" s="304"/>
    </row>
    <row r="279" spans="18:18">
      <c r="R279" s="304"/>
    </row>
    <row r="280" spans="18:18">
      <c r="R280" s="304"/>
    </row>
    <row r="281" spans="18:18">
      <c r="R281" s="304"/>
    </row>
    <row r="282" spans="18:18">
      <c r="R282" s="304"/>
    </row>
    <row r="283" spans="18:18">
      <c r="R283" s="304"/>
    </row>
    <row r="284" spans="18:18">
      <c r="R284" s="304"/>
    </row>
    <row r="285" spans="18:18">
      <c r="R285" s="304"/>
    </row>
    <row r="286" spans="18:18">
      <c r="R286" s="304"/>
    </row>
    <row r="287" spans="18:18">
      <c r="R287" s="304"/>
    </row>
    <row r="288" spans="18:18">
      <c r="R288" s="304"/>
    </row>
    <row r="289" spans="18:18">
      <c r="R289" s="304"/>
    </row>
    <row r="290" spans="18:18">
      <c r="R290" s="304"/>
    </row>
    <row r="291" spans="18:18">
      <c r="R291" s="304"/>
    </row>
    <row r="292" spans="18:18">
      <c r="R292" s="304"/>
    </row>
    <row r="293" spans="18:18">
      <c r="R293" s="304"/>
    </row>
    <row r="294" spans="18:18">
      <c r="R294" s="304"/>
    </row>
    <row r="295" spans="18:18">
      <c r="R295" s="304"/>
    </row>
    <row r="296" spans="18:18">
      <c r="R296" s="304"/>
    </row>
    <row r="297" spans="18:18">
      <c r="R297" s="304"/>
    </row>
    <row r="298" spans="18:18">
      <c r="R298" s="304"/>
    </row>
    <row r="299" spans="18:18">
      <c r="R299" s="304"/>
    </row>
    <row r="300" spans="18:18">
      <c r="R300" s="304"/>
    </row>
    <row r="301" spans="18:18">
      <c r="R301" s="304"/>
    </row>
    <row r="302" spans="18:18">
      <c r="R302" s="304"/>
    </row>
    <row r="303" spans="18:18">
      <c r="R303" s="304"/>
    </row>
    <row r="304" spans="18:18">
      <c r="R304" s="304"/>
    </row>
    <row r="305" spans="18:18">
      <c r="R305" s="304"/>
    </row>
    <row r="306" spans="18:18">
      <c r="R306" s="304"/>
    </row>
    <row r="307" spans="18:18">
      <c r="R307" s="304"/>
    </row>
    <row r="308" spans="18:18">
      <c r="R308" s="304"/>
    </row>
    <row r="309" spans="18:18">
      <c r="R309" s="304"/>
    </row>
    <row r="310" spans="18:18">
      <c r="R310" s="304"/>
    </row>
    <row r="311" spans="18:18">
      <c r="R311" s="304"/>
    </row>
    <row r="312" spans="18:18">
      <c r="R312" s="304"/>
    </row>
    <row r="313" spans="18:18">
      <c r="R313" s="304"/>
    </row>
    <row r="314" spans="18:18">
      <c r="R314" s="304"/>
    </row>
    <row r="315" spans="18:18">
      <c r="R315" s="304"/>
    </row>
    <row r="316" spans="18:18">
      <c r="R316" s="304"/>
    </row>
    <row r="317" spans="18:18">
      <c r="R317" s="304"/>
    </row>
    <row r="318" spans="18:18">
      <c r="R318" s="304"/>
    </row>
    <row r="319" spans="18:18">
      <c r="R319" s="304"/>
    </row>
    <row r="320" spans="18:18">
      <c r="R320" s="304"/>
    </row>
    <row r="321" spans="18:18">
      <c r="R321" s="304"/>
    </row>
    <row r="322" spans="18:18">
      <c r="R322" s="304"/>
    </row>
    <row r="323" spans="18:18">
      <c r="R323" s="304"/>
    </row>
    <row r="324" spans="18:18">
      <c r="R324" s="304"/>
    </row>
    <row r="325" spans="18:18">
      <c r="R325" s="304"/>
    </row>
    <row r="326" spans="18:18">
      <c r="R326" s="304"/>
    </row>
    <row r="327" spans="18:18">
      <c r="R327" s="304"/>
    </row>
    <row r="328" spans="18:18">
      <c r="R328" s="304"/>
    </row>
    <row r="329" spans="18:18">
      <c r="R329" s="304"/>
    </row>
    <row r="330" spans="18:18">
      <c r="R330" s="304"/>
    </row>
    <row r="331" spans="18:18">
      <c r="R331" s="304"/>
    </row>
    <row r="332" spans="18:18">
      <c r="R332" s="304"/>
    </row>
    <row r="333" spans="18:18">
      <c r="R333" s="304"/>
    </row>
    <row r="334" spans="18:18">
      <c r="R334" s="304"/>
    </row>
    <row r="335" spans="18:18">
      <c r="R335" s="304"/>
    </row>
    <row r="336" spans="18:18">
      <c r="R336" s="304"/>
    </row>
    <row r="337" spans="18:18">
      <c r="R337" s="304"/>
    </row>
    <row r="338" spans="18:18">
      <c r="R338" s="304"/>
    </row>
    <row r="339" spans="18:18">
      <c r="R339" s="304"/>
    </row>
    <row r="340" spans="18:18">
      <c r="R340" s="304"/>
    </row>
    <row r="341" spans="18:18">
      <c r="R341" s="304"/>
    </row>
    <row r="342" spans="18:18">
      <c r="R342" s="304"/>
    </row>
    <row r="343" spans="18:18">
      <c r="R343" s="304"/>
    </row>
    <row r="344" spans="18:18">
      <c r="R344" s="304"/>
    </row>
    <row r="345" spans="18:18">
      <c r="R345" s="304"/>
    </row>
    <row r="346" spans="18:18">
      <c r="R346" s="304"/>
    </row>
    <row r="347" spans="18:18">
      <c r="R347" s="304"/>
    </row>
    <row r="348" spans="18:18">
      <c r="R348" s="304"/>
    </row>
    <row r="349" spans="18:18">
      <c r="R349" s="304"/>
    </row>
    <row r="350" spans="18:18">
      <c r="R350" s="304"/>
    </row>
    <row r="351" spans="18:18">
      <c r="R351" s="304"/>
    </row>
    <row r="352" spans="18:18">
      <c r="R352" s="304"/>
    </row>
    <row r="353" spans="18:18">
      <c r="R353" s="304"/>
    </row>
    <row r="354" spans="18:18">
      <c r="R354" s="304"/>
    </row>
    <row r="355" spans="18:18">
      <c r="R355" s="304"/>
    </row>
    <row r="356" spans="18:18">
      <c r="R356" s="304"/>
    </row>
    <row r="357" spans="18:18">
      <c r="R357" s="304"/>
    </row>
    <row r="358" spans="18:18">
      <c r="R358" s="304"/>
    </row>
    <row r="359" spans="18:18">
      <c r="R359" s="304"/>
    </row>
    <row r="360" spans="18:18">
      <c r="R360" s="304"/>
    </row>
    <row r="361" spans="18:18">
      <c r="R361" s="304"/>
    </row>
    <row r="362" spans="18:18">
      <c r="R362" s="304"/>
    </row>
    <row r="363" spans="18:18">
      <c r="R363" s="304"/>
    </row>
    <row r="364" spans="18:18">
      <c r="R364" s="304"/>
    </row>
    <row r="365" spans="18:18">
      <c r="R365" s="304"/>
    </row>
    <row r="366" spans="18:18">
      <c r="R366" s="304"/>
    </row>
    <row r="367" spans="18:18">
      <c r="R367" s="304"/>
    </row>
    <row r="368" spans="18:18">
      <c r="R368" s="304"/>
    </row>
    <row r="369" spans="18:18">
      <c r="R369" s="304"/>
    </row>
    <row r="370" spans="18:18">
      <c r="R370" s="304"/>
    </row>
    <row r="371" spans="18:18">
      <c r="R371" s="304"/>
    </row>
    <row r="372" spans="18:18">
      <c r="R372" s="304"/>
    </row>
    <row r="373" spans="18:18">
      <c r="R373" s="304"/>
    </row>
    <row r="374" spans="18:18">
      <c r="R374" s="304"/>
    </row>
    <row r="375" spans="18:18">
      <c r="R375" s="304"/>
    </row>
    <row r="376" spans="18:18">
      <c r="R376" s="304"/>
    </row>
    <row r="377" spans="18:18">
      <c r="R377" s="304"/>
    </row>
    <row r="378" spans="18:18">
      <c r="R378" s="304"/>
    </row>
    <row r="379" spans="18:18">
      <c r="R379" s="304"/>
    </row>
    <row r="380" spans="18:18">
      <c r="R380" s="304"/>
    </row>
    <row r="381" spans="18:18">
      <c r="R381" s="304"/>
    </row>
    <row r="382" spans="18:18">
      <c r="R382" s="304"/>
    </row>
    <row r="383" spans="18:18">
      <c r="R383" s="304"/>
    </row>
    <row r="384" spans="18:18">
      <c r="R384" s="304"/>
    </row>
    <row r="385" spans="18:18">
      <c r="R385" s="304"/>
    </row>
    <row r="386" spans="18:18">
      <c r="R386" s="304"/>
    </row>
    <row r="387" spans="18:18">
      <c r="R387" s="304"/>
    </row>
    <row r="388" spans="18:18">
      <c r="R388" s="304"/>
    </row>
    <row r="389" spans="18:18">
      <c r="R389" s="304"/>
    </row>
    <row r="390" spans="18:18">
      <c r="R390" s="304"/>
    </row>
    <row r="391" spans="18:18">
      <c r="R391" s="304"/>
    </row>
    <row r="392" spans="18:18">
      <c r="R392" s="304"/>
    </row>
    <row r="393" spans="18:18">
      <c r="R393" s="304"/>
    </row>
    <row r="394" spans="18:18">
      <c r="R394" s="304"/>
    </row>
    <row r="395" spans="18:18">
      <c r="R395" s="304"/>
    </row>
    <row r="396" spans="18:18">
      <c r="R396" s="304"/>
    </row>
    <row r="397" spans="18:18">
      <c r="R397" s="304"/>
    </row>
    <row r="398" spans="18:18">
      <c r="R398" s="304"/>
    </row>
    <row r="399" spans="18:18">
      <c r="R399" s="304"/>
    </row>
    <row r="400" spans="18:18">
      <c r="R400" s="304"/>
    </row>
    <row r="401" spans="18:18">
      <c r="R401" s="304"/>
    </row>
    <row r="402" spans="18:18">
      <c r="R402" s="304"/>
    </row>
    <row r="403" spans="18:18">
      <c r="R403" s="304"/>
    </row>
    <row r="404" spans="18:18">
      <c r="R404" s="304"/>
    </row>
    <row r="405" spans="18:18">
      <c r="R405" s="304"/>
    </row>
    <row r="406" spans="18:18">
      <c r="R406" s="304"/>
    </row>
    <row r="407" spans="18:18">
      <c r="R407" s="304"/>
    </row>
    <row r="408" spans="18:18">
      <c r="R408" s="304"/>
    </row>
    <row r="409" spans="18:18">
      <c r="R409" s="304"/>
    </row>
    <row r="410" spans="18:18">
      <c r="R410" s="304"/>
    </row>
    <row r="411" spans="18:18">
      <c r="R411" s="304"/>
    </row>
    <row r="412" spans="18:18">
      <c r="R412" s="304"/>
    </row>
    <row r="413" spans="18:18">
      <c r="R413" s="304"/>
    </row>
    <row r="414" spans="18:18">
      <c r="R414" s="304"/>
    </row>
    <row r="415" spans="18:18">
      <c r="R415" s="304"/>
    </row>
    <row r="416" spans="18:18">
      <c r="R416" s="304"/>
    </row>
    <row r="417" spans="18:18">
      <c r="R417" s="304"/>
    </row>
    <row r="418" spans="18:18">
      <c r="R418" s="304"/>
    </row>
    <row r="419" spans="18:18">
      <c r="R419" s="304"/>
    </row>
    <row r="420" spans="18:18">
      <c r="R420" s="304"/>
    </row>
    <row r="421" spans="18:18">
      <c r="R421" s="304"/>
    </row>
    <row r="422" spans="18:18">
      <c r="R422" s="304"/>
    </row>
    <row r="423" spans="18:18">
      <c r="R423" s="304"/>
    </row>
    <row r="424" spans="18:18">
      <c r="R424" s="304"/>
    </row>
    <row r="425" spans="18:18">
      <c r="R425" s="304"/>
    </row>
    <row r="426" spans="18:18">
      <c r="R426" s="304"/>
    </row>
    <row r="427" spans="18:18">
      <c r="R427" s="304"/>
    </row>
    <row r="428" spans="18:18">
      <c r="R428" s="304"/>
    </row>
    <row r="429" spans="18:18">
      <c r="R429" s="304"/>
    </row>
    <row r="430" spans="18:18">
      <c r="R430" s="304"/>
    </row>
    <row r="431" spans="18:18">
      <c r="R431" s="304"/>
    </row>
    <row r="432" spans="18:18">
      <c r="R432" s="304"/>
    </row>
    <row r="433" spans="18:18">
      <c r="R433" s="304"/>
    </row>
    <row r="434" spans="18:18">
      <c r="R434" s="304"/>
    </row>
    <row r="435" spans="18:18">
      <c r="R435" s="304"/>
    </row>
    <row r="436" spans="18:18">
      <c r="R436" s="304"/>
    </row>
    <row r="437" spans="18:18">
      <c r="R437" s="304"/>
    </row>
    <row r="438" spans="18:18">
      <c r="R438" s="304"/>
    </row>
    <row r="439" spans="18:18">
      <c r="R439" s="304"/>
    </row>
    <row r="440" spans="18:18">
      <c r="R440" s="304"/>
    </row>
    <row r="441" spans="18:18">
      <c r="R441" s="304"/>
    </row>
    <row r="442" spans="18:18">
      <c r="R442" s="304"/>
    </row>
    <row r="443" spans="18:18">
      <c r="R443" s="304"/>
    </row>
    <row r="444" spans="18:18">
      <c r="R444" s="304"/>
    </row>
    <row r="445" spans="18:18">
      <c r="R445" s="304"/>
    </row>
    <row r="446" spans="18:18">
      <c r="R446" s="304"/>
    </row>
    <row r="447" spans="18:18">
      <c r="R447" s="304"/>
    </row>
    <row r="448" spans="18:18">
      <c r="R448" s="304"/>
    </row>
    <row r="449" spans="18:18">
      <c r="R449" s="304"/>
    </row>
    <row r="450" spans="18:18">
      <c r="R450" s="304"/>
    </row>
    <row r="451" spans="18:18">
      <c r="R451" s="304"/>
    </row>
    <row r="452" spans="18:18">
      <c r="R452" s="304"/>
    </row>
    <row r="453" spans="18:18">
      <c r="R453" s="304"/>
    </row>
    <row r="454" spans="18:18">
      <c r="R454" s="304"/>
    </row>
    <row r="455" spans="18:18">
      <c r="R455" s="304"/>
    </row>
    <row r="456" spans="18:18">
      <c r="R456" s="304"/>
    </row>
    <row r="457" spans="18:18">
      <c r="R457" s="304"/>
    </row>
    <row r="458" spans="18:18">
      <c r="R458" s="304"/>
    </row>
    <row r="459" spans="18:18">
      <c r="R459" s="304"/>
    </row>
    <row r="460" spans="18:18">
      <c r="R460" s="304"/>
    </row>
    <row r="461" spans="18:18">
      <c r="R461" s="304"/>
    </row>
    <row r="462" spans="18:18">
      <c r="R462" s="304"/>
    </row>
    <row r="463" spans="18:18">
      <c r="R463" s="304"/>
    </row>
    <row r="464" spans="18:18">
      <c r="R464" s="304"/>
    </row>
    <row r="465" spans="18:18">
      <c r="R465" s="304"/>
    </row>
    <row r="466" spans="18:18">
      <c r="R466" s="304"/>
    </row>
    <row r="467" spans="18:18">
      <c r="R467" s="304"/>
    </row>
    <row r="468" spans="18:18">
      <c r="R468" s="304"/>
    </row>
    <row r="469" spans="18:18">
      <c r="R469" s="304"/>
    </row>
    <row r="470" spans="18:18">
      <c r="R470" s="304"/>
    </row>
    <row r="471" spans="18:18">
      <c r="R471" s="304"/>
    </row>
    <row r="472" spans="18:18">
      <c r="R472" s="304"/>
    </row>
    <row r="473" spans="18:18">
      <c r="R473" s="304"/>
    </row>
    <row r="474" spans="18:18">
      <c r="R474" s="304"/>
    </row>
    <row r="475" spans="18:18">
      <c r="R475" s="304"/>
    </row>
    <row r="476" spans="18:18">
      <c r="R476" s="304"/>
    </row>
    <row r="477" spans="18:18">
      <c r="R477" s="304"/>
    </row>
    <row r="478" spans="18:18">
      <c r="R478" s="304"/>
    </row>
    <row r="479" spans="18:18">
      <c r="R479" s="304"/>
    </row>
    <row r="480" spans="18:18">
      <c r="R480" s="304"/>
    </row>
    <row r="481" spans="18:18">
      <c r="R481" s="304"/>
    </row>
    <row r="482" spans="18:18">
      <c r="R482" s="304"/>
    </row>
    <row r="483" spans="18:18">
      <c r="R483" s="304"/>
    </row>
    <row r="484" spans="18:18">
      <c r="R484" s="304"/>
    </row>
    <row r="485" spans="18:18">
      <c r="R485" s="304"/>
    </row>
    <row r="486" spans="18:18">
      <c r="R486" s="304"/>
    </row>
    <row r="487" spans="18:18">
      <c r="R487" s="304"/>
    </row>
    <row r="488" spans="18:18">
      <c r="R488" s="304"/>
    </row>
    <row r="489" spans="18:18">
      <c r="R489" s="304"/>
    </row>
    <row r="490" spans="18:18">
      <c r="R490" s="304"/>
    </row>
    <row r="491" spans="18:18">
      <c r="R491" s="304"/>
    </row>
    <row r="492" spans="18:18">
      <c r="R492" s="304"/>
    </row>
    <row r="493" spans="18:18">
      <c r="R493" s="304"/>
    </row>
    <row r="494" spans="18:18">
      <c r="R494" s="304"/>
    </row>
    <row r="495" spans="18:18">
      <c r="R495" s="304"/>
    </row>
    <row r="496" spans="18:18">
      <c r="R496" s="304"/>
    </row>
    <row r="497" spans="18:18">
      <c r="R497" s="304"/>
    </row>
    <row r="498" spans="18:18">
      <c r="R498" s="304"/>
    </row>
    <row r="499" spans="18:18">
      <c r="R499" s="304"/>
    </row>
    <row r="500" spans="18:18">
      <c r="R500" s="304"/>
    </row>
    <row r="501" spans="18:18">
      <c r="R501" s="304"/>
    </row>
    <row r="502" spans="18:18">
      <c r="R502" s="304"/>
    </row>
    <row r="503" spans="18:18">
      <c r="R503" s="304"/>
    </row>
    <row r="504" spans="18:18">
      <c r="R504" s="304"/>
    </row>
    <row r="505" spans="18:18">
      <c r="R505" s="304"/>
    </row>
    <row r="506" spans="18:18">
      <c r="R506" s="304"/>
    </row>
    <row r="507" spans="18:18">
      <c r="R507" s="304"/>
    </row>
    <row r="508" spans="18:18">
      <c r="R508" s="304"/>
    </row>
    <row r="509" spans="18:18">
      <c r="R509" s="304"/>
    </row>
    <row r="510" spans="18:18">
      <c r="R510" s="304"/>
    </row>
    <row r="511" spans="18:18">
      <c r="R511" s="304"/>
    </row>
    <row r="512" spans="18:18">
      <c r="R512" s="304"/>
    </row>
    <row r="513" spans="18:18">
      <c r="R513" s="304"/>
    </row>
    <row r="514" spans="18:18">
      <c r="R514" s="304"/>
    </row>
    <row r="515" spans="18:18">
      <c r="R515" s="304"/>
    </row>
    <row r="516" spans="18:18">
      <c r="R516" s="304"/>
    </row>
    <row r="517" spans="18:18">
      <c r="R517" s="304"/>
    </row>
    <row r="518" spans="18:18">
      <c r="R518" s="304"/>
    </row>
    <row r="519" spans="18:18">
      <c r="R519" s="304"/>
    </row>
    <row r="520" spans="18:18">
      <c r="R520" s="304"/>
    </row>
    <row r="521" spans="18:18">
      <c r="R521" s="304"/>
    </row>
    <row r="522" spans="18:18">
      <c r="R522" s="304"/>
    </row>
    <row r="523" spans="18:18">
      <c r="R523" s="304"/>
    </row>
    <row r="524" spans="18:18">
      <c r="R524" s="304"/>
    </row>
    <row r="525" spans="18:18">
      <c r="R525" s="304"/>
    </row>
    <row r="526" spans="18:18">
      <c r="R526" s="304"/>
    </row>
    <row r="527" spans="18:18">
      <c r="R527" s="304"/>
    </row>
    <row r="528" spans="18:18">
      <c r="R528" s="304"/>
    </row>
    <row r="529" spans="18:18">
      <c r="R529" s="304"/>
    </row>
    <row r="530" spans="18:18">
      <c r="R530" s="304"/>
    </row>
    <row r="531" spans="18:18">
      <c r="R531" s="304"/>
    </row>
    <row r="532" spans="18:18">
      <c r="R532" s="304"/>
    </row>
    <row r="533" spans="18:18">
      <c r="R533" s="304"/>
    </row>
    <row r="534" spans="18:18">
      <c r="R534" s="304"/>
    </row>
    <row r="535" spans="18:18">
      <c r="R535" s="304"/>
    </row>
    <row r="536" spans="18:18">
      <c r="R536" s="304"/>
    </row>
    <row r="537" spans="18:18">
      <c r="R537" s="304"/>
    </row>
    <row r="538" spans="18:18">
      <c r="R538" s="304"/>
    </row>
    <row r="539" spans="18:18">
      <c r="R539" s="304"/>
    </row>
    <row r="540" spans="18:18">
      <c r="R540" s="304"/>
    </row>
    <row r="541" spans="18:18">
      <c r="R541" s="304"/>
    </row>
    <row r="542" spans="18:18">
      <c r="R542" s="304"/>
    </row>
    <row r="543" spans="18:18">
      <c r="R543" s="304"/>
    </row>
    <row r="544" spans="18:18">
      <c r="R544" s="304"/>
    </row>
    <row r="545" spans="18:18">
      <c r="R545" s="304"/>
    </row>
    <row r="546" spans="18:18">
      <c r="R546" s="304"/>
    </row>
    <row r="547" spans="18:18">
      <c r="R547" s="304"/>
    </row>
    <row r="548" spans="18:18">
      <c r="R548" s="304"/>
    </row>
    <row r="549" spans="18:18">
      <c r="R549" s="304"/>
    </row>
    <row r="550" spans="18:18">
      <c r="R550" s="304"/>
    </row>
    <row r="551" spans="18:18">
      <c r="R551" s="304"/>
    </row>
    <row r="552" spans="18:18">
      <c r="R552" s="304"/>
    </row>
    <row r="553" spans="18:18">
      <c r="R553" s="304"/>
    </row>
    <row r="554" spans="18:18">
      <c r="R554" s="304"/>
    </row>
    <row r="555" spans="18:18">
      <c r="R555" s="304"/>
    </row>
    <row r="556" spans="18:18">
      <c r="R556" s="304"/>
    </row>
    <row r="557" spans="18:18">
      <c r="R557" s="304"/>
    </row>
    <row r="558" spans="18:18">
      <c r="R558" s="304"/>
    </row>
    <row r="559" spans="18:18">
      <c r="R559" s="304"/>
    </row>
    <row r="560" spans="18:18">
      <c r="R560" s="304"/>
    </row>
    <row r="561" spans="18:18">
      <c r="R561" s="304"/>
    </row>
    <row r="562" spans="18:18">
      <c r="R562" s="304"/>
    </row>
    <row r="563" spans="18:18">
      <c r="R563" s="304"/>
    </row>
    <row r="564" spans="18:18">
      <c r="R564" s="304"/>
    </row>
    <row r="565" spans="18:18">
      <c r="R565" s="304"/>
    </row>
    <row r="566" spans="18:18">
      <c r="R566" s="304"/>
    </row>
    <row r="567" spans="18:18">
      <c r="R567" s="304"/>
    </row>
    <row r="568" spans="18:18">
      <c r="R568" s="304"/>
    </row>
    <row r="569" spans="18:18">
      <c r="R569" s="304"/>
    </row>
    <row r="570" spans="18:18">
      <c r="R570" s="304"/>
    </row>
    <row r="571" spans="18:18">
      <c r="R571" s="304"/>
    </row>
    <row r="572" spans="18:18">
      <c r="R572" s="304"/>
    </row>
    <row r="573" spans="18:18">
      <c r="R573" s="304"/>
    </row>
    <row r="574" spans="18:18">
      <c r="R574" s="304"/>
    </row>
    <row r="575" spans="18:18">
      <c r="R575" s="304"/>
    </row>
    <row r="576" spans="18:18">
      <c r="R576" s="304"/>
    </row>
    <row r="577" spans="18:18">
      <c r="R577" s="304"/>
    </row>
    <row r="578" spans="18:18">
      <c r="R578" s="304"/>
    </row>
    <row r="579" spans="18:18">
      <c r="R579" s="304"/>
    </row>
    <row r="580" spans="18:18">
      <c r="R580" s="304"/>
    </row>
    <row r="581" spans="18:18">
      <c r="R581" s="304"/>
    </row>
    <row r="582" spans="18:18">
      <c r="R582" s="304"/>
    </row>
    <row r="583" spans="18:18">
      <c r="R583" s="304"/>
    </row>
    <row r="584" spans="18:18">
      <c r="R584" s="304"/>
    </row>
    <row r="585" spans="18:18">
      <c r="R585" s="304"/>
    </row>
    <row r="586" spans="18:18">
      <c r="R586" s="304"/>
    </row>
    <row r="587" spans="18:18">
      <c r="R587" s="304"/>
    </row>
    <row r="588" spans="18:18">
      <c r="R588" s="304"/>
    </row>
    <row r="589" spans="18:18">
      <c r="R589" s="304"/>
    </row>
    <row r="590" spans="18:18">
      <c r="R590" s="304"/>
    </row>
    <row r="591" spans="18:18">
      <c r="R591" s="304"/>
    </row>
    <row r="592" spans="18:18">
      <c r="R592" s="304"/>
    </row>
    <row r="593" spans="18:18">
      <c r="R593" s="304"/>
    </row>
    <row r="594" spans="18:18">
      <c r="R594" s="304"/>
    </row>
    <row r="595" spans="18:18">
      <c r="R595" s="304"/>
    </row>
    <row r="596" spans="18:18">
      <c r="R596" s="304"/>
    </row>
    <row r="597" spans="18:18">
      <c r="R597" s="304"/>
    </row>
    <row r="598" spans="18:18">
      <c r="R598" s="304"/>
    </row>
    <row r="599" spans="18:18">
      <c r="R599" s="304"/>
    </row>
    <row r="600" spans="18:18">
      <c r="R600" s="304"/>
    </row>
    <row r="601" spans="18:18">
      <c r="R601" s="304"/>
    </row>
    <row r="602" spans="18:18">
      <c r="R602" s="304"/>
    </row>
    <row r="603" spans="18:18">
      <c r="R603" s="304"/>
    </row>
    <row r="604" spans="18:18">
      <c r="R604" s="304"/>
    </row>
    <row r="605" spans="18:18">
      <c r="R605" s="304"/>
    </row>
    <row r="606" spans="18:18">
      <c r="R606" s="304"/>
    </row>
    <row r="607" spans="18:18">
      <c r="R607" s="304"/>
    </row>
    <row r="608" spans="18:18">
      <c r="R608" s="304"/>
    </row>
    <row r="609" spans="18:18">
      <c r="R609" s="304"/>
    </row>
    <row r="610" spans="18:18">
      <c r="R610" s="304"/>
    </row>
    <row r="611" spans="18:18">
      <c r="R611" s="304"/>
    </row>
    <row r="612" spans="18:18">
      <c r="R612" s="304"/>
    </row>
    <row r="613" spans="18:18">
      <c r="R613" s="304"/>
    </row>
    <row r="614" spans="18:18">
      <c r="R614" s="304"/>
    </row>
    <row r="615" spans="18:18">
      <c r="R615" s="304"/>
    </row>
    <row r="616" spans="18:18">
      <c r="R616" s="304"/>
    </row>
    <row r="617" spans="18:18">
      <c r="R617" s="304"/>
    </row>
    <row r="618" spans="18:18">
      <c r="R618" s="304"/>
    </row>
    <row r="619" spans="18:18">
      <c r="R619" s="304"/>
    </row>
    <row r="620" spans="18:18">
      <c r="R620" s="304"/>
    </row>
    <row r="621" spans="18:18">
      <c r="R621" s="304"/>
    </row>
    <row r="622" spans="18:18">
      <c r="R622" s="304"/>
    </row>
    <row r="623" spans="18:18">
      <c r="R623" s="304"/>
    </row>
    <row r="624" spans="18:18">
      <c r="R624" s="304"/>
    </row>
    <row r="625" spans="18:18">
      <c r="R625" s="304"/>
    </row>
    <row r="626" spans="18:18">
      <c r="R626" s="304"/>
    </row>
    <row r="627" spans="18:18">
      <c r="R627" s="304"/>
    </row>
    <row r="628" spans="18:18">
      <c r="R628" s="304"/>
    </row>
    <row r="629" spans="18:18">
      <c r="R629" s="304"/>
    </row>
    <row r="630" spans="18:18">
      <c r="R630" s="304"/>
    </row>
    <row r="631" spans="18:18">
      <c r="R631" s="304"/>
    </row>
    <row r="632" spans="18:18">
      <c r="R632" s="304"/>
    </row>
    <row r="633" spans="18:18">
      <c r="R633" s="304"/>
    </row>
    <row r="634" spans="18:18">
      <c r="R634" s="304"/>
    </row>
    <row r="635" spans="18:18">
      <c r="R635" s="304"/>
    </row>
    <row r="636" spans="18:18">
      <c r="R636" s="304"/>
    </row>
    <row r="637" spans="18:18">
      <c r="R637" s="304"/>
    </row>
    <row r="638" spans="18:18">
      <c r="R638" s="304"/>
    </row>
    <row r="639" spans="18:18">
      <c r="R639" s="304"/>
    </row>
    <row r="640" spans="18:18">
      <c r="R640" s="304"/>
    </row>
    <row r="641" spans="18:18">
      <c r="R641" s="304"/>
    </row>
    <row r="642" spans="18:18">
      <c r="R642" s="304"/>
    </row>
    <row r="643" spans="18:18">
      <c r="R643" s="304"/>
    </row>
    <row r="644" spans="18:18">
      <c r="R644" s="304"/>
    </row>
    <row r="645" spans="18:18">
      <c r="R645" s="304"/>
    </row>
    <row r="646" spans="18:18">
      <c r="R646" s="304"/>
    </row>
    <row r="647" spans="18:18">
      <c r="R647" s="304"/>
    </row>
    <row r="648" spans="18:18">
      <c r="R648" s="304"/>
    </row>
    <row r="649" spans="18:18">
      <c r="R649" s="304"/>
    </row>
    <row r="650" spans="18:18">
      <c r="R650" s="304"/>
    </row>
    <row r="651" spans="18:18">
      <c r="R651" s="304"/>
    </row>
    <row r="652" spans="18:18">
      <c r="R652" s="304"/>
    </row>
    <row r="653" spans="18:18">
      <c r="R653" s="304"/>
    </row>
    <row r="654" spans="18:18">
      <c r="R654" s="304"/>
    </row>
    <row r="655" spans="18:18">
      <c r="R655" s="304"/>
    </row>
    <row r="656" spans="18:18">
      <c r="R656" s="304"/>
    </row>
    <row r="657" spans="18:18">
      <c r="R657" s="304"/>
    </row>
    <row r="658" spans="18:18">
      <c r="R658" s="304"/>
    </row>
    <row r="659" spans="18:18">
      <c r="R659" s="304"/>
    </row>
    <row r="660" spans="18:18">
      <c r="R660" s="304"/>
    </row>
    <row r="661" spans="18:18">
      <c r="R661" s="304"/>
    </row>
    <row r="662" spans="18:18">
      <c r="R662" s="304"/>
    </row>
    <row r="663" spans="18:18">
      <c r="R663" s="304"/>
    </row>
    <row r="664" spans="18:18">
      <c r="R664" s="304"/>
    </row>
    <row r="665" spans="18:18">
      <c r="R665" s="304"/>
    </row>
    <row r="666" spans="18:18">
      <c r="R666" s="304"/>
    </row>
    <row r="667" spans="18:18">
      <c r="R667" s="304"/>
    </row>
    <row r="668" spans="18:18">
      <c r="R668" s="304"/>
    </row>
    <row r="669" spans="18:18">
      <c r="R669" s="304"/>
    </row>
    <row r="670" spans="18:18">
      <c r="R670" s="304"/>
    </row>
    <row r="671" spans="18:18">
      <c r="R671" s="304"/>
    </row>
    <row r="672" spans="18:18">
      <c r="R672" s="304"/>
    </row>
    <row r="673" spans="18:18">
      <c r="R673" s="304"/>
    </row>
    <row r="674" spans="18:18">
      <c r="R674" s="304"/>
    </row>
    <row r="675" spans="18:18">
      <c r="R675" s="304"/>
    </row>
    <row r="676" spans="18:18">
      <c r="R676" s="304"/>
    </row>
    <row r="677" spans="18:18">
      <c r="R677" s="304"/>
    </row>
    <row r="678" spans="18:18">
      <c r="R678" s="304"/>
    </row>
    <row r="679" spans="18:18">
      <c r="R679" s="304"/>
    </row>
    <row r="680" spans="18:18">
      <c r="R680" s="304"/>
    </row>
    <row r="681" spans="18:18">
      <c r="R681" s="304"/>
    </row>
    <row r="682" spans="18:18">
      <c r="R682" s="304"/>
    </row>
    <row r="683" spans="18:18">
      <c r="R683" s="304"/>
    </row>
    <row r="684" spans="18:18">
      <c r="R684" s="304"/>
    </row>
    <row r="685" spans="18:18">
      <c r="R685" s="304"/>
    </row>
    <row r="686" spans="18:18">
      <c r="R686" s="304"/>
    </row>
    <row r="687" spans="18:18">
      <c r="R687" s="304"/>
    </row>
    <row r="688" spans="18:18">
      <c r="R688" s="304"/>
    </row>
    <row r="689" spans="18:18">
      <c r="R689" s="304"/>
    </row>
    <row r="690" spans="18:18">
      <c r="R690" s="304"/>
    </row>
    <row r="691" spans="18:18">
      <c r="R691" s="304"/>
    </row>
    <row r="692" spans="18:18">
      <c r="R692" s="304"/>
    </row>
    <row r="693" spans="18:18">
      <c r="R693" s="304"/>
    </row>
    <row r="694" spans="18:18">
      <c r="R694" s="304"/>
    </row>
    <row r="695" spans="18:18">
      <c r="R695" s="304"/>
    </row>
    <row r="696" spans="18:18">
      <c r="R696" s="304"/>
    </row>
    <row r="697" spans="18:18">
      <c r="R697" s="304"/>
    </row>
    <row r="698" spans="18:18">
      <c r="R698" s="304"/>
    </row>
    <row r="699" spans="18:18">
      <c r="R699" s="304"/>
    </row>
    <row r="700" spans="18:18">
      <c r="R700" s="304"/>
    </row>
    <row r="701" spans="18:18">
      <c r="R701" s="304"/>
    </row>
    <row r="702" spans="18:18">
      <c r="R702" s="304"/>
    </row>
    <row r="703" spans="18:18">
      <c r="R703" s="304"/>
    </row>
    <row r="704" spans="18:18">
      <c r="R704" s="304"/>
    </row>
    <row r="705" spans="18:18">
      <c r="R705" s="304"/>
    </row>
    <row r="706" spans="18:18">
      <c r="R706" s="304"/>
    </row>
    <row r="707" spans="18:18">
      <c r="R707" s="304"/>
    </row>
    <row r="708" spans="18:18">
      <c r="R708" s="304"/>
    </row>
    <row r="709" spans="18:18">
      <c r="R709" s="304"/>
    </row>
    <row r="710" spans="18:18">
      <c r="R710" s="304"/>
    </row>
    <row r="711" spans="18:18">
      <c r="R711" s="304"/>
    </row>
    <row r="712" spans="18:18">
      <c r="R712" s="304"/>
    </row>
    <row r="713" spans="18:18">
      <c r="R713" s="304"/>
    </row>
    <row r="714" spans="18:18">
      <c r="R714" s="304"/>
    </row>
    <row r="715" spans="18:18">
      <c r="R715" s="304"/>
    </row>
    <row r="716" spans="18:18">
      <c r="R716" s="304"/>
    </row>
    <row r="717" spans="18:18">
      <c r="R717" s="304"/>
    </row>
    <row r="718" spans="18:18">
      <c r="R718" s="304"/>
    </row>
    <row r="719" spans="18:18">
      <c r="R719" s="304"/>
    </row>
    <row r="720" spans="18:18">
      <c r="R720" s="304"/>
    </row>
    <row r="721" spans="18:18">
      <c r="R721" s="304"/>
    </row>
    <row r="722" spans="18:18">
      <c r="R722" s="304"/>
    </row>
    <row r="723" spans="18:18">
      <c r="R723" s="304"/>
    </row>
    <row r="724" spans="18:18">
      <c r="R724" s="304"/>
    </row>
    <row r="725" spans="18:18">
      <c r="R725" s="304"/>
    </row>
    <row r="726" spans="18:18">
      <c r="R726" s="304"/>
    </row>
    <row r="727" spans="18:18">
      <c r="R727" s="304"/>
    </row>
    <row r="728" spans="18:18">
      <c r="R728" s="304"/>
    </row>
    <row r="729" spans="18:18">
      <c r="R729" s="304"/>
    </row>
    <row r="730" spans="18:18">
      <c r="R730" s="304"/>
    </row>
    <row r="731" spans="18:18">
      <c r="R731" s="304"/>
    </row>
    <row r="732" spans="18:18">
      <c r="R732" s="304"/>
    </row>
    <row r="733" spans="18:18">
      <c r="R733" s="304"/>
    </row>
    <row r="734" spans="18:18">
      <c r="R734" s="304"/>
    </row>
    <row r="735" spans="18:18">
      <c r="R735" s="304"/>
    </row>
    <row r="736" spans="18:18">
      <c r="R736" s="304"/>
    </row>
    <row r="737" spans="18:18">
      <c r="R737" s="304"/>
    </row>
    <row r="738" spans="18:18">
      <c r="R738" s="304"/>
    </row>
    <row r="739" spans="18:18">
      <c r="R739" s="304"/>
    </row>
    <row r="740" spans="18:18">
      <c r="R740" s="304"/>
    </row>
    <row r="741" spans="18:18">
      <c r="R741" s="304"/>
    </row>
    <row r="742" spans="18:18">
      <c r="R742" s="304"/>
    </row>
    <row r="743" spans="18:18">
      <c r="R743" s="304"/>
    </row>
    <row r="744" spans="18:18">
      <c r="R744" s="304"/>
    </row>
    <row r="745" spans="18:18">
      <c r="R745" s="304"/>
    </row>
    <row r="746" spans="18:18">
      <c r="R746" s="304"/>
    </row>
    <row r="747" spans="18:18">
      <c r="R747" s="304"/>
    </row>
    <row r="748" spans="18:18">
      <c r="R748" s="304"/>
    </row>
    <row r="749" spans="18:18">
      <c r="R749" s="304"/>
    </row>
    <row r="750" spans="18:18">
      <c r="R750" s="304"/>
    </row>
    <row r="751" spans="18:18">
      <c r="R751" s="304"/>
    </row>
    <row r="752" spans="18:18">
      <c r="R752" s="304"/>
    </row>
    <row r="753" spans="18:18">
      <c r="R753" s="304"/>
    </row>
    <row r="754" spans="18:18">
      <c r="R754" s="304"/>
    </row>
    <row r="755" spans="18:18">
      <c r="R755" s="304"/>
    </row>
    <row r="756" spans="18:18">
      <c r="R756" s="304"/>
    </row>
    <row r="757" spans="18:18">
      <c r="R757" s="304"/>
    </row>
    <row r="758" spans="18:18">
      <c r="R758" s="304"/>
    </row>
    <row r="759" spans="18:18">
      <c r="R759" s="304"/>
    </row>
    <row r="760" spans="18:18">
      <c r="R760" s="304"/>
    </row>
    <row r="761" spans="18:18">
      <c r="R761" s="304"/>
    </row>
    <row r="762" spans="18:18">
      <c r="R762" s="304"/>
    </row>
    <row r="763" spans="18:18">
      <c r="R763" s="304"/>
    </row>
    <row r="764" spans="18:18">
      <c r="R764" s="304"/>
    </row>
    <row r="765" spans="18:18">
      <c r="R765" s="304"/>
    </row>
    <row r="766" spans="18:18">
      <c r="R766" s="304"/>
    </row>
    <row r="767" spans="18:18">
      <c r="R767" s="304"/>
    </row>
    <row r="768" spans="18:18">
      <c r="R768" s="304"/>
    </row>
    <row r="769" spans="18:18">
      <c r="R769" s="304"/>
    </row>
    <row r="770" spans="18:18">
      <c r="R770" s="304"/>
    </row>
    <row r="771" spans="18:18">
      <c r="R771" s="304"/>
    </row>
    <row r="772" spans="18:18">
      <c r="R772" s="304"/>
    </row>
    <row r="773" spans="18:18">
      <c r="R773" s="304"/>
    </row>
    <row r="774" spans="18:18">
      <c r="R774" s="304"/>
    </row>
    <row r="775" spans="18:18">
      <c r="R775" s="304"/>
    </row>
    <row r="776" spans="18:18">
      <c r="R776" s="304"/>
    </row>
    <row r="777" spans="18:18">
      <c r="R777" s="304"/>
    </row>
    <row r="778" spans="18:18">
      <c r="R778" s="304"/>
    </row>
    <row r="779" spans="18:18">
      <c r="R779" s="304"/>
    </row>
    <row r="780" spans="18:18">
      <c r="R780" s="304"/>
    </row>
    <row r="781" spans="18:18">
      <c r="R781" s="304"/>
    </row>
    <row r="782" spans="18:18">
      <c r="R782" s="304"/>
    </row>
    <row r="783" spans="18:18">
      <c r="R783" s="304"/>
    </row>
    <row r="784" spans="18:18">
      <c r="R784" s="304"/>
    </row>
    <row r="785" spans="18:18">
      <c r="R785" s="304"/>
    </row>
    <row r="786" spans="18:18">
      <c r="R786" s="304"/>
    </row>
    <row r="787" spans="18:18">
      <c r="R787" s="304"/>
    </row>
    <row r="788" spans="18:18">
      <c r="R788" s="304"/>
    </row>
    <row r="789" spans="18:18">
      <c r="R789" s="304"/>
    </row>
    <row r="790" spans="18:18">
      <c r="R790" s="304"/>
    </row>
    <row r="791" spans="18:18">
      <c r="R791" s="304"/>
    </row>
    <row r="792" spans="18:18">
      <c r="R792" s="304"/>
    </row>
    <row r="793" spans="18:18">
      <c r="R793" s="304"/>
    </row>
    <row r="794" spans="18:18">
      <c r="R794" s="304"/>
    </row>
    <row r="795" spans="18:18">
      <c r="R795" s="304"/>
    </row>
    <row r="796" spans="18:18">
      <c r="R796" s="304"/>
    </row>
    <row r="797" spans="18:18">
      <c r="R797" s="304"/>
    </row>
    <row r="798" spans="18:18">
      <c r="R798" s="304"/>
    </row>
    <row r="799" spans="18:18">
      <c r="R799" s="304"/>
    </row>
    <row r="800" spans="18:18">
      <c r="R800" s="304"/>
    </row>
    <row r="801" spans="18:18">
      <c r="R801" s="304"/>
    </row>
    <row r="802" spans="18:18">
      <c r="R802" s="304"/>
    </row>
    <row r="803" spans="18:18">
      <c r="R803" s="304"/>
    </row>
    <row r="804" spans="18:18">
      <c r="R804" s="304"/>
    </row>
    <row r="805" spans="18:18">
      <c r="R805" s="304"/>
    </row>
    <row r="806" spans="18:18">
      <c r="R806" s="304"/>
    </row>
    <row r="807" spans="18:18">
      <c r="R807" s="304"/>
    </row>
    <row r="808" spans="18:18">
      <c r="R808" s="304"/>
    </row>
    <row r="809" spans="18:18">
      <c r="R809" s="304"/>
    </row>
    <row r="810" spans="18:18">
      <c r="R810" s="304"/>
    </row>
    <row r="811" spans="18:18">
      <c r="R811" s="304"/>
    </row>
    <row r="812" spans="18:18">
      <c r="R812" s="304"/>
    </row>
    <row r="813" spans="18:18">
      <c r="R813" s="304"/>
    </row>
    <row r="814" spans="18:18">
      <c r="R814" s="304"/>
    </row>
    <row r="815" spans="18:18">
      <c r="R815" s="304"/>
    </row>
    <row r="816" spans="18:18">
      <c r="R816" s="304"/>
    </row>
    <row r="817" spans="18:18">
      <c r="R817" s="304"/>
    </row>
    <row r="818" spans="18:18">
      <c r="R818" s="304"/>
    </row>
    <row r="819" spans="18:18">
      <c r="R819" s="304"/>
    </row>
    <row r="820" spans="18:18">
      <c r="R820" s="304"/>
    </row>
    <row r="821" spans="18:18">
      <c r="R821" s="304"/>
    </row>
    <row r="822" spans="18:18">
      <c r="R822" s="304"/>
    </row>
    <row r="823" spans="18:18">
      <c r="R823" s="304"/>
    </row>
    <row r="824" spans="18:18">
      <c r="R824" s="304"/>
    </row>
    <row r="825" spans="18:18">
      <c r="R825" s="304"/>
    </row>
    <row r="826" spans="18:18">
      <c r="R826" s="304"/>
    </row>
    <row r="827" spans="18:18">
      <c r="R827" s="304"/>
    </row>
    <row r="828" spans="18:18">
      <c r="R828" s="304"/>
    </row>
    <row r="829" spans="18:18">
      <c r="R829" s="304"/>
    </row>
    <row r="830" spans="18:18">
      <c r="R830" s="304"/>
    </row>
    <row r="831" spans="18:18">
      <c r="R831" s="304"/>
    </row>
    <row r="832" spans="18:18">
      <c r="R832" s="304"/>
    </row>
    <row r="833" spans="18:18">
      <c r="R833" s="304"/>
    </row>
    <row r="834" spans="18:18">
      <c r="R834" s="304"/>
    </row>
    <row r="835" spans="18:18">
      <c r="R835" s="304"/>
    </row>
    <row r="836" spans="18:18">
      <c r="R836" s="304"/>
    </row>
    <row r="837" spans="18:18">
      <c r="R837" s="304"/>
    </row>
    <row r="838" spans="18:18">
      <c r="R838" s="304"/>
    </row>
    <row r="839" spans="18:18">
      <c r="R839" s="304"/>
    </row>
    <row r="840" spans="18:18">
      <c r="R840" s="304"/>
    </row>
    <row r="841" spans="18:18">
      <c r="R841" s="304"/>
    </row>
    <row r="842" spans="18:18">
      <c r="R842" s="304"/>
    </row>
    <row r="843" spans="18:18">
      <c r="R843" s="304"/>
    </row>
    <row r="844" spans="18:18">
      <c r="R844" s="304"/>
    </row>
    <row r="845" spans="18:18">
      <c r="R845" s="304"/>
    </row>
    <row r="846" spans="18:18">
      <c r="R846" s="304"/>
    </row>
    <row r="847" spans="18:18">
      <c r="R847" s="304"/>
    </row>
    <row r="848" spans="18:18">
      <c r="R848" s="304"/>
    </row>
    <row r="849" spans="18:18">
      <c r="R849" s="304"/>
    </row>
    <row r="850" spans="18:18">
      <c r="R850" s="304"/>
    </row>
    <row r="851" spans="18:18">
      <c r="R851" s="304"/>
    </row>
    <row r="852" spans="18:18">
      <c r="R852" s="304"/>
    </row>
    <row r="853" spans="18:18">
      <c r="R853" s="304"/>
    </row>
    <row r="854" spans="18:18">
      <c r="R854" s="304"/>
    </row>
    <row r="855" spans="18:18">
      <c r="R855" s="304"/>
    </row>
    <row r="856" spans="18:18">
      <c r="R856" s="304"/>
    </row>
    <row r="857" spans="18:18">
      <c r="R857" s="304"/>
    </row>
    <row r="858" spans="18:18">
      <c r="R858" s="304"/>
    </row>
    <row r="859" spans="18:18">
      <c r="R859" s="304"/>
    </row>
    <row r="860" spans="18:18">
      <c r="R860" s="304"/>
    </row>
    <row r="861" spans="18:18">
      <c r="R861" s="304"/>
    </row>
    <row r="862" spans="18:18">
      <c r="R862" s="304"/>
    </row>
    <row r="863" spans="18:18">
      <c r="R863" s="304"/>
    </row>
    <row r="864" spans="18:18">
      <c r="R864" s="304"/>
    </row>
    <row r="865" spans="18:18">
      <c r="R865" s="304"/>
    </row>
    <row r="866" spans="18:18">
      <c r="R866" s="304"/>
    </row>
    <row r="867" spans="18:18">
      <c r="R867" s="304"/>
    </row>
    <row r="868" spans="18:18">
      <c r="R868" s="304"/>
    </row>
    <row r="869" spans="18:18">
      <c r="R869" s="304"/>
    </row>
    <row r="870" spans="18:18">
      <c r="R870" s="304"/>
    </row>
    <row r="871" spans="18:18">
      <c r="R871" s="304"/>
    </row>
    <row r="872" spans="18:18">
      <c r="R872" s="304"/>
    </row>
    <row r="873" spans="18:18">
      <c r="R873" s="304"/>
    </row>
    <row r="874" spans="18:18">
      <c r="R874" s="304"/>
    </row>
    <row r="875" spans="18:18">
      <c r="R875" s="304"/>
    </row>
    <row r="876" spans="18:18">
      <c r="R876" s="304"/>
    </row>
    <row r="877" spans="18:18">
      <c r="R877" s="304"/>
    </row>
    <row r="878" spans="18:18">
      <c r="R878" s="304"/>
    </row>
    <row r="879" spans="18:18">
      <c r="R879" s="304"/>
    </row>
    <row r="880" spans="18:18">
      <c r="R880" s="304"/>
    </row>
    <row r="881" spans="18:18">
      <c r="R881" s="304"/>
    </row>
    <row r="882" spans="18:18">
      <c r="R882" s="304"/>
    </row>
    <row r="883" spans="18:18">
      <c r="R883" s="304"/>
    </row>
    <row r="884" spans="18:18">
      <c r="R884" s="304"/>
    </row>
    <row r="885" spans="18:18">
      <c r="R885" s="304"/>
    </row>
    <row r="886" spans="18:18">
      <c r="R886" s="304"/>
    </row>
    <row r="887" spans="18:18">
      <c r="R887" s="304"/>
    </row>
    <row r="888" spans="18:18">
      <c r="R888" s="304"/>
    </row>
    <row r="889" spans="18:18">
      <c r="R889" s="304"/>
    </row>
    <row r="890" spans="18:18">
      <c r="R890" s="304"/>
    </row>
    <row r="891" spans="18:18">
      <c r="R891" s="304"/>
    </row>
    <row r="892" spans="18:18">
      <c r="R892" s="304"/>
    </row>
    <row r="893" spans="18:18">
      <c r="R893" s="304"/>
    </row>
    <row r="894" spans="18:18">
      <c r="R894" s="304"/>
    </row>
    <row r="895" spans="18:18">
      <c r="R895" s="304"/>
    </row>
    <row r="896" spans="18:18">
      <c r="R896" s="304"/>
    </row>
    <row r="897" spans="18:18">
      <c r="R897" s="304"/>
    </row>
    <row r="898" spans="18:18">
      <c r="R898" s="304"/>
    </row>
    <row r="899" spans="18:18">
      <c r="R899" s="304"/>
    </row>
    <row r="900" spans="18:18">
      <c r="R900" s="304"/>
    </row>
    <row r="901" spans="18:18">
      <c r="R901" s="304"/>
    </row>
    <row r="902" spans="18:18">
      <c r="R902" s="304"/>
    </row>
    <row r="903" spans="18:18">
      <c r="R903" s="304"/>
    </row>
    <row r="904" spans="18:18">
      <c r="R904" s="304"/>
    </row>
    <row r="905" spans="18:18">
      <c r="R905" s="304"/>
    </row>
    <row r="906" spans="18:18">
      <c r="R906" s="304"/>
    </row>
    <row r="907" spans="18:18">
      <c r="R907" s="304"/>
    </row>
    <row r="908" spans="18:18">
      <c r="R908" s="304"/>
    </row>
    <row r="909" spans="18:18">
      <c r="R909" s="304"/>
    </row>
    <row r="910" spans="18:18">
      <c r="R910" s="304"/>
    </row>
    <row r="911" spans="18:18">
      <c r="R911" s="304"/>
    </row>
    <row r="912" spans="18:18">
      <c r="R912" s="304"/>
    </row>
    <row r="913" spans="18:18">
      <c r="R913" s="304"/>
    </row>
    <row r="914" spans="18:18">
      <c r="R914" s="304"/>
    </row>
    <row r="915" spans="18:18">
      <c r="R915" s="304"/>
    </row>
    <row r="916" spans="18:18">
      <c r="R916" s="304"/>
    </row>
    <row r="917" spans="18:18">
      <c r="R917" s="304"/>
    </row>
    <row r="918" spans="18:18">
      <c r="R918" s="304"/>
    </row>
    <row r="919" spans="18:18">
      <c r="R919" s="304"/>
    </row>
    <row r="920" spans="18:18">
      <c r="R920" s="304"/>
    </row>
    <row r="921" spans="18:18">
      <c r="R921" s="304"/>
    </row>
    <row r="922" spans="18:18">
      <c r="R922" s="304"/>
    </row>
    <row r="923" spans="18:18">
      <c r="R923" s="304"/>
    </row>
    <row r="924" spans="18:18">
      <c r="R924" s="304"/>
    </row>
    <row r="925" spans="18:18">
      <c r="R925" s="304"/>
    </row>
    <row r="926" spans="18:18">
      <c r="R926" s="304"/>
    </row>
    <row r="927" spans="18:18">
      <c r="R927" s="304"/>
    </row>
    <row r="928" spans="18:18">
      <c r="R928" s="304"/>
    </row>
    <row r="929" spans="18:18">
      <c r="R929" s="304"/>
    </row>
    <row r="930" spans="18:18">
      <c r="R930" s="304"/>
    </row>
    <row r="931" spans="18:18">
      <c r="R931" s="304"/>
    </row>
    <row r="932" spans="18:18">
      <c r="R932" s="304"/>
    </row>
    <row r="933" spans="18:18">
      <c r="R933" s="304"/>
    </row>
    <row r="934" spans="18:18">
      <c r="R934" s="304"/>
    </row>
    <row r="935" spans="18:18">
      <c r="R935" s="304"/>
    </row>
    <row r="936" spans="18:18">
      <c r="R936" s="304"/>
    </row>
    <row r="937" spans="18:18">
      <c r="R937" s="304"/>
    </row>
    <row r="938" spans="18:18">
      <c r="R938" s="304"/>
    </row>
    <row r="939" spans="18:18">
      <c r="R939" s="304"/>
    </row>
    <row r="940" spans="18:18">
      <c r="R940" s="304"/>
    </row>
    <row r="941" spans="18:18">
      <c r="R941" s="304"/>
    </row>
    <row r="942" spans="18:18">
      <c r="R942" s="304"/>
    </row>
    <row r="943" spans="18:18">
      <c r="R943" s="304"/>
    </row>
    <row r="944" spans="18:18">
      <c r="R944" s="304"/>
    </row>
    <row r="945" spans="18:18">
      <c r="R945" s="304"/>
    </row>
    <row r="946" spans="18:18">
      <c r="R946" s="304"/>
    </row>
    <row r="947" spans="18:18">
      <c r="R947" s="304"/>
    </row>
    <row r="948" spans="18:18">
      <c r="R948" s="304"/>
    </row>
    <row r="949" spans="18:18">
      <c r="R949" s="304"/>
    </row>
    <row r="950" spans="18:18">
      <c r="R950" s="304"/>
    </row>
    <row r="951" spans="18:18">
      <c r="R951" s="304"/>
    </row>
    <row r="952" spans="18:18">
      <c r="R952" s="304"/>
    </row>
    <row r="953" spans="18:18">
      <c r="R953" s="304"/>
    </row>
    <row r="954" spans="18:18">
      <c r="R954" s="304"/>
    </row>
    <row r="955" spans="18:18">
      <c r="R955" s="304"/>
    </row>
    <row r="956" spans="18:18">
      <c r="R956" s="304"/>
    </row>
    <row r="957" spans="18:18">
      <c r="R957" s="304"/>
    </row>
    <row r="958" spans="18:18">
      <c r="R958" s="304"/>
    </row>
    <row r="959" spans="18:18">
      <c r="R959" s="304"/>
    </row>
    <row r="960" spans="18:18">
      <c r="R960" s="304"/>
    </row>
    <row r="961" spans="18:18">
      <c r="R961" s="304"/>
    </row>
    <row r="962" spans="18:18">
      <c r="R962" s="304"/>
    </row>
    <row r="963" spans="18:18">
      <c r="R963" s="304"/>
    </row>
    <row r="964" spans="18:18">
      <c r="R964" s="304"/>
    </row>
    <row r="965" spans="18:18">
      <c r="R965" s="304"/>
    </row>
    <row r="966" spans="18:18">
      <c r="R966" s="304"/>
    </row>
    <row r="967" spans="18:18">
      <c r="R967" s="304"/>
    </row>
    <row r="968" spans="18:18">
      <c r="R968" s="304"/>
    </row>
    <row r="969" spans="18:18">
      <c r="R969" s="304"/>
    </row>
    <row r="970" spans="18:18">
      <c r="R970" s="304"/>
    </row>
    <row r="971" spans="18:18">
      <c r="R971" s="304"/>
    </row>
    <row r="972" spans="18:18">
      <c r="R972" s="304"/>
    </row>
    <row r="973" spans="18:18">
      <c r="R973" s="304"/>
    </row>
    <row r="974" spans="18:18">
      <c r="R974" s="304"/>
    </row>
    <row r="975" spans="18:18">
      <c r="R975" s="304"/>
    </row>
    <row r="976" spans="18:18">
      <c r="R976" s="304"/>
    </row>
    <row r="977" spans="18:18">
      <c r="R977" s="304"/>
    </row>
    <row r="978" spans="18:18">
      <c r="R978" s="304"/>
    </row>
    <row r="979" spans="18:18">
      <c r="R979" s="304"/>
    </row>
    <row r="980" spans="18:18">
      <c r="R980" s="304"/>
    </row>
    <row r="981" spans="18:18">
      <c r="R981" s="304"/>
    </row>
    <row r="982" spans="18:18">
      <c r="R982" s="304"/>
    </row>
    <row r="983" spans="18:18">
      <c r="R983" s="304"/>
    </row>
    <row r="984" spans="18:18">
      <c r="R984" s="304"/>
    </row>
    <row r="985" spans="18:18">
      <c r="R985" s="304"/>
    </row>
    <row r="986" spans="18:18">
      <c r="R986" s="304"/>
    </row>
    <row r="987" spans="18:18">
      <c r="R987" s="304"/>
    </row>
    <row r="988" spans="18:18">
      <c r="R988" s="304"/>
    </row>
    <row r="989" spans="18:18">
      <c r="R989" s="304"/>
    </row>
    <row r="990" spans="18:18">
      <c r="R990" s="304"/>
    </row>
    <row r="991" spans="18:18">
      <c r="R991" s="304"/>
    </row>
    <row r="992" spans="18:18">
      <c r="R992" s="304"/>
    </row>
    <row r="993" spans="18:18">
      <c r="R993" s="304"/>
    </row>
    <row r="994" spans="18:18">
      <c r="R994" s="304"/>
    </row>
    <row r="995" spans="18:18">
      <c r="R995" s="304"/>
    </row>
    <row r="996" spans="18:18">
      <c r="R996" s="304"/>
    </row>
    <row r="997" spans="18:18">
      <c r="R997" s="304"/>
    </row>
    <row r="998" spans="18:18">
      <c r="R998" s="304"/>
    </row>
    <row r="999" spans="18:18">
      <c r="R999" s="304"/>
    </row>
    <row r="1000" spans="18:18">
      <c r="R1000" s="304"/>
    </row>
    <row r="1001" spans="18:18">
      <c r="R1001" s="304"/>
    </row>
    <row r="1002" spans="18:18">
      <c r="R1002" s="304"/>
    </row>
    <row r="1003" spans="18:18">
      <c r="R1003" s="304"/>
    </row>
    <row r="1004" spans="18:18">
      <c r="R1004" s="304"/>
    </row>
    <row r="1005" spans="18:18">
      <c r="R1005" s="304"/>
    </row>
    <row r="1006" spans="18:18">
      <c r="R1006" s="304"/>
    </row>
    <row r="1007" spans="18:18">
      <c r="R1007" s="304"/>
    </row>
    <row r="1008" spans="18:18">
      <c r="R1008" s="304"/>
    </row>
    <row r="1009" spans="18:18">
      <c r="R1009" s="304"/>
    </row>
    <row r="1010" spans="18:18">
      <c r="R1010" s="304"/>
    </row>
    <row r="1011" spans="18:18">
      <c r="R1011" s="304"/>
    </row>
    <row r="1012" spans="18:18">
      <c r="R1012" s="304"/>
    </row>
    <row r="1013" spans="18:18">
      <c r="R1013" s="304"/>
    </row>
    <row r="1014" spans="18:18">
      <c r="R1014" s="304"/>
    </row>
    <row r="1015" spans="18:18">
      <c r="R1015" s="304"/>
    </row>
    <row r="1016" spans="18:18">
      <c r="R1016" s="304"/>
    </row>
    <row r="1017" spans="18:18">
      <c r="R1017" s="304"/>
    </row>
    <row r="1018" spans="18:18">
      <c r="R1018" s="304"/>
    </row>
    <row r="1019" spans="18:18">
      <c r="R1019" s="304"/>
    </row>
    <row r="1020" spans="18:18">
      <c r="R1020" s="304"/>
    </row>
    <row r="1021" spans="18:18">
      <c r="R1021" s="304"/>
    </row>
    <row r="1022" spans="18:18">
      <c r="R1022" s="304"/>
    </row>
    <row r="1023" spans="18:18">
      <c r="R1023" s="304"/>
    </row>
    <row r="1024" spans="18:18">
      <c r="R1024" s="304"/>
    </row>
    <row r="1025" spans="18:18">
      <c r="R1025" s="304"/>
    </row>
    <row r="1026" spans="18:18">
      <c r="R1026" s="304"/>
    </row>
    <row r="1027" spans="18:18">
      <c r="R1027" s="304"/>
    </row>
    <row r="1028" spans="18:18">
      <c r="R1028" s="304"/>
    </row>
    <row r="1029" spans="18:18">
      <c r="R1029" s="304"/>
    </row>
    <row r="1030" spans="18:18">
      <c r="R1030" s="304"/>
    </row>
    <row r="1031" spans="18:18">
      <c r="R1031" s="304"/>
    </row>
    <row r="1032" spans="18:18">
      <c r="R1032" s="304"/>
    </row>
    <row r="1033" spans="18:18">
      <c r="R1033" s="304"/>
    </row>
    <row r="1034" spans="18:18">
      <c r="R1034" s="304"/>
    </row>
    <row r="1035" spans="18:18">
      <c r="R1035" s="304"/>
    </row>
    <row r="1036" spans="18:18">
      <c r="R1036" s="304"/>
    </row>
    <row r="1037" spans="18:18">
      <c r="R1037" s="304"/>
    </row>
    <row r="1038" spans="18:18">
      <c r="R1038" s="304"/>
    </row>
    <row r="1039" spans="18:18">
      <c r="R1039" s="304"/>
    </row>
    <row r="1040" spans="18:18">
      <c r="R1040" s="304"/>
    </row>
    <row r="1041" spans="18:18">
      <c r="R1041" s="304"/>
    </row>
    <row r="1042" spans="18:18">
      <c r="R1042" s="304"/>
    </row>
    <row r="1043" spans="18:18">
      <c r="R1043" s="304"/>
    </row>
    <row r="1044" spans="18:18">
      <c r="R1044" s="304"/>
    </row>
    <row r="1045" spans="18:18">
      <c r="R1045" s="304"/>
    </row>
    <row r="1046" spans="18:18">
      <c r="R1046" s="304"/>
    </row>
    <row r="1047" spans="18:18">
      <c r="R1047" s="304"/>
    </row>
    <row r="1048" spans="18:18">
      <c r="R1048" s="304"/>
    </row>
    <row r="1049" spans="18:18">
      <c r="R1049" s="304"/>
    </row>
    <row r="1050" spans="18:18">
      <c r="R1050" s="304"/>
    </row>
    <row r="1051" spans="18:18">
      <c r="R1051" s="304"/>
    </row>
    <row r="1052" spans="18:18">
      <c r="R1052" s="304"/>
    </row>
    <row r="1053" spans="18:18">
      <c r="R1053" s="304"/>
    </row>
    <row r="1054" spans="18:18">
      <c r="R1054" s="304"/>
    </row>
    <row r="1055" spans="18:18">
      <c r="R1055" s="304"/>
    </row>
    <row r="1056" spans="18:18">
      <c r="R1056" s="304"/>
    </row>
    <row r="1057" spans="18:18">
      <c r="R1057" s="304"/>
    </row>
    <row r="1058" spans="18:18">
      <c r="R1058" s="304"/>
    </row>
    <row r="1059" spans="18:18">
      <c r="R1059" s="304"/>
    </row>
    <row r="1060" spans="18:18">
      <c r="R1060" s="304"/>
    </row>
    <row r="1061" spans="18:18">
      <c r="R1061" s="304"/>
    </row>
    <row r="1062" spans="18:18">
      <c r="R1062" s="304"/>
    </row>
    <row r="1063" spans="18:18">
      <c r="R1063" s="304"/>
    </row>
    <row r="1064" spans="18:18">
      <c r="R1064" s="304"/>
    </row>
    <row r="1065" spans="18:18">
      <c r="R1065" s="304"/>
    </row>
    <row r="1066" spans="18:18">
      <c r="R1066" s="304"/>
    </row>
    <row r="1067" spans="18:18">
      <c r="R1067" s="304"/>
    </row>
    <row r="1068" spans="18:18">
      <c r="R1068" s="304"/>
    </row>
    <row r="1069" spans="18:18">
      <c r="R1069" s="304"/>
    </row>
    <row r="1070" spans="18:18">
      <c r="R1070" s="304"/>
    </row>
    <row r="1071" spans="18:18">
      <c r="R1071" s="304"/>
    </row>
    <row r="1072" spans="18:18">
      <c r="R1072" s="304"/>
    </row>
    <row r="1073" spans="18:18">
      <c r="R1073" s="304"/>
    </row>
    <row r="1074" spans="18:18">
      <c r="R1074" s="304"/>
    </row>
    <row r="1075" spans="18:18">
      <c r="R1075" s="304"/>
    </row>
    <row r="1076" spans="18:18">
      <c r="R1076" s="304"/>
    </row>
    <row r="1077" spans="18:18">
      <c r="R1077" s="304"/>
    </row>
    <row r="1078" spans="18:18">
      <c r="R1078" s="304"/>
    </row>
    <row r="1079" spans="18:18">
      <c r="R1079" s="304"/>
    </row>
    <row r="1080" spans="18:18">
      <c r="R1080" s="304"/>
    </row>
    <row r="1081" spans="18:18">
      <c r="R1081" s="304"/>
    </row>
    <row r="1082" spans="18:18">
      <c r="R1082" s="304"/>
    </row>
    <row r="1083" spans="18:18">
      <c r="R1083" s="304"/>
    </row>
    <row r="1084" spans="18:18">
      <c r="R1084" s="304"/>
    </row>
    <row r="1085" spans="18:18">
      <c r="R1085" s="304"/>
    </row>
    <row r="1086" spans="18:18">
      <c r="R1086" s="304"/>
    </row>
    <row r="1087" spans="18:18">
      <c r="R1087" s="304"/>
    </row>
    <row r="1088" spans="18:18">
      <c r="R1088" s="304"/>
    </row>
    <row r="1089" spans="18:18">
      <c r="R1089" s="304"/>
    </row>
    <row r="1090" spans="18:18">
      <c r="R1090" s="304"/>
    </row>
    <row r="1091" spans="18:18">
      <c r="R1091" s="304"/>
    </row>
    <row r="1092" spans="18:18">
      <c r="R1092" s="304"/>
    </row>
    <row r="1093" spans="18:18">
      <c r="R1093" s="304"/>
    </row>
    <row r="1094" spans="18:18">
      <c r="R1094" s="304"/>
    </row>
    <row r="1095" spans="18:18">
      <c r="R1095" s="304"/>
    </row>
    <row r="1096" spans="18:18">
      <c r="R1096" s="304"/>
    </row>
    <row r="1097" spans="18:18">
      <c r="R1097" s="304"/>
    </row>
    <row r="1098" spans="18:18">
      <c r="R1098" s="304"/>
    </row>
    <row r="1099" spans="18:18">
      <c r="R1099" s="304"/>
    </row>
    <row r="1100" spans="18:18">
      <c r="R1100" s="304"/>
    </row>
    <row r="1101" spans="18:18">
      <c r="R1101" s="304"/>
    </row>
    <row r="1102" spans="18:18">
      <c r="R1102" s="304"/>
    </row>
    <row r="1103" spans="18:18">
      <c r="R1103" s="304"/>
    </row>
    <row r="1104" spans="18:18">
      <c r="R1104" s="304"/>
    </row>
    <row r="1105" spans="18:18">
      <c r="R1105" s="304"/>
    </row>
    <row r="1106" spans="18:18">
      <c r="R1106" s="304"/>
    </row>
    <row r="1107" spans="18:18">
      <c r="R1107" s="304"/>
    </row>
    <row r="1108" spans="18:18">
      <c r="R1108" s="304"/>
    </row>
    <row r="1109" spans="18:18">
      <c r="R1109" s="304"/>
    </row>
    <row r="1110" spans="18:18">
      <c r="R1110" s="304"/>
    </row>
    <row r="1111" spans="18:18">
      <c r="R1111" s="304"/>
    </row>
    <row r="1112" spans="18:18">
      <c r="R1112" s="304"/>
    </row>
    <row r="1113" spans="18:18">
      <c r="R1113" s="304"/>
    </row>
    <row r="1114" spans="18:18">
      <c r="R1114" s="304"/>
    </row>
    <row r="1115" spans="18:18">
      <c r="R1115" s="304"/>
    </row>
    <row r="1116" spans="18:18">
      <c r="R1116" s="304"/>
    </row>
    <row r="1117" spans="18:18">
      <c r="R1117" s="304"/>
    </row>
    <row r="1118" spans="18:18">
      <c r="R1118" s="304"/>
    </row>
    <row r="1119" spans="18:18">
      <c r="R1119" s="304"/>
    </row>
    <row r="1120" spans="18:18">
      <c r="R1120" s="304"/>
    </row>
    <row r="1121" spans="18:18">
      <c r="R1121" s="304"/>
    </row>
    <row r="1122" spans="18:18">
      <c r="R1122" s="304"/>
    </row>
    <row r="1123" spans="18:18">
      <c r="R1123" s="304"/>
    </row>
    <row r="1124" spans="18:18">
      <c r="R1124" s="304"/>
    </row>
    <row r="1125" spans="18:18">
      <c r="R1125" s="304"/>
    </row>
    <row r="1126" spans="18:18">
      <c r="R1126" s="304"/>
    </row>
    <row r="1127" spans="18:18">
      <c r="R1127" s="304"/>
    </row>
    <row r="1128" spans="18:18">
      <c r="R1128" s="304"/>
    </row>
    <row r="1129" spans="18:18">
      <c r="R1129" s="304"/>
    </row>
    <row r="1130" spans="18:18">
      <c r="R1130" s="304"/>
    </row>
    <row r="1131" spans="18:18">
      <c r="R1131" s="304"/>
    </row>
    <row r="1132" spans="18:18">
      <c r="R1132" s="304"/>
    </row>
    <row r="1133" spans="18:18">
      <c r="R1133" s="304"/>
    </row>
    <row r="1134" spans="18:18">
      <c r="R1134" s="304"/>
    </row>
    <row r="1135" spans="18:18">
      <c r="R1135" s="304"/>
    </row>
    <row r="1136" spans="18:18">
      <c r="R1136" s="304"/>
    </row>
    <row r="1137" spans="18:18">
      <c r="R1137" s="304"/>
    </row>
    <row r="1138" spans="18:18">
      <c r="R1138" s="304"/>
    </row>
    <row r="1139" spans="18:18">
      <c r="R1139" s="304"/>
    </row>
    <row r="1140" spans="18:18">
      <c r="R1140" s="304"/>
    </row>
    <row r="1141" spans="18:18">
      <c r="R1141" s="304"/>
    </row>
    <row r="1142" spans="18:18">
      <c r="R1142" s="304"/>
    </row>
    <row r="1143" spans="18:18">
      <c r="R1143" s="304"/>
    </row>
    <row r="1144" spans="18:18">
      <c r="R1144" s="304"/>
    </row>
    <row r="1145" spans="18:18">
      <c r="R1145" s="304"/>
    </row>
    <row r="1146" spans="18:18">
      <c r="R1146" s="304"/>
    </row>
    <row r="1147" spans="18:18">
      <c r="R1147" s="304"/>
    </row>
    <row r="1148" spans="18:18">
      <c r="R1148" s="304"/>
    </row>
    <row r="1149" spans="18:18">
      <c r="R1149" s="304"/>
    </row>
    <row r="1150" spans="18:18">
      <c r="R1150" s="304"/>
    </row>
    <row r="1151" spans="18:18">
      <c r="R1151" s="304"/>
    </row>
    <row r="1152" spans="18:18">
      <c r="R1152" s="304"/>
    </row>
    <row r="1153" spans="18:18">
      <c r="R1153" s="304"/>
    </row>
    <row r="1154" spans="18:18">
      <c r="R1154" s="304"/>
    </row>
    <row r="1155" spans="18:18">
      <c r="R1155" s="304"/>
    </row>
    <row r="1156" spans="18:18">
      <c r="R1156" s="304"/>
    </row>
    <row r="1157" spans="18:18">
      <c r="R1157" s="304"/>
    </row>
    <row r="1158" spans="18:18">
      <c r="R1158" s="304"/>
    </row>
    <row r="1159" spans="18:18">
      <c r="R1159" s="304"/>
    </row>
    <row r="1160" spans="18:18">
      <c r="R1160" s="304"/>
    </row>
    <row r="1161" spans="18:18">
      <c r="R1161" s="304"/>
    </row>
    <row r="1162" spans="18:18">
      <c r="R1162" s="304"/>
    </row>
    <row r="1163" spans="18:18">
      <c r="R1163" s="304"/>
    </row>
    <row r="1164" spans="18:18">
      <c r="R1164" s="304"/>
    </row>
    <row r="1165" spans="18:18">
      <c r="R1165" s="304"/>
    </row>
    <row r="1166" spans="18:18">
      <c r="R1166" s="304"/>
    </row>
    <row r="1167" spans="18:18">
      <c r="R1167" s="304"/>
    </row>
    <row r="1168" spans="18:18">
      <c r="R1168" s="304"/>
    </row>
    <row r="1169" spans="18:18">
      <c r="R1169" s="304"/>
    </row>
    <row r="1170" spans="18:18">
      <c r="R1170" s="304"/>
    </row>
    <row r="1171" spans="18:18">
      <c r="R1171" s="304"/>
    </row>
    <row r="1172" spans="18:18">
      <c r="R1172" s="304"/>
    </row>
    <row r="1173" spans="18:18">
      <c r="R1173" s="304"/>
    </row>
    <row r="1174" spans="18:18">
      <c r="R1174" s="304"/>
    </row>
    <row r="1175" spans="18:18">
      <c r="R1175" s="304"/>
    </row>
    <row r="1176" spans="18:18">
      <c r="R1176" s="304"/>
    </row>
    <row r="1177" spans="18:18">
      <c r="R1177" s="304"/>
    </row>
    <row r="1178" spans="18:18">
      <c r="R1178" s="304"/>
    </row>
    <row r="1179" spans="18:18">
      <c r="R1179" s="304"/>
    </row>
    <row r="1180" spans="18:18">
      <c r="R1180" s="304"/>
    </row>
    <row r="1181" spans="18:18">
      <c r="R1181" s="304"/>
    </row>
    <row r="1182" spans="18:18">
      <c r="R1182" s="304"/>
    </row>
    <row r="1183" spans="18:18">
      <c r="R1183" s="304"/>
    </row>
    <row r="1184" spans="18:18">
      <c r="R1184" s="304"/>
    </row>
    <row r="1185" spans="18:18">
      <c r="R1185" s="304"/>
    </row>
    <row r="1186" spans="18:18">
      <c r="R1186" s="304"/>
    </row>
    <row r="1187" spans="18:18">
      <c r="R1187" s="304"/>
    </row>
    <row r="1188" spans="18:18">
      <c r="R1188" s="304"/>
    </row>
    <row r="1189" spans="18:18">
      <c r="R1189" s="304"/>
    </row>
    <row r="1190" spans="18:18">
      <c r="R1190" s="304"/>
    </row>
    <row r="1191" spans="18:18">
      <c r="R1191" s="304"/>
    </row>
    <row r="1192" spans="18:18">
      <c r="R1192" s="304"/>
    </row>
    <row r="1193" spans="18:18">
      <c r="R1193" s="304"/>
    </row>
    <row r="1194" spans="18:18">
      <c r="R1194" s="304"/>
    </row>
    <row r="1195" spans="18:18">
      <c r="R1195" s="304"/>
    </row>
    <row r="1196" spans="18:18">
      <c r="R1196" s="304"/>
    </row>
    <row r="1197" spans="18:18">
      <c r="R1197" s="304"/>
    </row>
    <row r="1198" spans="18:18">
      <c r="R1198" s="304"/>
    </row>
    <row r="1199" spans="18:18">
      <c r="R1199" s="304"/>
    </row>
    <row r="1200" spans="18:18">
      <c r="R1200" s="304"/>
    </row>
    <row r="1201" spans="18:18">
      <c r="R1201" s="304"/>
    </row>
    <row r="1202" spans="18:18">
      <c r="R1202" s="304"/>
    </row>
    <row r="1203" spans="18:18">
      <c r="R1203" s="304"/>
    </row>
    <row r="1204" spans="18:18">
      <c r="R1204" s="304"/>
    </row>
    <row r="1205" spans="18:18">
      <c r="R1205" s="304"/>
    </row>
    <row r="1206" spans="18:18">
      <c r="R1206" s="304"/>
    </row>
    <row r="1207" spans="18:18">
      <c r="R1207" s="304"/>
    </row>
    <row r="1208" spans="18:18">
      <c r="R1208" s="304"/>
    </row>
    <row r="1209" spans="18:18">
      <c r="R1209" s="304"/>
    </row>
    <row r="1210" spans="18:18">
      <c r="R1210" s="304"/>
    </row>
    <row r="1211" spans="18:18">
      <c r="R1211" s="304"/>
    </row>
    <row r="1212" spans="18:18">
      <c r="R1212" s="304"/>
    </row>
    <row r="1213" spans="18:18">
      <c r="R1213" s="304"/>
    </row>
    <row r="1214" spans="18:18">
      <c r="R1214" s="304"/>
    </row>
    <row r="1215" spans="18:18">
      <c r="R1215" s="304"/>
    </row>
    <row r="1216" spans="18:18">
      <c r="R1216" s="304"/>
    </row>
    <row r="1217" spans="18:18">
      <c r="R1217" s="304"/>
    </row>
    <row r="1218" spans="18:18">
      <c r="R1218" s="304"/>
    </row>
    <row r="1219" spans="18:18">
      <c r="R1219" s="304"/>
    </row>
    <row r="1220" spans="18:18">
      <c r="R1220" s="304"/>
    </row>
    <row r="1221" spans="18:18">
      <c r="R1221" s="304"/>
    </row>
    <row r="1222" spans="18:18">
      <c r="R1222" s="304"/>
    </row>
    <row r="1223" spans="18:18">
      <c r="R1223" s="304"/>
    </row>
    <row r="1224" spans="18:18">
      <c r="R1224" s="304"/>
    </row>
    <row r="1225" spans="18:18">
      <c r="R1225" s="304"/>
    </row>
    <row r="1226" spans="18:18">
      <c r="R1226" s="304"/>
    </row>
    <row r="1227" spans="18:18">
      <c r="R1227" s="304"/>
    </row>
    <row r="1228" spans="18:18">
      <c r="R1228" s="304"/>
    </row>
    <row r="1229" spans="18:18">
      <c r="R1229" s="304"/>
    </row>
    <row r="1230" spans="18:18">
      <c r="R1230" s="304"/>
    </row>
    <row r="1231" spans="18:18">
      <c r="R1231" s="304"/>
    </row>
    <row r="1232" spans="18:18">
      <c r="R1232" s="304"/>
    </row>
    <row r="1233" spans="18:18">
      <c r="R1233" s="304"/>
    </row>
    <row r="1234" spans="18:18">
      <c r="R1234" s="304"/>
    </row>
    <row r="1235" spans="18:18">
      <c r="R1235" s="304"/>
    </row>
    <row r="1236" spans="18:18">
      <c r="R1236" s="304"/>
    </row>
    <row r="1237" spans="18:18">
      <c r="R1237" s="304"/>
    </row>
    <row r="1238" spans="18:18">
      <c r="R1238" s="304"/>
    </row>
    <row r="1239" spans="18:18">
      <c r="R1239" s="304"/>
    </row>
    <row r="1240" spans="18:18">
      <c r="R1240" s="304"/>
    </row>
    <row r="1241" spans="18:18">
      <c r="R1241" s="304"/>
    </row>
    <row r="1242" spans="18:18">
      <c r="R1242" s="304"/>
    </row>
    <row r="1243" spans="18:18">
      <c r="R1243" s="304"/>
    </row>
    <row r="1244" spans="18:18">
      <c r="R1244" s="304"/>
    </row>
    <row r="1245" spans="18:18">
      <c r="R1245" s="304"/>
    </row>
    <row r="1246" spans="18:18">
      <c r="R1246" s="304"/>
    </row>
    <row r="1247" spans="18:18">
      <c r="R1247" s="304"/>
    </row>
    <row r="1248" spans="18:18">
      <c r="R1248" s="304"/>
    </row>
    <row r="1249" spans="18:18">
      <c r="R1249" s="304"/>
    </row>
    <row r="1250" spans="18:18">
      <c r="R1250" s="304"/>
    </row>
    <row r="1251" spans="18:18">
      <c r="R1251" s="304"/>
    </row>
    <row r="1252" spans="18:18">
      <c r="R1252" s="304"/>
    </row>
    <row r="1253" spans="18:18">
      <c r="R1253" s="304"/>
    </row>
    <row r="1254" spans="18:18">
      <c r="R1254" s="304"/>
    </row>
    <row r="1255" spans="18:18">
      <c r="R1255" s="304"/>
    </row>
    <row r="1256" spans="18:18">
      <c r="R1256" s="304"/>
    </row>
    <row r="1257" spans="18:18">
      <c r="R1257" s="304"/>
    </row>
    <row r="1258" spans="18:18">
      <c r="R1258" s="304"/>
    </row>
    <row r="1259" spans="18:18">
      <c r="R1259" s="304"/>
    </row>
    <row r="1260" spans="18:18">
      <c r="R1260" s="304"/>
    </row>
    <row r="1261" spans="18:18">
      <c r="R1261" s="304"/>
    </row>
    <row r="1262" spans="18:18">
      <c r="R1262" s="304"/>
    </row>
    <row r="1263" spans="18:18">
      <c r="R1263" s="304"/>
    </row>
    <row r="1264" spans="18:18">
      <c r="R1264" s="304"/>
    </row>
    <row r="1265" spans="18:18">
      <c r="R1265" s="304"/>
    </row>
    <row r="1266" spans="18:18">
      <c r="R1266" s="304"/>
    </row>
    <row r="1267" spans="18:18">
      <c r="R1267" s="304"/>
    </row>
    <row r="1268" spans="18:18">
      <c r="R1268" s="304"/>
    </row>
    <row r="1269" spans="18:18">
      <c r="R1269" s="304"/>
    </row>
    <row r="1270" spans="18:18">
      <c r="R1270" s="304"/>
    </row>
    <row r="1271" spans="18:18">
      <c r="R1271" s="304"/>
    </row>
    <row r="1272" spans="18:18">
      <c r="R1272" s="304"/>
    </row>
    <row r="1273" spans="18:18">
      <c r="R1273" s="304"/>
    </row>
    <row r="1274" spans="18:18">
      <c r="R1274" s="304"/>
    </row>
    <row r="1275" spans="18:18">
      <c r="R1275" s="304"/>
    </row>
    <row r="1276" spans="18:18">
      <c r="R1276" s="304"/>
    </row>
    <row r="1277" spans="18:18">
      <c r="R1277" s="304"/>
    </row>
    <row r="1278" spans="18:18">
      <c r="R1278" s="304"/>
    </row>
    <row r="1279" spans="18:18">
      <c r="R1279" s="304"/>
    </row>
    <row r="1280" spans="18:18">
      <c r="R1280" s="304"/>
    </row>
    <row r="1281" spans="18:18">
      <c r="R1281" s="304"/>
    </row>
    <row r="1282" spans="18:18">
      <c r="R1282" s="304"/>
    </row>
    <row r="1283" spans="18:18">
      <c r="R1283" s="304"/>
    </row>
    <row r="1284" spans="18:18">
      <c r="R1284" s="304"/>
    </row>
    <row r="1285" spans="18:18">
      <c r="R1285" s="304"/>
    </row>
    <row r="1286" spans="18:18">
      <c r="R1286" s="304"/>
    </row>
    <row r="1287" spans="18:18">
      <c r="R1287" s="304"/>
    </row>
    <row r="1288" spans="18:18">
      <c r="R1288" s="304"/>
    </row>
    <row r="1289" spans="18:18">
      <c r="R1289" s="304"/>
    </row>
    <row r="1290" spans="18:18">
      <c r="R1290" s="304"/>
    </row>
    <row r="1291" spans="18:18">
      <c r="R1291" s="304"/>
    </row>
    <row r="1292" spans="18:18">
      <c r="R1292" s="304"/>
    </row>
    <row r="1293" spans="18:18">
      <c r="R1293" s="304"/>
    </row>
    <row r="1294" spans="18:18">
      <c r="R1294" s="304"/>
    </row>
    <row r="1295" spans="18:18">
      <c r="R1295" s="304"/>
    </row>
    <row r="1296" spans="18:18">
      <c r="R1296" s="304"/>
    </row>
    <row r="1297" spans="18:18">
      <c r="R1297" s="304"/>
    </row>
    <row r="1298" spans="18:18">
      <c r="R1298" s="304"/>
    </row>
    <row r="1299" spans="18:18">
      <c r="R1299" s="304"/>
    </row>
    <row r="1300" spans="18:18">
      <c r="R1300" s="304"/>
    </row>
    <row r="1301" spans="18:18">
      <c r="R1301" s="304"/>
    </row>
    <row r="1302" spans="18:18">
      <c r="R1302" s="304"/>
    </row>
    <row r="1303" spans="18:18">
      <c r="R1303" s="304"/>
    </row>
    <row r="1304" spans="18:18">
      <c r="R1304" s="304"/>
    </row>
    <row r="1305" spans="18:18">
      <c r="R1305" s="304"/>
    </row>
    <row r="1306" spans="18:18">
      <c r="R1306" s="304"/>
    </row>
    <row r="1307" spans="18:18">
      <c r="R1307" s="304"/>
    </row>
    <row r="1308" spans="18:18">
      <c r="R1308" s="304"/>
    </row>
    <row r="1309" spans="18:18">
      <c r="R1309" s="304"/>
    </row>
    <row r="1310" spans="18:18">
      <c r="R1310" s="304"/>
    </row>
    <row r="1311" spans="18:18">
      <c r="R1311" s="304"/>
    </row>
    <row r="1312" spans="18:18">
      <c r="R1312" s="304"/>
    </row>
    <row r="1313" spans="18:18">
      <c r="R1313" s="304"/>
    </row>
    <row r="1314" spans="18:18">
      <c r="R1314" s="304"/>
    </row>
    <row r="1315" spans="18:18">
      <c r="R1315" s="304"/>
    </row>
    <row r="1316" spans="18:18">
      <c r="R1316" s="304"/>
    </row>
    <row r="1317" spans="18:18">
      <c r="R1317" s="304"/>
    </row>
    <row r="1318" spans="18:18">
      <c r="R1318" s="304"/>
    </row>
    <row r="1319" spans="18:18">
      <c r="R1319" s="304"/>
    </row>
    <row r="1320" spans="18:18">
      <c r="R1320" s="304"/>
    </row>
    <row r="1321" spans="18:18">
      <c r="R1321" s="304"/>
    </row>
    <row r="1322" spans="18:18">
      <c r="R1322" s="304"/>
    </row>
    <row r="1323" spans="18:18">
      <c r="R1323" s="304"/>
    </row>
    <row r="1324" spans="18:18">
      <c r="R1324" s="304"/>
    </row>
    <row r="1325" spans="18:18">
      <c r="R1325" s="304"/>
    </row>
    <row r="1326" spans="18:18">
      <c r="R1326" s="304"/>
    </row>
    <row r="1327" spans="18:18">
      <c r="R1327" s="304"/>
    </row>
    <row r="1328" spans="18:18">
      <c r="R1328" s="304"/>
    </row>
    <row r="1329" spans="18:18">
      <c r="R1329" s="304"/>
    </row>
    <row r="1330" spans="18:18">
      <c r="R1330" s="304"/>
    </row>
    <row r="1331" spans="18:18">
      <c r="R1331" s="304"/>
    </row>
    <row r="1332" spans="18:18">
      <c r="R1332" s="304"/>
    </row>
    <row r="1333" spans="18:18">
      <c r="R1333" s="304"/>
    </row>
    <row r="1334" spans="18:18">
      <c r="R1334" s="304"/>
    </row>
    <row r="1335" spans="18:18">
      <c r="R1335" s="304"/>
    </row>
    <row r="1336" spans="18:18">
      <c r="R1336" s="304"/>
    </row>
    <row r="1337" spans="18:18">
      <c r="R1337" s="304"/>
    </row>
    <row r="1338" spans="18:18">
      <c r="R1338" s="304"/>
    </row>
    <row r="1339" spans="18:18">
      <c r="R1339" s="304"/>
    </row>
    <row r="1340" spans="18:18">
      <c r="R1340" s="304"/>
    </row>
    <row r="1341" spans="18:18">
      <c r="R1341" s="304"/>
    </row>
    <row r="1342" spans="18:18">
      <c r="R1342" s="304"/>
    </row>
    <row r="1343" spans="18:18">
      <c r="R1343" s="304"/>
    </row>
    <row r="1344" spans="18:18">
      <c r="R1344" s="304"/>
    </row>
    <row r="1345" spans="18:18">
      <c r="R1345" s="304"/>
    </row>
    <row r="1346" spans="18:18">
      <c r="R1346" s="304"/>
    </row>
    <row r="1347" spans="18:18">
      <c r="R1347" s="304"/>
    </row>
    <row r="1348" spans="18:18">
      <c r="R1348" s="304"/>
    </row>
    <row r="1349" spans="18:18">
      <c r="R1349" s="304"/>
    </row>
    <row r="1350" spans="18:18">
      <c r="R1350" s="304"/>
    </row>
    <row r="1351" spans="18:18">
      <c r="R1351" s="304"/>
    </row>
    <row r="1352" spans="18:18">
      <c r="R1352" s="304"/>
    </row>
    <row r="1353" spans="18:18">
      <c r="R1353" s="304"/>
    </row>
    <row r="1354" spans="18:18">
      <c r="R1354" s="304"/>
    </row>
    <row r="1355" spans="18:18">
      <c r="R1355" s="304"/>
    </row>
    <row r="1356" spans="18:18">
      <c r="R1356" s="304"/>
    </row>
    <row r="1357" spans="18:18">
      <c r="R1357" s="304"/>
    </row>
    <row r="1358" spans="18:18">
      <c r="R1358" s="304"/>
    </row>
    <row r="1359" spans="18:18">
      <c r="R1359" s="304"/>
    </row>
    <row r="1360" spans="18:18">
      <c r="R1360" s="304"/>
    </row>
    <row r="1361" spans="18:18">
      <c r="R1361" s="304"/>
    </row>
    <row r="1362" spans="18:18">
      <c r="R1362" s="304"/>
    </row>
    <row r="1363" spans="18:18">
      <c r="R1363" s="304"/>
    </row>
    <row r="1364" spans="18:18">
      <c r="R1364" s="304"/>
    </row>
    <row r="1365" spans="18:18">
      <c r="R1365" s="304"/>
    </row>
    <row r="1366" spans="18:18">
      <c r="R1366" s="304"/>
    </row>
    <row r="1367" spans="18:18">
      <c r="R1367" s="304"/>
    </row>
    <row r="1368" spans="18:18">
      <c r="R1368" s="304"/>
    </row>
    <row r="1369" spans="18:18">
      <c r="R1369" s="304"/>
    </row>
    <row r="1370" spans="18:18">
      <c r="R1370" s="304"/>
    </row>
    <row r="1371" spans="18:18">
      <c r="R1371" s="304"/>
    </row>
    <row r="1372" spans="18:18">
      <c r="R1372" s="304"/>
    </row>
    <row r="1373" spans="18:18">
      <c r="R1373" s="304"/>
    </row>
    <row r="1374" spans="18:18">
      <c r="R1374" s="304"/>
    </row>
    <row r="1375" spans="18:18">
      <c r="R1375" s="304"/>
    </row>
    <row r="1376" spans="18:18">
      <c r="R1376" s="304"/>
    </row>
    <row r="1377" spans="18:18">
      <c r="R1377" s="304"/>
    </row>
    <row r="1378" spans="18:18">
      <c r="R1378" s="304"/>
    </row>
    <row r="1379" spans="18:18">
      <c r="R1379" s="304"/>
    </row>
    <row r="1380" spans="18:18">
      <c r="R1380" s="304"/>
    </row>
    <row r="1381" spans="18:18">
      <c r="R1381" s="304"/>
    </row>
    <row r="1382" spans="18:18">
      <c r="R1382" s="304"/>
    </row>
    <row r="1383" spans="18:18">
      <c r="R1383" s="304"/>
    </row>
    <row r="1384" spans="18:18">
      <c r="R1384" s="304"/>
    </row>
    <row r="1385" spans="18:18">
      <c r="R1385" s="304"/>
    </row>
    <row r="1386" spans="18:18">
      <c r="R1386" s="304"/>
    </row>
    <row r="1387" spans="18:18">
      <c r="R1387" s="304"/>
    </row>
    <row r="1388" spans="18:18">
      <c r="R1388" s="304"/>
    </row>
    <row r="1389" spans="18:18">
      <c r="R1389" s="304"/>
    </row>
    <row r="1390" spans="18:18">
      <c r="R1390" s="304"/>
    </row>
    <row r="1391" spans="18:18">
      <c r="R1391" s="304"/>
    </row>
    <row r="1392" spans="18:18">
      <c r="R1392" s="304"/>
    </row>
    <row r="1393" spans="18:18">
      <c r="R1393" s="304"/>
    </row>
    <row r="1394" spans="18:18">
      <c r="R1394" s="304"/>
    </row>
    <row r="1395" spans="18:18">
      <c r="R1395" s="304"/>
    </row>
    <row r="1396" spans="18:18">
      <c r="R1396" s="304"/>
    </row>
    <row r="1397" spans="18:18">
      <c r="R1397" s="304"/>
    </row>
    <row r="1398" spans="18:18">
      <c r="R1398" s="304"/>
    </row>
    <row r="1399" spans="18:18">
      <c r="R1399" s="304"/>
    </row>
    <row r="1400" spans="18:18">
      <c r="R1400" s="304"/>
    </row>
    <row r="1401" spans="18:18">
      <c r="R1401" s="304"/>
    </row>
    <row r="1402" spans="18:18">
      <c r="R1402" s="304"/>
    </row>
    <row r="1403" spans="18:18">
      <c r="R1403" s="304"/>
    </row>
    <row r="1404" spans="18:18">
      <c r="R1404" s="304"/>
    </row>
    <row r="1405" spans="18:18">
      <c r="R1405" s="304"/>
    </row>
    <row r="1406" spans="18:18">
      <c r="R1406" s="304"/>
    </row>
    <row r="1407" spans="18:18">
      <c r="R1407" s="304"/>
    </row>
    <row r="1408" spans="18:18">
      <c r="R1408" s="304"/>
    </row>
    <row r="1409" spans="18:18">
      <c r="R1409" s="304"/>
    </row>
    <row r="1410" spans="18:18">
      <c r="R1410" s="304"/>
    </row>
    <row r="1411" spans="18:18">
      <c r="R1411" s="304"/>
    </row>
    <row r="1412" spans="18:18">
      <c r="R1412" s="304"/>
    </row>
    <row r="1413" spans="18:18">
      <c r="R1413" s="304"/>
    </row>
    <row r="1414" spans="18:18">
      <c r="R1414" s="304"/>
    </row>
    <row r="1415" spans="18:18">
      <c r="R1415" s="304"/>
    </row>
    <row r="1416" spans="18:18">
      <c r="R1416" s="304"/>
    </row>
    <row r="1417" spans="18:18">
      <c r="R1417" s="304"/>
    </row>
    <row r="1418" spans="18:18">
      <c r="R1418" s="304"/>
    </row>
    <row r="1419" spans="18:18">
      <c r="R1419" s="304"/>
    </row>
    <row r="1420" spans="18:18">
      <c r="R1420" s="304"/>
    </row>
    <row r="1421" spans="18:18">
      <c r="R1421" s="304"/>
    </row>
    <row r="1422" spans="18:18">
      <c r="R1422" s="304"/>
    </row>
    <row r="1423" spans="18:18">
      <c r="R1423" s="304"/>
    </row>
    <row r="1424" spans="18:18">
      <c r="R1424" s="304"/>
    </row>
    <row r="1425" spans="18:18">
      <c r="R1425" s="304"/>
    </row>
    <row r="1426" spans="18:18">
      <c r="R1426" s="304"/>
    </row>
    <row r="1427" spans="18:18">
      <c r="R1427" s="304"/>
    </row>
    <row r="1428" spans="18:18">
      <c r="R1428" s="304"/>
    </row>
    <row r="1429" spans="18:18">
      <c r="R1429" s="304"/>
    </row>
    <row r="1430" spans="18:18">
      <c r="R1430" s="304"/>
    </row>
    <row r="1431" spans="18:18">
      <c r="R1431" s="304"/>
    </row>
    <row r="1432" spans="18:18">
      <c r="R1432" s="304"/>
    </row>
    <row r="1433" spans="18:18">
      <c r="R1433" s="304"/>
    </row>
    <row r="1434" spans="18:18">
      <c r="R1434" s="304"/>
    </row>
    <row r="1435" spans="18:18">
      <c r="R1435" s="304"/>
    </row>
    <row r="1436" spans="18:18">
      <c r="R1436" s="304"/>
    </row>
    <row r="1437" spans="18:18">
      <c r="R1437" s="304"/>
    </row>
    <row r="1438" spans="18:18">
      <c r="R1438" s="304"/>
    </row>
    <row r="1439" spans="18:18">
      <c r="R1439" s="304"/>
    </row>
    <row r="1440" spans="18:18">
      <c r="R1440" s="304"/>
    </row>
    <row r="1441" spans="18:18">
      <c r="R1441" s="304"/>
    </row>
    <row r="1442" spans="18:18">
      <c r="R1442" s="304"/>
    </row>
    <row r="1443" spans="18:18">
      <c r="R1443" s="304"/>
    </row>
    <row r="1444" spans="18:18">
      <c r="R1444" s="304"/>
    </row>
    <row r="1445" spans="18:18">
      <c r="R1445" s="304"/>
    </row>
    <row r="1446" spans="18:18">
      <c r="R1446" s="304"/>
    </row>
    <row r="1447" spans="18:18">
      <c r="R1447" s="304"/>
    </row>
    <row r="1448" spans="18:18">
      <c r="R1448" s="304"/>
    </row>
    <row r="1449" spans="18:18">
      <c r="R1449" s="304"/>
    </row>
    <row r="1450" spans="18:18">
      <c r="R1450" s="304"/>
    </row>
    <row r="1451" spans="18:18">
      <c r="R1451" s="304"/>
    </row>
    <row r="1452" spans="18:18">
      <c r="R1452" s="304"/>
    </row>
    <row r="1453" spans="18:18">
      <c r="R1453" s="304"/>
    </row>
    <row r="1454" spans="18:18">
      <c r="R1454" s="304"/>
    </row>
    <row r="1455" spans="18:18">
      <c r="R1455" s="304"/>
    </row>
    <row r="1456" spans="18:18">
      <c r="R1456" s="304"/>
    </row>
    <row r="1457" spans="18:18">
      <c r="R1457" s="304"/>
    </row>
    <row r="1458" spans="18:18">
      <c r="R1458" s="304"/>
    </row>
    <row r="1459" spans="18:18">
      <c r="R1459" s="304"/>
    </row>
    <row r="1460" spans="18:18">
      <c r="R1460" s="304"/>
    </row>
    <row r="1461" spans="18:18">
      <c r="R1461" s="304"/>
    </row>
    <row r="1462" spans="18:18">
      <c r="R1462" s="304"/>
    </row>
    <row r="1463" spans="18:18">
      <c r="R1463" s="304"/>
    </row>
    <row r="1464" spans="18:18">
      <c r="R1464" s="304"/>
    </row>
    <row r="1465" spans="18:18">
      <c r="R1465" s="304"/>
    </row>
    <row r="1466" spans="18:18">
      <c r="R1466" s="304"/>
    </row>
    <row r="1467" spans="18:18">
      <c r="R1467" s="304"/>
    </row>
    <row r="1468" spans="18:18">
      <c r="R1468" s="304"/>
    </row>
    <row r="1469" spans="18:18">
      <c r="R1469" s="304"/>
    </row>
    <row r="1470" spans="18:18">
      <c r="R1470" s="304"/>
    </row>
    <row r="1471" spans="18:18">
      <c r="R1471" s="304"/>
    </row>
    <row r="1472" spans="18:18">
      <c r="R1472" s="304"/>
    </row>
    <row r="1473" spans="18:18">
      <c r="R1473" s="304"/>
    </row>
    <row r="1474" spans="18:18">
      <c r="R1474" s="304"/>
    </row>
    <row r="1475" spans="18:18">
      <c r="R1475" s="304"/>
    </row>
    <row r="1476" spans="18:18">
      <c r="R1476" s="304"/>
    </row>
    <row r="1477" spans="18:18">
      <c r="R1477" s="304"/>
    </row>
    <row r="1478" spans="18:18">
      <c r="R1478" s="304"/>
    </row>
    <row r="1479" spans="18:18">
      <c r="R1479" s="304"/>
    </row>
    <row r="1480" spans="18:18">
      <c r="R1480" s="304"/>
    </row>
    <row r="1481" spans="18:18">
      <c r="R1481" s="304"/>
    </row>
    <row r="1482" spans="18:18">
      <c r="R1482" s="304"/>
    </row>
    <row r="1483" spans="18:18">
      <c r="R1483" s="304"/>
    </row>
    <row r="1484" spans="18:18">
      <c r="R1484" s="304"/>
    </row>
    <row r="1485" spans="18:18">
      <c r="R1485" s="304"/>
    </row>
    <row r="1486" spans="18:18">
      <c r="R1486" s="304"/>
    </row>
    <row r="1487" spans="18:18">
      <c r="R1487" s="304"/>
    </row>
    <row r="1488" spans="18:18">
      <c r="R1488" s="304"/>
    </row>
    <row r="1489" spans="18:18">
      <c r="R1489" s="304"/>
    </row>
    <row r="1490" spans="18:18">
      <c r="R1490" s="304"/>
    </row>
    <row r="1491" spans="18:18">
      <c r="R1491" s="304"/>
    </row>
    <row r="1492" spans="18:18">
      <c r="R1492" s="304"/>
    </row>
    <row r="1493" spans="18:18">
      <c r="R1493" s="304"/>
    </row>
    <row r="1494" spans="18:18">
      <c r="R1494" s="304"/>
    </row>
    <row r="1495" spans="18:18">
      <c r="R1495" s="304"/>
    </row>
    <row r="1496" spans="18:18">
      <c r="R1496" s="304"/>
    </row>
    <row r="1497" spans="18:18">
      <c r="R1497" s="304"/>
    </row>
    <row r="1498" spans="18:18">
      <c r="R1498" s="304"/>
    </row>
    <row r="1499" spans="18:18">
      <c r="R1499" s="304"/>
    </row>
    <row r="1500" spans="18:18">
      <c r="R1500" s="304"/>
    </row>
    <row r="1501" spans="18:18">
      <c r="R1501" s="304"/>
    </row>
    <row r="1502" spans="18:18">
      <c r="R1502" s="304"/>
    </row>
    <row r="1503" spans="18:18">
      <c r="R1503" s="304"/>
    </row>
    <row r="1504" spans="18:18">
      <c r="R1504" s="304"/>
    </row>
    <row r="1505" spans="18:18">
      <c r="R1505" s="304"/>
    </row>
    <row r="1506" spans="18:18">
      <c r="R1506" s="304"/>
    </row>
    <row r="1507" spans="18:18">
      <c r="R1507" s="304"/>
    </row>
    <row r="1508" spans="18:18">
      <c r="R1508" s="304"/>
    </row>
    <row r="1509" spans="18:18">
      <c r="R1509" s="304"/>
    </row>
    <row r="1510" spans="18:18">
      <c r="R1510" s="304"/>
    </row>
    <row r="1511" spans="18:18">
      <c r="R1511" s="304"/>
    </row>
    <row r="1512" spans="18:18">
      <c r="R1512" s="304"/>
    </row>
    <row r="1513" spans="18:18">
      <c r="R1513" s="304"/>
    </row>
    <row r="1514" spans="18:18">
      <c r="R1514" s="304"/>
    </row>
    <row r="1515" spans="18:18">
      <c r="R1515" s="304"/>
    </row>
    <row r="1516" spans="18:18">
      <c r="R1516" s="304"/>
    </row>
    <row r="1517" spans="18:18">
      <c r="R1517" s="304"/>
    </row>
    <row r="1518" spans="18:18">
      <c r="R1518" s="304"/>
    </row>
    <row r="1519" spans="18:18">
      <c r="R1519" s="304"/>
    </row>
    <row r="1520" spans="18:18">
      <c r="R1520" s="304"/>
    </row>
    <row r="1521" spans="18:18">
      <c r="R1521" s="304"/>
    </row>
    <row r="1522" spans="18:18">
      <c r="R1522" s="304"/>
    </row>
    <row r="1523" spans="18:18">
      <c r="R1523" s="304"/>
    </row>
    <row r="1524" spans="18:18">
      <c r="R1524" s="304"/>
    </row>
    <row r="1525" spans="18:18">
      <c r="R1525" s="304"/>
    </row>
    <row r="1526" spans="18:18">
      <c r="R1526" s="304"/>
    </row>
    <row r="1527" spans="18:18">
      <c r="R1527" s="304"/>
    </row>
    <row r="1528" spans="18:18">
      <c r="R1528" s="304"/>
    </row>
    <row r="1529" spans="18:18">
      <c r="R1529" s="304"/>
    </row>
    <row r="1530" spans="18:18">
      <c r="R1530" s="304"/>
    </row>
    <row r="1531" spans="18:18">
      <c r="R1531" s="304"/>
    </row>
    <row r="1532" spans="18:18">
      <c r="R1532" s="304"/>
    </row>
    <row r="1533" spans="18:18">
      <c r="R1533" s="304"/>
    </row>
    <row r="1534" spans="18:18">
      <c r="R1534" s="304"/>
    </row>
    <row r="1535" spans="18:18">
      <c r="R1535" s="304"/>
    </row>
    <row r="1536" spans="18:18">
      <c r="R1536" s="304"/>
    </row>
    <row r="1537" spans="18:18">
      <c r="R1537" s="304"/>
    </row>
    <row r="1538" spans="18:18">
      <c r="R1538" s="304"/>
    </row>
    <row r="1539" spans="18:18">
      <c r="R1539" s="304"/>
    </row>
    <row r="1540" spans="18:18">
      <c r="R1540" s="304"/>
    </row>
    <row r="1541" spans="18:18">
      <c r="R1541" s="304"/>
    </row>
    <row r="1542" spans="18:18">
      <c r="R1542" s="304"/>
    </row>
    <row r="1543" spans="18:18">
      <c r="R1543" s="304"/>
    </row>
    <row r="1544" spans="18:18">
      <c r="R1544" s="304"/>
    </row>
    <row r="1545" spans="18:18">
      <c r="R1545" s="304"/>
    </row>
    <row r="1546" spans="18:18">
      <c r="R1546" s="304"/>
    </row>
    <row r="1547" spans="18:18">
      <c r="R1547" s="304"/>
    </row>
    <row r="1548" spans="18:18">
      <c r="R1548" s="304"/>
    </row>
    <row r="1549" spans="18:18">
      <c r="R1549" s="304"/>
    </row>
    <row r="1550" spans="18:18">
      <c r="R1550" s="304"/>
    </row>
    <row r="1551" spans="18:18">
      <c r="R1551" s="304"/>
    </row>
    <row r="1552" spans="18:18">
      <c r="R1552" s="304"/>
    </row>
    <row r="1553" spans="18:18">
      <c r="R1553" s="304"/>
    </row>
    <row r="1554" spans="18:18">
      <c r="R1554" s="304"/>
    </row>
    <row r="1555" spans="18:18">
      <c r="R1555" s="304"/>
    </row>
    <row r="1556" spans="18:18">
      <c r="R1556" s="304"/>
    </row>
    <row r="1557" spans="18:18">
      <c r="R1557" s="304"/>
    </row>
    <row r="1558" spans="18:18">
      <c r="R1558" s="304"/>
    </row>
    <row r="1559" spans="18:18">
      <c r="R1559" s="304"/>
    </row>
    <row r="1560" spans="18:18">
      <c r="R1560" s="304"/>
    </row>
    <row r="1561" spans="18:18">
      <c r="R1561" s="304"/>
    </row>
    <row r="1562" spans="18:18">
      <c r="R1562" s="304"/>
    </row>
    <row r="1563" spans="18:18">
      <c r="R1563" s="304"/>
    </row>
    <row r="1564" spans="18:18">
      <c r="R1564" s="304"/>
    </row>
    <row r="1565" spans="18:18">
      <c r="R1565" s="304"/>
    </row>
    <row r="1566" spans="18:18">
      <c r="R1566" s="304"/>
    </row>
    <row r="1567" spans="18:18">
      <c r="R1567" s="304"/>
    </row>
    <row r="1568" spans="18:18">
      <c r="R1568" s="304"/>
    </row>
    <row r="1569" spans="18:18">
      <c r="R1569" s="304"/>
    </row>
    <row r="1570" spans="18:18">
      <c r="R1570" s="304"/>
    </row>
    <row r="1571" spans="18:18">
      <c r="R1571" s="304"/>
    </row>
    <row r="1572" spans="18:18">
      <c r="R1572" s="304"/>
    </row>
    <row r="1573" spans="18:18">
      <c r="R1573" s="304"/>
    </row>
    <row r="1574" spans="18:18">
      <c r="R1574" s="304"/>
    </row>
    <row r="1575" spans="18:18">
      <c r="R1575" s="304"/>
    </row>
    <row r="1576" spans="18:18">
      <c r="R1576" s="304"/>
    </row>
    <row r="1577" spans="18:18">
      <c r="R1577" s="304"/>
    </row>
    <row r="1578" spans="18:18">
      <c r="R1578" s="304"/>
    </row>
    <row r="1579" spans="18:18">
      <c r="R1579" s="304"/>
    </row>
    <row r="1580" spans="18:18">
      <c r="R1580" s="304"/>
    </row>
    <row r="1581" spans="18:18">
      <c r="R1581" s="304"/>
    </row>
    <row r="1582" spans="18:18">
      <c r="R1582" s="304"/>
    </row>
    <row r="1583" spans="18:18">
      <c r="R1583" s="304"/>
    </row>
    <row r="1584" spans="18:18">
      <c r="R1584" s="304"/>
    </row>
    <row r="1585" spans="18:18">
      <c r="R1585" s="304"/>
    </row>
    <row r="1586" spans="18:18">
      <c r="R1586" s="304"/>
    </row>
    <row r="1587" spans="18:18">
      <c r="R1587" s="304"/>
    </row>
    <row r="1588" spans="18:18">
      <c r="R1588" s="304"/>
    </row>
    <row r="1589" spans="18:18">
      <c r="R1589" s="304"/>
    </row>
    <row r="1590" spans="18:18">
      <c r="R1590" s="304"/>
    </row>
    <row r="1591" spans="18:18">
      <c r="R1591" s="304"/>
    </row>
    <row r="1592" spans="18:18">
      <c r="R1592" s="304"/>
    </row>
    <row r="1593" spans="18:18">
      <c r="R1593" s="304"/>
    </row>
    <row r="1594" spans="18:18">
      <c r="R1594" s="304"/>
    </row>
    <row r="1595" spans="18:18">
      <c r="R1595" s="304"/>
    </row>
    <row r="1596" spans="18:18">
      <c r="R1596" s="304"/>
    </row>
    <row r="1597" spans="18:18">
      <c r="R1597" s="304"/>
    </row>
    <row r="1598" spans="18:18">
      <c r="R1598" s="304"/>
    </row>
    <row r="1599" spans="18:18">
      <c r="R1599" s="304"/>
    </row>
    <row r="1600" spans="18:18">
      <c r="R1600" s="304"/>
    </row>
    <row r="1601" spans="18:18">
      <c r="R1601" s="304"/>
    </row>
    <row r="1602" spans="18:18">
      <c r="R1602" s="304"/>
    </row>
    <row r="1603" spans="18:18">
      <c r="R1603" s="304"/>
    </row>
    <row r="1604" spans="18:18">
      <c r="R1604" s="304"/>
    </row>
    <row r="1605" spans="18:18">
      <c r="R1605" s="304"/>
    </row>
    <row r="1606" spans="18:18">
      <c r="R1606" s="304"/>
    </row>
    <row r="1607" spans="18:18">
      <c r="R1607" s="304"/>
    </row>
    <row r="1608" spans="18:18">
      <c r="R1608" s="304"/>
    </row>
    <row r="1609" spans="18:18">
      <c r="R1609" s="304"/>
    </row>
    <row r="1610" spans="18:18">
      <c r="R1610" s="304"/>
    </row>
    <row r="1611" spans="18:18">
      <c r="R1611" s="304"/>
    </row>
    <row r="1612" spans="18:18">
      <c r="R1612" s="304"/>
    </row>
    <row r="1613" spans="18:18">
      <c r="R1613" s="304"/>
    </row>
    <row r="1614" spans="18:18">
      <c r="R1614" s="304"/>
    </row>
    <row r="1615" spans="18:18">
      <c r="R1615" s="304"/>
    </row>
    <row r="1616" spans="18:18">
      <c r="R1616" s="304"/>
    </row>
    <row r="1617" spans="18:18">
      <c r="R1617" s="304"/>
    </row>
    <row r="1618" spans="18:18">
      <c r="R1618" s="304"/>
    </row>
    <row r="1619" spans="18:18">
      <c r="R1619" s="304"/>
    </row>
    <row r="1620" spans="18:18">
      <c r="R1620" s="304"/>
    </row>
    <row r="1621" spans="18:18">
      <c r="R1621" s="304"/>
    </row>
    <row r="1622" spans="18:18">
      <c r="R1622" s="304"/>
    </row>
    <row r="1623" spans="18:18">
      <c r="R1623" s="304"/>
    </row>
    <row r="1624" spans="18:18">
      <c r="R1624" s="304"/>
    </row>
    <row r="1625" spans="18:18">
      <c r="R1625" s="304"/>
    </row>
    <row r="1626" spans="18:18">
      <c r="R1626" s="304"/>
    </row>
    <row r="1627" spans="18:18">
      <c r="R1627" s="304"/>
    </row>
    <row r="1628" spans="18:18">
      <c r="R1628" s="304"/>
    </row>
    <row r="1629" spans="18:18">
      <c r="R1629" s="304"/>
    </row>
    <row r="1630" spans="18:18">
      <c r="R1630" s="304"/>
    </row>
    <row r="1631" spans="18:18">
      <c r="R1631" s="304"/>
    </row>
    <row r="1632" spans="18:18">
      <c r="R1632" s="304"/>
    </row>
    <row r="1633" spans="18:18">
      <c r="R1633" s="304"/>
    </row>
    <row r="1634" spans="18:18">
      <c r="R1634" s="304"/>
    </row>
    <row r="1635" spans="18:18">
      <c r="R1635" s="304"/>
    </row>
    <row r="1636" spans="18:18">
      <c r="R1636" s="304"/>
    </row>
    <row r="1637" spans="18:18">
      <c r="R1637" s="304"/>
    </row>
    <row r="1638" spans="18:18">
      <c r="R1638" s="304"/>
    </row>
    <row r="1639" spans="18:18">
      <c r="R1639" s="304"/>
    </row>
    <row r="1640" spans="18:18">
      <c r="R1640" s="304"/>
    </row>
    <row r="1641" spans="18:18">
      <c r="R1641" s="304"/>
    </row>
    <row r="1642" spans="18:18">
      <c r="R1642" s="304"/>
    </row>
    <row r="1643" spans="18:18">
      <c r="R1643" s="304"/>
    </row>
    <row r="1644" spans="18:18">
      <c r="R1644" s="304"/>
    </row>
    <row r="1645" spans="18:18">
      <c r="R1645" s="304"/>
    </row>
    <row r="1646" spans="18:18">
      <c r="R1646" s="304"/>
    </row>
    <row r="1647" spans="18:18">
      <c r="R1647" s="304"/>
    </row>
    <row r="1648" spans="18:18">
      <c r="R1648" s="304"/>
    </row>
    <row r="1649" spans="18:18">
      <c r="R1649" s="304"/>
    </row>
    <row r="1650" spans="18:18">
      <c r="R1650" s="304"/>
    </row>
    <row r="1651" spans="18:18">
      <c r="R1651" s="304"/>
    </row>
    <row r="1652" spans="18:18">
      <c r="R1652" s="304"/>
    </row>
    <row r="1653" spans="18:18">
      <c r="R1653" s="304"/>
    </row>
    <row r="1654" spans="18:18">
      <c r="R1654" s="304"/>
    </row>
    <row r="1655" spans="18:18">
      <c r="R1655" s="304"/>
    </row>
    <row r="1656" spans="18:18">
      <c r="R1656" s="304"/>
    </row>
    <row r="1657" spans="18:18">
      <c r="R1657" s="304"/>
    </row>
    <row r="1658" spans="18:18">
      <c r="R1658" s="304"/>
    </row>
    <row r="1659" spans="18:18">
      <c r="R1659" s="304"/>
    </row>
    <row r="1660" spans="18:18">
      <c r="R1660" s="304"/>
    </row>
    <row r="1661" spans="18:18">
      <c r="R1661" s="304"/>
    </row>
    <row r="1662" spans="18:18">
      <c r="R1662" s="304"/>
    </row>
    <row r="1663" spans="18:18">
      <c r="R1663" s="304"/>
    </row>
    <row r="1664" spans="18:18">
      <c r="R1664" s="304"/>
    </row>
    <row r="1665" spans="18:18">
      <c r="R1665" s="304"/>
    </row>
    <row r="1666" spans="18:18">
      <c r="R1666" s="304"/>
    </row>
    <row r="1667" spans="18:18">
      <c r="R1667" s="304"/>
    </row>
    <row r="1668" spans="18:18">
      <c r="R1668" s="304"/>
    </row>
    <row r="1669" spans="18:18">
      <c r="R1669" s="304"/>
    </row>
    <row r="1670" spans="18:18">
      <c r="R1670" s="304"/>
    </row>
    <row r="1671" spans="18:18">
      <c r="R1671" s="304"/>
    </row>
    <row r="1672" spans="18:18">
      <c r="R1672" s="304"/>
    </row>
    <row r="1673" spans="18:18">
      <c r="R1673" s="304"/>
    </row>
    <row r="1674" spans="18:18">
      <c r="R1674" s="304"/>
    </row>
    <row r="1675" spans="18:18">
      <c r="R1675" s="304"/>
    </row>
    <row r="1676" spans="18:18">
      <c r="R1676" s="304"/>
    </row>
    <row r="1677" spans="18:18">
      <c r="R1677" s="304"/>
    </row>
    <row r="1678" spans="18:18">
      <c r="R1678" s="304"/>
    </row>
    <row r="1679" spans="18:18">
      <c r="R1679" s="304"/>
    </row>
    <row r="1680" spans="18:18">
      <c r="R1680" s="304"/>
    </row>
    <row r="1681" spans="18:18">
      <c r="R1681" s="304"/>
    </row>
    <row r="1682" spans="18:18">
      <c r="R1682" s="304"/>
    </row>
    <row r="1683" spans="18:18">
      <c r="R1683" s="304"/>
    </row>
    <row r="1684" spans="18:18">
      <c r="R1684" s="304"/>
    </row>
    <row r="1685" spans="18:18">
      <c r="R1685" s="304"/>
    </row>
    <row r="1686" spans="18:18">
      <c r="R1686" s="304"/>
    </row>
    <row r="1687" spans="18:18">
      <c r="R1687" s="304"/>
    </row>
    <row r="1688" spans="18:18">
      <c r="R1688" s="304"/>
    </row>
    <row r="1689" spans="18:18">
      <c r="R1689" s="304"/>
    </row>
    <row r="1690" spans="18:18">
      <c r="R1690" s="304"/>
    </row>
    <row r="1691" spans="18:18">
      <c r="R1691" s="304"/>
    </row>
    <row r="1692" spans="18:18">
      <c r="R1692" s="304"/>
    </row>
    <row r="1693" spans="18:18">
      <c r="R1693" s="304"/>
    </row>
    <row r="1694" spans="18:18">
      <c r="R1694" s="304"/>
    </row>
    <row r="1695" spans="18:18">
      <c r="R1695" s="304"/>
    </row>
    <row r="1696" spans="18:18">
      <c r="R1696" s="304"/>
    </row>
    <row r="1697" spans="18:18">
      <c r="R1697" s="304"/>
    </row>
    <row r="1698" spans="18:18">
      <c r="R1698" s="304"/>
    </row>
    <row r="1699" spans="18:18">
      <c r="R1699" s="304"/>
    </row>
    <row r="1700" spans="18:18">
      <c r="R1700" s="304"/>
    </row>
    <row r="1701" spans="18:18">
      <c r="R1701" s="304"/>
    </row>
    <row r="1702" spans="18:18">
      <c r="R1702" s="304"/>
    </row>
    <row r="1703" spans="18:18">
      <c r="R1703" s="304"/>
    </row>
    <row r="1704" spans="18:18">
      <c r="R1704" s="304"/>
    </row>
    <row r="1705" spans="18:18">
      <c r="R1705" s="304"/>
    </row>
    <row r="1706" spans="18:18">
      <c r="R1706" s="304"/>
    </row>
    <row r="1707" spans="18:18">
      <c r="R1707" s="304"/>
    </row>
    <row r="1708" spans="18:18">
      <c r="R1708" s="304"/>
    </row>
    <row r="1709" spans="18:18">
      <c r="R1709" s="304"/>
    </row>
    <row r="1710" spans="18:18">
      <c r="R1710" s="304"/>
    </row>
    <row r="1711" spans="18:18">
      <c r="R1711" s="304"/>
    </row>
    <row r="1712" spans="18:18">
      <c r="R1712" s="304"/>
    </row>
    <row r="1713" spans="18:18">
      <c r="R1713" s="304"/>
    </row>
    <row r="1714" spans="18:18">
      <c r="R1714" s="304"/>
    </row>
    <row r="1715" spans="18:18">
      <c r="R1715" s="304"/>
    </row>
    <row r="1716" spans="18:18">
      <c r="R1716" s="304"/>
    </row>
    <row r="1717" spans="18:18">
      <c r="R1717" s="304"/>
    </row>
    <row r="1718" spans="18:18">
      <c r="R1718" s="304"/>
    </row>
    <row r="1719" spans="18:18">
      <c r="R1719" s="304"/>
    </row>
    <row r="1720" spans="18:18">
      <c r="R1720" s="304"/>
    </row>
    <row r="1721" spans="18:18">
      <c r="R1721" s="304"/>
    </row>
    <row r="1722" spans="18:18">
      <c r="R1722" s="304"/>
    </row>
    <row r="1723" spans="18:18">
      <c r="R1723" s="304"/>
    </row>
    <row r="1724" spans="18:18">
      <c r="R1724" s="304"/>
    </row>
    <row r="1725" spans="18:18">
      <c r="R1725" s="304"/>
    </row>
    <row r="1726" spans="18:18">
      <c r="R1726" s="304"/>
    </row>
    <row r="1727" spans="18:18">
      <c r="R1727" s="304"/>
    </row>
    <row r="1728" spans="18:18">
      <c r="R1728" s="304"/>
    </row>
    <row r="1729" spans="18:18">
      <c r="R1729" s="304"/>
    </row>
    <row r="1730" spans="18:18">
      <c r="R1730" s="304"/>
    </row>
    <row r="1731" spans="18:18">
      <c r="R1731" s="304"/>
    </row>
    <row r="1732" spans="18:18">
      <c r="R1732" s="304"/>
    </row>
    <row r="1733" spans="18:18">
      <c r="R1733" s="304"/>
    </row>
    <row r="1734" spans="18:18">
      <c r="R1734" s="304"/>
    </row>
    <row r="1735" spans="18:18">
      <c r="R1735" s="304"/>
    </row>
    <row r="1736" spans="18:18">
      <c r="R1736" s="304"/>
    </row>
    <row r="1737" spans="18:18">
      <c r="R1737" s="304"/>
    </row>
    <row r="1738" spans="18:18">
      <c r="R1738" s="304"/>
    </row>
    <row r="1739" spans="18:18">
      <c r="R1739" s="304"/>
    </row>
    <row r="1740" spans="18:18">
      <c r="R1740" s="304"/>
    </row>
    <row r="1741" spans="18:18">
      <c r="R1741" s="304"/>
    </row>
    <row r="1742" spans="18:18">
      <c r="R1742" s="304"/>
    </row>
    <row r="1743" spans="18:18">
      <c r="R1743" s="304"/>
    </row>
    <row r="1744" spans="18:18">
      <c r="R1744" s="304"/>
    </row>
    <row r="1745" spans="18:18">
      <c r="R1745" s="304"/>
    </row>
    <row r="1746" spans="18:18">
      <c r="R1746" s="304"/>
    </row>
    <row r="1747" spans="18:18">
      <c r="R1747" s="304"/>
    </row>
    <row r="1748" spans="18:18">
      <c r="R1748" s="304"/>
    </row>
    <row r="1749" spans="18:18">
      <c r="R1749" s="304"/>
    </row>
    <row r="1750" spans="18:18">
      <c r="R1750" s="304"/>
    </row>
    <row r="1751" spans="18:18">
      <c r="R1751" s="304"/>
    </row>
    <row r="1752" spans="18:18">
      <c r="R1752" s="304"/>
    </row>
    <row r="1753" spans="18:18">
      <c r="R1753" s="304"/>
    </row>
    <row r="1754" spans="18:18">
      <c r="R1754" s="304"/>
    </row>
    <row r="1755" spans="18:18">
      <c r="R1755" s="304"/>
    </row>
    <row r="1756" spans="18:18">
      <c r="R1756" s="304"/>
    </row>
    <row r="1757" spans="18:18">
      <c r="R1757" s="304"/>
    </row>
    <row r="1758" spans="18:18">
      <c r="R1758" s="304"/>
    </row>
    <row r="1759" spans="18:18">
      <c r="R1759" s="304"/>
    </row>
    <row r="1760" spans="18:18">
      <c r="R1760" s="304"/>
    </row>
    <row r="1761" spans="18:18">
      <c r="R1761" s="304"/>
    </row>
    <row r="1762" spans="18:18">
      <c r="R1762" s="304"/>
    </row>
    <row r="1763" spans="18:18">
      <c r="R1763" s="304"/>
    </row>
    <row r="1764" spans="18:18">
      <c r="R1764" s="304"/>
    </row>
    <row r="1765" spans="18:18">
      <c r="R1765" s="304"/>
    </row>
    <row r="1766" spans="18:18">
      <c r="R1766" s="304"/>
    </row>
    <row r="1767" spans="18:18">
      <c r="R1767" s="304"/>
    </row>
    <row r="1768" spans="18:18">
      <c r="R1768" s="304"/>
    </row>
    <row r="1769" spans="18:18">
      <c r="R1769" s="304"/>
    </row>
    <row r="1770" spans="18:18">
      <c r="R1770" s="304"/>
    </row>
    <row r="1771" spans="18:18">
      <c r="R1771" s="304"/>
    </row>
    <row r="1772" spans="18:18">
      <c r="R1772" s="304"/>
    </row>
    <row r="1773" spans="18:18">
      <c r="R1773" s="304"/>
    </row>
    <row r="1774" spans="18:18">
      <c r="R1774" s="304"/>
    </row>
    <row r="1775" spans="18:18">
      <c r="R1775" s="304"/>
    </row>
    <row r="1776" spans="18:18">
      <c r="R1776" s="304"/>
    </row>
    <row r="1777" spans="18:18">
      <c r="R1777" s="304"/>
    </row>
    <row r="1778" spans="18:18">
      <c r="R1778" s="304"/>
    </row>
    <row r="1779" spans="18:18">
      <c r="R1779" s="304"/>
    </row>
    <row r="1780" spans="18:18">
      <c r="R1780" s="304"/>
    </row>
    <row r="1781" spans="18:18">
      <c r="R1781" s="304"/>
    </row>
    <row r="1782" spans="18:18">
      <c r="R1782" s="304"/>
    </row>
    <row r="1783" spans="18:18">
      <c r="R1783" s="304"/>
    </row>
    <row r="1784" spans="18:18">
      <c r="R1784" s="304"/>
    </row>
    <row r="1785" spans="18:18">
      <c r="R1785" s="304"/>
    </row>
    <row r="1786" spans="18:18">
      <c r="R1786" s="304"/>
    </row>
    <row r="1787" spans="18:18">
      <c r="R1787" s="304"/>
    </row>
    <row r="1788" spans="18:18">
      <c r="R1788" s="304"/>
    </row>
    <row r="1789" spans="18:18">
      <c r="R1789" s="304"/>
    </row>
    <row r="1790" spans="18:18">
      <c r="R1790" s="304"/>
    </row>
    <row r="1791" spans="18:18">
      <c r="R1791" s="304"/>
    </row>
    <row r="1792" spans="18:18">
      <c r="R1792" s="304"/>
    </row>
    <row r="1793" spans="18:18">
      <c r="R1793" s="304"/>
    </row>
    <row r="1794" spans="18:18">
      <c r="R1794" s="304"/>
    </row>
    <row r="1795" spans="18:18">
      <c r="R1795" s="304"/>
    </row>
    <row r="1796" spans="18:18">
      <c r="R1796" s="304"/>
    </row>
    <row r="1797" spans="18:18">
      <c r="R1797" s="304"/>
    </row>
    <row r="1798" spans="18:18">
      <c r="R1798" s="304"/>
    </row>
    <row r="1799" spans="18:18">
      <c r="R1799" s="304"/>
    </row>
    <row r="1800" spans="18:18">
      <c r="R1800" s="304"/>
    </row>
    <row r="1801" spans="18:18">
      <c r="R1801" s="304"/>
    </row>
    <row r="1802" spans="18:18">
      <c r="R1802" s="304"/>
    </row>
    <row r="1803" spans="18:18">
      <c r="R1803" s="304"/>
    </row>
    <row r="1804" spans="18:18">
      <c r="R1804" s="304"/>
    </row>
    <row r="1805" spans="18:18">
      <c r="R1805" s="304"/>
    </row>
    <row r="1806" spans="18:18">
      <c r="R1806" s="304"/>
    </row>
    <row r="1807" spans="18:18">
      <c r="R1807" s="304"/>
    </row>
    <row r="1808" spans="18:18">
      <c r="R1808" s="304"/>
    </row>
    <row r="1809" spans="18:18">
      <c r="R1809" s="304"/>
    </row>
    <row r="1810" spans="18:18">
      <c r="R1810" s="304"/>
    </row>
    <row r="1811" spans="18:18">
      <c r="R1811" s="304"/>
    </row>
    <row r="1812" spans="18:18">
      <c r="R1812" s="304"/>
    </row>
    <row r="1813" spans="18:18">
      <c r="R1813" s="304"/>
    </row>
    <row r="1814" spans="18:18">
      <c r="R1814" s="304"/>
    </row>
    <row r="1815" spans="18:18">
      <c r="R1815" s="304"/>
    </row>
    <row r="1816" spans="18:18">
      <c r="R1816" s="304"/>
    </row>
    <row r="1817" spans="18:18">
      <c r="R1817" s="304"/>
    </row>
    <row r="1818" spans="18:18">
      <c r="R1818" s="304"/>
    </row>
    <row r="1819" spans="18:18">
      <c r="R1819" s="304"/>
    </row>
    <row r="1820" spans="18:18">
      <c r="R1820" s="304"/>
    </row>
    <row r="1821" spans="18:18">
      <c r="R1821" s="304"/>
    </row>
    <row r="1822" spans="18:18">
      <c r="R1822" s="304"/>
    </row>
    <row r="1823" spans="18:18">
      <c r="R1823" s="304"/>
    </row>
    <row r="1824" spans="18:18">
      <c r="R1824" s="304"/>
    </row>
    <row r="1825" spans="18:18">
      <c r="R1825" s="304"/>
    </row>
    <row r="1826" spans="18:18">
      <c r="R1826" s="304"/>
    </row>
    <row r="1827" spans="18:18">
      <c r="R1827" s="304"/>
    </row>
    <row r="1828" spans="18:18">
      <c r="R1828" s="304"/>
    </row>
    <row r="1829" spans="18:18">
      <c r="R1829" s="304"/>
    </row>
    <row r="1830" spans="18:18">
      <c r="R1830" s="304"/>
    </row>
    <row r="1831" spans="18:18">
      <c r="R1831" s="304"/>
    </row>
    <row r="1832" spans="18:18">
      <c r="R1832" s="304"/>
    </row>
    <row r="1833" spans="18:18">
      <c r="R1833" s="304"/>
    </row>
    <row r="1834" spans="18:18">
      <c r="R1834" s="304"/>
    </row>
    <row r="1835" spans="18:18">
      <c r="R1835" s="304"/>
    </row>
    <row r="1836" spans="18:18">
      <c r="R1836" s="304"/>
    </row>
    <row r="1837" spans="18:18">
      <c r="R1837" s="304"/>
    </row>
    <row r="1838" spans="18:18">
      <c r="R1838" s="304"/>
    </row>
    <row r="1839" spans="18:18">
      <c r="R1839" s="304"/>
    </row>
    <row r="1840" spans="18:18">
      <c r="R1840" s="304"/>
    </row>
    <row r="1841" spans="18:18">
      <c r="R1841" s="304"/>
    </row>
    <row r="1842" spans="18:18">
      <c r="R1842" s="304"/>
    </row>
    <row r="1843" spans="18:18">
      <c r="R1843" s="304"/>
    </row>
    <row r="1844" spans="18:18">
      <c r="R1844" s="304"/>
    </row>
    <row r="1845" spans="18:18">
      <c r="R1845" s="304"/>
    </row>
    <row r="1846" spans="18:18">
      <c r="R1846" s="304"/>
    </row>
    <row r="1847" spans="18:18">
      <c r="R1847" s="304"/>
    </row>
    <row r="1848" spans="18:18">
      <c r="R1848" s="304"/>
    </row>
    <row r="1849" spans="18:18">
      <c r="R1849" s="304"/>
    </row>
    <row r="1850" spans="18:18">
      <c r="R1850" s="304"/>
    </row>
    <row r="1851" spans="18:18">
      <c r="R1851" s="304"/>
    </row>
    <row r="1852" spans="18:18">
      <c r="R1852" s="304"/>
    </row>
    <row r="1853" spans="18:18">
      <c r="R1853" s="304"/>
    </row>
    <row r="1854" spans="18:18">
      <c r="R1854" s="304"/>
    </row>
    <row r="1855" spans="18:18">
      <c r="R1855" s="304"/>
    </row>
    <row r="1856" spans="18:18">
      <c r="R1856" s="304"/>
    </row>
    <row r="1857" spans="18:18">
      <c r="R1857" s="304"/>
    </row>
    <row r="1858" spans="18:18">
      <c r="R1858" s="304"/>
    </row>
    <row r="1859" spans="18:18">
      <c r="R1859" s="304"/>
    </row>
    <row r="1860" spans="18:18">
      <c r="R1860" s="304"/>
    </row>
    <row r="1861" spans="18:18">
      <c r="R1861" s="304"/>
    </row>
    <row r="1862" spans="18:18">
      <c r="R1862" s="304"/>
    </row>
    <row r="1863" spans="18:18">
      <c r="R1863" s="304"/>
    </row>
    <row r="1864" spans="18:18">
      <c r="R1864" s="304"/>
    </row>
    <row r="1865" spans="18:18">
      <c r="R1865" s="304"/>
    </row>
    <row r="1866" spans="18:18">
      <c r="R1866" s="304"/>
    </row>
    <row r="1867" spans="18:18">
      <c r="R1867" s="304"/>
    </row>
    <row r="1868" spans="18:18">
      <c r="R1868" s="304"/>
    </row>
    <row r="1869" spans="18:18">
      <c r="R1869" s="304"/>
    </row>
    <row r="1870" spans="18:18">
      <c r="R1870" s="304"/>
    </row>
    <row r="1871" spans="18:18">
      <c r="R1871" s="304"/>
    </row>
    <row r="1872" spans="18:18">
      <c r="R1872" s="304"/>
    </row>
    <row r="1873" spans="18:18">
      <c r="R1873" s="304"/>
    </row>
    <row r="1874" spans="18:18">
      <c r="R1874" s="304"/>
    </row>
    <row r="1875" spans="18:18">
      <c r="R1875" s="304"/>
    </row>
    <row r="1876" spans="18:18">
      <c r="R1876" s="304"/>
    </row>
    <row r="1877" spans="18:18">
      <c r="R1877" s="304"/>
    </row>
    <row r="1878" spans="18:18">
      <c r="R1878" s="304"/>
    </row>
    <row r="1879" spans="18:18">
      <c r="R1879" s="304"/>
    </row>
    <row r="1880" spans="18:18">
      <c r="R1880" s="304"/>
    </row>
    <row r="1881" spans="18:18">
      <c r="R1881" s="304"/>
    </row>
    <row r="1882" spans="18:18">
      <c r="R1882" s="304"/>
    </row>
    <row r="1883" spans="18:18">
      <c r="R1883" s="304"/>
    </row>
    <row r="1884" spans="18:18">
      <c r="R1884" s="304"/>
    </row>
    <row r="1885" spans="18:18">
      <c r="R1885" s="304"/>
    </row>
    <row r="1886" spans="18:18">
      <c r="R1886" s="304"/>
    </row>
    <row r="1887" spans="18:18">
      <c r="R1887" s="304"/>
    </row>
    <row r="1888" spans="18:18">
      <c r="R1888" s="304"/>
    </row>
    <row r="1889" spans="18:18">
      <c r="R1889" s="304"/>
    </row>
    <row r="1890" spans="18:18">
      <c r="R1890" s="304"/>
    </row>
    <row r="1891" spans="18:18">
      <c r="R1891" s="304"/>
    </row>
    <row r="1892" spans="18:18">
      <c r="R1892" s="304"/>
    </row>
    <row r="1893" spans="18:18">
      <c r="R1893" s="304"/>
    </row>
    <row r="1894" spans="18:18">
      <c r="R1894" s="304"/>
    </row>
    <row r="1895" spans="18:18">
      <c r="R1895" s="304"/>
    </row>
    <row r="1896" spans="18:18">
      <c r="R1896" s="304"/>
    </row>
    <row r="1897" spans="18:18">
      <c r="R1897" s="304"/>
    </row>
    <row r="1898" spans="18:18">
      <c r="R1898" s="304"/>
    </row>
    <row r="1899" spans="18:18">
      <c r="R1899" s="304"/>
    </row>
    <row r="1900" spans="18:18">
      <c r="R1900" s="304"/>
    </row>
    <row r="1901" spans="18:18">
      <c r="R1901" s="304"/>
    </row>
    <row r="1902" spans="18:18">
      <c r="R1902" s="304"/>
    </row>
    <row r="1903" spans="18:18">
      <c r="R1903" s="304"/>
    </row>
    <row r="1904" spans="18:18">
      <c r="R1904" s="304"/>
    </row>
    <row r="1905" spans="18:18">
      <c r="R1905" s="304"/>
    </row>
    <row r="1906" spans="18:18">
      <c r="R1906" s="304"/>
    </row>
    <row r="1907" spans="18:18">
      <c r="R1907" s="304"/>
    </row>
    <row r="1908" spans="18:18">
      <c r="R1908" s="304"/>
    </row>
    <row r="1909" spans="18:18">
      <c r="R1909" s="304"/>
    </row>
    <row r="1910" spans="18:18">
      <c r="R1910" s="304"/>
    </row>
    <row r="1911" spans="18:18">
      <c r="R1911" s="304"/>
    </row>
    <row r="1912" spans="18:18">
      <c r="R1912" s="304"/>
    </row>
    <row r="1913" spans="18:18">
      <c r="R1913" s="304"/>
    </row>
    <row r="1914" spans="18:18">
      <c r="R1914" s="304"/>
    </row>
    <row r="1915" spans="18:18">
      <c r="R1915" s="304"/>
    </row>
    <row r="1916" spans="18:18">
      <c r="R1916" s="304"/>
    </row>
    <row r="1917" spans="18:18">
      <c r="R1917" s="304"/>
    </row>
    <row r="1918" spans="18:18">
      <c r="R1918" s="304"/>
    </row>
    <row r="1919" spans="18:18">
      <c r="R1919" s="304"/>
    </row>
    <row r="1920" spans="18:18">
      <c r="R1920" s="304"/>
    </row>
    <row r="1921" spans="18:18">
      <c r="R1921" s="304"/>
    </row>
    <row r="1922" spans="18:18">
      <c r="R1922" s="304"/>
    </row>
    <row r="1923" spans="18:18">
      <c r="R1923" s="304"/>
    </row>
    <row r="1924" spans="18:18">
      <c r="R1924" s="304"/>
    </row>
    <row r="1925" spans="18:18">
      <c r="R1925" s="304"/>
    </row>
    <row r="1926" spans="18:18">
      <c r="R1926" s="304"/>
    </row>
    <row r="1927" spans="18:18">
      <c r="R1927" s="304"/>
    </row>
    <row r="1928" spans="18:18">
      <c r="R1928" s="304"/>
    </row>
    <row r="1929" spans="18:18">
      <c r="R1929" s="304"/>
    </row>
    <row r="1930" spans="18:18">
      <c r="R1930" s="304"/>
    </row>
    <row r="1931" spans="18:18">
      <c r="R1931" s="304"/>
    </row>
    <row r="1932" spans="18:18">
      <c r="R1932" s="304"/>
    </row>
    <row r="1933" spans="18:18">
      <c r="R1933" s="304"/>
    </row>
    <row r="1934" spans="18:18">
      <c r="R1934" s="304"/>
    </row>
    <row r="1935" spans="18:18">
      <c r="R1935" s="304"/>
    </row>
    <row r="1936" spans="18:18">
      <c r="R1936" s="304"/>
    </row>
    <row r="1937" spans="18:18">
      <c r="R1937" s="304"/>
    </row>
    <row r="1938" spans="18:18">
      <c r="R1938" s="304"/>
    </row>
    <row r="1939" spans="18:18">
      <c r="R1939" s="304"/>
    </row>
    <row r="1940" spans="18:18">
      <c r="R1940" s="304"/>
    </row>
    <row r="1941" spans="18:18">
      <c r="R1941" s="304"/>
    </row>
    <row r="1942" spans="18:18">
      <c r="R1942" s="304"/>
    </row>
    <row r="1943" spans="18:18">
      <c r="R1943" s="304"/>
    </row>
    <row r="1944" spans="18:18">
      <c r="R1944" s="304"/>
    </row>
    <row r="1945" spans="18:18">
      <c r="R1945" s="304"/>
    </row>
    <row r="1946" spans="18:18">
      <c r="R1946" s="304"/>
    </row>
    <row r="1947" spans="18:18">
      <c r="R1947" s="304"/>
    </row>
    <row r="1948" spans="18:18">
      <c r="R1948" s="304"/>
    </row>
    <row r="1949" spans="18:18">
      <c r="R1949" s="304"/>
    </row>
    <row r="1950" spans="18:18">
      <c r="R1950" s="304"/>
    </row>
    <row r="1951" spans="18:18">
      <c r="R1951" s="304"/>
    </row>
    <row r="1952" spans="18:18">
      <c r="R1952" s="304"/>
    </row>
    <row r="1953" spans="18:18">
      <c r="R1953" s="304"/>
    </row>
    <row r="1954" spans="18:18">
      <c r="R1954" s="304"/>
    </row>
    <row r="1955" spans="18:18">
      <c r="R1955" s="304"/>
    </row>
    <row r="1956" spans="18:18">
      <c r="R1956" s="304"/>
    </row>
    <row r="1957" spans="18:18">
      <c r="R1957" s="304"/>
    </row>
    <row r="1958" spans="18:18">
      <c r="R1958" s="304"/>
    </row>
    <row r="1959" spans="18:18">
      <c r="R1959" s="304"/>
    </row>
    <row r="1960" spans="18:18">
      <c r="R1960" s="304"/>
    </row>
    <row r="1961" spans="18:18">
      <c r="R1961" s="304"/>
    </row>
    <row r="1962" spans="18:18">
      <c r="R1962" s="304"/>
    </row>
    <row r="1963" spans="18:18">
      <c r="R1963" s="304"/>
    </row>
    <row r="1964" spans="18:18">
      <c r="R1964" s="304"/>
    </row>
    <row r="1965" spans="18:18">
      <c r="R1965" s="304"/>
    </row>
    <row r="1966" spans="18:18">
      <c r="R1966" s="304"/>
    </row>
    <row r="1967" spans="18:18">
      <c r="R1967" s="304"/>
    </row>
    <row r="1968" spans="18:18">
      <c r="R1968" s="304"/>
    </row>
    <row r="1969" spans="18:18">
      <c r="R1969" s="304"/>
    </row>
    <row r="1970" spans="18:18">
      <c r="R1970" s="304"/>
    </row>
    <row r="1971" spans="18:18">
      <c r="R1971" s="304"/>
    </row>
    <row r="1972" spans="18:18">
      <c r="R1972" s="304"/>
    </row>
    <row r="1973" spans="18:18">
      <c r="R1973" s="304"/>
    </row>
    <row r="1974" spans="18:18">
      <c r="R1974" s="304"/>
    </row>
    <row r="1975" spans="18:18">
      <c r="R1975" s="304"/>
    </row>
    <row r="1976" spans="18:18">
      <c r="R1976" s="304"/>
    </row>
    <row r="1977" spans="18:18">
      <c r="R1977" s="304"/>
    </row>
    <row r="1978" spans="18:18">
      <c r="R1978" s="304"/>
    </row>
    <row r="1979" spans="18:18">
      <c r="R1979" s="304"/>
    </row>
    <row r="1980" spans="18:18">
      <c r="R1980" s="304"/>
    </row>
    <row r="1981" spans="18:18">
      <c r="R1981" s="304"/>
    </row>
    <row r="1982" spans="18:18">
      <c r="R1982" s="304"/>
    </row>
    <row r="1983" spans="18:18">
      <c r="R1983" s="304"/>
    </row>
    <row r="1984" spans="18:18">
      <c r="R1984" s="304"/>
    </row>
    <row r="1985" spans="18:18">
      <c r="R1985" s="304"/>
    </row>
    <row r="1986" spans="18:18">
      <c r="R1986" s="304"/>
    </row>
    <row r="1987" spans="18:18">
      <c r="R1987" s="304"/>
    </row>
    <row r="1988" spans="18:18">
      <c r="R1988" s="304"/>
    </row>
    <row r="1989" spans="18:18">
      <c r="R1989" s="304"/>
    </row>
    <row r="1990" spans="18:18">
      <c r="R1990" s="304"/>
    </row>
    <row r="1991" spans="18:18">
      <c r="R1991" s="304"/>
    </row>
    <row r="1992" spans="18:18">
      <c r="R1992" s="304"/>
    </row>
    <row r="1993" spans="18:18">
      <c r="R1993" s="304"/>
    </row>
    <row r="1994" spans="18:18">
      <c r="R1994" s="304"/>
    </row>
    <row r="1995" spans="18:18">
      <c r="R1995" s="304"/>
    </row>
    <row r="1996" spans="18:18">
      <c r="R1996" s="304"/>
    </row>
    <row r="1997" spans="18:18">
      <c r="R1997" s="304"/>
    </row>
    <row r="1998" spans="18:18">
      <c r="R1998" s="304"/>
    </row>
    <row r="1999" spans="18:18">
      <c r="R1999" s="304"/>
    </row>
    <row r="2000" spans="18:18">
      <c r="R2000" s="304"/>
    </row>
    <row r="2001" spans="18:18">
      <c r="R2001" s="304"/>
    </row>
    <row r="2002" spans="18:18">
      <c r="R2002" s="304"/>
    </row>
    <row r="2003" spans="18:18">
      <c r="R2003" s="304"/>
    </row>
    <row r="2004" spans="18:18">
      <c r="R2004" s="304"/>
    </row>
    <row r="2005" spans="18:18">
      <c r="R2005" s="304"/>
    </row>
    <row r="2006" spans="18:18">
      <c r="R2006" s="304"/>
    </row>
    <row r="2007" spans="18:18">
      <c r="R2007" s="304"/>
    </row>
    <row r="2008" spans="18:18">
      <c r="R2008" s="304"/>
    </row>
    <row r="2009" spans="18:18">
      <c r="R2009" s="304"/>
    </row>
    <row r="2010" spans="18:18">
      <c r="R2010" s="304"/>
    </row>
    <row r="2011" spans="18:18">
      <c r="R2011" s="304"/>
    </row>
    <row r="2012" spans="18:18">
      <c r="R2012" s="304"/>
    </row>
    <row r="2013" spans="18:18">
      <c r="R2013" s="304"/>
    </row>
    <row r="2014" spans="18:18">
      <c r="R2014" s="304"/>
    </row>
    <row r="2015" spans="18:18">
      <c r="R2015" s="304"/>
    </row>
    <row r="2016" spans="18:18">
      <c r="R2016" s="304"/>
    </row>
    <row r="2017" spans="18:18">
      <c r="R2017" s="304"/>
    </row>
    <row r="2018" spans="18:18">
      <c r="R2018" s="304"/>
    </row>
    <row r="2019" spans="18:18">
      <c r="R2019" s="304"/>
    </row>
    <row r="2020" spans="18:18">
      <c r="R2020" s="304"/>
    </row>
    <row r="2021" spans="18:18">
      <c r="R2021" s="304"/>
    </row>
    <row r="2022" spans="18:18">
      <c r="R2022" s="304"/>
    </row>
    <row r="2023" spans="18:18">
      <c r="R2023" s="304"/>
    </row>
    <row r="2024" spans="18:18">
      <c r="R2024" s="304"/>
    </row>
    <row r="2025" spans="18:18">
      <c r="R2025" s="304"/>
    </row>
    <row r="2026" spans="18:18">
      <c r="R2026" s="304"/>
    </row>
    <row r="2027" spans="18:18">
      <c r="R2027" s="304"/>
    </row>
    <row r="2028" spans="18:18">
      <c r="R2028" s="304"/>
    </row>
    <row r="2029" spans="18:18">
      <c r="R2029" s="304"/>
    </row>
    <row r="2030" spans="18:18">
      <c r="R2030" s="304"/>
    </row>
    <row r="2031" spans="18:18">
      <c r="R2031" s="304"/>
    </row>
    <row r="2032" spans="18:18">
      <c r="R2032" s="304"/>
    </row>
    <row r="2033" spans="18:18">
      <c r="R2033" s="304"/>
    </row>
    <row r="2034" spans="18:18">
      <c r="R2034" s="304"/>
    </row>
    <row r="2035" spans="18:18">
      <c r="R2035" s="304"/>
    </row>
    <row r="2036" spans="18:18">
      <c r="R2036" s="304"/>
    </row>
    <row r="2037" spans="18:18">
      <c r="R2037" s="304"/>
    </row>
    <row r="2038" spans="18:18">
      <c r="R2038" s="304"/>
    </row>
    <row r="2039" spans="18:18">
      <c r="R2039" s="304"/>
    </row>
    <row r="2040" spans="18:18">
      <c r="R2040" s="304"/>
    </row>
    <row r="2041" spans="18:18">
      <c r="R2041" s="304"/>
    </row>
    <row r="2042" spans="18:18">
      <c r="R2042" s="304"/>
    </row>
    <row r="2043" spans="18:18">
      <c r="R2043" s="304"/>
    </row>
    <row r="2044" spans="18:18">
      <c r="R2044" s="304"/>
    </row>
    <row r="2045" spans="18:18">
      <c r="R2045" s="304"/>
    </row>
    <row r="2046" spans="18:18">
      <c r="R2046" s="304"/>
    </row>
    <row r="2047" spans="18:18">
      <c r="R2047" s="304"/>
    </row>
    <row r="2048" spans="18:18">
      <c r="R2048" s="304"/>
    </row>
    <row r="2049" spans="18:18">
      <c r="R2049" s="304"/>
    </row>
    <row r="2050" spans="18:18">
      <c r="R2050" s="304"/>
    </row>
    <row r="2051" spans="18:18">
      <c r="R2051" s="304"/>
    </row>
    <row r="2052" spans="18:18">
      <c r="R2052" s="304"/>
    </row>
    <row r="2053" spans="18:18">
      <c r="R2053" s="304"/>
    </row>
    <row r="2054" spans="18:18">
      <c r="R2054" s="304"/>
    </row>
    <row r="2055" spans="18:18">
      <c r="R2055" s="304"/>
    </row>
    <row r="2056" spans="18:18">
      <c r="R2056" s="304"/>
    </row>
    <row r="2057" spans="18:18">
      <c r="R2057" s="304"/>
    </row>
    <row r="2058" spans="18:18">
      <c r="R2058" s="304"/>
    </row>
    <row r="2059" spans="18:18">
      <c r="R2059" s="304"/>
    </row>
    <row r="2060" spans="18:18">
      <c r="R2060" s="304"/>
    </row>
    <row r="2061" spans="18:18">
      <c r="R2061" s="304"/>
    </row>
    <row r="2062" spans="18:18">
      <c r="R2062" s="304"/>
    </row>
    <row r="2063" spans="18:18">
      <c r="R2063" s="304"/>
    </row>
    <row r="2064" spans="18:18">
      <c r="R2064" s="304"/>
    </row>
    <row r="2065" spans="18:18">
      <c r="R2065" s="304"/>
    </row>
    <row r="2066" spans="18:18">
      <c r="R2066" s="304"/>
    </row>
    <row r="2067" spans="18:18">
      <c r="R2067" s="304"/>
    </row>
    <row r="2068" spans="18:18">
      <c r="R2068" s="304"/>
    </row>
    <row r="2069" spans="18:18">
      <c r="R2069" s="304"/>
    </row>
    <row r="2070" spans="18:18">
      <c r="R2070" s="304"/>
    </row>
    <row r="2071" spans="18:18">
      <c r="R2071" s="304"/>
    </row>
    <row r="2072" spans="18:18">
      <c r="R2072" s="304"/>
    </row>
    <row r="2073" spans="18:18">
      <c r="R2073" s="304"/>
    </row>
    <row r="2074" spans="18:18">
      <c r="R2074" s="304"/>
    </row>
    <row r="2075" spans="18:18">
      <c r="R2075" s="304"/>
    </row>
    <row r="2076" spans="18:18">
      <c r="R2076" s="304"/>
    </row>
    <row r="2077" spans="18:18">
      <c r="R2077" s="304"/>
    </row>
    <row r="2078" spans="18:18">
      <c r="R2078" s="304"/>
    </row>
    <row r="2079" spans="18:18">
      <c r="R2079" s="304"/>
    </row>
    <row r="2080" spans="18:18">
      <c r="R2080" s="304"/>
    </row>
    <row r="2081" spans="18:18">
      <c r="R2081" s="304"/>
    </row>
    <row r="2082" spans="18:18">
      <c r="R2082" s="304"/>
    </row>
    <row r="2083" spans="18:18">
      <c r="R2083" s="304"/>
    </row>
    <row r="2084" spans="18:18">
      <c r="R2084" s="304"/>
    </row>
    <row r="2085" spans="18:18">
      <c r="R2085" s="304"/>
    </row>
    <row r="2086" spans="18:18">
      <c r="R2086" s="304"/>
    </row>
    <row r="2087" spans="18:18">
      <c r="R2087" s="304"/>
    </row>
    <row r="2088" spans="18:18">
      <c r="R2088" s="304"/>
    </row>
    <row r="2089" spans="18:18">
      <c r="R2089" s="304"/>
    </row>
    <row r="2090" spans="18:18">
      <c r="R2090" s="304"/>
    </row>
    <row r="2091" spans="18:18">
      <c r="R2091" s="304"/>
    </row>
    <row r="2092" spans="18:18">
      <c r="R2092" s="304"/>
    </row>
    <row r="2093" spans="18:18">
      <c r="R2093" s="304"/>
    </row>
    <row r="2094" spans="18:18">
      <c r="R2094" s="304"/>
    </row>
    <row r="2095" spans="18:18">
      <c r="R2095" s="304"/>
    </row>
    <row r="2096" spans="18:18">
      <c r="R2096" s="304"/>
    </row>
    <row r="2097" spans="18:18">
      <c r="R2097" s="304"/>
    </row>
    <row r="2098" spans="18:18">
      <c r="R2098" s="304"/>
    </row>
    <row r="2099" spans="18:18">
      <c r="R2099" s="304"/>
    </row>
    <row r="2100" spans="18:18">
      <c r="R2100" s="304"/>
    </row>
    <row r="2101" spans="18:18">
      <c r="R2101" s="304"/>
    </row>
    <row r="2102" spans="18:18">
      <c r="R2102" s="304"/>
    </row>
    <row r="2103" spans="18:18">
      <c r="R2103" s="304"/>
    </row>
    <row r="2104" spans="18:18">
      <c r="R2104" s="304"/>
    </row>
    <row r="2105" spans="18:18">
      <c r="R2105" s="304"/>
    </row>
    <row r="2106" spans="18:18">
      <c r="R2106" s="304"/>
    </row>
    <row r="2107" spans="18:18">
      <c r="R2107" s="304"/>
    </row>
    <row r="2108" spans="18:18">
      <c r="R2108" s="304"/>
    </row>
    <row r="2109" spans="18:18">
      <c r="R2109" s="304"/>
    </row>
    <row r="2110" spans="18:18">
      <c r="R2110" s="304"/>
    </row>
    <row r="2111" spans="18:18">
      <c r="R2111" s="304"/>
    </row>
    <row r="2112" spans="18:18">
      <c r="R2112" s="304"/>
    </row>
    <row r="2113" spans="18:18">
      <c r="R2113" s="304"/>
    </row>
    <row r="2114" spans="18:18">
      <c r="R2114" s="304"/>
    </row>
    <row r="2115" spans="18:18">
      <c r="R2115" s="304"/>
    </row>
    <row r="2116" spans="18:18">
      <c r="R2116" s="304"/>
    </row>
    <row r="2117" spans="18:18">
      <c r="R2117" s="304"/>
    </row>
    <row r="2118" spans="18:18">
      <c r="R2118" s="304"/>
    </row>
    <row r="2119" spans="18:18">
      <c r="R2119" s="304"/>
    </row>
    <row r="2120" spans="18:18">
      <c r="R2120" s="304"/>
    </row>
    <row r="2121" spans="18:18">
      <c r="R2121" s="304"/>
    </row>
    <row r="2122" spans="18:18">
      <c r="R2122" s="304"/>
    </row>
    <row r="2123" spans="18:18">
      <c r="R2123" s="304"/>
    </row>
    <row r="2124" spans="18:18">
      <c r="R2124" s="304"/>
    </row>
    <row r="2125" spans="18:18">
      <c r="R2125" s="304"/>
    </row>
    <row r="2126" spans="18:18">
      <c r="R2126" s="304"/>
    </row>
    <row r="2127" spans="18:18">
      <c r="R2127" s="304"/>
    </row>
    <row r="2128" spans="18:18">
      <c r="R2128" s="304"/>
    </row>
    <row r="2129" spans="18:18">
      <c r="R2129" s="304"/>
    </row>
    <row r="2130" spans="18:18">
      <c r="R2130" s="304"/>
    </row>
    <row r="2131" spans="18:18">
      <c r="R2131" s="304"/>
    </row>
    <row r="2132" spans="18:18">
      <c r="R2132" s="304"/>
    </row>
    <row r="2133" spans="18:18">
      <c r="R2133" s="304"/>
    </row>
    <row r="2134" spans="18:18">
      <c r="R2134" s="304"/>
    </row>
    <row r="2135" spans="18:18">
      <c r="R2135" s="304"/>
    </row>
    <row r="2136" spans="18:18">
      <c r="R2136" s="304"/>
    </row>
    <row r="2137" spans="18:18">
      <c r="R2137" s="304"/>
    </row>
    <row r="2138" spans="18:18">
      <c r="R2138" s="304"/>
    </row>
    <row r="2139" spans="18:18">
      <c r="R2139" s="304"/>
    </row>
    <row r="2140" spans="18:18">
      <c r="R2140" s="304"/>
    </row>
    <row r="2141" spans="18:18">
      <c r="R2141" s="304"/>
    </row>
    <row r="2142" spans="18:18">
      <c r="R2142" s="304"/>
    </row>
    <row r="2143" spans="18:18">
      <c r="R2143" s="304"/>
    </row>
    <row r="2144" spans="18:18">
      <c r="R2144" s="304"/>
    </row>
    <row r="2145" spans="18:18">
      <c r="R2145" s="304"/>
    </row>
    <row r="2146" spans="18:18">
      <c r="R2146" s="304"/>
    </row>
    <row r="2147" spans="18:18">
      <c r="R2147" s="304"/>
    </row>
    <row r="2148" spans="18:18">
      <c r="R2148" s="304"/>
    </row>
    <row r="2149" spans="18:18">
      <c r="R2149" s="304"/>
    </row>
    <row r="2150" spans="18:18">
      <c r="R2150" s="304"/>
    </row>
    <row r="2151" spans="18:18">
      <c r="R2151" s="304"/>
    </row>
    <row r="2152" spans="18:18">
      <c r="R2152" s="304"/>
    </row>
    <row r="2153" spans="18:18">
      <c r="R2153" s="304"/>
    </row>
    <row r="2154" spans="18:18">
      <c r="R2154" s="304"/>
    </row>
    <row r="2155" spans="18:18">
      <c r="R2155" s="304"/>
    </row>
    <row r="2156" spans="18:18">
      <c r="R2156" s="304"/>
    </row>
    <row r="2157" spans="18:18">
      <c r="R2157" s="304"/>
    </row>
    <row r="2158" spans="18:18">
      <c r="R2158" s="304"/>
    </row>
    <row r="2159" spans="18:18">
      <c r="R2159" s="304"/>
    </row>
    <row r="2160" spans="18:18">
      <c r="R2160" s="304"/>
    </row>
    <row r="2161" spans="18:18">
      <c r="R2161" s="304"/>
    </row>
    <row r="2162" spans="18:18">
      <c r="R2162" s="304"/>
    </row>
    <row r="2163" spans="18:18">
      <c r="R2163" s="304"/>
    </row>
    <row r="2164" spans="18:18">
      <c r="R2164" s="304"/>
    </row>
    <row r="2165" spans="18:18">
      <c r="R2165" s="304"/>
    </row>
    <row r="2166" spans="18:18">
      <c r="R2166" s="304"/>
    </row>
    <row r="2167" spans="18:18">
      <c r="R2167" s="304"/>
    </row>
    <row r="2168" spans="18:18">
      <c r="R2168" s="304"/>
    </row>
    <row r="2169" spans="18:18">
      <c r="R2169" s="304"/>
    </row>
    <row r="2170" spans="18:18">
      <c r="R2170" s="304"/>
    </row>
    <row r="2171" spans="18:18">
      <c r="R2171" s="304"/>
    </row>
    <row r="2172" spans="18:18">
      <c r="R2172" s="304"/>
    </row>
    <row r="2173" spans="18:18">
      <c r="R2173" s="304"/>
    </row>
    <row r="2174" spans="18:18">
      <c r="R2174" s="304"/>
    </row>
    <row r="2175" spans="18:18">
      <c r="R2175" s="304"/>
    </row>
    <row r="2176" spans="18:18">
      <c r="R2176" s="304"/>
    </row>
    <row r="2177" spans="18:18">
      <c r="R2177" s="304"/>
    </row>
    <row r="2178" spans="18:18">
      <c r="R2178" s="304"/>
    </row>
    <row r="2179" spans="18:18">
      <c r="R2179" s="304"/>
    </row>
    <row r="2180" spans="18:18">
      <c r="R2180" s="304"/>
    </row>
    <row r="2181" spans="18:18">
      <c r="R2181" s="304"/>
    </row>
    <row r="2182" spans="18:18">
      <c r="R2182" s="304"/>
    </row>
    <row r="2183" spans="18:18">
      <c r="R2183" s="304"/>
    </row>
    <row r="2184" spans="18:18">
      <c r="R2184" s="304"/>
    </row>
    <row r="2185" spans="18:18">
      <c r="R2185" s="304"/>
    </row>
    <row r="2186" spans="18:18">
      <c r="R2186" s="304"/>
    </row>
    <row r="2187" spans="18:18">
      <c r="R2187" s="304"/>
    </row>
    <row r="2188" spans="18:18">
      <c r="R2188" s="304"/>
    </row>
    <row r="2189" spans="18:18">
      <c r="R2189" s="304"/>
    </row>
    <row r="2190" spans="18:18">
      <c r="R2190" s="304"/>
    </row>
    <row r="2191" spans="18:18">
      <c r="R2191" s="304"/>
    </row>
    <row r="2192" spans="18:18">
      <c r="R2192" s="304"/>
    </row>
    <row r="2193" spans="18:18">
      <c r="R2193" s="304"/>
    </row>
    <row r="2194" spans="18:18">
      <c r="R2194" s="304"/>
    </row>
    <row r="2195" spans="18:18">
      <c r="R2195" s="304"/>
    </row>
    <row r="2196" spans="18:18">
      <c r="R2196" s="304"/>
    </row>
    <row r="2197" spans="18:18">
      <c r="R2197" s="304"/>
    </row>
    <row r="2198" spans="18:18">
      <c r="R2198" s="304"/>
    </row>
    <row r="2199" spans="18:18">
      <c r="R2199" s="304"/>
    </row>
    <row r="2200" spans="18:18">
      <c r="R2200" s="304"/>
    </row>
    <row r="2201" spans="18:18">
      <c r="R2201" s="304"/>
    </row>
    <row r="2202" spans="18:18">
      <c r="R2202" s="304"/>
    </row>
    <row r="2203" spans="18:18">
      <c r="R2203" s="304"/>
    </row>
    <row r="2204" spans="18:18">
      <c r="R2204" s="304"/>
    </row>
    <row r="2205" spans="18:18">
      <c r="R2205" s="304"/>
    </row>
    <row r="2206" spans="18:18">
      <c r="R2206" s="304"/>
    </row>
    <row r="2207" spans="18:18">
      <c r="R2207" s="304"/>
    </row>
    <row r="2208" spans="18:18">
      <c r="R2208" s="304"/>
    </row>
    <row r="2209" spans="18:18">
      <c r="R2209" s="304"/>
    </row>
    <row r="2210" spans="18:18">
      <c r="R2210" s="304"/>
    </row>
    <row r="2211" spans="18:18">
      <c r="R2211" s="304"/>
    </row>
    <row r="2212" spans="18:18">
      <c r="R2212" s="304"/>
    </row>
    <row r="2213" spans="18:18">
      <c r="R2213" s="304"/>
    </row>
    <row r="2214" spans="18:18">
      <c r="R2214" s="304"/>
    </row>
    <row r="2215" spans="18:18">
      <c r="R2215" s="304"/>
    </row>
    <row r="2216" spans="18:18">
      <c r="R2216" s="304"/>
    </row>
    <row r="2217" spans="18:18">
      <c r="R2217" s="304"/>
    </row>
    <row r="2218" spans="18:18">
      <c r="R2218" s="304"/>
    </row>
    <row r="2219" spans="18:18">
      <c r="R2219" s="304"/>
    </row>
    <row r="2220" spans="18:18">
      <c r="R2220" s="304"/>
    </row>
    <row r="2221" spans="18:18">
      <c r="R2221" s="304"/>
    </row>
    <row r="2222" spans="18:18">
      <c r="R2222" s="304"/>
    </row>
    <row r="2223" spans="18:18">
      <c r="R2223" s="304"/>
    </row>
    <row r="2224" spans="18:18">
      <c r="R2224" s="304"/>
    </row>
    <row r="2225" spans="18:18">
      <c r="R2225" s="304"/>
    </row>
    <row r="2226" spans="18:18">
      <c r="R2226" s="304"/>
    </row>
    <row r="2227" spans="18:18">
      <c r="R2227" s="304"/>
    </row>
    <row r="2228" spans="18:18">
      <c r="R2228" s="304"/>
    </row>
    <row r="2229" spans="18:18">
      <c r="R2229" s="304"/>
    </row>
    <row r="2230" spans="18:18">
      <c r="R2230" s="304"/>
    </row>
    <row r="2231" spans="18:18">
      <c r="R2231" s="304"/>
    </row>
    <row r="2232" spans="18:18">
      <c r="R2232" s="304"/>
    </row>
    <row r="2233" spans="18:18">
      <c r="R2233" s="304"/>
    </row>
    <row r="2234" spans="18:18">
      <c r="R2234" s="304"/>
    </row>
    <row r="2235" spans="18:18">
      <c r="R2235" s="304"/>
    </row>
    <row r="2236" spans="18:18">
      <c r="R2236" s="304"/>
    </row>
    <row r="2237" spans="18:18">
      <c r="R2237" s="304"/>
    </row>
    <row r="2238" spans="18:18">
      <c r="R2238" s="304"/>
    </row>
    <row r="2239" spans="18:18">
      <c r="R2239" s="304"/>
    </row>
    <row r="2240" spans="18:18">
      <c r="R2240" s="304"/>
    </row>
    <row r="2241" spans="18:18">
      <c r="R2241" s="304"/>
    </row>
    <row r="2242" spans="18:18">
      <c r="R2242" s="304"/>
    </row>
    <row r="2243" spans="18:18">
      <c r="R2243" s="304"/>
    </row>
    <row r="2244" spans="18:18">
      <c r="R2244" s="304"/>
    </row>
    <row r="2245" spans="18:18">
      <c r="R2245" s="304"/>
    </row>
    <row r="2246" spans="18:18">
      <c r="R2246" s="304"/>
    </row>
    <row r="2247" spans="18:18">
      <c r="R2247" s="304"/>
    </row>
    <row r="2248" spans="18:18">
      <c r="R2248" s="304"/>
    </row>
    <row r="2249" spans="18:18">
      <c r="R2249" s="304"/>
    </row>
    <row r="2250" spans="18:18">
      <c r="R2250" s="304"/>
    </row>
    <row r="2251" spans="18:18">
      <c r="R2251" s="304"/>
    </row>
    <row r="2252" spans="18:18">
      <c r="R2252" s="304"/>
    </row>
    <row r="2253" spans="18:18">
      <c r="R2253" s="304"/>
    </row>
    <row r="2254" spans="18:18">
      <c r="R2254" s="304"/>
    </row>
    <row r="2255" spans="18:18">
      <c r="R2255" s="304"/>
    </row>
    <row r="2256" spans="18:18">
      <c r="R2256" s="304"/>
    </row>
    <row r="2257" spans="18:18">
      <c r="R2257" s="304"/>
    </row>
    <row r="2258" spans="18:18">
      <c r="R2258" s="304"/>
    </row>
    <row r="2259" spans="18:18">
      <c r="R2259" s="304"/>
    </row>
    <row r="2260" spans="18:18">
      <c r="R2260" s="304"/>
    </row>
    <row r="2261" spans="18:18">
      <c r="R2261" s="304"/>
    </row>
    <row r="2262" spans="18:18">
      <c r="R2262" s="304"/>
    </row>
    <row r="2263" spans="18:18">
      <c r="R2263" s="304"/>
    </row>
    <row r="2264" spans="18:18">
      <c r="R2264" s="304"/>
    </row>
    <row r="2265" spans="18:18">
      <c r="R2265" s="304"/>
    </row>
    <row r="2266" spans="18:18">
      <c r="R2266" s="304"/>
    </row>
    <row r="2267" spans="18:18">
      <c r="R2267" s="304"/>
    </row>
    <row r="2268" spans="18:18">
      <c r="R2268" s="304"/>
    </row>
    <row r="2269" spans="18:18">
      <c r="R2269" s="304"/>
    </row>
    <row r="2270" spans="18:18">
      <c r="R2270" s="304"/>
    </row>
    <row r="2271" spans="18:18">
      <c r="R2271" s="304"/>
    </row>
    <row r="2272" spans="18:18">
      <c r="R2272" s="304"/>
    </row>
    <row r="2273" spans="18:18">
      <c r="R2273" s="304"/>
    </row>
    <row r="2274" spans="18:18">
      <c r="R2274" s="304"/>
    </row>
    <row r="2275" spans="18:18">
      <c r="R2275" s="304"/>
    </row>
    <row r="2276" spans="18:18">
      <c r="R2276" s="304"/>
    </row>
    <row r="2277" spans="18:18">
      <c r="R2277" s="304"/>
    </row>
    <row r="2278" spans="18:18">
      <c r="R2278" s="304"/>
    </row>
    <row r="2279" spans="18:18">
      <c r="R2279" s="304"/>
    </row>
    <row r="2280" spans="18:18">
      <c r="R2280" s="304"/>
    </row>
    <row r="2281" spans="18:18">
      <c r="R2281" s="304"/>
    </row>
    <row r="2282" spans="18:18">
      <c r="R2282" s="304"/>
    </row>
    <row r="2283" spans="18:18">
      <c r="R2283" s="304"/>
    </row>
    <row r="2284" spans="18:18">
      <c r="R2284" s="304"/>
    </row>
    <row r="2285" spans="18:18">
      <c r="R2285" s="304"/>
    </row>
    <row r="2286" spans="18:18">
      <c r="R2286" s="304"/>
    </row>
    <row r="2287" spans="18:18">
      <c r="R2287" s="304"/>
    </row>
    <row r="2288" spans="18:18">
      <c r="R2288" s="304"/>
    </row>
    <row r="2289" spans="18:18">
      <c r="R2289" s="304"/>
    </row>
    <row r="2290" spans="18:18">
      <c r="R2290" s="304"/>
    </row>
    <row r="2291" spans="18:18">
      <c r="R2291" s="304"/>
    </row>
    <row r="2292" spans="18:18">
      <c r="R2292" s="304"/>
    </row>
    <row r="2293" spans="18:18">
      <c r="R2293" s="304"/>
    </row>
    <row r="2294" spans="18:18">
      <c r="R2294" s="304"/>
    </row>
    <row r="2295" spans="18:18">
      <c r="R2295" s="304"/>
    </row>
    <row r="2296" spans="18:18">
      <c r="R2296" s="304"/>
    </row>
    <row r="2297" spans="18:18">
      <c r="R2297" s="304"/>
    </row>
    <row r="2298" spans="18:18">
      <c r="R2298" s="304"/>
    </row>
    <row r="2299" spans="18:18">
      <c r="R2299" s="304"/>
    </row>
    <row r="2300" spans="18:18">
      <c r="R2300" s="304"/>
    </row>
    <row r="2301" spans="18:18">
      <c r="R2301" s="304"/>
    </row>
    <row r="2302" spans="18:18">
      <c r="R2302" s="304"/>
    </row>
    <row r="2303" spans="18:18">
      <c r="R2303" s="304"/>
    </row>
    <row r="2304" spans="18:18">
      <c r="R2304" s="304"/>
    </row>
    <row r="2305" spans="18:18">
      <c r="R2305" s="304"/>
    </row>
    <row r="2306" spans="18:18">
      <c r="R2306" s="304"/>
    </row>
    <row r="2307" spans="18:18">
      <c r="R2307" s="304"/>
    </row>
    <row r="2308" spans="18:18">
      <c r="R2308" s="304"/>
    </row>
    <row r="2309" spans="18:18">
      <c r="R2309" s="304"/>
    </row>
    <row r="2310" spans="18:18">
      <c r="R2310" s="304"/>
    </row>
    <row r="2311" spans="18:18">
      <c r="R2311" s="304"/>
    </row>
    <row r="2312" spans="18:18">
      <c r="R2312" s="304"/>
    </row>
    <row r="2313" spans="18:18">
      <c r="R2313" s="304"/>
    </row>
    <row r="2314" spans="18:18">
      <c r="R2314" s="304"/>
    </row>
    <row r="2315" spans="18:18">
      <c r="R2315" s="304"/>
    </row>
    <row r="2316" spans="18:18">
      <c r="R2316" s="304"/>
    </row>
    <row r="2317" spans="18:18">
      <c r="R2317" s="304"/>
    </row>
    <row r="2318" spans="18:18">
      <c r="R2318" s="304"/>
    </row>
    <row r="2319" spans="18:18">
      <c r="R2319" s="304"/>
    </row>
    <row r="2320" spans="18:18">
      <c r="R2320" s="304"/>
    </row>
    <row r="2321" spans="18:18">
      <c r="R2321" s="304"/>
    </row>
    <row r="2322" spans="18:18">
      <c r="R2322" s="304"/>
    </row>
    <row r="2323" spans="18:18">
      <c r="R2323" s="304"/>
    </row>
    <row r="2324" spans="18:18">
      <c r="R2324" s="304"/>
    </row>
    <row r="2325" spans="18:18">
      <c r="R2325" s="304"/>
    </row>
    <row r="2326" spans="18:18">
      <c r="R2326" s="304"/>
    </row>
    <row r="2327" spans="18:18">
      <c r="R2327" s="304"/>
    </row>
    <row r="2328" spans="18:18">
      <c r="R2328" s="304"/>
    </row>
    <row r="2329" spans="18:18">
      <c r="R2329" s="304"/>
    </row>
    <row r="2330" spans="18:18">
      <c r="R2330" s="304"/>
    </row>
    <row r="2331" spans="18:18">
      <c r="R2331" s="304"/>
    </row>
    <row r="2332" spans="18:18">
      <c r="R2332" s="304"/>
    </row>
    <row r="2333" spans="18:18">
      <c r="R2333" s="304"/>
    </row>
    <row r="2334" spans="18:18">
      <c r="R2334" s="304"/>
    </row>
    <row r="2335" spans="18:18">
      <c r="R2335" s="304"/>
    </row>
    <row r="2336" spans="18:18">
      <c r="R2336" s="304"/>
    </row>
    <row r="2337" spans="18:18">
      <c r="R2337" s="304"/>
    </row>
    <row r="2338" spans="18:18">
      <c r="R2338" s="304"/>
    </row>
    <row r="2339" spans="18:18">
      <c r="R2339" s="304"/>
    </row>
    <row r="2340" spans="18:18">
      <c r="R2340" s="304"/>
    </row>
    <row r="2341" spans="18:18">
      <c r="R2341" s="304"/>
    </row>
    <row r="2342" spans="18:18">
      <c r="R2342" s="304"/>
    </row>
    <row r="2343" spans="18:18">
      <c r="R2343" s="304"/>
    </row>
    <row r="2344" spans="18:18">
      <c r="R2344" s="304"/>
    </row>
    <row r="2345" spans="18:18">
      <c r="R2345" s="304"/>
    </row>
    <row r="2346" spans="18:18">
      <c r="R2346" s="304"/>
    </row>
    <row r="2347" spans="18:18">
      <c r="R2347" s="304"/>
    </row>
    <row r="2348" spans="18:18">
      <c r="R2348" s="304"/>
    </row>
    <row r="2349" spans="18:18">
      <c r="R2349" s="304"/>
    </row>
    <row r="2350" spans="18:18">
      <c r="R2350" s="304"/>
    </row>
    <row r="2351" spans="18:18">
      <c r="R2351" s="304"/>
    </row>
    <row r="2352" spans="18:18">
      <c r="R2352" s="304"/>
    </row>
    <row r="2353" spans="18:18">
      <c r="R2353" s="304"/>
    </row>
    <row r="2354" spans="18:18">
      <c r="R2354" s="304"/>
    </row>
    <row r="2355" spans="18:18">
      <c r="R2355" s="304"/>
    </row>
    <row r="2356" spans="18:18">
      <c r="R2356" s="304"/>
    </row>
    <row r="2357" spans="18:18">
      <c r="R2357" s="304"/>
    </row>
    <row r="2358" spans="18:18">
      <c r="R2358" s="304"/>
    </row>
    <row r="2359" spans="18:18">
      <c r="R2359" s="304"/>
    </row>
    <row r="2360" spans="18:18">
      <c r="R2360" s="304"/>
    </row>
    <row r="2361" spans="18:18">
      <c r="R2361" s="304"/>
    </row>
    <row r="2362" spans="18:18">
      <c r="R2362" s="304"/>
    </row>
    <row r="2363" spans="18:18">
      <c r="R2363" s="304"/>
    </row>
    <row r="2364" spans="18:18">
      <c r="R2364" s="304"/>
    </row>
    <row r="2365" spans="18:18">
      <c r="R2365" s="304"/>
    </row>
    <row r="2366" spans="18:18">
      <c r="R2366" s="304"/>
    </row>
    <row r="2367" spans="18:18">
      <c r="R2367" s="304"/>
    </row>
    <row r="2368" spans="18:18">
      <c r="R2368" s="304"/>
    </row>
    <row r="2369" spans="18:18">
      <c r="R2369" s="304"/>
    </row>
    <row r="2370" spans="18:18">
      <c r="R2370" s="304"/>
    </row>
    <row r="2371" spans="18:18">
      <c r="R2371" s="304"/>
    </row>
    <row r="2372" spans="18:18">
      <c r="R2372" s="304"/>
    </row>
    <row r="2373" spans="18:18">
      <c r="R2373" s="304"/>
    </row>
    <row r="2374" spans="18:18">
      <c r="R2374" s="304"/>
    </row>
    <row r="2375" spans="18:18">
      <c r="R2375" s="304"/>
    </row>
    <row r="2376" spans="18:18">
      <c r="R2376" s="304"/>
    </row>
    <row r="2377" spans="18:18">
      <c r="R2377" s="304"/>
    </row>
    <row r="2378" spans="18:18">
      <c r="R2378" s="304"/>
    </row>
    <row r="2379" spans="18:18">
      <c r="R2379" s="304"/>
    </row>
    <row r="2380" spans="18:18">
      <c r="R2380" s="304"/>
    </row>
    <row r="2381" spans="18:18">
      <c r="R2381" s="304"/>
    </row>
    <row r="2382" spans="18:18">
      <c r="R2382" s="304"/>
    </row>
    <row r="2383" spans="18:18">
      <c r="R2383" s="304"/>
    </row>
    <row r="2384" spans="18:18">
      <c r="R2384" s="304"/>
    </row>
    <row r="2385" spans="18:18">
      <c r="R2385" s="304"/>
    </row>
    <row r="2386" spans="18:18">
      <c r="R2386" s="304"/>
    </row>
    <row r="2387" spans="18:18">
      <c r="R2387" s="304"/>
    </row>
    <row r="2388" spans="18:18">
      <c r="R2388" s="304"/>
    </row>
    <row r="2389" spans="18:18">
      <c r="R2389" s="304"/>
    </row>
    <row r="2390" spans="18:18">
      <c r="R2390" s="304"/>
    </row>
    <row r="2391" spans="18:18">
      <c r="R2391" s="304"/>
    </row>
    <row r="2392" spans="18:18">
      <c r="R2392" s="304"/>
    </row>
    <row r="2393" spans="18:18">
      <c r="R2393" s="304"/>
    </row>
    <row r="2394" spans="18:18">
      <c r="R2394" s="304"/>
    </row>
    <row r="2395" spans="18:18">
      <c r="R2395" s="304"/>
    </row>
    <row r="2396" spans="18:18">
      <c r="R2396" s="304"/>
    </row>
    <row r="2397" spans="18:18">
      <c r="R2397" s="304"/>
    </row>
    <row r="2398" spans="18:18">
      <c r="R2398" s="304"/>
    </row>
    <row r="2399" spans="18:18">
      <c r="R2399" s="304"/>
    </row>
    <row r="2400" spans="18:18">
      <c r="R2400" s="304"/>
    </row>
    <row r="2401" spans="18:18">
      <c r="R2401" s="304"/>
    </row>
    <row r="2402" spans="18:18">
      <c r="R2402" s="304"/>
    </row>
    <row r="2403" spans="18:18">
      <c r="R2403" s="304"/>
    </row>
    <row r="2404" spans="18:18">
      <c r="R2404" s="304"/>
    </row>
    <row r="2405" spans="18:18">
      <c r="R2405" s="304"/>
    </row>
    <row r="2406" spans="18:18">
      <c r="R2406" s="304"/>
    </row>
    <row r="2407" spans="18:18">
      <c r="R2407" s="304"/>
    </row>
    <row r="2408" spans="18:18">
      <c r="R2408" s="304"/>
    </row>
    <row r="2409" spans="18:18">
      <c r="R2409" s="304"/>
    </row>
    <row r="2410" spans="18:18">
      <c r="R2410" s="304"/>
    </row>
    <row r="2411" spans="18:18">
      <c r="R2411" s="304"/>
    </row>
    <row r="2412" spans="18:18">
      <c r="R2412" s="304"/>
    </row>
    <row r="2413" spans="18:18">
      <c r="R2413" s="304"/>
    </row>
    <row r="2414" spans="18:18">
      <c r="R2414" s="304"/>
    </row>
    <row r="2415" spans="18:18">
      <c r="R2415" s="304"/>
    </row>
    <row r="2416" spans="18:18">
      <c r="R2416" s="304"/>
    </row>
    <row r="2417" spans="18:18">
      <c r="R2417" s="304"/>
    </row>
    <row r="2418" spans="18:18">
      <c r="R2418" s="304"/>
    </row>
    <row r="2419" spans="18:18">
      <c r="R2419" s="304"/>
    </row>
    <row r="2420" spans="18:18">
      <c r="R2420" s="304"/>
    </row>
    <row r="2421" spans="18:18">
      <c r="R2421" s="304"/>
    </row>
    <row r="2422" spans="18:18">
      <c r="R2422" s="304"/>
    </row>
    <row r="2423" spans="18:18">
      <c r="R2423" s="304"/>
    </row>
    <row r="2424" spans="18:18">
      <c r="R2424" s="304"/>
    </row>
    <row r="2425" spans="18:18">
      <c r="R2425" s="304"/>
    </row>
    <row r="2426" spans="18:18">
      <c r="R2426" s="304"/>
    </row>
    <row r="2427" spans="18:18">
      <c r="R2427" s="304"/>
    </row>
    <row r="2428" spans="18:18">
      <c r="R2428" s="304"/>
    </row>
    <row r="2429" spans="18:18">
      <c r="R2429" s="304"/>
    </row>
    <row r="2430" spans="18:18">
      <c r="R2430" s="304"/>
    </row>
    <row r="2431" spans="18:18">
      <c r="R2431" s="304"/>
    </row>
    <row r="2432" spans="18:18">
      <c r="R2432" s="304"/>
    </row>
    <row r="2433" spans="18:18">
      <c r="R2433" s="304"/>
    </row>
    <row r="2434" spans="18:18">
      <c r="R2434" s="304"/>
    </row>
    <row r="2435" spans="18:18">
      <c r="R2435" s="304"/>
    </row>
    <row r="2436" spans="18:18">
      <c r="R2436" s="304"/>
    </row>
    <row r="2437" spans="18:18">
      <c r="R2437" s="304"/>
    </row>
    <row r="2438" spans="18:18">
      <c r="R2438" s="304"/>
    </row>
    <row r="2439" spans="18:18">
      <c r="R2439" s="304"/>
    </row>
    <row r="2440" spans="18:18">
      <c r="R2440" s="304"/>
    </row>
    <row r="2441" spans="18:18">
      <c r="R2441" s="304"/>
    </row>
    <row r="2442" spans="18:18">
      <c r="R2442" s="304"/>
    </row>
    <row r="2443" spans="18:18">
      <c r="R2443" s="304"/>
    </row>
    <row r="2444" spans="18:18">
      <c r="R2444" s="304"/>
    </row>
    <row r="2445" spans="18:18">
      <c r="R2445" s="304"/>
    </row>
    <row r="2446" spans="18:18">
      <c r="R2446" s="304"/>
    </row>
    <row r="2447" spans="18:18">
      <c r="R2447" s="304"/>
    </row>
    <row r="2448" spans="18:18">
      <c r="R2448" s="304"/>
    </row>
    <row r="2449" spans="18:18">
      <c r="R2449" s="304"/>
    </row>
    <row r="2450" spans="18:18">
      <c r="R2450" s="304"/>
    </row>
    <row r="2451" spans="18:18">
      <c r="R2451" s="304"/>
    </row>
    <row r="2452" spans="18:18">
      <c r="R2452" s="304"/>
    </row>
    <row r="2453" spans="18:18">
      <c r="R2453" s="304"/>
    </row>
    <row r="2454" spans="18:18">
      <c r="R2454" s="304"/>
    </row>
    <row r="2455" spans="18:18">
      <c r="R2455" s="304"/>
    </row>
    <row r="2456" spans="18:18">
      <c r="R2456" s="304"/>
    </row>
    <row r="2457" spans="18:18">
      <c r="R2457" s="304"/>
    </row>
    <row r="2458" spans="18:18">
      <c r="R2458" s="304"/>
    </row>
    <row r="2459" spans="18:18">
      <c r="R2459" s="304"/>
    </row>
    <row r="2460" spans="18:18">
      <c r="R2460" s="304"/>
    </row>
    <row r="2461" spans="18:18">
      <c r="R2461" s="304"/>
    </row>
    <row r="2462" spans="18:18">
      <c r="R2462" s="304"/>
    </row>
    <row r="2463" spans="18:18">
      <c r="R2463" s="304"/>
    </row>
    <row r="2464" spans="18:18">
      <c r="R2464" s="304"/>
    </row>
    <row r="2465" spans="18:18">
      <c r="R2465" s="304"/>
    </row>
    <row r="2466" spans="18:18">
      <c r="R2466" s="304"/>
    </row>
    <row r="2467" spans="18:18">
      <c r="R2467" s="304"/>
    </row>
    <row r="2468" spans="18:18">
      <c r="R2468" s="304"/>
    </row>
    <row r="2469" spans="18:18">
      <c r="R2469" s="304"/>
    </row>
    <row r="2470" spans="18:18">
      <c r="R2470" s="304"/>
    </row>
    <row r="2471" spans="18:18">
      <c r="R2471" s="304"/>
    </row>
    <row r="2472" spans="18:18">
      <c r="R2472" s="304"/>
    </row>
    <row r="2473" spans="18:18">
      <c r="R2473" s="304"/>
    </row>
    <row r="2474" spans="18:18">
      <c r="R2474" s="304"/>
    </row>
    <row r="2475" spans="18:18">
      <c r="R2475" s="304"/>
    </row>
    <row r="2476" spans="18:18">
      <c r="R2476" s="304"/>
    </row>
    <row r="2477" spans="18:18">
      <c r="R2477" s="304"/>
    </row>
    <row r="2478" spans="18:18">
      <c r="R2478" s="304"/>
    </row>
    <row r="2479" spans="18:18">
      <c r="R2479" s="304"/>
    </row>
    <row r="2480" spans="18:18">
      <c r="R2480" s="304"/>
    </row>
    <row r="2481" spans="18:18">
      <c r="R2481" s="304"/>
    </row>
    <row r="2482" spans="18:18">
      <c r="R2482" s="304"/>
    </row>
    <row r="2483" spans="18:18">
      <c r="R2483" s="304"/>
    </row>
    <row r="2484" spans="18:18">
      <c r="R2484" s="304"/>
    </row>
    <row r="2485" spans="18:18">
      <c r="R2485" s="304"/>
    </row>
    <row r="2486" spans="18:18">
      <c r="R2486" s="304"/>
    </row>
    <row r="2487" spans="18:18">
      <c r="R2487" s="304"/>
    </row>
    <row r="2488" spans="18:18">
      <c r="R2488" s="304"/>
    </row>
    <row r="2489" spans="18:18">
      <c r="R2489" s="304"/>
    </row>
    <row r="2490" spans="18:18">
      <c r="R2490" s="304"/>
    </row>
    <row r="2491" spans="18:18">
      <c r="R2491" s="304"/>
    </row>
    <row r="2492" spans="18:18">
      <c r="R2492" s="304"/>
    </row>
    <row r="2493" spans="18:18">
      <c r="R2493" s="304"/>
    </row>
    <row r="2494" spans="18:18">
      <c r="R2494" s="304"/>
    </row>
    <row r="2495" spans="18:18">
      <c r="R2495" s="304"/>
    </row>
    <row r="2496" spans="18:18">
      <c r="R2496" s="304"/>
    </row>
    <row r="2497" spans="18:18">
      <c r="R2497" s="304"/>
    </row>
    <row r="2498" spans="18:18">
      <c r="R2498" s="304"/>
    </row>
    <row r="2499" spans="18:18">
      <c r="R2499" s="304"/>
    </row>
    <row r="2500" spans="18:18">
      <c r="R2500" s="304"/>
    </row>
    <row r="2501" spans="18:18">
      <c r="R2501" s="304"/>
    </row>
    <row r="2502" spans="18:18">
      <c r="R2502" s="304"/>
    </row>
    <row r="2503" spans="18:18">
      <c r="R2503" s="304"/>
    </row>
    <row r="2504" spans="18:18">
      <c r="R2504" s="304"/>
    </row>
    <row r="2505" spans="18:18">
      <c r="R2505" s="304"/>
    </row>
    <row r="2506" spans="18:18">
      <c r="R2506" s="304"/>
    </row>
    <row r="2507" spans="18:18">
      <c r="R2507" s="304"/>
    </row>
    <row r="2508" spans="18:18">
      <c r="R2508" s="304"/>
    </row>
    <row r="2509" spans="18:18">
      <c r="R2509" s="304"/>
    </row>
    <row r="2510" spans="18:18">
      <c r="R2510" s="304"/>
    </row>
    <row r="2511" spans="18:18">
      <c r="R2511" s="304"/>
    </row>
    <row r="2512" spans="18:18">
      <c r="R2512" s="304"/>
    </row>
    <row r="2513" spans="18:18">
      <c r="R2513" s="304"/>
    </row>
    <row r="2514" spans="18:18">
      <c r="R2514" s="304"/>
    </row>
    <row r="2515" spans="18:18">
      <c r="R2515" s="304"/>
    </row>
    <row r="2516" spans="18:18">
      <c r="R2516" s="304"/>
    </row>
    <row r="2517" spans="18:18">
      <c r="R2517" s="304"/>
    </row>
    <row r="2518" spans="18:18">
      <c r="R2518" s="304"/>
    </row>
    <row r="2519" spans="18:18">
      <c r="R2519" s="304"/>
    </row>
    <row r="2520" spans="18:18">
      <c r="R2520" s="304"/>
    </row>
    <row r="2521" spans="18:18">
      <c r="R2521" s="304"/>
    </row>
    <row r="2522" spans="18:18">
      <c r="R2522" s="304"/>
    </row>
    <row r="2523" spans="18:18">
      <c r="R2523" s="304"/>
    </row>
    <row r="2524" spans="18:18">
      <c r="R2524" s="304"/>
    </row>
    <row r="2525" spans="18:18">
      <c r="R2525" s="304"/>
    </row>
    <row r="2526" spans="18:18">
      <c r="R2526" s="304"/>
    </row>
    <row r="2527" spans="18:18">
      <c r="R2527" s="304"/>
    </row>
    <row r="2528" spans="18:18">
      <c r="R2528" s="304"/>
    </row>
    <row r="2529" spans="18:18">
      <c r="R2529" s="304"/>
    </row>
    <row r="2530" spans="18:18">
      <c r="R2530" s="304"/>
    </row>
    <row r="2531" spans="18:18">
      <c r="R2531" s="304"/>
    </row>
    <row r="2532" spans="18:18">
      <c r="R2532" s="304"/>
    </row>
    <row r="2533" spans="18:18">
      <c r="R2533" s="304"/>
    </row>
    <row r="2534" spans="18:18">
      <c r="R2534" s="304"/>
    </row>
    <row r="2535" spans="18:18">
      <c r="R2535" s="304"/>
    </row>
    <row r="2536" spans="18:18">
      <c r="R2536" s="304"/>
    </row>
    <row r="2537" spans="18:18">
      <c r="R2537" s="304"/>
    </row>
    <row r="2538" spans="18:18">
      <c r="R2538" s="304"/>
    </row>
    <row r="2539" spans="18:18">
      <c r="R2539" s="304"/>
    </row>
    <row r="2540" spans="18:18">
      <c r="R2540" s="304"/>
    </row>
    <row r="2541" spans="18:18">
      <c r="R2541" s="304"/>
    </row>
    <row r="2542" spans="18:18">
      <c r="R2542" s="304"/>
    </row>
    <row r="2543" spans="18:18">
      <c r="R2543" s="304"/>
    </row>
    <row r="2544" spans="18:18">
      <c r="R2544" s="304"/>
    </row>
    <row r="2545" spans="18:18">
      <c r="R2545" s="304"/>
    </row>
    <row r="2546" spans="18:18">
      <c r="R2546" s="304"/>
    </row>
    <row r="2547" spans="18:18">
      <c r="R2547" s="304"/>
    </row>
    <row r="2548" spans="18:18">
      <c r="R2548" s="304"/>
    </row>
    <row r="2549" spans="18:18">
      <c r="R2549" s="304"/>
    </row>
    <row r="2550" spans="18:18">
      <c r="R2550" s="304"/>
    </row>
    <row r="2551" spans="18:18">
      <c r="R2551" s="304"/>
    </row>
    <row r="2552" spans="18:18">
      <c r="R2552" s="304"/>
    </row>
    <row r="2553" spans="18:18">
      <c r="R2553" s="304"/>
    </row>
    <row r="2554" spans="18:18">
      <c r="R2554" s="304"/>
    </row>
    <row r="2555" spans="18:18">
      <c r="R2555" s="304"/>
    </row>
    <row r="2556" spans="18:18">
      <c r="R2556" s="304"/>
    </row>
    <row r="2557" spans="18:18">
      <c r="R2557" s="304"/>
    </row>
    <row r="2558" spans="18:18">
      <c r="R2558" s="304"/>
    </row>
    <row r="2559" spans="18:18">
      <c r="R2559" s="304"/>
    </row>
    <row r="2560" spans="18:18">
      <c r="R2560" s="304"/>
    </row>
    <row r="2561" spans="18:18">
      <c r="R2561" s="304"/>
    </row>
    <row r="2562" spans="18:18">
      <c r="R2562" s="304"/>
    </row>
    <row r="2563" spans="18:18">
      <c r="R2563" s="304"/>
    </row>
    <row r="2564" spans="18:18">
      <c r="R2564" s="304"/>
    </row>
    <row r="2565" spans="18:18">
      <c r="R2565" s="304"/>
    </row>
    <row r="2566" spans="18:18">
      <c r="R2566" s="304"/>
    </row>
    <row r="2567" spans="18:18">
      <c r="R2567" s="304"/>
    </row>
    <row r="2568" spans="18:18">
      <c r="R2568" s="304"/>
    </row>
    <row r="2569" spans="18:18">
      <c r="R2569" s="304"/>
    </row>
    <row r="2570" spans="18:18">
      <c r="R2570" s="304"/>
    </row>
    <row r="2571" spans="18:18">
      <c r="R2571" s="304"/>
    </row>
    <row r="2572" spans="18:18">
      <c r="R2572" s="304"/>
    </row>
    <row r="2573" spans="18:18">
      <c r="R2573" s="304"/>
    </row>
    <row r="2574" spans="18:18">
      <c r="R2574" s="304"/>
    </row>
    <row r="2575" spans="18:18">
      <c r="R2575" s="304"/>
    </row>
    <row r="2576" spans="18:18">
      <c r="R2576" s="304"/>
    </row>
    <row r="2577" spans="18:18">
      <c r="R2577" s="304"/>
    </row>
    <row r="2578" spans="18:18">
      <c r="R2578" s="304"/>
    </row>
    <row r="2579" spans="18:18">
      <c r="R2579" s="304"/>
    </row>
    <row r="2580" spans="18:18">
      <c r="R2580" s="304"/>
    </row>
    <row r="2581" spans="18:18">
      <c r="R2581" s="304"/>
    </row>
    <row r="2582" spans="18:18">
      <c r="R2582" s="304"/>
    </row>
    <row r="2583" spans="18:18">
      <c r="R2583" s="304"/>
    </row>
    <row r="2584" spans="18:18">
      <c r="R2584" s="304"/>
    </row>
    <row r="2585" spans="18:18">
      <c r="R2585" s="304"/>
    </row>
    <row r="2586" spans="18:18">
      <c r="R2586" s="304"/>
    </row>
    <row r="2587" spans="18:18">
      <c r="R2587" s="304"/>
    </row>
    <row r="2588" spans="18:18">
      <c r="R2588" s="304"/>
    </row>
    <row r="2589" spans="18:18">
      <c r="R2589" s="304"/>
    </row>
    <row r="2590" spans="18:18">
      <c r="R2590" s="304"/>
    </row>
    <row r="2591" spans="18:18">
      <c r="R2591" s="304"/>
    </row>
    <row r="2592" spans="18:18">
      <c r="R2592" s="304"/>
    </row>
    <row r="2593" spans="18:18">
      <c r="R2593" s="304"/>
    </row>
    <row r="2594" spans="18:18">
      <c r="R2594" s="304"/>
    </row>
    <row r="2595" spans="18:18">
      <c r="R2595" s="304"/>
    </row>
    <row r="2596" spans="18:18">
      <c r="R2596" s="304"/>
    </row>
    <row r="2597" spans="18:18">
      <c r="R2597" s="304"/>
    </row>
    <row r="2598" spans="18:18">
      <c r="R2598" s="304"/>
    </row>
    <row r="2599" spans="18:18">
      <c r="R2599" s="304"/>
    </row>
    <row r="2600" spans="18:18">
      <c r="R2600" s="304"/>
    </row>
    <row r="2601" spans="18:18">
      <c r="R2601" s="304"/>
    </row>
    <row r="2602" spans="18:18">
      <c r="R2602" s="304"/>
    </row>
    <row r="2603" spans="18:18">
      <c r="R2603" s="304"/>
    </row>
    <row r="2604" spans="18:18">
      <c r="R2604" s="304"/>
    </row>
    <row r="2605" spans="18:18">
      <c r="R2605" s="304"/>
    </row>
    <row r="2606" spans="18:18">
      <c r="R2606" s="304"/>
    </row>
    <row r="2607" spans="18:18">
      <c r="R2607" s="304"/>
    </row>
    <row r="2608" spans="18:18">
      <c r="R2608" s="304"/>
    </row>
    <row r="2609" spans="18:18">
      <c r="R2609" s="304"/>
    </row>
    <row r="2610" spans="18:18">
      <c r="R2610" s="304"/>
    </row>
    <row r="2611" spans="18:18">
      <c r="R2611" s="304"/>
    </row>
    <row r="2612" spans="18:18">
      <c r="R2612" s="304"/>
    </row>
    <row r="2613" spans="18:18">
      <c r="R2613" s="304"/>
    </row>
    <row r="2614" spans="18:18">
      <c r="R2614" s="304"/>
    </row>
    <row r="2615" spans="18:18">
      <c r="R2615" s="304"/>
    </row>
    <row r="2616" spans="18:18">
      <c r="R2616" s="304"/>
    </row>
    <row r="2617" spans="18:18">
      <c r="R2617" s="304"/>
    </row>
    <row r="2618" spans="18:18">
      <c r="R2618" s="304"/>
    </row>
    <row r="2619" spans="18:18">
      <c r="R2619" s="304"/>
    </row>
    <row r="2620" spans="18:18">
      <c r="R2620" s="304"/>
    </row>
    <row r="2621" spans="18:18">
      <c r="R2621" s="304"/>
    </row>
    <row r="2622" spans="18:18">
      <c r="R2622" s="304"/>
    </row>
    <row r="2623" spans="18:18">
      <c r="R2623" s="304"/>
    </row>
    <row r="2624" spans="18:18">
      <c r="R2624" s="304"/>
    </row>
    <row r="2625" spans="18:18">
      <c r="R2625" s="304"/>
    </row>
    <row r="2626" spans="18:18">
      <c r="R2626" s="304"/>
    </row>
    <row r="2627" spans="18:18">
      <c r="R2627" s="304"/>
    </row>
    <row r="2628" spans="18:18">
      <c r="R2628" s="304"/>
    </row>
    <row r="2629" spans="18:18">
      <c r="R2629" s="304"/>
    </row>
    <row r="2630" spans="18:18">
      <c r="R2630" s="304"/>
    </row>
    <row r="2631" spans="18:18">
      <c r="R2631" s="304"/>
    </row>
    <row r="2632" spans="18:18">
      <c r="R2632" s="304"/>
    </row>
    <row r="2633" spans="18:18">
      <c r="R2633" s="304"/>
    </row>
    <row r="2634" spans="18:18">
      <c r="R2634" s="304"/>
    </row>
    <row r="2635" spans="18:18">
      <c r="R2635" s="304"/>
    </row>
    <row r="2636" spans="18:18">
      <c r="R2636" s="304"/>
    </row>
    <row r="2637" spans="18:18">
      <c r="R2637" s="304"/>
    </row>
    <row r="2638" spans="18:18">
      <c r="R2638" s="304"/>
    </row>
    <row r="2639" spans="18:18">
      <c r="R2639" s="304"/>
    </row>
    <row r="2640" spans="18:18">
      <c r="R2640" s="304"/>
    </row>
    <row r="2641" spans="18:18">
      <c r="R2641" s="304"/>
    </row>
    <row r="2642" spans="18:18">
      <c r="R2642" s="304"/>
    </row>
    <row r="2643" spans="18:18">
      <c r="R2643" s="304"/>
    </row>
    <row r="2644" spans="18:18">
      <c r="R2644" s="304"/>
    </row>
    <row r="2645" spans="18:18">
      <c r="R2645" s="304"/>
    </row>
    <row r="2646" spans="18:18">
      <c r="R2646" s="304"/>
    </row>
    <row r="2647" spans="18:18">
      <c r="R2647" s="304"/>
    </row>
    <row r="2648" spans="18:18">
      <c r="R2648" s="304"/>
    </row>
    <row r="2649" spans="18:18">
      <c r="R2649" s="304"/>
    </row>
    <row r="2650" spans="18:18">
      <c r="R2650" s="304"/>
    </row>
    <row r="2651" spans="18:18">
      <c r="R2651" s="304"/>
    </row>
    <row r="2652" spans="18:18">
      <c r="R2652" s="304"/>
    </row>
    <row r="2653" spans="18:18">
      <c r="R2653" s="304"/>
    </row>
    <row r="2654" spans="18:18">
      <c r="R2654" s="304"/>
    </row>
    <row r="2655" spans="18:18">
      <c r="R2655" s="304"/>
    </row>
    <row r="2656" spans="18:18">
      <c r="R2656" s="304"/>
    </row>
    <row r="2657" spans="18:18">
      <c r="R2657" s="304"/>
    </row>
    <row r="2658" spans="18:18">
      <c r="R2658" s="304"/>
    </row>
    <row r="2659" spans="18:18">
      <c r="R2659" s="304"/>
    </row>
    <row r="2660" spans="18:18">
      <c r="R2660" s="304"/>
    </row>
    <row r="2661" spans="18:18">
      <c r="R2661" s="304"/>
    </row>
    <row r="2662" spans="18:18">
      <c r="R2662" s="304"/>
    </row>
    <row r="2663" spans="18:18">
      <c r="R2663" s="304"/>
    </row>
    <row r="2664" spans="18:18">
      <c r="R2664" s="304"/>
    </row>
    <row r="2665" spans="18:18">
      <c r="R2665" s="304"/>
    </row>
    <row r="2666" spans="18:18">
      <c r="R2666" s="304"/>
    </row>
    <row r="2667" spans="18:18">
      <c r="R2667" s="304"/>
    </row>
    <row r="2668" spans="18:18">
      <c r="R2668" s="304"/>
    </row>
    <row r="2669" spans="18:18">
      <c r="R2669" s="304"/>
    </row>
    <row r="2670" spans="18:18">
      <c r="R2670" s="304"/>
    </row>
    <row r="2671" spans="18:18">
      <c r="R2671" s="304"/>
    </row>
    <row r="2672" spans="18:18">
      <c r="R2672" s="304"/>
    </row>
    <row r="2673" spans="18:18">
      <c r="R2673" s="304"/>
    </row>
    <row r="2674" spans="18:18">
      <c r="R2674" s="304"/>
    </row>
    <row r="2675" spans="18:18">
      <c r="R2675" s="304"/>
    </row>
    <row r="2676" spans="18:18">
      <c r="R2676" s="304"/>
    </row>
    <row r="2677" spans="18:18">
      <c r="R2677" s="304"/>
    </row>
    <row r="2678" spans="18:18">
      <c r="R2678" s="304"/>
    </row>
    <row r="2679" spans="18:18">
      <c r="R2679" s="304"/>
    </row>
    <row r="2680" spans="18:18">
      <c r="R2680" s="304"/>
    </row>
    <row r="2681" spans="18:18">
      <c r="R2681" s="304"/>
    </row>
    <row r="2682" spans="18:18">
      <c r="R2682" s="304"/>
    </row>
    <row r="2683" spans="18:18">
      <c r="R2683" s="304"/>
    </row>
    <row r="2684" spans="18:18">
      <c r="R2684" s="304"/>
    </row>
    <row r="2685" spans="18:18">
      <c r="R2685" s="304"/>
    </row>
    <row r="2686" spans="18:18">
      <c r="R2686" s="304"/>
    </row>
    <row r="2687" spans="18:18">
      <c r="R2687" s="304"/>
    </row>
    <row r="2688" spans="18:18">
      <c r="R2688" s="304"/>
    </row>
    <row r="2689" spans="18:18">
      <c r="R2689" s="304"/>
    </row>
    <row r="2690" spans="18:18">
      <c r="R2690" s="304"/>
    </row>
    <row r="2691" spans="18:18">
      <c r="R2691" s="304"/>
    </row>
    <row r="2692" spans="18:18">
      <c r="R2692" s="304"/>
    </row>
    <row r="2693" spans="18:18">
      <c r="R2693" s="304"/>
    </row>
    <row r="2694" spans="18:18">
      <c r="R2694" s="304"/>
    </row>
    <row r="2695" spans="18:18">
      <c r="R2695" s="304"/>
    </row>
    <row r="2696" spans="18:18">
      <c r="R2696" s="304"/>
    </row>
    <row r="2697" spans="18:18">
      <c r="R2697" s="304"/>
    </row>
    <row r="2698" spans="18:18">
      <c r="R2698" s="304"/>
    </row>
    <row r="2699" spans="18:18">
      <c r="R2699" s="304"/>
    </row>
    <row r="2700" spans="18:18">
      <c r="R2700" s="304"/>
    </row>
    <row r="2701" spans="18:18">
      <c r="R2701" s="304"/>
    </row>
    <row r="2702" spans="18:18">
      <c r="R2702" s="304"/>
    </row>
    <row r="2703" spans="18:18">
      <c r="R2703" s="304"/>
    </row>
    <row r="2704" spans="18:18">
      <c r="R2704" s="304"/>
    </row>
    <row r="2705" spans="18:18">
      <c r="R2705" s="304"/>
    </row>
    <row r="2706" spans="18:18">
      <c r="R2706" s="304"/>
    </row>
    <row r="2707" spans="18:18">
      <c r="R2707" s="304"/>
    </row>
    <row r="2708" spans="18:18">
      <c r="R2708" s="304"/>
    </row>
    <row r="2709" spans="18:18">
      <c r="R2709" s="304"/>
    </row>
    <row r="2710" spans="18:18">
      <c r="R2710" s="304"/>
    </row>
    <row r="2711" spans="18:18">
      <c r="R2711" s="304"/>
    </row>
    <row r="2712" spans="18:18">
      <c r="R2712" s="304"/>
    </row>
    <row r="2713" spans="18:18">
      <c r="R2713" s="304"/>
    </row>
    <row r="2714" spans="18:18">
      <c r="R2714" s="304"/>
    </row>
    <row r="2715" spans="18:18">
      <c r="R2715" s="304"/>
    </row>
    <row r="2716" spans="18:18">
      <c r="R2716" s="304"/>
    </row>
    <row r="2717" spans="18:18">
      <c r="R2717" s="304"/>
    </row>
    <row r="2718" spans="18:18">
      <c r="R2718" s="304"/>
    </row>
    <row r="2719" spans="18:18">
      <c r="R2719" s="304"/>
    </row>
    <row r="2720" spans="18:18">
      <c r="R2720" s="304"/>
    </row>
    <row r="2721" spans="18:18">
      <c r="R2721" s="304"/>
    </row>
    <row r="2722" spans="18:18">
      <c r="R2722" s="304"/>
    </row>
    <row r="2723" spans="18:18">
      <c r="R2723" s="304"/>
    </row>
    <row r="2724" spans="18:18">
      <c r="R2724" s="304"/>
    </row>
    <row r="2725" spans="18:18">
      <c r="R2725" s="304"/>
    </row>
    <row r="2726" spans="18:18">
      <c r="R2726" s="304"/>
    </row>
    <row r="2727" spans="18:18">
      <c r="R2727" s="304"/>
    </row>
    <row r="2728" spans="18:18">
      <c r="R2728" s="304"/>
    </row>
    <row r="2729" spans="18:18">
      <c r="R2729" s="304"/>
    </row>
    <row r="2730" spans="18:18">
      <c r="R2730" s="304"/>
    </row>
    <row r="2731" spans="18:18">
      <c r="R2731" s="304"/>
    </row>
    <row r="2732" spans="18:18">
      <c r="R2732" s="304"/>
    </row>
    <row r="2733" spans="18:18">
      <c r="R2733" s="304"/>
    </row>
    <row r="2734" spans="18:18">
      <c r="R2734" s="304"/>
    </row>
    <row r="2735" spans="18:18">
      <c r="R2735" s="304"/>
    </row>
    <row r="2736" spans="18:18">
      <c r="R2736" s="304"/>
    </row>
    <row r="2737" spans="18:18">
      <c r="R2737" s="304"/>
    </row>
    <row r="2738" spans="18:18">
      <c r="R2738" s="304"/>
    </row>
    <row r="2739" spans="18:18">
      <c r="R2739" s="304"/>
    </row>
    <row r="2740" spans="18:18">
      <c r="R2740" s="304"/>
    </row>
    <row r="2741" spans="18:18">
      <c r="R2741" s="304"/>
    </row>
    <row r="2742" spans="18:18">
      <c r="R2742" s="304"/>
    </row>
    <row r="2743" spans="18:18">
      <c r="R2743" s="304"/>
    </row>
    <row r="2744" spans="18:18">
      <c r="R2744" s="304"/>
    </row>
    <row r="2745" spans="18:18">
      <c r="R2745" s="304"/>
    </row>
    <row r="2746" spans="18:18">
      <c r="R2746" s="304"/>
    </row>
    <row r="2747" spans="18:18">
      <c r="R2747" s="304"/>
    </row>
    <row r="2748" spans="18:18">
      <c r="R2748" s="304"/>
    </row>
    <row r="2749" spans="18:18">
      <c r="R2749" s="304"/>
    </row>
    <row r="2750" spans="18:18">
      <c r="R2750" s="304"/>
    </row>
    <row r="2751" spans="18:18">
      <c r="R2751" s="304"/>
    </row>
    <row r="2752" spans="18:18">
      <c r="R2752" s="304"/>
    </row>
    <row r="2753" spans="18:18">
      <c r="R2753" s="304"/>
    </row>
    <row r="2754" spans="18:18">
      <c r="R2754" s="304"/>
    </row>
    <row r="2755" spans="18:18">
      <c r="R2755" s="304"/>
    </row>
    <row r="2756" spans="18:18">
      <c r="R2756" s="304"/>
    </row>
    <row r="2757" spans="18:18">
      <c r="R2757" s="304"/>
    </row>
    <row r="2758" spans="18:18">
      <c r="R2758" s="304"/>
    </row>
    <row r="2759" spans="18:18">
      <c r="R2759" s="304"/>
    </row>
    <row r="2760" spans="18:18">
      <c r="R2760" s="304"/>
    </row>
    <row r="2761" spans="18:18">
      <c r="R2761" s="304"/>
    </row>
    <row r="2762" spans="18:18">
      <c r="R2762" s="304"/>
    </row>
    <row r="2763" spans="18:18">
      <c r="R2763" s="304"/>
    </row>
    <row r="2764" spans="18:18">
      <c r="R2764" s="304"/>
    </row>
    <row r="2765" spans="18:18">
      <c r="R2765" s="304"/>
    </row>
    <row r="2766" spans="18:18">
      <c r="R2766" s="304"/>
    </row>
    <row r="2767" spans="18:18">
      <c r="R2767" s="304"/>
    </row>
    <row r="2768" spans="18:18">
      <c r="R2768" s="304"/>
    </row>
    <row r="2769" spans="18:18">
      <c r="R2769" s="304"/>
    </row>
    <row r="2770" spans="18:18">
      <c r="R2770" s="304"/>
    </row>
    <row r="2771" spans="18:18">
      <c r="R2771" s="304"/>
    </row>
    <row r="2772" spans="18:18">
      <c r="R2772" s="304"/>
    </row>
    <row r="2773" spans="18:18">
      <c r="R2773" s="304"/>
    </row>
    <row r="2774" spans="18:18">
      <c r="R2774" s="304"/>
    </row>
    <row r="2775" spans="18:18">
      <c r="R2775" s="304"/>
    </row>
    <row r="2776" spans="18:18">
      <c r="R2776" s="304"/>
    </row>
    <row r="2777" spans="18:18">
      <c r="R2777" s="304"/>
    </row>
    <row r="2778" spans="18:18">
      <c r="R2778" s="304"/>
    </row>
    <row r="2779" spans="18:18">
      <c r="R2779" s="304"/>
    </row>
    <row r="2780" spans="18:18">
      <c r="R2780" s="304"/>
    </row>
    <row r="2781" spans="18:18">
      <c r="R2781" s="304"/>
    </row>
    <row r="2782" spans="18:18">
      <c r="R2782" s="304"/>
    </row>
    <row r="2783" spans="18:18">
      <c r="R2783" s="304"/>
    </row>
    <row r="2784" spans="18:18">
      <c r="R2784" s="304"/>
    </row>
    <row r="2785" spans="18:18">
      <c r="R2785" s="304"/>
    </row>
    <row r="2786" spans="18:18">
      <c r="R2786" s="304"/>
    </row>
    <row r="2787" spans="18:18">
      <c r="R2787" s="304"/>
    </row>
    <row r="2788" spans="18:18">
      <c r="R2788" s="304"/>
    </row>
    <row r="2789" spans="18:18">
      <c r="R2789" s="304"/>
    </row>
    <row r="2790" spans="18:18">
      <c r="R2790" s="304"/>
    </row>
    <row r="2791" spans="18:18">
      <c r="R2791" s="304"/>
    </row>
    <row r="2792" spans="18:18">
      <c r="R2792" s="304"/>
    </row>
    <row r="2793" spans="18:18">
      <c r="R2793" s="304"/>
    </row>
    <row r="2794" spans="18:18">
      <c r="R2794" s="304"/>
    </row>
    <row r="2795" spans="18:18">
      <c r="R2795" s="304"/>
    </row>
    <row r="2796" spans="18:18">
      <c r="R2796" s="304"/>
    </row>
    <row r="2797" spans="18:18">
      <c r="R2797" s="304"/>
    </row>
    <row r="2798" spans="18:18">
      <c r="R2798" s="304"/>
    </row>
    <row r="2799" spans="18:18">
      <c r="R2799" s="304"/>
    </row>
    <row r="2800" spans="18:18">
      <c r="R2800" s="304"/>
    </row>
    <row r="2801" spans="18:18">
      <c r="R2801" s="304"/>
    </row>
    <row r="2802" spans="18:18">
      <c r="R2802" s="304"/>
    </row>
    <row r="2803" spans="18:18">
      <c r="R2803" s="304"/>
    </row>
    <row r="2804" spans="18:18">
      <c r="R2804" s="304"/>
    </row>
    <row r="2805" spans="18:18">
      <c r="R2805" s="304"/>
    </row>
    <row r="2806" spans="18:18">
      <c r="R2806" s="304"/>
    </row>
    <row r="2807" spans="18:18">
      <c r="R2807" s="304"/>
    </row>
    <row r="2808" spans="18:18">
      <c r="R2808" s="304"/>
    </row>
    <row r="2809" spans="18:18">
      <c r="R2809" s="304"/>
    </row>
    <row r="2810" spans="18:18">
      <c r="R2810" s="304"/>
    </row>
    <row r="2811" spans="18:18">
      <c r="R2811" s="304"/>
    </row>
    <row r="2812" spans="18:18">
      <c r="R2812" s="304"/>
    </row>
    <row r="2813" spans="18:18">
      <c r="R2813" s="304"/>
    </row>
    <row r="2814" spans="18:18">
      <c r="R2814" s="304"/>
    </row>
    <row r="2815" spans="18:18">
      <c r="R2815" s="304"/>
    </row>
    <row r="2816" spans="18:18">
      <c r="R2816" s="304"/>
    </row>
    <row r="2817" spans="18:18">
      <c r="R2817" s="304"/>
    </row>
    <row r="2818" spans="18:18">
      <c r="R2818" s="304"/>
    </row>
    <row r="2819" spans="18:18">
      <c r="R2819" s="304"/>
    </row>
    <row r="2820" spans="18:18">
      <c r="R2820" s="304"/>
    </row>
    <row r="2821" spans="18:18">
      <c r="R2821" s="304"/>
    </row>
    <row r="2822" spans="18:18">
      <c r="R2822" s="304"/>
    </row>
    <row r="2823" spans="18:18">
      <c r="R2823" s="304"/>
    </row>
    <row r="2824" spans="18:18">
      <c r="R2824" s="304"/>
    </row>
    <row r="2825" spans="18:18">
      <c r="R2825" s="304"/>
    </row>
    <row r="2826" spans="18:18">
      <c r="R2826" s="304"/>
    </row>
    <row r="2827" spans="18:18">
      <c r="R2827" s="304"/>
    </row>
    <row r="2828" spans="18:18">
      <c r="R2828" s="304"/>
    </row>
    <row r="2829" spans="18:18">
      <c r="R2829" s="304"/>
    </row>
    <row r="2830" spans="18:18">
      <c r="R2830" s="304"/>
    </row>
    <row r="2831" spans="18:18">
      <c r="R2831" s="304"/>
    </row>
    <row r="2832" spans="18:18">
      <c r="R2832" s="304"/>
    </row>
    <row r="2833" spans="18:18">
      <c r="R2833" s="304"/>
    </row>
    <row r="2834" spans="18:18">
      <c r="R2834" s="304"/>
    </row>
    <row r="2835" spans="18:18">
      <c r="R2835" s="304"/>
    </row>
    <row r="2836" spans="18:18">
      <c r="R2836" s="304"/>
    </row>
    <row r="2837" spans="18:18">
      <c r="R2837" s="304"/>
    </row>
    <row r="2838" spans="18:18">
      <c r="R2838" s="304"/>
    </row>
    <row r="2839" spans="18:18">
      <c r="R2839" s="304"/>
    </row>
    <row r="2840" spans="18:18">
      <c r="R2840" s="304"/>
    </row>
    <row r="2841" spans="18:18">
      <c r="R2841" s="304"/>
    </row>
    <row r="2842" spans="18:18">
      <c r="R2842" s="304"/>
    </row>
    <row r="2843" spans="18:18">
      <c r="R2843" s="304"/>
    </row>
    <row r="2844" spans="18:18">
      <c r="R2844" s="304"/>
    </row>
    <row r="2845" spans="18:18">
      <c r="R2845" s="304"/>
    </row>
    <row r="2846" spans="18:18">
      <c r="R2846" s="304"/>
    </row>
    <row r="2847" spans="18:18">
      <c r="R2847" s="304"/>
    </row>
    <row r="2848" spans="18:18">
      <c r="R2848" s="304"/>
    </row>
    <row r="2849" spans="18:18">
      <c r="R2849" s="304"/>
    </row>
    <row r="2850" spans="18:18">
      <c r="R2850" s="304"/>
    </row>
    <row r="2851" spans="18:18">
      <c r="R2851" s="304"/>
    </row>
    <row r="2852" spans="18:18">
      <c r="R2852" s="304"/>
    </row>
    <row r="2853" spans="18:18">
      <c r="R2853" s="304"/>
    </row>
    <row r="2854" spans="18:18">
      <c r="R2854" s="304"/>
    </row>
    <row r="2855" spans="18:18">
      <c r="R2855" s="304"/>
    </row>
    <row r="2856" spans="18:18">
      <c r="R2856" s="304"/>
    </row>
    <row r="2857" spans="18:18">
      <c r="R2857" s="304"/>
    </row>
    <row r="2858" spans="18:18">
      <c r="R2858" s="304"/>
    </row>
    <row r="2859" spans="18:18">
      <c r="R2859" s="304"/>
    </row>
    <row r="2860" spans="18:18">
      <c r="R2860" s="304"/>
    </row>
    <row r="2861" spans="18:18">
      <c r="R2861" s="304"/>
    </row>
    <row r="2862" spans="18:18">
      <c r="R2862" s="304"/>
    </row>
    <row r="2863" spans="18:18">
      <c r="R2863" s="304"/>
    </row>
    <row r="2864" spans="18:18">
      <c r="R2864" s="304"/>
    </row>
    <row r="2865" spans="18:18">
      <c r="R2865" s="304"/>
    </row>
    <row r="2866" spans="18:18">
      <c r="R2866" s="304"/>
    </row>
    <row r="2867" spans="18:18">
      <c r="R2867" s="304"/>
    </row>
    <row r="2868" spans="18:18">
      <c r="R2868" s="304"/>
    </row>
    <row r="2869" spans="18:18">
      <c r="R2869" s="304"/>
    </row>
    <row r="2870" spans="18:18">
      <c r="R2870" s="304"/>
    </row>
    <row r="2871" spans="18:18">
      <c r="R2871" s="304"/>
    </row>
    <row r="2872" spans="18:18">
      <c r="R2872" s="304"/>
    </row>
    <row r="2873" spans="18:18">
      <c r="R2873" s="304"/>
    </row>
    <row r="2874" spans="18:18">
      <c r="R2874" s="304"/>
    </row>
    <row r="2875" spans="18:18">
      <c r="R2875" s="304"/>
    </row>
    <row r="2876" spans="18:18">
      <c r="R2876" s="304"/>
    </row>
    <row r="2877" spans="18:18">
      <c r="R2877" s="304"/>
    </row>
    <row r="2878" spans="18:18">
      <c r="R2878" s="304"/>
    </row>
    <row r="2879" spans="18:18">
      <c r="R2879" s="304"/>
    </row>
    <row r="2880" spans="18:18">
      <c r="R2880" s="304"/>
    </row>
    <row r="2881" spans="18:18">
      <c r="R2881" s="304"/>
    </row>
    <row r="2882" spans="18:18">
      <c r="R2882" s="304"/>
    </row>
    <row r="2883" spans="18:18">
      <c r="R2883" s="304"/>
    </row>
    <row r="2884" spans="18:18">
      <c r="R2884" s="304"/>
    </row>
    <row r="2885" spans="18:18">
      <c r="R2885" s="304"/>
    </row>
    <row r="2886" spans="18:18">
      <c r="R2886" s="304"/>
    </row>
    <row r="2887" spans="18:18">
      <c r="R2887" s="304"/>
    </row>
    <row r="2888" spans="18:18">
      <c r="R2888" s="304"/>
    </row>
    <row r="2889" spans="18:18">
      <c r="R2889" s="304"/>
    </row>
    <row r="2890" spans="18:18">
      <c r="R2890" s="304"/>
    </row>
    <row r="2891" spans="18:18">
      <c r="R2891" s="304"/>
    </row>
    <row r="2892" spans="18:18">
      <c r="R2892" s="304"/>
    </row>
    <row r="2893" spans="18:18">
      <c r="R2893" s="304"/>
    </row>
    <row r="2894" spans="18:18">
      <c r="R2894" s="304"/>
    </row>
    <row r="2895" spans="18:18">
      <c r="R2895" s="304"/>
    </row>
    <row r="2896" spans="18:18">
      <c r="R2896" s="304"/>
    </row>
    <row r="2897" spans="18:18">
      <c r="R2897" s="304"/>
    </row>
    <row r="2898" spans="18:18">
      <c r="R2898" s="304"/>
    </row>
    <row r="2899" spans="18:18">
      <c r="R2899" s="304"/>
    </row>
    <row r="2900" spans="18:18">
      <c r="R2900" s="304"/>
    </row>
    <row r="2901" spans="18:18">
      <c r="R2901" s="304"/>
    </row>
    <row r="2902" spans="18:18">
      <c r="R2902" s="304"/>
    </row>
    <row r="2903" spans="18:18">
      <c r="R2903" s="304"/>
    </row>
    <row r="2904" spans="18:18">
      <c r="R2904" s="304"/>
    </row>
    <row r="2905" spans="18:18">
      <c r="R2905" s="304"/>
    </row>
    <row r="2906" spans="18:18">
      <c r="R2906" s="304"/>
    </row>
    <row r="2907" spans="18:18">
      <c r="R2907" s="304"/>
    </row>
    <row r="2908" spans="18:18">
      <c r="R2908" s="304"/>
    </row>
    <row r="2909" spans="18:18">
      <c r="R2909" s="304"/>
    </row>
    <row r="2910" spans="18:18">
      <c r="R2910" s="304"/>
    </row>
    <row r="2911" spans="18:18">
      <c r="R2911" s="304"/>
    </row>
    <row r="2912" spans="18:18">
      <c r="R2912" s="304"/>
    </row>
    <row r="2913" spans="18:18">
      <c r="R2913" s="304"/>
    </row>
    <row r="2914" spans="18:18">
      <c r="R2914" s="304"/>
    </row>
    <row r="2915" spans="18:18">
      <c r="R2915" s="304"/>
    </row>
    <row r="2916" spans="18:18">
      <c r="R2916" s="304"/>
    </row>
    <row r="2917" spans="18:18">
      <c r="R2917" s="304"/>
    </row>
    <row r="2918" spans="18:18">
      <c r="R2918" s="304"/>
    </row>
    <row r="2919" spans="18:18">
      <c r="R2919" s="304"/>
    </row>
    <row r="2920" spans="18:18">
      <c r="R2920" s="304"/>
    </row>
    <row r="2921" spans="18:18">
      <c r="R2921" s="304"/>
    </row>
    <row r="2922" spans="18:18">
      <c r="R2922" s="304"/>
    </row>
    <row r="2923" spans="18:18">
      <c r="R2923" s="304"/>
    </row>
    <row r="2924" spans="18:18">
      <c r="R2924" s="304"/>
    </row>
    <row r="2925" spans="18:18">
      <c r="R2925" s="304"/>
    </row>
    <row r="2926" spans="18:18">
      <c r="R2926" s="304"/>
    </row>
    <row r="2927" spans="18:18">
      <c r="R2927" s="304"/>
    </row>
    <row r="2928" spans="18:18">
      <c r="R2928" s="304"/>
    </row>
    <row r="2929" spans="18:18">
      <c r="R2929" s="304"/>
    </row>
    <row r="2930" spans="18:18">
      <c r="R2930" s="304"/>
    </row>
    <row r="2931" spans="18:18">
      <c r="R2931" s="304"/>
    </row>
    <row r="2932" spans="18:18">
      <c r="R2932" s="304"/>
    </row>
    <row r="2933" spans="18:18">
      <c r="R2933" s="304"/>
    </row>
    <row r="2934" spans="18:18">
      <c r="R2934" s="304"/>
    </row>
    <row r="2935" spans="18:18">
      <c r="R2935" s="304"/>
    </row>
    <row r="2936" spans="18:18">
      <c r="R2936" s="304"/>
    </row>
    <row r="2937" spans="18:18">
      <c r="R2937" s="304"/>
    </row>
    <row r="2938" spans="18:18">
      <c r="R2938" s="304"/>
    </row>
    <row r="2939" spans="18:18">
      <c r="R2939" s="304"/>
    </row>
    <row r="2940" spans="18:18">
      <c r="R2940" s="304"/>
    </row>
    <row r="2941" spans="18:18">
      <c r="R2941" s="304"/>
    </row>
    <row r="2942" spans="18:18">
      <c r="R2942" s="304"/>
    </row>
    <row r="2943" spans="18:18">
      <c r="R2943" s="304"/>
    </row>
    <row r="2944" spans="18:18">
      <c r="R2944" s="304"/>
    </row>
    <row r="2945" spans="18:18">
      <c r="R2945" s="304"/>
    </row>
    <row r="2946" spans="18:18">
      <c r="R2946" s="304"/>
    </row>
    <row r="2947" spans="18:18">
      <c r="R2947" s="304"/>
    </row>
    <row r="2948" spans="18:18">
      <c r="R2948" s="304"/>
    </row>
    <row r="2949" spans="18:18">
      <c r="R2949" s="304"/>
    </row>
    <row r="2950" spans="18:18">
      <c r="R2950" s="304"/>
    </row>
    <row r="2951" spans="18:18">
      <c r="R2951" s="304"/>
    </row>
    <row r="2952" spans="18:18">
      <c r="R2952" s="304"/>
    </row>
    <row r="2953" spans="18:18">
      <c r="R2953" s="304"/>
    </row>
    <row r="2954" spans="18:18">
      <c r="R2954" s="304"/>
    </row>
    <row r="2955" spans="18:18">
      <c r="R2955" s="304"/>
    </row>
    <row r="2956" spans="18:18">
      <c r="R2956" s="304"/>
    </row>
    <row r="2957" spans="18:18">
      <c r="R2957" s="304"/>
    </row>
    <row r="2958" spans="18:18">
      <c r="R2958" s="304"/>
    </row>
    <row r="2959" spans="18:18">
      <c r="R2959" s="304"/>
    </row>
    <row r="2960" spans="18:18">
      <c r="R2960" s="304"/>
    </row>
    <row r="2961" spans="18:18">
      <c r="R2961" s="304"/>
    </row>
    <row r="2962" spans="18:18">
      <c r="R2962" s="304"/>
    </row>
    <row r="2963" spans="18:18">
      <c r="R2963" s="304"/>
    </row>
    <row r="2964" spans="18:18">
      <c r="R2964" s="304"/>
    </row>
    <row r="2965" spans="18:18">
      <c r="R2965" s="304"/>
    </row>
    <row r="2966" spans="18:18">
      <c r="R2966" s="304"/>
    </row>
    <row r="2967" spans="18:18">
      <c r="R2967" s="304"/>
    </row>
    <row r="2968" spans="18:18">
      <c r="R2968" s="304"/>
    </row>
    <row r="2969" spans="18:18">
      <c r="R2969" s="304"/>
    </row>
    <row r="2970" spans="18:18">
      <c r="R2970" s="304"/>
    </row>
    <row r="2971" spans="18:18">
      <c r="R2971" s="304"/>
    </row>
    <row r="2972" spans="18:18">
      <c r="R2972" s="304"/>
    </row>
    <row r="2973" spans="18:18">
      <c r="R2973" s="304"/>
    </row>
    <row r="2974" spans="18:18">
      <c r="R2974" s="304"/>
    </row>
    <row r="2975" spans="18:18">
      <c r="R2975" s="304"/>
    </row>
    <row r="2976" spans="18:18">
      <c r="R2976" s="304"/>
    </row>
    <row r="2977" spans="18:18">
      <c r="R2977" s="304"/>
    </row>
    <row r="2978" spans="18:18">
      <c r="R2978" s="304"/>
    </row>
    <row r="2979" spans="18:18">
      <c r="R2979" s="304"/>
    </row>
    <row r="2980" spans="18:18">
      <c r="R2980" s="304"/>
    </row>
    <row r="2981" spans="18:18">
      <c r="R2981" s="304"/>
    </row>
    <row r="2982" spans="18:18">
      <c r="R2982" s="304"/>
    </row>
    <row r="2983" spans="18:18">
      <c r="R2983" s="304"/>
    </row>
    <row r="2984" spans="18:18">
      <c r="R2984" s="304"/>
    </row>
    <row r="2985" spans="18:18">
      <c r="R2985" s="304"/>
    </row>
    <row r="2986" spans="18:18">
      <c r="R2986" s="304"/>
    </row>
    <row r="2987" spans="18:18">
      <c r="R2987" s="304"/>
    </row>
    <row r="2988" spans="18:18">
      <c r="R2988" s="304"/>
    </row>
    <row r="2989" spans="18:18">
      <c r="R2989" s="304"/>
    </row>
    <row r="2990" spans="18:18">
      <c r="R2990" s="304"/>
    </row>
    <row r="2991" spans="18:18">
      <c r="R2991" s="304"/>
    </row>
    <row r="2992" spans="18:18">
      <c r="R2992" s="304"/>
    </row>
    <row r="2993" spans="18:18">
      <c r="R2993" s="304"/>
    </row>
    <row r="2994" spans="18:18">
      <c r="R2994" s="304"/>
    </row>
    <row r="2995" spans="18:18">
      <c r="R2995" s="304"/>
    </row>
    <row r="2996" spans="18:18">
      <c r="R2996" s="304"/>
    </row>
    <row r="2997" spans="18:18">
      <c r="R2997" s="304"/>
    </row>
    <row r="2998" spans="18:18">
      <c r="R2998" s="304"/>
    </row>
    <row r="2999" spans="18:18">
      <c r="R2999" s="304"/>
    </row>
    <row r="3000" spans="18:18">
      <c r="R3000" s="304"/>
    </row>
    <row r="3001" spans="18:18">
      <c r="R3001" s="304"/>
    </row>
    <row r="3002" spans="18:18">
      <c r="R3002" s="304"/>
    </row>
    <row r="3003" spans="18:18">
      <c r="R3003" s="304"/>
    </row>
    <row r="3004" spans="18:18">
      <c r="R3004" s="304"/>
    </row>
    <row r="3005" spans="18:18">
      <c r="R3005" s="304"/>
    </row>
    <row r="3006" spans="18:18">
      <c r="R3006" s="304"/>
    </row>
    <row r="3007" spans="18:18">
      <c r="R3007" s="304"/>
    </row>
    <row r="3008" spans="18:18">
      <c r="R3008" s="304"/>
    </row>
    <row r="3009" spans="18:18">
      <c r="R3009" s="304"/>
    </row>
    <row r="3010" spans="18:18">
      <c r="R3010" s="304"/>
    </row>
    <row r="3011" spans="18:18">
      <c r="R3011" s="304"/>
    </row>
    <row r="3012" spans="18:18">
      <c r="R3012" s="304"/>
    </row>
    <row r="3013" spans="18:18">
      <c r="R3013" s="304"/>
    </row>
    <row r="3014" spans="18:18">
      <c r="R3014" s="304"/>
    </row>
    <row r="3015" spans="18:18">
      <c r="R3015" s="304"/>
    </row>
    <row r="3016" spans="18:18">
      <c r="R3016" s="304"/>
    </row>
    <row r="3017" spans="18:18">
      <c r="R3017" s="304"/>
    </row>
    <row r="3018" spans="18:18">
      <c r="R3018" s="304"/>
    </row>
    <row r="3019" spans="18:18">
      <c r="R3019" s="304"/>
    </row>
    <row r="3020" spans="18:18">
      <c r="R3020" s="304"/>
    </row>
    <row r="3021" spans="18:18">
      <c r="R3021" s="304"/>
    </row>
    <row r="3022" spans="18:18">
      <c r="R3022" s="304"/>
    </row>
    <row r="3023" spans="18:18">
      <c r="R3023" s="304"/>
    </row>
    <row r="3024" spans="18:18">
      <c r="R3024" s="304"/>
    </row>
    <row r="3025" spans="18:18">
      <c r="R3025" s="304"/>
    </row>
    <row r="3026" spans="18:18">
      <c r="R3026" s="304"/>
    </row>
    <row r="3027" spans="18:18">
      <c r="R3027" s="304"/>
    </row>
    <row r="3028" spans="18:18">
      <c r="R3028" s="304"/>
    </row>
    <row r="3029" spans="18:18">
      <c r="R3029" s="304"/>
    </row>
    <row r="3030" spans="18:18">
      <c r="R3030" s="304"/>
    </row>
    <row r="3031" spans="18:18">
      <c r="R3031" s="304"/>
    </row>
    <row r="3032" spans="18:18">
      <c r="R3032" s="304"/>
    </row>
    <row r="3033" spans="18:18">
      <c r="R3033" s="304"/>
    </row>
    <row r="3034" spans="18:18">
      <c r="R3034" s="304"/>
    </row>
    <row r="3035" spans="18:18">
      <c r="R3035" s="304"/>
    </row>
    <row r="3036" spans="18:18">
      <c r="R3036" s="304"/>
    </row>
    <row r="3037" spans="18:18">
      <c r="R3037" s="304"/>
    </row>
    <row r="3038" spans="18:18">
      <c r="R3038" s="304"/>
    </row>
    <row r="3039" spans="18:18">
      <c r="R3039" s="304"/>
    </row>
    <row r="3040" spans="18:18">
      <c r="R3040" s="304"/>
    </row>
    <row r="3041" spans="18:18">
      <c r="R3041" s="304"/>
    </row>
    <row r="3042" spans="18:18">
      <c r="R3042" s="304"/>
    </row>
    <row r="3043" spans="18:18">
      <c r="R3043" s="304"/>
    </row>
    <row r="3044" spans="18:18">
      <c r="R3044" s="304"/>
    </row>
    <row r="3045" spans="18:18">
      <c r="R3045" s="304"/>
    </row>
    <row r="3046" spans="18:18">
      <c r="R3046" s="304"/>
    </row>
    <row r="3047" spans="18:18">
      <c r="R3047" s="304"/>
    </row>
    <row r="3048" spans="18:18">
      <c r="R3048" s="304"/>
    </row>
    <row r="3049" spans="18:18">
      <c r="R3049" s="304"/>
    </row>
    <row r="3050" spans="18:18">
      <c r="R3050" s="304"/>
    </row>
    <row r="3051" spans="18:18">
      <c r="R3051" s="304"/>
    </row>
    <row r="3052" spans="18:18">
      <c r="R3052" s="304"/>
    </row>
    <row r="3053" spans="18:18">
      <c r="R3053" s="304"/>
    </row>
    <row r="3054" spans="18:18">
      <c r="R3054" s="304"/>
    </row>
    <row r="3055" spans="18:18">
      <c r="R3055" s="304"/>
    </row>
    <row r="3056" spans="18:18">
      <c r="R3056" s="304"/>
    </row>
    <row r="3057" spans="18:18">
      <c r="R3057" s="304"/>
    </row>
    <row r="3058" spans="18:18">
      <c r="R3058" s="304"/>
    </row>
    <row r="3059" spans="18:18">
      <c r="R3059" s="304"/>
    </row>
    <row r="3060" spans="18:18">
      <c r="R3060" s="304"/>
    </row>
    <row r="3061" spans="18:18">
      <c r="R3061" s="304"/>
    </row>
    <row r="3062" spans="18:18">
      <c r="R3062" s="304"/>
    </row>
    <row r="3063" spans="18:18">
      <c r="R3063" s="304"/>
    </row>
    <row r="3064" spans="18:18">
      <c r="R3064" s="304"/>
    </row>
    <row r="3065" spans="18:18">
      <c r="R3065" s="304"/>
    </row>
    <row r="3066" spans="18:18">
      <c r="R3066" s="304"/>
    </row>
    <row r="3067" spans="18:18">
      <c r="R3067" s="304"/>
    </row>
    <row r="3068" spans="18:18">
      <c r="R3068" s="304"/>
    </row>
    <row r="3069" spans="18:18">
      <c r="R3069" s="304"/>
    </row>
    <row r="3070" spans="18:18">
      <c r="R3070" s="304"/>
    </row>
    <row r="3071" spans="18:18">
      <c r="R3071" s="304"/>
    </row>
    <row r="3072" spans="18:18">
      <c r="R3072" s="304"/>
    </row>
    <row r="3073" spans="18:18">
      <c r="R3073" s="304"/>
    </row>
    <row r="3074" spans="18:18">
      <c r="R3074" s="304"/>
    </row>
    <row r="3075" spans="18:18">
      <c r="R3075" s="304"/>
    </row>
    <row r="3076" spans="18:18">
      <c r="R3076" s="304"/>
    </row>
    <row r="3077" spans="18:18">
      <c r="R3077" s="304"/>
    </row>
    <row r="3078" spans="18:18">
      <c r="R3078" s="304"/>
    </row>
    <row r="3079" spans="18:18">
      <c r="R3079" s="304"/>
    </row>
    <row r="3080" spans="18:18">
      <c r="R3080" s="304"/>
    </row>
    <row r="3081" spans="18:18">
      <c r="R3081" s="304"/>
    </row>
    <row r="3082" spans="18:18">
      <c r="R3082" s="304"/>
    </row>
    <row r="3083" spans="18:18">
      <c r="R3083" s="304"/>
    </row>
    <row r="3084" spans="18:18">
      <c r="R3084" s="304"/>
    </row>
    <row r="3085" spans="18:18">
      <c r="R3085" s="304"/>
    </row>
    <row r="3086" spans="18:18">
      <c r="R3086" s="304"/>
    </row>
    <row r="3087" spans="18:18">
      <c r="R3087" s="304"/>
    </row>
    <row r="3088" spans="18:18">
      <c r="R3088" s="304"/>
    </row>
    <row r="3089" spans="18:18">
      <c r="R3089" s="304"/>
    </row>
    <row r="3090" spans="18:18">
      <c r="R3090" s="304"/>
    </row>
    <row r="3091" spans="18:18">
      <c r="R3091" s="304"/>
    </row>
    <row r="3092" spans="18:18">
      <c r="R3092" s="304"/>
    </row>
    <row r="3093" spans="18:18">
      <c r="R3093" s="304"/>
    </row>
    <row r="3094" spans="18:18">
      <c r="R3094" s="304"/>
    </row>
    <row r="3095" spans="18:18">
      <c r="R3095" s="304"/>
    </row>
    <row r="3096" spans="18:18">
      <c r="R3096" s="304"/>
    </row>
    <row r="3097" spans="18:18">
      <c r="R3097" s="304"/>
    </row>
    <row r="3098" spans="18:18">
      <c r="R3098" s="304"/>
    </row>
    <row r="3099" spans="18:18">
      <c r="R3099" s="304"/>
    </row>
    <row r="3100" spans="18:18">
      <c r="R3100" s="304"/>
    </row>
    <row r="3101" spans="18:18">
      <c r="R3101" s="304"/>
    </row>
    <row r="3102" spans="18:18">
      <c r="R3102" s="304"/>
    </row>
    <row r="3103" spans="18:18">
      <c r="R3103" s="304"/>
    </row>
    <row r="3104" spans="18:18">
      <c r="R3104" s="304"/>
    </row>
    <row r="3105" spans="18:18">
      <c r="R3105" s="304"/>
    </row>
    <row r="3106" spans="18:18">
      <c r="R3106" s="304"/>
    </row>
    <row r="3107" spans="18:18">
      <c r="R3107" s="304"/>
    </row>
    <row r="3108" spans="18:18">
      <c r="R3108" s="304"/>
    </row>
    <row r="3109" spans="18:18">
      <c r="R3109" s="304"/>
    </row>
    <row r="3110" spans="18:18">
      <c r="R3110" s="304"/>
    </row>
    <row r="3111" spans="18:18">
      <c r="R3111" s="304"/>
    </row>
    <row r="3112" spans="18:18">
      <c r="R3112" s="304"/>
    </row>
    <row r="3113" spans="18:18">
      <c r="R3113" s="304"/>
    </row>
    <row r="3114" spans="18:18">
      <c r="R3114" s="304"/>
    </row>
    <row r="3115" spans="18:18">
      <c r="R3115" s="304"/>
    </row>
    <row r="3116" spans="18:18">
      <c r="R3116" s="304"/>
    </row>
    <row r="3117" spans="18:18">
      <c r="R3117" s="304"/>
    </row>
    <row r="3118" spans="18:18">
      <c r="R3118" s="304"/>
    </row>
    <row r="3119" spans="18:18">
      <c r="R3119" s="304"/>
    </row>
    <row r="3120" spans="18:18">
      <c r="R3120" s="304"/>
    </row>
    <row r="3121" spans="18:18">
      <c r="R3121" s="304"/>
    </row>
    <row r="3122" spans="18:18">
      <c r="R3122" s="304"/>
    </row>
    <row r="3123" spans="18:18">
      <c r="R3123" s="304"/>
    </row>
    <row r="3124" spans="18:18">
      <c r="R3124" s="304"/>
    </row>
    <row r="3125" spans="18:18">
      <c r="R3125" s="304"/>
    </row>
    <row r="3126" spans="18:18">
      <c r="R3126" s="304"/>
    </row>
    <row r="3127" spans="18:18">
      <c r="R3127" s="304"/>
    </row>
    <row r="3128" spans="18:18">
      <c r="R3128" s="304"/>
    </row>
    <row r="3129" spans="18:18">
      <c r="R3129" s="304"/>
    </row>
    <row r="3130" spans="18:18">
      <c r="R3130" s="304"/>
    </row>
    <row r="3131" spans="18:18">
      <c r="R3131" s="304"/>
    </row>
    <row r="3132" spans="18:18">
      <c r="R3132" s="304"/>
    </row>
    <row r="3133" spans="18:18">
      <c r="R3133" s="304"/>
    </row>
    <row r="3134" spans="18:18">
      <c r="R3134" s="304"/>
    </row>
    <row r="3135" spans="18:18">
      <c r="R3135" s="304"/>
    </row>
    <row r="3136" spans="18:18">
      <c r="R3136" s="304"/>
    </row>
    <row r="3137" spans="18:18">
      <c r="R3137" s="304"/>
    </row>
    <row r="3138" spans="18:18">
      <c r="R3138" s="304"/>
    </row>
    <row r="3139" spans="18:18">
      <c r="R3139" s="304"/>
    </row>
    <row r="3140" spans="18:18">
      <c r="R3140" s="304"/>
    </row>
    <row r="3141" spans="18:18">
      <c r="R3141" s="304"/>
    </row>
    <row r="3142" spans="18:18">
      <c r="R3142" s="304"/>
    </row>
    <row r="3143" spans="18:18">
      <c r="R3143" s="304"/>
    </row>
    <row r="3144" spans="18:18">
      <c r="R3144" s="304"/>
    </row>
    <row r="3145" spans="18:18">
      <c r="R3145" s="304"/>
    </row>
    <row r="3146" spans="18:18">
      <c r="R3146" s="304"/>
    </row>
    <row r="3147" spans="18:18">
      <c r="R3147" s="304"/>
    </row>
    <row r="3148" spans="18:18">
      <c r="R3148" s="304"/>
    </row>
    <row r="3149" spans="18:18">
      <c r="R3149" s="304"/>
    </row>
    <row r="3150" spans="18:18">
      <c r="R3150" s="304"/>
    </row>
    <row r="3151" spans="18:18">
      <c r="R3151" s="304"/>
    </row>
    <row r="3152" spans="18:18">
      <c r="R3152" s="304"/>
    </row>
    <row r="3153" spans="18:18">
      <c r="R3153" s="304"/>
    </row>
    <row r="3154" spans="18:18">
      <c r="R3154" s="304"/>
    </row>
    <row r="3155" spans="18:18">
      <c r="R3155" s="304"/>
    </row>
    <row r="3156" spans="18:18">
      <c r="R3156" s="304"/>
    </row>
    <row r="3157" spans="18:18">
      <c r="R3157" s="304"/>
    </row>
    <row r="3158" spans="18:18">
      <c r="R3158" s="304"/>
    </row>
    <row r="3159" spans="18:18">
      <c r="R3159" s="304"/>
    </row>
    <row r="3160" spans="18:18">
      <c r="R3160" s="304"/>
    </row>
    <row r="3161" spans="18:18">
      <c r="R3161" s="304"/>
    </row>
    <row r="3162" spans="18:18">
      <c r="R3162" s="304"/>
    </row>
    <row r="3163" spans="18:18">
      <c r="R3163" s="304"/>
    </row>
    <row r="3164" spans="18:18">
      <c r="R3164" s="304"/>
    </row>
    <row r="3165" spans="18:18">
      <c r="R3165" s="304"/>
    </row>
    <row r="3166" spans="18:18">
      <c r="R3166" s="304"/>
    </row>
    <row r="3167" spans="18:18">
      <c r="R3167" s="304"/>
    </row>
    <row r="3168" spans="18:18">
      <c r="R3168" s="304"/>
    </row>
    <row r="3169" spans="18:18">
      <c r="R3169" s="304"/>
    </row>
    <row r="3170" spans="18:18">
      <c r="R3170" s="304"/>
    </row>
    <row r="3171" spans="18:18">
      <c r="R3171" s="304"/>
    </row>
    <row r="3172" spans="18:18">
      <c r="R3172" s="304"/>
    </row>
    <row r="3173" spans="18:18">
      <c r="R3173" s="304"/>
    </row>
    <row r="3174" spans="18:18">
      <c r="R3174" s="304"/>
    </row>
    <row r="3175" spans="18:18">
      <c r="R3175" s="304"/>
    </row>
    <row r="3176" spans="18:18">
      <c r="R3176" s="304"/>
    </row>
    <row r="3177" spans="18:18">
      <c r="R3177" s="304"/>
    </row>
    <row r="3178" spans="18:18">
      <c r="R3178" s="304"/>
    </row>
    <row r="3179" spans="18:18">
      <c r="R3179" s="304"/>
    </row>
    <row r="3180" spans="18:18">
      <c r="R3180" s="304"/>
    </row>
    <row r="3181" spans="18:18">
      <c r="R3181" s="304"/>
    </row>
    <row r="3182" spans="18:18">
      <c r="R3182" s="304"/>
    </row>
    <row r="3183" spans="18:18">
      <c r="R3183" s="304"/>
    </row>
    <row r="3184" spans="18:18">
      <c r="R3184" s="304"/>
    </row>
    <row r="3185" spans="18:18">
      <c r="R3185" s="304"/>
    </row>
    <row r="3186" spans="18:18">
      <c r="R3186" s="304"/>
    </row>
    <row r="3187" spans="18:18">
      <c r="R3187" s="304"/>
    </row>
    <row r="3188" spans="18:18">
      <c r="R3188" s="304"/>
    </row>
    <row r="3189" spans="18:18">
      <c r="R3189" s="304"/>
    </row>
    <row r="3190" spans="18:18">
      <c r="R3190" s="304"/>
    </row>
    <row r="3191" spans="18:18">
      <c r="R3191" s="304"/>
    </row>
    <row r="3192" spans="18:18">
      <c r="R3192" s="304"/>
    </row>
    <row r="3193" spans="18:18">
      <c r="R3193" s="304"/>
    </row>
    <row r="3194" spans="18:18">
      <c r="R3194" s="304"/>
    </row>
    <row r="3195" spans="18:18">
      <c r="R3195" s="304"/>
    </row>
    <row r="3196" spans="18:18">
      <c r="R3196" s="304"/>
    </row>
    <row r="3197" spans="18:18">
      <c r="R3197" s="304"/>
    </row>
    <row r="3198" spans="18:18">
      <c r="R3198" s="304"/>
    </row>
    <row r="3199" spans="18:18">
      <c r="R3199" s="304"/>
    </row>
    <row r="3200" spans="18:18">
      <c r="R3200" s="304"/>
    </row>
    <row r="3201" spans="18:18">
      <c r="R3201" s="304"/>
    </row>
    <row r="3202" spans="18:18">
      <c r="R3202" s="304"/>
    </row>
    <row r="3203" spans="18:18">
      <c r="R3203" s="304"/>
    </row>
    <row r="3204" spans="18:18">
      <c r="R3204" s="304"/>
    </row>
    <row r="3205" spans="18:18">
      <c r="R3205" s="304"/>
    </row>
    <row r="3206" spans="18:18">
      <c r="R3206" s="304"/>
    </row>
    <row r="3207" spans="18:18">
      <c r="R3207" s="304"/>
    </row>
    <row r="3208" spans="18:18">
      <c r="R3208" s="304"/>
    </row>
    <row r="3209" spans="18:18">
      <c r="R3209" s="304"/>
    </row>
    <row r="3210" spans="18:18">
      <c r="R3210" s="304"/>
    </row>
    <row r="3211" spans="18:18">
      <c r="R3211" s="304"/>
    </row>
    <row r="3212" spans="18:18">
      <c r="R3212" s="304"/>
    </row>
    <row r="3213" spans="18:18">
      <c r="R3213" s="304"/>
    </row>
    <row r="3214" spans="18:18">
      <c r="R3214" s="304"/>
    </row>
    <row r="3215" spans="18:18">
      <c r="R3215" s="304"/>
    </row>
    <row r="3216" spans="18:18">
      <c r="R3216" s="304"/>
    </row>
    <row r="3217" spans="18:18">
      <c r="R3217" s="304"/>
    </row>
    <row r="3218" spans="18:18">
      <c r="R3218" s="304"/>
    </row>
    <row r="3219" spans="18:18">
      <c r="R3219" s="304"/>
    </row>
    <row r="3220" spans="18:18">
      <c r="R3220" s="304"/>
    </row>
    <row r="3221" spans="18:18">
      <c r="R3221" s="304"/>
    </row>
    <row r="3222" spans="18:18">
      <c r="R3222" s="304"/>
    </row>
    <row r="3223" spans="18:18">
      <c r="R3223" s="304"/>
    </row>
    <row r="3224" spans="18:18">
      <c r="R3224" s="304"/>
    </row>
    <row r="3225" spans="18:18">
      <c r="R3225" s="304"/>
    </row>
    <row r="3226" spans="18:18">
      <c r="R3226" s="304"/>
    </row>
    <row r="3227" spans="18:18">
      <c r="R3227" s="304"/>
    </row>
    <row r="3228" spans="18:18">
      <c r="R3228" s="304"/>
    </row>
    <row r="3229" spans="18:18">
      <c r="R3229" s="304"/>
    </row>
    <row r="3230" spans="18:18">
      <c r="R3230" s="304"/>
    </row>
    <row r="3231" spans="18:18">
      <c r="R3231" s="304"/>
    </row>
    <row r="3232" spans="18:18">
      <c r="R3232" s="304"/>
    </row>
    <row r="3233" spans="18:18">
      <c r="R3233" s="304"/>
    </row>
    <row r="3234" spans="18:18">
      <c r="R3234" s="304"/>
    </row>
    <row r="3235" spans="18:18">
      <c r="R3235" s="304"/>
    </row>
    <row r="3236" spans="18:18">
      <c r="R3236" s="304"/>
    </row>
    <row r="3237" spans="18:18">
      <c r="R3237" s="304"/>
    </row>
    <row r="3238" spans="18:18">
      <c r="R3238" s="304"/>
    </row>
    <row r="3239" spans="18:18">
      <c r="R3239" s="304"/>
    </row>
    <row r="3240" spans="18:18">
      <c r="R3240" s="304"/>
    </row>
    <row r="3241" spans="18:18">
      <c r="R3241" s="304"/>
    </row>
    <row r="3242" spans="18:18">
      <c r="R3242" s="304"/>
    </row>
    <row r="3243" spans="18:18">
      <c r="R3243" s="304"/>
    </row>
    <row r="3244" spans="18:18">
      <c r="R3244" s="304"/>
    </row>
    <row r="3245" spans="18:18">
      <c r="R3245" s="304"/>
    </row>
    <row r="3246" spans="18:18">
      <c r="R3246" s="304"/>
    </row>
    <row r="3247" spans="18:18">
      <c r="R3247" s="304"/>
    </row>
    <row r="3248" spans="18:18">
      <c r="R3248" s="304"/>
    </row>
    <row r="3249" spans="18:18">
      <c r="R3249" s="304"/>
    </row>
    <row r="3250" spans="18:18">
      <c r="R3250" s="304"/>
    </row>
    <row r="3251" spans="18:18">
      <c r="R3251" s="304"/>
    </row>
    <row r="3252" spans="18:18">
      <c r="R3252" s="304"/>
    </row>
    <row r="3253" spans="18:18">
      <c r="R3253" s="304"/>
    </row>
    <row r="3254" spans="18:18">
      <c r="R3254" s="304"/>
    </row>
    <row r="3255" spans="18:18">
      <c r="R3255" s="304"/>
    </row>
    <row r="3256" spans="18:18">
      <c r="R3256" s="304"/>
    </row>
    <row r="3257" spans="18:18">
      <c r="R3257" s="304"/>
    </row>
    <row r="3258" spans="18:18">
      <c r="R3258" s="304"/>
    </row>
    <row r="3259" spans="18:18">
      <c r="R3259" s="304"/>
    </row>
    <row r="3260" spans="18:18">
      <c r="R3260" s="304"/>
    </row>
    <row r="3261" spans="18:18">
      <c r="R3261" s="304"/>
    </row>
    <row r="3262" spans="18:18">
      <c r="R3262" s="304"/>
    </row>
    <row r="3263" spans="18:18">
      <c r="R3263" s="304"/>
    </row>
    <row r="3264" spans="18:18">
      <c r="R3264" s="304"/>
    </row>
    <row r="3265" spans="18:18">
      <c r="R3265" s="304"/>
    </row>
    <row r="3266" spans="18:18">
      <c r="R3266" s="304"/>
    </row>
    <row r="3267" spans="18:18">
      <c r="R3267" s="304"/>
    </row>
    <row r="3268" spans="18:18">
      <c r="R3268" s="304"/>
    </row>
    <row r="3269" spans="18:18">
      <c r="R3269" s="304"/>
    </row>
    <row r="3270" spans="18:18">
      <c r="R3270" s="304"/>
    </row>
    <row r="3271" spans="18:18">
      <c r="R3271" s="304"/>
    </row>
    <row r="3272" spans="18:18">
      <c r="R3272" s="304"/>
    </row>
    <row r="3273" spans="18:18">
      <c r="R3273" s="304"/>
    </row>
    <row r="3274" spans="18:18">
      <c r="R3274" s="304"/>
    </row>
    <row r="3275" spans="18:18">
      <c r="R3275" s="304"/>
    </row>
    <row r="3276" spans="18:18">
      <c r="R3276" s="304"/>
    </row>
    <row r="3277" spans="18:18">
      <c r="R3277" s="304"/>
    </row>
    <row r="3278" spans="18:18">
      <c r="R3278" s="304"/>
    </row>
    <row r="3279" spans="18:18">
      <c r="R3279" s="304"/>
    </row>
    <row r="3280" spans="18:18">
      <c r="R3280" s="304"/>
    </row>
    <row r="3281" spans="18:18">
      <c r="R3281" s="304"/>
    </row>
    <row r="3282" spans="18:18">
      <c r="R3282" s="304"/>
    </row>
    <row r="3283" spans="18:18">
      <c r="R3283" s="304"/>
    </row>
    <row r="3284" spans="18:18">
      <c r="R3284" s="304"/>
    </row>
    <row r="3285" spans="18:18">
      <c r="R3285" s="304"/>
    </row>
    <row r="3286" spans="18:18">
      <c r="R3286" s="304"/>
    </row>
    <row r="3287" spans="18:18">
      <c r="R3287" s="304"/>
    </row>
    <row r="3288" spans="18:18">
      <c r="R3288" s="304"/>
    </row>
    <row r="3289" spans="18:18">
      <c r="R3289" s="304"/>
    </row>
    <row r="3290" spans="18:18">
      <c r="R3290" s="304"/>
    </row>
    <row r="3291" spans="18:18">
      <c r="R3291" s="304"/>
    </row>
    <row r="3292" spans="18:18">
      <c r="R3292" s="304"/>
    </row>
    <row r="3293" spans="18:18">
      <c r="R3293" s="304"/>
    </row>
    <row r="3294" spans="18:18">
      <c r="R3294" s="304"/>
    </row>
    <row r="3295" spans="18:18">
      <c r="R3295" s="304"/>
    </row>
    <row r="3296" spans="18:18">
      <c r="R3296" s="304"/>
    </row>
    <row r="3297" spans="18:18">
      <c r="R3297" s="304"/>
    </row>
    <row r="3298" spans="18:18">
      <c r="R3298" s="304"/>
    </row>
    <row r="3299" spans="18:18">
      <c r="R3299" s="304"/>
    </row>
    <row r="3300" spans="18:18">
      <c r="R3300" s="304"/>
    </row>
    <row r="3301" spans="18:18">
      <c r="R3301" s="304"/>
    </row>
    <row r="3302" spans="18:18">
      <c r="R3302" s="304"/>
    </row>
    <row r="3303" spans="18:18">
      <c r="R3303" s="304"/>
    </row>
    <row r="3304" spans="18:18">
      <c r="R3304" s="304"/>
    </row>
    <row r="3305" spans="18:18">
      <c r="R3305" s="304"/>
    </row>
    <row r="3306" spans="18:18">
      <c r="R3306" s="304"/>
    </row>
    <row r="3307" spans="18:18">
      <c r="R3307" s="304"/>
    </row>
    <row r="3308" spans="18:18">
      <c r="R3308" s="304"/>
    </row>
    <row r="3309" spans="18:18">
      <c r="R3309" s="304"/>
    </row>
    <row r="3310" spans="18:18">
      <c r="R3310" s="304"/>
    </row>
    <row r="3311" spans="18:18">
      <c r="R3311" s="304"/>
    </row>
    <row r="3312" spans="18:18">
      <c r="R3312" s="304"/>
    </row>
    <row r="3313" spans="18:18">
      <c r="R3313" s="304"/>
    </row>
    <row r="3314" spans="18:18">
      <c r="R3314" s="304"/>
    </row>
    <row r="3315" spans="18:18">
      <c r="R3315" s="304"/>
    </row>
    <row r="3316" spans="18:18">
      <c r="R3316" s="304"/>
    </row>
    <row r="3317" spans="18:18">
      <c r="R3317" s="304"/>
    </row>
    <row r="3318" spans="18:18">
      <c r="R3318" s="304"/>
    </row>
    <row r="3319" spans="18:18">
      <c r="R3319" s="304"/>
    </row>
    <row r="3320" spans="18:18">
      <c r="R3320" s="304"/>
    </row>
    <row r="3321" spans="18:18">
      <c r="R3321" s="304"/>
    </row>
    <row r="3322" spans="18:18">
      <c r="R3322" s="304"/>
    </row>
    <row r="3323" spans="18:18">
      <c r="R3323" s="304"/>
    </row>
    <row r="3324" spans="18:18">
      <c r="R3324" s="304"/>
    </row>
    <row r="3325" spans="18:18">
      <c r="R3325" s="304"/>
    </row>
    <row r="3326" spans="18:18">
      <c r="R3326" s="304"/>
    </row>
    <row r="3327" spans="18:18">
      <c r="R3327" s="304"/>
    </row>
    <row r="3328" spans="18:18">
      <c r="R3328" s="304"/>
    </row>
    <row r="3329" spans="18:18">
      <c r="R3329" s="304"/>
    </row>
    <row r="3330" spans="18:18">
      <c r="R3330" s="304"/>
    </row>
    <row r="3331" spans="18:18">
      <c r="R3331" s="304"/>
    </row>
    <row r="3332" spans="18:18">
      <c r="R3332" s="304"/>
    </row>
    <row r="3333" spans="18:18">
      <c r="R3333" s="304"/>
    </row>
    <row r="3334" spans="18:18">
      <c r="R3334" s="304"/>
    </row>
    <row r="3335" spans="18:18">
      <c r="R3335" s="304"/>
    </row>
    <row r="3336" spans="18:18">
      <c r="R3336" s="304"/>
    </row>
    <row r="3337" spans="18:18">
      <c r="R3337" s="304"/>
    </row>
    <row r="3338" spans="18:18">
      <c r="R3338" s="304"/>
    </row>
    <row r="3339" spans="18:18">
      <c r="R3339" s="304"/>
    </row>
    <row r="3340" spans="18:18">
      <c r="R3340" s="304"/>
    </row>
    <row r="3341" spans="18:18">
      <c r="R3341" s="304"/>
    </row>
    <row r="3342" spans="18:18">
      <c r="R3342" s="304"/>
    </row>
    <row r="3343" spans="18:18">
      <c r="R3343" s="304"/>
    </row>
    <row r="3344" spans="18:18">
      <c r="R3344" s="304"/>
    </row>
    <row r="3345" spans="18:18">
      <c r="R3345" s="304"/>
    </row>
    <row r="3346" spans="18:18">
      <c r="R3346" s="304"/>
    </row>
    <row r="3347" spans="18:18">
      <c r="R3347" s="304"/>
    </row>
    <row r="3348" spans="18:18">
      <c r="R3348" s="304"/>
    </row>
    <row r="3349" spans="18:18">
      <c r="R3349" s="304"/>
    </row>
    <row r="3350" spans="18:18">
      <c r="R3350" s="304"/>
    </row>
    <row r="3351" spans="18:18">
      <c r="R3351" s="304"/>
    </row>
    <row r="3352" spans="18:18">
      <c r="R3352" s="304"/>
    </row>
    <row r="3353" spans="18:18">
      <c r="R3353" s="304"/>
    </row>
    <row r="3354" spans="18:18">
      <c r="R3354" s="304"/>
    </row>
    <row r="3355" spans="18:18">
      <c r="R3355" s="304"/>
    </row>
    <row r="3356" spans="18:18">
      <c r="R3356" s="304"/>
    </row>
    <row r="3357" spans="18:18">
      <c r="R3357" s="304"/>
    </row>
    <row r="3358" spans="18:18">
      <c r="R3358" s="304"/>
    </row>
    <row r="3359" spans="18:18">
      <c r="R3359" s="304"/>
    </row>
    <row r="3360" spans="18:18">
      <c r="R3360" s="304"/>
    </row>
    <row r="3361" spans="18:18">
      <c r="R3361" s="304"/>
    </row>
    <row r="3362" spans="18:18">
      <c r="R3362" s="304"/>
    </row>
    <row r="3363" spans="18:18">
      <c r="R3363" s="304"/>
    </row>
    <row r="3364" spans="18:18">
      <c r="R3364" s="304"/>
    </row>
    <row r="3365" spans="18:18">
      <c r="R3365" s="304"/>
    </row>
    <row r="3366" spans="18:18">
      <c r="R3366" s="304"/>
    </row>
    <row r="3367" spans="18:18">
      <c r="R3367" s="304"/>
    </row>
    <row r="3368" spans="18:18">
      <c r="R3368" s="304"/>
    </row>
    <row r="3369" spans="18:18">
      <c r="R3369" s="304"/>
    </row>
    <row r="3370" spans="18:18">
      <c r="R3370" s="304"/>
    </row>
    <row r="3371" spans="18:18">
      <c r="R3371" s="304"/>
    </row>
    <row r="3372" spans="18:18">
      <c r="R3372" s="304"/>
    </row>
    <row r="3373" spans="18:18">
      <c r="R3373" s="304"/>
    </row>
    <row r="3374" spans="18:18">
      <c r="R3374" s="304"/>
    </row>
    <row r="3375" spans="18:18">
      <c r="R3375" s="304"/>
    </row>
    <row r="3376" spans="18:18">
      <c r="R3376" s="304"/>
    </row>
    <row r="3377" spans="18:18">
      <c r="R3377" s="304"/>
    </row>
    <row r="3378" spans="18:18">
      <c r="R3378" s="304"/>
    </row>
    <row r="3379" spans="18:18">
      <c r="R3379" s="304"/>
    </row>
    <row r="3380" spans="18:18">
      <c r="R3380" s="304"/>
    </row>
    <row r="3381" spans="18:18">
      <c r="R3381" s="304"/>
    </row>
    <row r="3382" spans="18:18">
      <c r="R3382" s="304"/>
    </row>
    <row r="3383" spans="18:18">
      <c r="R3383" s="304"/>
    </row>
    <row r="3384" spans="18:18">
      <c r="R3384" s="304"/>
    </row>
    <row r="3385" spans="18:18">
      <c r="R3385" s="304"/>
    </row>
    <row r="3386" spans="18:18">
      <c r="R3386" s="304"/>
    </row>
    <row r="3387" spans="18:18">
      <c r="R3387" s="304"/>
    </row>
    <row r="3388" spans="18:18">
      <c r="R3388" s="304"/>
    </row>
    <row r="3389" spans="18:18">
      <c r="R3389" s="304"/>
    </row>
    <row r="3390" spans="18:18">
      <c r="R3390" s="304"/>
    </row>
    <row r="3391" spans="18:18">
      <c r="R3391" s="304"/>
    </row>
    <row r="3392" spans="18:18">
      <c r="R3392" s="304"/>
    </row>
    <row r="3393" spans="18:18">
      <c r="R3393" s="304"/>
    </row>
    <row r="3394" spans="18:18">
      <c r="R3394" s="304"/>
    </row>
    <row r="3395" spans="18:18">
      <c r="R3395" s="304"/>
    </row>
    <row r="3396" spans="18:18">
      <c r="R3396" s="304"/>
    </row>
    <row r="3397" spans="18:18">
      <c r="R3397" s="304"/>
    </row>
    <row r="3398" spans="18:18">
      <c r="R3398" s="304"/>
    </row>
    <row r="3399" spans="18:18">
      <c r="R3399" s="304"/>
    </row>
    <row r="3400" spans="18:18">
      <c r="R3400" s="304"/>
    </row>
    <row r="3401" spans="18:18">
      <c r="R3401" s="304"/>
    </row>
    <row r="3402" spans="18:18">
      <c r="R3402" s="304"/>
    </row>
    <row r="3403" spans="18:18">
      <c r="R3403" s="304"/>
    </row>
    <row r="3404" spans="18:18">
      <c r="R3404" s="304"/>
    </row>
    <row r="3405" spans="18:18">
      <c r="R3405" s="304"/>
    </row>
    <row r="3406" spans="18:18">
      <c r="R3406" s="304"/>
    </row>
    <row r="3407" spans="18:18">
      <c r="R3407" s="304"/>
    </row>
    <row r="3408" spans="18:18">
      <c r="R3408" s="304"/>
    </row>
    <row r="3409" spans="18:18">
      <c r="R3409" s="304"/>
    </row>
    <row r="3410" spans="18:18">
      <c r="R3410" s="304"/>
    </row>
    <row r="3411" spans="18:18">
      <c r="R3411" s="304"/>
    </row>
    <row r="3412" spans="18:18">
      <c r="R3412" s="304"/>
    </row>
    <row r="3413" spans="18:18">
      <c r="R3413" s="304"/>
    </row>
    <row r="3414" spans="18:18">
      <c r="R3414" s="304"/>
    </row>
    <row r="3415" spans="18:18">
      <c r="R3415" s="304"/>
    </row>
    <row r="3416" spans="18:18">
      <c r="R3416" s="304"/>
    </row>
    <row r="3417" spans="18:18">
      <c r="R3417" s="304"/>
    </row>
    <row r="3418" spans="18:18">
      <c r="R3418" s="304"/>
    </row>
    <row r="3419" spans="18:18">
      <c r="R3419" s="304"/>
    </row>
    <row r="3420" spans="18:18">
      <c r="R3420" s="304"/>
    </row>
    <row r="3421" spans="18:18">
      <c r="R3421" s="304"/>
    </row>
    <row r="3422" spans="18:18">
      <c r="R3422" s="304"/>
    </row>
    <row r="3423" spans="18:18">
      <c r="R3423" s="304"/>
    </row>
    <row r="3424" spans="18:18">
      <c r="R3424" s="304"/>
    </row>
    <row r="3425" spans="18:18">
      <c r="R3425" s="304"/>
    </row>
    <row r="3426" spans="18:18">
      <c r="R3426" s="304"/>
    </row>
    <row r="3427" spans="18:18">
      <c r="R3427" s="304"/>
    </row>
    <row r="3428" spans="18:18">
      <c r="R3428" s="304"/>
    </row>
    <row r="3429" spans="18:18">
      <c r="R3429" s="304"/>
    </row>
    <row r="3430" spans="18:18">
      <c r="R3430" s="304"/>
    </row>
    <row r="3431" spans="18:18">
      <c r="R3431" s="304"/>
    </row>
    <row r="3432" spans="18:18">
      <c r="R3432" s="304"/>
    </row>
    <row r="3433" spans="18:18">
      <c r="R3433" s="304"/>
    </row>
    <row r="3434" spans="18:18">
      <c r="R3434" s="304"/>
    </row>
    <row r="3435" spans="18:18">
      <c r="R3435" s="304"/>
    </row>
    <row r="3436" spans="18:18">
      <c r="R3436" s="304"/>
    </row>
    <row r="3437" spans="18:18">
      <c r="R3437" s="304"/>
    </row>
    <row r="3438" spans="18:18">
      <c r="R3438" s="304"/>
    </row>
    <row r="3439" spans="18:18">
      <c r="R3439" s="304"/>
    </row>
    <row r="3440" spans="18:18">
      <c r="R3440" s="304"/>
    </row>
    <row r="3441" spans="18:18">
      <c r="R3441" s="304"/>
    </row>
    <row r="3442" spans="18:18">
      <c r="R3442" s="304"/>
    </row>
    <row r="3443" spans="18:18">
      <c r="R3443" s="304"/>
    </row>
    <row r="3444" spans="18:18">
      <c r="R3444" s="304"/>
    </row>
    <row r="3445" spans="18:18">
      <c r="R3445" s="304"/>
    </row>
    <row r="3446" spans="18:18">
      <c r="R3446" s="304"/>
    </row>
    <row r="3447" spans="18:18">
      <c r="R3447" s="304"/>
    </row>
    <row r="3448" spans="18:18">
      <c r="R3448" s="304"/>
    </row>
    <row r="3449" spans="18:18">
      <c r="R3449" s="304"/>
    </row>
    <row r="3450" spans="18:18">
      <c r="R3450" s="304"/>
    </row>
    <row r="3451" spans="18:18">
      <c r="R3451" s="304"/>
    </row>
    <row r="3452" spans="18:18">
      <c r="R3452" s="304"/>
    </row>
    <row r="3453" spans="18:18">
      <c r="R3453" s="304"/>
    </row>
    <row r="3454" spans="18:18">
      <c r="R3454" s="304"/>
    </row>
    <row r="3455" spans="18:18">
      <c r="R3455" s="304"/>
    </row>
    <row r="3456" spans="18:18">
      <c r="R3456" s="304"/>
    </row>
    <row r="3457" spans="18:18">
      <c r="R3457" s="304"/>
    </row>
    <row r="3458" spans="18:18">
      <c r="R3458" s="304"/>
    </row>
    <row r="3459" spans="18:18">
      <c r="R3459" s="304"/>
    </row>
    <row r="3460" spans="18:18">
      <c r="R3460" s="304"/>
    </row>
    <row r="3461" spans="18:18">
      <c r="R3461" s="304"/>
    </row>
    <row r="3462" spans="18:18">
      <c r="R3462" s="304"/>
    </row>
    <row r="3463" spans="18:18">
      <c r="R3463" s="304"/>
    </row>
    <row r="3464" spans="18:18">
      <c r="R3464" s="304"/>
    </row>
    <row r="3465" spans="18:18">
      <c r="R3465" s="304"/>
    </row>
    <row r="3466" spans="18:18">
      <c r="R3466" s="304"/>
    </row>
    <row r="3467" spans="18:18">
      <c r="R3467" s="304"/>
    </row>
    <row r="3468" spans="18:18">
      <c r="R3468" s="304"/>
    </row>
    <row r="3469" spans="18:18">
      <c r="R3469" s="304"/>
    </row>
    <row r="3470" spans="18:18">
      <c r="R3470" s="304"/>
    </row>
    <row r="3471" spans="18:18">
      <c r="R3471" s="304"/>
    </row>
    <row r="3472" spans="18:18">
      <c r="R3472" s="304"/>
    </row>
    <row r="3473" spans="18:18">
      <c r="R3473" s="304"/>
    </row>
    <row r="3474" spans="18:18">
      <c r="R3474" s="304"/>
    </row>
    <row r="3475" spans="18:18">
      <c r="R3475" s="304"/>
    </row>
    <row r="3476" spans="18:18">
      <c r="R3476" s="304"/>
    </row>
    <row r="3477" spans="18:18">
      <c r="R3477" s="304"/>
    </row>
    <row r="3478" spans="18:18">
      <c r="R3478" s="304"/>
    </row>
    <row r="3479" spans="18:18">
      <c r="R3479" s="304"/>
    </row>
    <row r="3480" spans="18:18">
      <c r="R3480" s="304"/>
    </row>
    <row r="3481" spans="18:18">
      <c r="R3481" s="304"/>
    </row>
    <row r="3482" spans="18:18">
      <c r="R3482" s="304"/>
    </row>
    <row r="3483" spans="18:18">
      <c r="R3483" s="304"/>
    </row>
    <row r="3484" spans="18:18">
      <c r="R3484" s="304"/>
    </row>
    <row r="3485" spans="18:18">
      <c r="R3485" s="304"/>
    </row>
    <row r="3486" spans="18:18">
      <c r="R3486" s="304"/>
    </row>
    <row r="3487" spans="18:18">
      <c r="R3487" s="304"/>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6"/>
  <sheetViews>
    <sheetView zoomScaleNormal="100" workbookViewId="0">
      <pane xSplit="2" ySplit="3" topLeftCell="AC43" activePane="bottomRight" state="frozen"/>
      <selection pane="topRight" activeCell="C1" sqref="C1"/>
      <selection pane="bottomLeft" activeCell="A5" sqref="A5"/>
      <selection pane="bottomRight" sqref="A1:AM66"/>
    </sheetView>
  </sheetViews>
  <sheetFormatPr defaultRowHeight="12.75"/>
  <cols>
    <col min="1" max="1" width="5.140625" style="280" customWidth="1"/>
    <col min="2" max="2" width="55.42578125" style="280" bestFit="1" customWidth="1"/>
    <col min="3" max="15" width="9.28515625" style="280" customWidth="1"/>
    <col min="16" max="21" width="9.140625" style="280" customWidth="1"/>
    <col min="22" max="22" width="9.7109375" style="280" customWidth="1"/>
    <col min="23" max="25" width="9.140625" style="280" customWidth="1"/>
    <col min="26" max="26" width="10.85546875" style="280" customWidth="1"/>
    <col min="27" max="39" width="10.85546875" style="280" bestFit="1" customWidth="1"/>
    <col min="40" max="256" width="9.140625" style="280"/>
    <col min="257" max="257" width="5.140625" style="280" customWidth="1"/>
    <col min="258" max="258" width="55.42578125" style="280" bestFit="1" customWidth="1"/>
    <col min="259" max="271" width="9.28515625" style="280" customWidth="1"/>
    <col min="272" max="277" width="9.140625" style="280" customWidth="1"/>
    <col min="278" max="278" width="9.7109375" style="280" customWidth="1"/>
    <col min="279" max="281" width="9.140625" style="280" customWidth="1"/>
    <col min="282" max="282" width="10.85546875" style="280" customWidth="1"/>
    <col min="283" max="295" width="10.85546875" style="280" bestFit="1" customWidth="1"/>
    <col min="296" max="512" width="9.140625" style="280"/>
    <col min="513" max="513" width="5.140625" style="280" customWidth="1"/>
    <col min="514" max="514" width="55.42578125" style="280" bestFit="1" customWidth="1"/>
    <col min="515" max="527" width="9.28515625" style="280" customWidth="1"/>
    <col min="528" max="533" width="9.140625" style="280" customWidth="1"/>
    <col min="534" max="534" width="9.7109375" style="280" customWidth="1"/>
    <col min="535" max="537" width="9.140625" style="280" customWidth="1"/>
    <col min="538" max="538" width="10.85546875" style="280" customWidth="1"/>
    <col min="539" max="551" width="10.85546875" style="280" bestFit="1" customWidth="1"/>
    <col min="552" max="768" width="9.140625" style="280"/>
    <col min="769" max="769" width="5.140625" style="280" customWidth="1"/>
    <col min="770" max="770" width="55.42578125" style="280" bestFit="1" customWidth="1"/>
    <col min="771" max="783" width="9.28515625" style="280" customWidth="1"/>
    <col min="784" max="789" width="9.140625" style="280" customWidth="1"/>
    <col min="790" max="790" width="9.7109375" style="280" customWidth="1"/>
    <col min="791" max="793" width="9.140625" style="280" customWidth="1"/>
    <col min="794" max="794" width="10.85546875" style="280" customWidth="1"/>
    <col min="795" max="807" width="10.85546875" style="280" bestFit="1" customWidth="1"/>
    <col min="808" max="1024" width="9.140625" style="280"/>
    <col min="1025" max="1025" width="5.140625" style="280" customWidth="1"/>
    <col min="1026" max="1026" width="55.42578125" style="280" bestFit="1" customWidth="1"/>
    <col min="1027" max="1039" width="9.28515625" style="280" customWidth="1"/>
    <col min="1040" max="1045" width="9.140625" style="280" customWidth="1"/>
    <col min="1046" max="1046" width="9.7109375" style="280" customWidth="1"/>
    <col min="1047" max="1049" width="9.140625" style="280" customWidth="1"/>
    <col min="1050" max="1050" width="10.85546875" style="280" customWidth="1"/>
    <col min="1051" max="1063" width="10.85546875" style="280" bestFit="1" customWidth="1"/>
    <col min="1064" max="1280" width="9.140625" style="280"/>
    <col min="1281" max="1281" width="5.140625" style="280" customWidth="1"/>
    <col min="1282" max="1282" width="55.42578125" style="280" bestFit="1" customWidth="1"/>
    <col min="1283" max="1295" width="9.28515625" style="280" customWidth="1"/>
    <col min="1296" max="1301" width="9.140625" style="280" customWidth="1"/>
    <col min="1302" max="1302" width="9.7109375" style="280" customWidth="1"/>
    <col min="1303" max="1305" width="9.140625" style="280" customWidth="1"/>
    <col min="1306" max="1306" width="10.85546875" style="280" customWidth="1"/>
    <col min="1307" max="1319" width="10.85546875" style="280" bestFit="1" customWidth="1"/>
    <col min="1320" max="1536" width="9.140625" style="280"/>
    <col min="1537" max="1537" width="5.140625" style="280" customWidth="1"/>
    <col min="1538" max="1538" width="55.42578125" style="280" bestFit="1" customWidth="1"/>
    <col min="1539" max="1551" width="9.28515625" style="280" customWidth="1"/>
    <col min="1552" max="1557" width="9.140625" style="280" customWidth="1"/>
    <col min="1558" max="1558" width="9.7109375" style="280" customWidth="1"/>
    <col min="1559" max="1561" width="9.140625" style="280" customWidth="1"/>
    <col min="1562" max="1562" width="10.85546875" style="280" customWidth="1"/>
    <col min="1563" max="1575" width="10.85546875" style="280" bestFit="1" customWidth="1"/>
    <col min="1576" max="1792" width="9.140625" style="280"/>
    <col min="1793" max="1793" width="5.140625" style="280" customWidth="1"/>
    <col min="1794" max="1794" width="55.42578125" style="280" bestFit="1" customWidth="1"/>
    <col min="1795" max="1807" width="9.28515625" style="280" customWidth="1"/>
    <col min="1808" max="1813" width="9.140625" style="280" customWidth="1"/>
    <col min="1814" max="1814" width="9.7109375" style="280" customWidth="1"/>
    <col min="1815" max="1817" width="9.140625" style="280" customWidth="1"/>
    <col min="1818" max="1818" width="10.85546875" style="280" customWidth="1"/>
    <col min="1819" max="1831" width="10.85546875" style="280" bestFit="1" customWidth="1"/>
    <col min="1832" max="2048" width="9.140625" style="280"/>
    <col min="2049" max="2049" width="5.140625" style="280" customWidth="1"/>
    <col min="2050" max="2050" width="55.42578125" style="280" bestFit="1" customWidth="1"/>
    <col min="2051" max="2063" width="9.28515625" style="280" customWidth="1"/>
    <col min="2064" max="2069" width="9.140625" style="280" customWidth="1"/>
    <col min="2070" max="2070" width="9.7109375" style="280" customWidth="1"/>
    <col min="2071" max="2073" width="9.140625" style="280" customWidth="1"/>
    <col min="2074" max="2074" width="10.85546875" style="280" customWidth="1"/>
    <col min="2075" max="2087" width="10.85546875" style="280" bestFit="1" customWidth="1"/>
    <col min="2088" max="2304" width="9.140625" style="280"/>
    <col min="2305" max="2305" width="5.140625" style="280" customWidth="1"/>
    <col min="2306" max="2306" width="55.42578125" style="280" bestFit="1" customWidth="1"/>
    <col min="2307" max="2319" width="9.28515625" style="280" customWidth="1"/>
    <col min="2320" max="2325" width="9.140625" style="280" customWidth="1"/>
    <col min="2326" max="2326" width="9.7109375" style="280" customWidth="1"/>
    <col min="2327" max="2329" width="9.140625" style="280" customWidth="1"/>
    <col min="2330" max="2330" width="10.85546875" style="280" customWidth="1"/>
    <col min="2331" max="2343" width="10.85546875" style="280" bestFit="1" customWidth="1"/>
    <col min="2344" max="2560" width="9.140625" style="280"/>
    <col min="2561" max="2561" width="5.140625" style="280" customWidth="1"/>
    <col min="2562" max="2562" width="55.42578125" style="280" bestFit="1" customWidth="1"/>
    <col min="2563" max="2575" width="9.28515625" style="280" customWidth="1"/>
    <col min="2576" max="2581" width="9.140625" style="280" customWidth="1"/>
    <col min="2582" max="2582" width="9.7109375" style="280" customWidth="1"/>
    <col min="2583" max="2585" width="9.140625" style="280" customWidth="1"/>
    <col min="2586" max="2586" width="10.85546875" style="280" customWidth="1"/>
    <col min="2587" max="2599" width="10.85546875" style="280" bestFit="1" customWidth="1"/>
    <col min="2600" max="2816" width="9.140625" style="280"/>
    <col min="2817" max="2817" width="5.140625" style="280" customWidth="1"/>
    <col min="2818" max="2818" width="55.42578125" style="280" bestFit="1" customWidth="1"/>
    <col min="2819" max="2831" width="9.28515625" style="280" customWidth="1"/>
    <col min="2832" max="2837" width="9.140625" style="280" customWidth="1"/>
    <col min="2838" max="2838" width="9.7109375" style="280" customWidth="1"/>
    <col min="2839" max="2841" width="9.140625" style="280" customWidth="1"/>
    <col min="2842" max="2842" width="10.85546875" style="280" customWidth="1"/>
    <col min="2843" max="2855" width="10.85546875" style="280" bestFit="1" customWidth="1"/>
    <col min="2856" max="3072" width="9.140625" style="280"/>
    <col min="3073" max="3073" width="5.140625" style="280" customWidth="1"/>
    <col min="3074" max="3074" width="55.42578125" style="280" bestFit="1" customWidth="1"/>
    <col min="3075" max="3087" width="9.28515625" style="280" customWidth="1"/>
    <col min="3088" max="3093" width="9.140625" style="280" customWidth="1"/>
    <col min="3094" max="3094" width="9.7109375" style="280" customWidth="1"/>
    <col min="3095" max="3097" width="9.140625" style="280" customWidth="1"/>
    <col min="3098" max="3098" width="10.85546875" style="280" customWidth="1"/>
    <col min="3099" max="3111" width="10.85546875" style="280" bestFit="1" customWidth="1"/>
    <col min="3112" max="3328" width="9.140625" style="280"/>
    <col min="3329" max="3329" width="5.140625" style="280" customWidth="1"/>
    <col min="3330" max="3330" width="55.42578125" style="280" bestFit="1" customWidth="1"/>
    <col min="3331" max="3343" width="9.28515625" style="280" customWidth="1"/>
    <col min="3344" max="3349" width="9.140625" style="280" customWidth="1"/>
    <col min="3350" max="3350" width="9.7109375" style="280" customWidth="1"/>
    <col min="3351" max="3353" width="9.140625" style="280" customWidth="1"/>
    <col min="3354" max="3354" width="10.85546875" style="280" customWidth="1"/>
    <col min="3355" max="3367" width="10.85546875" style="280" bestFit="1" customWidth="1"/>
    <col min="3368" max="3584" width="9.140625" style="280"/>
    <col min="3585" max="3585" width="5.140625" style="280" customWidth="1"/>
    <col min="3586" max="3586" width="55.42578125" style="280" bestFit="1" customWidth="1"/>
    <col min="3587" max="3599" width="9.28515625" style="280" customWidth="1"/>
    <col min="3600" max="3605" width="9.140625" style="280" customWidth="1"/>
    <col min="3606" max="3606" width="9.7109375" style="280" customWidth="1"/>
    <col min="3607" max="3609" width="9.140625" style="280" customWidth="1"/>
    <col min="3610" max="3610" width="10.85546875" style="280" customWidth="1"/>
    <col min="3611" max="3623" width="10.85546875" style="280" bestFit="1" customWidth="1"/>
    <col min="3624" max="3840" width="9.140625" style="280"/>
    <col min="3841" max="3841" width="5.140625" style="280" customWidth="1"/>
    <col min="3842" max="3842" width="55.42578125" style="280" bestFit="1" customWidth="1"/>
    <col min="3843" max="3855" width="9.28515625" style="280" customWidth="1"/>
    <col min="3856" max="3861" width="9.140625" style="280" customWidth="1"/>
    <col min="3862" max="3862" width="9.7109375" style="280" customWidth="1"/>
    <col min="3863" max="3865" width="9.140625" style="280" customWidth="1"/>
    <col min="3866" max="3866" width="10.85546875" style="280" customWidth="1"/>
    <col min="3867" max="3879" width="10.85546875" style="280" bestFit="1" customWidth="1"/>
    <col min="3880" max="4096" width="9.140625" style="280"/>
    <col min="4097" max="4097" width="5.140625" style="280" customWidth="1"/>
    <col min="4098" max="4098" width="55.42578125" style="280" bestFit="1" customWidth="1"/>
    <col min="4099" max="4111" width="9.28515625" style="280" customWidth="1"/>
    <col min="4112" max="4117" width="9.140625" style="280" customWidth="1"/>
    <col min="4118" max="4118" width="9.7109375" style="280" customWidth="1"/>
    <col min="4119" max="4121" width="9.140625" style="280" customWidth="1"/>
    <col min="4122" max="4122" width="10.85546875" style="280" customWidth="1"/>
    <col min="4123" max="4135" width="10.85546875" style="280" bestFit="1" customWidth="1"/>
    <col min="4136" max="4352" width="9.140625" style="280"/>
    <col min="4353" max="4353" width="5.140625" style="280" customWidth="1"/>
    <col min="4354" max="4354" width="55.42578125" style="280" bestFit="1" customWidth="1"/>
    <col min="4355" max="4367" width="9.28515625" style="280" customWidth="1"/>
    <col min="4368" max="4373" width="9.140625" style="280" customWidth="1"/>
    <col min="4374" max="4374" width="9.7109375" style="280" customWidth="1"/>
    <col min="4375" max="4377" width="9.140625" style="280" customWidth="1"/>
    <col min="4378" max="4378" width="10.85546875" style="280" customWidth="1"/>
    <col min="4379" max="4391" width="10.85546875" style="280" bestFit="1" customWidth="1"/>
    <col min="4392" max="4608" width="9.140625" style="280"/>
    <col min="4609" max="4609" width="5.140625" style="280" customWidth="1"/>
    <col min="4610" max="4610" width="55.42578125" style="280" bestFit="1" customWidth="1"/>
    <col min="4611" max="4623" width="9.28515625" style="280" customWidth="1"/>
    <col min="4624" max="4629" width="9.140625" style="280" customWidth="1"/>
    <col min="4630" max="4630" width="9.7109375" style="280" customWidth="1"/>
    <col min="4631" max="4633" width="9.140625" style="280" customWidth="1"/>
    <col min="4634" max="4634" width="10.85546875" style="280" customWidth="1"/>
    <col min="4635" max="4647" width="10.85546875" style="280" bestFit="1" customWidth="1"/>
    <col min="4648" max="4864" width="9.140625" style="280"/>
    <col min="4865" max="4865" width="5.140625" style="280" customWidth="1"/>
    <col min="4866" max="4866" width="55.42578125" style="280" bestFit="1" customWidth="1"/>
    <col min="4867" max="4879" width="9.28515625" style="280" customWidth="1"/>
    <col min="4880" max="4885" width="9.140625" style="280" customWidth="1"/>
    <col min="4886" max="4886" width="9.7109375" style="280" customWidth="1"/>
    <col min="4887" max="4889" width="9.140625" style="280" customWidth="1"/>
    <col min="4890" max="4890" width="10.85546875" style="280" customWidth="1"/>
    <col min="4891" max="4903" width="10.85546875" style="280" bestFit="1" customWidth="1"/>
    <col min="4904" max="5120" width="9.140625" style="280"/>
    <col min="5121" max="5121" width="5.140625" style="280" customWidth="1"/>
    <col min="5122" max="5122" width="55.42578125" style="280" bestFit="1" customWidth="1"/>
    <col min="5123" max="5135" width="9.28515625" style="280" customWidth="1"/>
    <col min="5136" max="5141" width="9.140625" style="280" customWidth="1"/>
    <col min="5142" max="5142" width="9.7109375" style="280" customWidth="1"/>
    <col min="5143" max="5145" width="9.140625" style="280" customWidth="1"/>
    <col min="5146" max="5146" width="10.85546875" style="280" customWidth="1"/>
    <col min="5147" max="5159" width="10.85546875" style="280" bestFit="1" customWidth="1"/>
    <col min="5160" max="5376" width="9.140625" style="280"/>
    <col min="5377" max="5377" width="5.140625" style="280" customWidth="1"/>
    <col min="5378" max="5378" width="55.42578125" style="280" bestFit="1" customWidth="1"/>
    <col min="5379" max="5391" width="9.28515625" style="280" customWidth="1"/>
    <col min="5392" max="5397" width="9.140625" style="280" customWidth="1"/>
    <col min="5398" max="5398" width="9.7109375" style="280" customWidth="1"/>
    <col min="5399" max="5401" width="9.140625" style="280" customWidth="1"/>
    <col min="5402" max="5402" width="10.85546875" style="280" customWidth="1"/>
    <col min="5403" max="5415" width="10.85546875" style="280" bestFit="1" customWidth="1"/>
    <col min="5416" max="5632" width="9.140625" style="280"/>
    <col min="5633" max="5633" width="5.140625" style="280" customWidth="1"/>
    <col min="5634" max="5634" width="55.42578125" style="280" bestFit="1" customWidth="1"/>
    <col min="5635" max="5647" width="9.28515625" style="280" customWidth="1"/>
    <col min="5648" max="5653" width="9.140625" style="280" customWidth="1"/>
    <col min="5654" max="5654" width="9.7109375" style="280" customWidth="1"/>
    <col min="5655" max="5657" width="9.140625" style="280" customWidth="1"/>
    <col min="5658" max="5658" width="10.85546875" style="280" customWidth="1"/>
    <col min="5659" max="5671" width="10.85546875" style="280" bestFit="1" customWidth="1"/>
    <col min="5672" max="5888" width="9.140625" style="280"/>
    <col min="5889" max="5889" width="5.140625" style="280" customWidth="1"/>
    <col min="5890" max="5890" width="55.42578125" style="280" bestFit="1" customWidth="1"/>
    <col min="5891" max="5903" width="9.28515625" style="280" customWidth="1"/>
    <col min="5904" max="5909" width="9.140625" style="280" customWidth="1"/>
    <col min="5910" max="5910" width="9.7109375" style="280" customWidth="1"/>
    <col min="5911" max="5913" width="9.140625" style="280" customWidth="1"/>
    <col min="5914" max="5914" width="10.85546875" style="280" customWidth="1"/>
    <col min="5915" max="5927" width="10.85546875" style="280" bestFit="1" customWidth="1"/>
    <col min="5928" max="6144" width="9.140625" style="280"/>
    <col min="6145" max="6145" width="5.140625" style="280" customWidth="1"/>
    <col min="6146" max="6146" width="55.42578125" style="280" bestFit="1" customWidth="1"/>
    <col min="6147" max="6159" width="9.28515625" style="280" customWidth="1"/>
    <col min="6160" max="6165" width="9.140625" style="280" customWidth="1"/>
    <col min="6166" max="6166" width="9.7109375" style="280" customWidth="1"/>
    <col min="6167" max="6169" width="9.140625" style="280" customWidth="1"/>
    <col min="6170" max="6170" width="10.85546875" style="280" customWidth="1"/>
    <col min="6171" max="6183" width="10.85546875" style="280" bestFit="1" customWidth="1"/>
    <col min="6184" max="6400" width="9.140625" style="280"/>
    <col min="6401" max="6401" width="5.140625" style="280" customWidth="1"/>
    <col min="6402" max="6402" width="55.42578125" style="280" bestFit="1" customWidth="1"/>
    <col min="6403" max="6415" width="9.28515625" style="280" customWidth="1"/>
    <col min="6416" max="6421" width="9.140625" style="280" customWidth="1"/>
    <col min="6422" max="6422" width="9.7109375" style="280" customWidth="1"/>
    <col min="6423" max="6425" width="9.140625" style="280" customWidth="1"/>
    <col min="6426" max="6426" width="10.85546875" style="280" customWidth="1"/>
    <col min="6427" max="6439" width="10.85546875" style="280" bestFit="1" customWidth="1"/>
    <col min="6440" max="6656" width="9.140625" style="280"/>
    <col min="6657" max="6657" width="5.140625" style="280" customWidth="1"/>
    <col min="6658" max="6658" width="55.42578125" style="280" bestFit="1" customWidth="1"/>
    <col min="6659" max="6671" width="9.28515625" style="280" customWidth="1"/>
    <col min="6672" max="6677" width="9.140625" style="280" customWidth="1"/>
    <col min="6678" max="6678" width="9.7109375" style="280" customWidth="1"/>
    <col min="6679" max="6681" width="9.140625" style="280" customWidth="1"/>
    <col min="6682" max="6682" width="10.85546875" style="280" customWidth="1"/>
    <col min="6683" max="6695" width="10.85546875" style="280" bestFit="1" customWidth="1"/>
    <col min="6696" max="6912" width="9.140625" style="280"/>
    <col min="6913" max="6913" width="5.140625" style="280" customWidth="1"/>
    <col min="6914" max="6914" width="55.42578125" style="280" bestFit="1" customWidth="1"/>
    <col min="6915" max="6927" width="9.28515625" style="280" customWidth="1"/>
    <col min="6928" max="6933" width="9.140625" style="280" customWidth="1"/>
    <col min="6934" max="6934" width="9.7109375" style="280" customWidth="1"/>
    <col min="6935" max="6937" width="9.140625" style="280" customWidth="1"/>
    <col min="6938" max="6938" width="10.85546875" style="280" customWidth="1"/>
    <col min="6939" max="6951" width="10.85546875" style="280" bestFit="1" customWidth="1"/>
    <col min="6952" max="7168" width="9.140625" style="280"/>
    <col min="7169" max="7169" width="5.140625" style="280" customWidth="1"/>
    <col min="7170" max="7170" width="55.42578125" style="280" bestFit="1" customWidth="1"/>
    <col min="7171" max="7183" width="9.28515625" style="280" customWidth="1"/>
    <col min="7184" max="7189" width="9.140625" style="280" customWidth="1"/>
    <col min="7190" max="7190" width="9.7109375" style="280" customWidth="1"/>
    <col min="7191" max="7193" width="9.140625" style="280" customWidth="1"/>
    <col min="7194" max="7194" width="10.85546875" style="280" customWidth="1"/>
    <col min="7195" max="7207" width="10.85546875" style="280" bestFit="1" customWidth="1"/>
    <col min="7208" max="7424" width="9.140625" style="280"/>
    <col min="7425" max="7425" width="5.140625" style="280" customWidth="1"/>
    <col min="7426" max="7426" width="55.42578125" style="280" bestFit="1" customWidth="1"/>
    <col min="7427" max="7439" width="9.28515625" style="280" customWidth="1"/>
    <col min="7440" max="7445" width="9.140625" style="280" customWidth="1"/>
    <col min="7446" max="7446" width="9.7109375" style="280" customWidth="1"/>
    <col min="7447" max="7449" width="9.140625" style="280" customWidth="1"/>
    <col min="7450" max="7450" width="10.85546875" style="280" customWidth="1"/>
    <col min="7451" max="7463" width="10.85546875" style="280" bestFit="1" customWidth="1"/>
    <col min="7464" max="7680" width="9.140625" style="280"/>
    <col min="7681" max="7681" width="5.140625" style="280" customWidth="1"/>
    <col min="7682" max="7682" width="55.42578125" style="280" bestFit="1" customWidth="1"/>
    <col min="7683" max="7695" width="9.28515625" style="280" customWidth="1"/>
    <col min="7696" max="7701" width="9.140625" style="280" customWidth="1"/>
    <col min="7702" max="7702" width="9.7109375" style="280" customWidth="1"/>
    <col min="7703" max="7705" width="9.140625" style="280" customWidth="1"/>
    <col min="7706" max="7706" width="10.85546875" style="280" customWidth="1"/>
    <col min="7707" max="7719" width="10.85546875" style="280" bestFit="1" customWidth="1"/>
    <col min="7720" max="7936" width="9.140625" style="280"/>
    <col min="7937" max="7937" width="5.140625" style="280" customWidth="1"/>
    <col min="7938" max="7938" width="55.42578125" style="280" bestFit="1" customWidth="1"/>
    <col min="7939" max="7951" width="9.28515625" style="280" customWidth="1"/>
    <col min="7952" max="7957" width="9.140625" style="280" customWidth="1"/>
    <col min="7958" max="7958" width="9.7109375" style="280" customWidth="1"/>
    <col min="7959" max="7961" width="9.140625" style="280" customWidth="1"/>
    <col min="7962" max="7962" width="10.85546875" style="280" customWidth="1"/>
    <col min="7963" max="7975" width="10.85546875" style="280" bestFit="1" customWidth="1"/>
    <col min="7976" max="8192" width="9.140625" style="280"/>
    <col min="8193" max="8193" width="5.140625" style="280" customWidth="1"/>
    <col min="8194" max="8194" width="55.42578125" style="280" bestFit="1" customWidth="1"/>
    <col min="8195" max="8207" width="9.28515625" style="280" customWidth="1"/>
    <col min="8208" max="8213" width="9.140625" style="280" customWidth="1"/>
    <col min="8214" max="8214" width="9.7109375" style="280" customWidth="1"/>
    <col min="8215" max="8217" width="9.140625" style="280" customWidth="1"/>
    <col min="8218" max="8218" width="10.85546875" style="280" customWidth="1"/>
    <col min="8219" max="8231" width="10.85546875" style="280" bestFit="1" customWidth="1"/>
    <col min="8232" max="8448" width="9.140625" style="280"/>
    <col min="8449" max="8449" width="5.140625" style="280" customWidth="1"/>
    <col min="8450" max="8450" width="55.42578125" style="280" bestFit="1" customWidth="1"/>
    <col min="8451" max="8463" width="9.28515625" style="280" customWidth="1"/>
    <col min="8464" max="8469" width="9.140625" style="280" customWidth="1"/>
    <col min="8470" max="8470" width="9.7109375" style="280" customWidth="1"/>
    <col min="8471" max="8473" width="9.140625" style="280" customWidth="1"/>
    <col min="8474" max="8474" width="10.85546875" style="280" customWidth="1"/>
    <col min="8475" max="8487" width="10.85546875" style="280" bestFit="1" customWidth="1"/>
    <col min="8488" max="8704" width="9.140625" style="280"/>
    <col min="8705" max="8705" width="5.140625" style="280" customWidth="1"/>
    <col min="8706" max="8706" width="55.42578125" style="280" bestFit="1" customWidth="1"/>
    <col min="8707" max="8719" width="9.28515625" style="280" customWidth="1"/>
    <col min="8720" max="8725" width="9.140625" style="280" customWidth="1"/>
    <col min="8726" max="8726" width="9.7109375" style="280" customWidth="1"/>
    <col min="8727" max="8729" width="9.140625" style="280" customWidth="1"/>
    <col min="8730" max="8730" width="10.85546875" style="280" customWidth="1"/>
    <col min="8731" max="8743" width="10.85546875" style="280" bestFit="1" customWidth="1"/>
    <col min="8744" max="8960" width="9.140625" style="280"/>
    <col min="8961" max="8961" width="5.140625" style="280" customWidth="1"/>
    <col min="8962" max="8962" width="55.42578125" style="280" bestFit="1" customWidth="1"/>
    <col min="8963" max="8975" width="9.28515625" style="280" customWidth="1"/>
    <col min="8976" max="8981" width="9.140625" style="280" customWidth="1"/>
    <col min="8982" max="8982" width="9.7109375" style="280" customWidth="1"/>
    <col min="8983" max="8985" width="9.140625" style="280" customWidth="1"/>
    <col min="8986" max="8986" width="10.85546875" style="280" customWidth="1"/>
    <col min="8987" max="8999" width="10.85546875" style="280" bestFit="1" customWidth="1"/>
    <col min="9000" max="9216" width="9.140625" style="280"/>
    <col min="9217" max="9217" width="5.140625" style="280" customWidth="1"/>
    <col min="9218" max="9218" width="55.42578125" style="280" bestFit="1" customWidth="1"/>
    <col min="9219" max="9231" width="9.28515625" style="280" customWidth="1"/>
    <col min="9232" max="9237" width="9.140625" style="280" customWidth="1"/>
    <col min="9238" max="9238" width="9.7109375" style="280" customWidth="1"/>
    <col min="9239" max="9241" width="9.140625" style="280" customWidth="1"/>
    <col min="9242" max="9242" width="10.85546875" style="280" customWidth="1"/>
    <col min="9243" max="9255" width="10.85546875" style="280" bestFit="1" customWidth="1"/>
    <col min="9256" max="9472" width="9.140625" style="280"/>
    <col min="9473" max="9473" width="5.140625" style="280" customWidth="1"/>
    <col min="9474" max="9474" width="55.42578125" style="280" bestFit="1" customWidth="1"/>
    <col min="9475" max="9487" width="9.28515625" style="280" customWidth="1"/>
    <col min="9488" max="9493" width="9.140625" style="280" customWidth="1"/>
    <col min="9494" max="9494" width="9.7109375" style="280" customWidth="1"/>
    <col min="9495" max="9497" width="9.140625" style="280" customWidth="1"/>
    <col min="9498" max="9498" width="10.85546875" style="280" customWidth="1"/>
    <col min="9499" max="9511" width="10.85546875" style="280" bestFit="1" customWidth="1"/>
    <col min="9512" max="9728" width="9.140625" style="280"/>
    <col min="9729" max="9729" width="5.140625" style="280" customWidth="1"/>
    <col min="9730" max="9730" width="55.42578125" style="280" bestFit="1" customWidth="1"/>
    <col min="9731" max="9743" width="9.28515625" style="280" customWidth="1"/>
    <col min="9744" max="9749" width="9.140625" style="280" customWidth="1"/>
    <col min="9750" max="9750" width="9.7109375" style="280" customWidth="1"/>
    <col min="9751" max="9753" width="9.140625" style="280" customWidth="1"/>
    <col min="9754" max="9754" width="10.85546875" style="280" customWidth="1"/>
    <col min="9755" max="9767" width="10.85546875" style="280" bestFit="1" customWidth="1"/>
    <col min="9768" max="9984" width="9.140625" style="280"/>
    <col min="9985" max="9985" width="5.140625" style="280" customWidth="1"/>
    <col min="9986" max="9986" width="55.42578125" style="280" bestFit="1" customWidth="1"/>
    <col min="9987" max="9999" width="9.28515625" style="280" customWidth="1"/>
    <col min="10000" max="10005" width="9.140625" style="280" customWidth="1"/>
    <col min="10006" max="10006" width="9.7109375" style="280" customWidth="1"/>
    <col min="10007" max="10009" width="9.140625" style="280" customWidth="1"/>
    <col min="10010" max="10010" width="10.85546875" style="280" customWidth="1"/>
    <col min="10011" max="10023" width="10.85546875" style="280" bestFit="1" customWidth="1"/>
    <col min="10024" max="10240" width="9.140625" style="280"/>
    <col min="10241" max="10241" width="5.140625" style="280" customWidth="1"/>
    <col min="10242" max="10242" width="55.42578125" style="280" bestFit="1" customWidth="1"/>
    <col min="10243" max="10255" width="9.28515625" style="280" customWidth="1"/>
    <col min="10256" max="10261" width="9.140625" style="280" customWidth="1"/>
    <col min="10262" max="10262" width="9.7109375" style="280" customWidth="1"/>
    <col min="10263" max="10265" width="9.140625" style="280" customWidth="1"/>
    <col min="10266" max="10266" width="10.85546875" style="280" customWidth="1"/>
    <col min="10267" max="10279" width="10.85546875" style="280" bestFit="1" customWidth="1"/>
    <col min="10280" max="10496" width="9.140625" style="280"/>
    <col min="10497" max="10497" width="5.140625" style="280" customWidth="1"/>
    <col min="10498" max="10498" width="55.42578125" style="280" bestFit="1" customWidth="1"/>
    <col min="10499" max="10511" width="9.28515625" style="280" customWidth="1"/>
    <col min="10512" max="10517" width="9.140625" style="280" customWidth="1"/>
    <col min="10518" max="10518" width="9.7109375" style="280" customWidth="1"/>
    <col min="10519" max="10521" width="9.140625" style="280" customWidth="1"/>
    <col min="10522" max="10522" width="10.85546875" style="280" customWidth="1"/>
    <col min="10523" max="10535" width="10.85546875" style="280" bestFit="1" customWidth="1"/>
    <col min="10536" max="10752" width="9.140625" style="280"/>
    <col min="10753" max="10753" width="5.140625" style="280" customWidth="1"/>
    <col min="10754" max="10754" width="55.42578125" style="280" bestFit="1" customWidth="1"/>
    <col min="10755" max="10767" width="9.28515625" style="280" customWidth="1"/>
    <col min="10768" max="10773" width="9.140625" style="280" customWidth="1"/>
    <col min="10774" max="10774" width="9.7109375" style="280" customWidth="1"/>
    <col min="10775" max="10777" width="9.140625" style="280" customWidth="1"/>
    <col min="10778" max="10778" width="10.85546875" style="280" customWidth="1"/>
    <col min="10779" max="10791" width="10.85546875" style="280" bestFit="1" customWidth="1"/>
    <col min="10792" max="11008" width="9.140625" style="280"/>
    <col min="11009" max="11009" width="5.140625" style="280" customWidth="1"/>
    <col min="11010" max="11010" width="55.42578125" style="280" bestFit="1" customWidth="1"/>
    <col min="11011" max="11023" width="9.28515625" style="280" customWidth="1"/>
    <col min="11024" max="11029" width="9.140625" style="280" customWidth="1"/>
    <col min="11030" max="11030" width="9.7109375" style="280" customWidth="1"/>
    <col min="11031" max="11033" width="9.140625" style="280" customWidth="1"/>
    <col min="11034" max="11034" width="10.85546875" style="280" customWidth="1"/>
    <col min="11035" max="11047" width="10.85546875" style="280" bestFit="1" customWidth="1"/>
    <col min="11048" max="11264" width="9.140625" style="280"/>
    <col min="11265" max="11265" width="5.140625" style="280" customWidth="1"/>
    <col min="11266" max="11266" width="55.42578125" style="280" bestFit="1" customWidth="1"/>
    <col min="11267" max="11279" width="9.28515625" style="280" customWidth="1"/>
    <col min="11280" max="11285" width="9.140625" style="280" customWidth="1"/>
    <col min="11286" max="11286" width="9.7109375" style="280" customWidth="1"/>
    <col min="11287" max="11289" width="9.140625" style="280" customWidth="1"/>
    <col min="11290" max="11290" width="10.85546875" style="280" customWidth="1"/>
    <col min="11291" max="11303" width="10.85546875" style="280" bestFit="1" customWidth="1"/>
    <col min="11304" max="11520" width="9.140625" style="280"/>
    <col min="11521" max="11521" width="5.140625" style="280" customWidth="1"/>
    <col min="11522" max="11522" width="55.42578125" style="280" bestFit="1" customWidth="1"/>
    <col min="11523" max="11535" width="9.28515625" style="280" customWidth="1"/>
    <col min="11536" max="11541" width="9.140625" style="280" customWidth="1"/>
    <col min="11542" max="11542" width="9.7109375" style="280" customWidth="1"/>
    <col min="11543" max="11545" width="9.140625" style="280" customWidth="1"/>
    <col min="11546" max="11546" width="10.85546875" style="280" customWidth="1"/>
    <col min="11547" max="11559" width="10.85546875" style="280" bestFit="1" customWidth="1"/>
    <col min="11560" max="11776" width="9.140625" style="280"/>
    <col min="11777" max="11777" width="5.140625" style="280" customWidth="1"/>
    <col min="11778" max="11778" width="55.42578125" style="280" bestFit="1" customWidth="1"/>
    <col min="11779" max="11791" width="9.28515625" style="280" customWidth="1"/>
    <col min="11792" max="11797" width="9.140625" style="280" customWidth="1"/>
    <col min="11798" max="11798" width="9.7109375" style="280" customWidth="1"/>
    <col min="11799" max="11801" width="9.140625" style="280" customWidth="1"/>
    <col min="11802" max="11802" width="10.85546875" style="280" customWidth="1"/>
    <col min="11803" max="11815" width="10.85546875" style="280" bestFit="1" customWidth="1"/>
    <col min="11816" max="12032" width="9.140625" style="280"/>
    <col min="12033" max="12033" width="5.140625" style="280" customWidth="1"/>
    <col min="12034" max="12034" width="55.42578125" style="280" bestFit="1" customWidth="1"/>
    <col min="12035" max="12047" width="9.28515625" style="280" customWidth="1"/>
    <col min="12048" max="12053" width="9.140625" style="280" customWidth="1"/>
    <col min="12054" max="12054" width="9.7109375" style="280" customWidth="1"/>
    <col min="12055" max="12057" width="9.140625" style="280" customWidth="1"/>
    <col min="12058" max="12058" width="10.85546875" style="280" customWidth="1"/>
    <col min="12059" max="12071" width="10.85546875" style="280" bestFit="1" customWidth="1"/>
    <col min="12072" max="12288" width="9.140625" style="280"/>
    <col min="12289" max="12289" width="5.140625" style="280" customWidth="1"/>
    <col min="12290" max="12290" width="55.42578125" style="280" bestFit="1" customWidth="1"/>
    <col min="12291" max="12303" width="9.28515625" style="280" customWidth="1"/>
    <col min="12304" max="12309" width="9.140625" style="280" customWidth="1"/>
    <col min="12310" max="12310" width="9.7109375" style="280" customWidth="1"/>
    <col min="12311" max="12313" width="9.140625" style="280" customWidth="1"/>
    <col min="12314" max="12314" width="10.85546875" style="280" customWidth="1"/>
    <col min="12315" max="12327" width="10.85546875" style="280" bestFit="1" customWidth="1"/>
    <col min="12328" max="12544" width="9.140625" style="280"/>
    <col min="12545" max="12545" width="5.140625" style="280" customWidth="1"/>
    <col min="12546" max="12546" width="55.42578125" style="280" bestFit="1" customWidth="1"/>
    <col min="12547" max="12559" width="9.28515625" style="280" customWidth="1"/>
    <col min="12560" max="12565" width="9.140625" style="280" customWidth="1"/>
    <col min="12566" max="12566" width="9.7109375" style="280" customWidth="1"/>
    <col min="12567" max="12569" width="9.140625" style="280" customWidth="1"/>
    <col min="12570" max="12570" width="10.85546875" style="280" customWidth="1"/>
    <col min="12571" max="12583" width="10.85546875" style="280" bestFit="1" customWidth="1"/>
    <col min="12584" max="12800" width="9.140625" style="280"/>
    <col min="12801" max="12801" width="5.140625" style="280" customWidth="1"/>
    <col min="12802" max="12802" width="55.42578125" style="280" bestFit="1" customWidth="1"/>
    <col min="12803" max="12815" width="9.28515625" style="280" customWidth="1"/>
    <col min="12816" max="12821" width="9.140625" style="280" customWidth="1"/>
    <col min="12822" max="12822" width="9.7109375" style="280" customWidth="1"/>
    <col min="12823" max="12825" width="9.140625" style="280" customWidth="1"/>
    <col min="12826" max="12826" width="10.85546875" style="280" customWidth="1"/>
    <col min="12827" max="12839" width="10.85546875" style="280" bestFit="1" customWidth="1"/>
    <col min="12840" max="13056" width="9.140625" style="280"/>
    <col min="13057" max="13057" width="5.140625" style="280" customWidth="1"/>
    <col min="13058" max="13058" width="55.42578125" style="280" bestFit="1" customWidth="1"/>
    <col min="13059" max="13071" width="9.28515625" style="280" customWidth="1"/>
    <col min="13072" max="13077" width="9.140625" style="280" customWidth="1"/>
    <col min="13078" max="13078" width="9.7109375" style="280" customWidth="1"/>
    <col min="13079" max="13081" width="9.140625" style="280" customWidth="1"/>
    <col min="13082" max="13082" width="10.85546875" style="280" customWidth="1"/>
    <col min="13083" max="13095" width="10.85546875" style="280" bestFit="1" customWidth="1"/>
    <col min="13096" max="13312" width="9.140625" style="280"/>
    <col min="13313" max="13313" width="5.140625" style="280" customWidth="1"/>
    <col min="13314" max="13314" width="55.42578125" style="280" bestFit="1" customWidth="1"/>
    <col min="13315" max="13327" width="9.28515625" style="280" customWidth="1"/>
    <col min="13328" max="13333" width="9.140625" style="280" customWidth="1"/>
    <col min="13334" max="13334" width="9.7109375" style="280" customWidth="1"/>
    <col min="13335" max="13337" width="9.140625" style="280" customWidth="1"/>
    <col min="13338" max="13338" width="10.85546875" style="280" customWidth="1"/>
    <col min="13339" max="13351" width="10.85546875" style="280" bestFit="1" customWidth="1"/>
    <col min="13352" max="13568" width="9.140625" style="280"/>
    <col min="13569" max="13569" width="5.140625" style="280" customWidth="1"/>
    <col min="13570" max="13570" width="55.42578125" style="280" bestFit="1" customWidth="1"/>
    <col min="13571" max="13583" width="9.28515625" style="280" customWidth="1"/>
    <col min="13584" max="13589" width="9.140625" style="280" customWidth="1"/>
    <col min="13590" max="13590" width="9.7109375" style="280" customWidth="1"/>
    <col min="13591" max="13593" width="9.140625" style="280" customWidth="1"/>
    <col min="13594" max="13594" width="10.85546875" style="280" customWidth="1"/>
    <col min="13595" max="13607" width="10.85546875" style="280" bestFit="1" customWidth="1"/>
    <col min="13608" max="13824" width="9.140625" style="280"/>
    <col min="13825" max="13825" width="5.140625" style="280" customWidth="1"/>
    <col min="13826" max="13826" width="55.42578125" style="280" bestFit="1" customWidth="1"/>
    <col min="13827" max="13839" width="9.28515625" style="280" customWidth="1"/>
    <col min="13840" max="13845" width="9.140625" style="280" customWidth="1"/>
    <col min="13846" max="13846" width="9.7109375" style="280" customWidth="1"/>
    <col min="13847" max="13849" width="9.140625" style="280" customWidth="1"/>
    <col min="13850" max="13850" width="10.85546875" style="280" customWidth="1"/>
    <col min="13851" max="13863" width="10.85546875" style="280" bestFit="1" customWidth="1"/>
    <col min="13864" max="14080" width="9.140625" style="280"/>
    <col min="14081" max="14081" width="5.140625" style="280" customWidth="1"/>
    <col min="14082" max="14082" width="55.42578125" style="280" bestFit="1" customWidth="1"/>
    <col min="14083" max="14095" width="9.28515625" style="280" customWidth="1"/>
    <col min="14096" max="14101" width="9.140625" style="280" customWidth="1"/>
    <col min="14102" max="14102" width="9.7109375" style="280" customWidth="1"/>
    <col min="14103" max="14105" width="9.140625" style="280" customWidth="1"/>
    <col min="14106" max="14106" width="10.85546875" style="280" customWidth="1"/>
    <col min="14107" max="14119" width="10.85546875" style="280" bestFit="1" customWidth="1"/>
    <col min="14120" max="14336" width="9.140625" style="280"/>
    <col min="14337" max="14337" width="5.140625" style="280" customWidth="1"/>
    <col min="14338" max="14338" width="55.42578125" style="280" bestFit="1" customWidth="1"/>
    <col min="14339" max="14351" width="9.28515625" style="280" customWidth="1"/>
    <col min="14352" max="14357" width="9.140625" style="280" customWidth="1"/>
    <col min="14358" max="14358" width="9.7109375" style="280" customWidth="1"/>
    <col min="14359" max="14361" width="9.140625" style="280" customWidth="1"/>
    <col min="14362" max="14362" width="10.85546875" style="280" customWidth="1"/>
    <col min="14363" max="14375" width="10.85546875" style="280" bestFit="1" customWidth="1"/>
    <col min="14376" max="14592" width="9.140625" style="280"/>
    <col min="14593" max="14593" width="5.140625" style="280" customWidth="1"/>
    <col min="14594" max="14594" width="55.42578125" style="280" bestFit="1" customWidth="1"/>
    <col min="14595" max="14607" width="9.28515625" style="280" customWidth="1"/>
    <col min="14608" max="14613" width="9.140625" style="280" customWidth="1"/>
    <col min="14614" max="14614" width="9.7109375" style="280" customWidth="1"/>
    <col min="14615" max="14617" width="9.140625" style="280" customWidth="1"/>
    <col min="14618" max="14618" width="10.85546875" style="280" customWidth="1"/>
    <col min="14619" max="14631" width="10.85546875" style="280" bestFit="1" customWidth="1"/>
    <col min="14632" max="14848" width="9.140625" style="280"/>
    <col min="14849" max="14849" width="5.140625" style="280" customWidth="1"/>
    <col min="14850" max="14850" width="55.42578125" style="280" bestFit="1" customWidth="1"/>
    <col min="14851" max="14863" width="9.28515625" style="280" customWidth="1"/>
    <col min="14864" max="14869" width="9.140625" style="280" customWidth="1"/>
    <col min="14870" max="14870" width="9.7109375" style="280" customWidth="1"/>
    <col min="14871" max="14873" width="9.140625" style="280" customWidth="1"/>
    <col min="14874" max="14874" width="10.85546875" style="280" customWidth="1"/>
    <col min="14875" max="14887" width="10.85546875" style="280" bestFit="1" customWidth="1"/>
    <col min="14888" max="15104" width="9.140625" style="280"/>
    <col min="15105" max="15105" width="5.140625" style="280" customWidth="1"/>
    <col min="15106" max="15106" width="55.42578125" style="280" bestFit="1" customWidth="1"/>
    <col min="15107" max="15119" width="9.28515625" style="280" customWidth="1"/>
    <col min="15120" max="15125" width="9.140625" style="280" customWidth="1"/>
    <col min="15126" max="15126" width="9.7109375" style="280" customWidth="1"/>
    <col min="15127" max="15129" width="9.140625" style="280" customWidth="1"/>
    <col min="15130" max="15130" width="10.85546875" style="280" customWidth="1"/>
    <col min="15131" max="15143" width="10.85546875" style="280" bestFit="1" customWidth="1"/>
    <col min="15144" max="15360" width="9.140625" style="280"/>
    <col min="15361" max="15361" width="5.140625" style="280" customWidth="1"/>
    <col min="15362" max="15362" width="55.42578125" style="280" bestFit="1" customWidth="1"/>
    <col min="15363" max="15375" width="9.28515625" style="280" customWidth="1"/>
    <col min="15376" max="15381" width="9.140625" style="280" customWidth="1"/>
    <col min="15382" max="15382" width="9.7109375" style="280" customWidth="1"/>
    <col min="15383" max="15385" width="9.140625" style="280" customWidth="1"/>
    <col min="15386" max="15386" width="10.85546875" style="280" customWidth="1"/>
    <col min="15387" max="15399" width="10.85546875" style="280" bestFit="1" customWidth="1"/>
    <col min="15400" max="15616" width="9.140625" style="280"/>
    <col min="15617" max="15617" width="5.140625" style="280" customWidth="1"/>
    <col min="15618" max="15618" width="55.42578125" style="280" bestFit="1" customWidth="1"/>
    <col min="15619" max="15631" width="9.28515625" style="280" customWidth="1"/>
    <col min="15632" max="15637" width="9.140625" style="280" customWidth="1"/>
    <col min="15638" max="15638" width="9.7109375" style="280" customWidth="1"/>
    <col min="15639" max="15641" width="9.140625" style="280" customWidth="1"/>
    <col min="15642" max="15642" width="10.85546875" style="280" customWidth="1"/>
    <col min="15643" max="15655" width="10.85546875" style="280" bestFit="1" customWidth="1"/>
    <col min="15656" max="15872" width="9.140625" style="280"/>
    <col min="15873" max="15873" width="5.140625" style="280" customWidth="1"/>
    <col min="15874" max="15874" width="55.42578125" style="280" bestFit="1" customWidth="1"/>
    <col min="15875" max="15887" width="9.28515625" style="280" customWidth="1"/>
    <col min="15888" max="15893" width="9.140625" style="280" customWidth="1"/>
    <col min="15894" max="15894" width="9.7109375" style="280" customWidth="1"/>
    <col min="15895" max="15897" width="9.140625" style="280" customWidth="1"/>
    <col min="15898" max="15898" width="10.85546875" style="280" customWidth="1"/>
    <col min="15899" max="15911" width="10.85546875" style="280" bestFit="1" customWidth="1"/>
    <col min="15912" max="16128" width="9.140625" style="280"/>
    <col min="16129" max="16129" width="5.140625" style="280" customWidth="1"/>
    <col min="16130" max="16130" width="55.42578125" style="280" bestFit="1" customWidth="1"/>
    <col min="16131" max="16143" width="9.28515625" style="280" customWidth="1"/>
    <col min="16144" max="16149" width="9.140625" style="280" customWidth="1"/>
    <col min="16150" max="16150" width="9.7109375" style="280" customWidth="1"/>
    <col min="16151" max="16153" width="9.140625" style="280" customWidth="1"/>
    <col min="16154" max="16154" width="10.85546875" style="280" customWidth="1"/>
    <col min="16155" max="16167" width="10.85546875" style="280" bestFit="1" customWidth="1"/>
    <col min="16168" max="16384" width="9.140625" style="280"/>
  </cols>
  <sheetData>
    <row r="1" spans="1:39" ht="19.5">
      <c r="A1" s="418" t="s">
        <v>505</v>
      </c>
      <c r="B1" s="419"/>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row>
    <row r="2" spans="1:39" ht="13.5" thickBot="1">
      <c r="A2" s="420"/>
      <c r="B2" s="420"/>
      <c r="C2" s="142"/>
      <c r="D2" s="142"/>
      <c r="E2" s="142"/>
      <c r="F2" s="142"/>
      <c r="G2" s="350"/>
      <c r="H2" s="142"/>
      <c r="I2" s="142"/>
      <c r="J2" s="142"/>
      <c r="K2" s="350"/>
      <c r="L2" s="142"/>
      <c r="M2" s="350"/>
      <c r="N2" s="350"/>
      <c r="O2" s="142"/>
      <c r="P2" s="142"/>
      <c r="Q2" s="142"/>
      <c r="R2" s="142"/>
      <c r="S2" s="142"/>
      <c r="T2" s="142"/>
      <c r="U2" s="142"/>
      <c r="V2" s="142"/>
      <c r="W2" s="142"/>
      <c r="X2" s="142"/>
      <c r="Y2" s="142"/>
      <c r="Z2" s="353"/>
      <c r="AA2" s="353"/>
      <c r="AB2" s="353"/>
      <c r="AC2" s="353"/>
      <c r="AD2" s="353"/>
      <c r="AE2" s="353"/>
      <c r="AF2" s="353"/>
      <c r="AG2" s="353"/>
      <c r="AH2" s="353"/>
      <c r="AI2" s="353"/>
      <c r="AJ2" s="353"/>
      <c r="AK2" s="353"/>
      <c r="AL2" s="353"/>
      <c r="AM2" s="353" t="s">
        <v>12</v>
      </c>
    </row>
    <row r="3" spans="1:39" ht="14.25" thickTop="1" thickBot="1">
      <c r="A3" s="421" t="s">
        <v>506</v>
      </c>
      <c r="B3" s="422" t="s">
        <v>507</v>
      </c>
      <c r="C3" s="423">
        <v>40179</v>
      </c>
      <c r="D3" s="423">
        <v>40211</v>
      </c>
      <c r="E3" s="423">
        <v>40239</v>
      </c>
      <c r="F3" s="423">
        <v>40270</v>
      </c>
      <c r="G3" s="423">
        <v>40300</v>
      </c>
      <c r="H3" s="423">
        <v>40331</v>
      </c>
      <c r="I3" s="423">
        <v>40361</v>
      </c>
      <c r="J3" s="424">
        <v>40392</v>
      </c>
      <c r="K3" s="425">
        <v>40423</v>
      </c>
      <c r="L3" s="425">
        <v>40453</v>
      </c>
      <c r="M3" s="425">
        <v>40484</v>
      </c>
      <c r="N3" s="425">
        <v>40514</v>
      </c>
      <c r="O3" s="425">
        <v>40545</v>
      </c>
      <c r="P3" s="425">
        <v>40576</v>
      </c>
      <c r="Q3" s="425">
        <v>40604</v>
      </c>
      <c r="R3" s="425">
        <v>40635</v>
      </c>
      <c r="S3" s="425">
        <v>40665</v>
      </c>
      <c r="T3" s="425">
        <v>40696</v>
      </c>
      <c r="U3" s="425">
        <v>40726</v>
      </c>
      <c r="V3" s="426">
        <v>40757</v>
      </c>
      <c r="W3" s="426">
        <v>40788</v>
      </c>
      <c r="X3" s="426">
        <v>40818</v>
      </c>
      <c r="Y3" s="426">
        <v>40849</v>
      </c>
      <c r="Z3" s="426">
        <v>40879</v>
      </c>
      <c r="AA3" s="426">
        <v>40910</v>
      </c>
      <c r="AB3" s="426">
        <v>40941</v>
      </c>
      <c r="AC3" s="426">
        <v>40970</v>
      </c>
      <c r="AD3" s="426">
        <v>41001</v>
      </c>
      <c r="AE3" s="426">
        <v>41031</v>
      </c>
      <c r="AF3" s="426">
        <v>41062</v>
      </c>
      <c r="AG3" s="426">
        <v>41092</v>
      </c>
      <c r="AH3" s="426">
        <v>41123</v>
      </c>
      <c r="AI3" s="426">
        <v>41154</v>
      </c>
      <c r="AJ3" s="426">
        <v>41184</v>
      </c>
      <c r="AK3" s="426">
        <v>41215</v>
      </c>
      <c r="AL3" s="426">
        <v>41245</v>
      </c>
      <c r="AM3" s="426">
        <v>41276</v>
      </c>
    </row>
    <row r="4" spans="1:39" ht="13.5" thickTop="1">
      <c r="A4" s="427"/>
      <c r="B4" s="428"/>
      <c r="C4" s="429"/>
      <c r="D4" s="429"/>
      <c r="E4" s="429"/>
      <c r="F4" s="429"/>
      <c r="G4" s="429"/>
      <c r="H4" s="429"/>
      <c r="I4" s="429"/>
      <c r="J4" s="430"/>
      <c r="K4" s="431"/>
      <c r="L4" s="431"/>
      <c r="M4" s="431"/>
      <c r="N4" s="431"/>
      <c r="O4" s="431"/>
      <c r="P4" s="431"/>
      <c r="Q4" s="431"/>
      <c r="R4" s="431"/>
      <c r="S4" s="431"/>
      <c r="T4" s="431"/>
      <c r="U4" s="431"/>
      <c r="V4" s="432"/>
      <c r="W4" s="432"/>
      <c r="X4" s="432"/>
      <c r="Y4" s="432"/>
      <c r="Z4" s="432"/>
      <c r="AA4" s="432"/>
      <c r="AB4" s="432"/>
      <c r="AC4" s="432"/>
      <c r="AD4" s="432"/>
      <c r="AE4" s="432"/>
      <c r="AF4" s="432"/>
      <c r="AG4" s="432"/>
      <c r="AH4" s="432"/>
      <c r="AI4" s="432"/>
      <c r="AJ4" s="432"/>
      <c r="AK4" s="432"/>
      <c r="AL4" s="432"/>
      <c r="AM4" s="432"/>
    </row>
    <row r="5" spans="1:39">
      <c r="A5" s="433" t="s">
        <v>508</v>
      </c>
      <c r="B5" s="434" t="s">
        <v>509</v>
      </c>
      <c r="C5" s="435">
        <v>8313.9230856199993</v>
      </c>
      <c r="D5" s="435">
        <v>8554.6603705100006</v>
      </c>
      <c r="E5" s="435">
        <v>8543.5793921799996</v>
      </c>
      <c r="F5" s="435">
        <v>8747.1718602600013</v>
      </c>
      <c r="G5" s="435">
        <v>9556.2360567600008</v>
      </c>
      <c r="H5" s="435">
        <v>9176.9618582599996</v>
      </c>
      <c r="I5" s="435">
        <v>8577.4751113599996</v>
      </c>
      <c r="J5" s="435">
        <v>8964.9122942899994</v>
      </c>
      <c r="K5" s="435">
        <v>9137.7338806799999</v>
      </c>
      <c r="L5" s="435">
        <v>9189.04614253</v>
      </c>
      <c r="M5" s="435">
        <v>9229.6837182599993</v>
      </c>
      <c r="N5" s="435">
        <v>9525.0663255700001</v>
      </c>
      <c r="O5" s="435">
        <v>9056.9216292099991</v>
      </c>
      <c r="P5" s="435">
        <v>9259.0514912299986</v>
      </c>
      <c r="Q5" s="435">
        <v>9060.6338427999981</v>
      </c>
      <c r="R5" s="435">
        <v>9186.4692947099993</v>
      </c>
      <c r="S5" s="435">
        <v>9355.9525099800012</v>
      </c>
      <c r="T5" s="435">
        <v>9401.5499322600008</v>
      </c>
      <c r="U5" s="435">
        <v>9516.6736425700001</v>
      </c>
      <c r="V5" s="435">
        <v>10165.600383359999</v>
      </c>
      <c r="W5" s="435">
        <v>10486.8216237</v>
      </c>
      <c r="X5" s="435">
        <v>10793.925243599999</v>
      </c>
      <c r="Y5" s="435">
        <v>10846.49111531</v>
      </c>
      <c r="Z5" s="435">
        <v>10232.00808204</v>
      </c>
      <c r="AA5" s="435">
        <v>10884.95353631</v>
      </c>
      <c r="AB5" s="435">
        <v>10925.24783013</v>
      </c>
      <c r="AC5" s="435">
        <v>10499.39109904</v>
      </c>
      <c r="AD5" s="435">
        <v>10574.403858539999</v>
      </c>
      <c r="AE5" s="435">
        <v>10378.168711709999</v>
      </c>
      <c r="AF5" s="435">
        <v>10793.873166549998</v>
      </c>
      <c r="AG5" s="435">
        <v>10959.584142559999</v>
      </c>
      <c r="AH5" s="435">
        <v>10992.450605919999</v>
      </c>
      <c r="AI5" s="435">
        <v>11502.52074158</v>
      </c>
      <c r="AJ5" s="435">
        <v>11450.75111343</v>
      </c>
      <c r="AK5" s="435">
        <v>11408.30600506</v>
      </c>
      <c r="AL5" s="435">
        <v>11086.982508629999</v>
      </c>
      <c r="AM5" s="435">
        <v>11091.524256320001</v>
      </c>
    </row>
    <row r="6" spans="1:39">
      <c r="A6" s="436"/>
      <c r="B6" s="437"/>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row>
    <row r="7" spans="1:39">
      <c r="A7" s="433" t="s">
        <v>510</v>
      </c>
      <c r="B7" s="434" t="s">
        <v>511</v>
      </c>
      <c r="C7" s="435">
        <v>46479.690356609994</v>
      </c>
      <c r="D7" s="435">
        <v>47338.646243449999</v>
      </c>
      <c r="E7" s="435">
        <v>46874.403580339997</v>
      </c>
      <c r="F7" s="435">
        <v>47113.568935839998</v>
      </c>
      <c r="G7" s="435">
        <v>47970.326540830007</v>
      </c>
      <c r="H7" s="435">
        <v>47749.636055729999</v>
      </c>
      <c r="I7" s="435">
        <v>49042.936176709998</v>
      </c>
      <c r="J7" s="435">
        <v>49332.633441409991</v>
      </c>
      <c r="K7" s="435">
        <v>52450.741661199994</v>
      </c>
      <c r="L7" s="435">
        <v>45739.848496799998</v>
      </c>
      <c r="M7" s="435">
        <v>48100.089039729995</v>
      </c>
      <c r="N7" s="435">
        <v>50558.082051600002</v>
      </c>
      <c r="O7" s="435">
        <v>48153.005427600001</v>
      </c>
      <c r="P7" s="435">
        <v>47983.890925710002</v>
      </c>
      <c r="Q7" s="435">
        <v>50330.50895512999</v>
      </c>
      <c r="R7" s="435">
        <v>49796.249027239995</v>
      </c>
      <c r="S7" s="435">
        <v>48107.072336229998</v>
      </c>
      <c r="T7" s="435">
        <v>50721.095615480001</v>
      </c>
      <c r="U7" s="435">
        <v>49960.070493819992</v>
      </c>
      <c r="V7" s="435">
        <v>49543.422391970002</v>
      </c>
      <c r="W7" s="435">
        <v>47988.597888370001</v>
      </c>
      <c r="X7" s="435">
        <v>50117.61087366</v>
      </c>
      <c r="Y7" s="435">
        <v>46507.748853829995</v>
      </c>
      <c r="Z7" s="435">
        <v>49690.326225489996</v>
      </c>
      <c r="AA7" s="435">
        <v>48841.244741559989</v>
      </c>
      <c r="AB7" s="435">
        <v>48768.139258179996</v>
      </c>
      <c r="AC7" s="435">
        <v>48609.673783980004</v>
      </c>
      <c r="AD7" s="435">
        <v>48048.578924560003</v>
      </c>
      <c r="AE7" s="435">
        <v>47226.234658829999</v>
      </c>
      <c r="AF7" s="435">
        <v>52892.181369340004</v>
      </c>
      <c r="AG7" s="435">
        <v>51859.279100339991</v>
      </c>
      <c r="AH7" s="435">
        <v>52260.86865371</v>
      </c>
      <c r="AI7" s="435">
        <v>52486.355979999993</v>
      </c>
      <c r="AJ7" s="435">
        <v>48261.316332099996</v>
      </c>
      <c r="AK7" s="435">
        <v>50897.801944259998</v>
      </c>
      <c r="AL7" s="435">
        <v>52230.276910590008</v>
      </c>
      <c r="AM7" s="435">
        <v>54541.558988270008</v>
      </c>
    </row>
    <row r="8" spans="1:39">
      <c r="A8" s="436" t="s">
        <v>512</v>
      </c>
      <c r="B8" s="437" t="s">
        <v>513</v>
      </c>
      <c r="C8" s="439">
        <v>3.3162413999999996</v>
      </c>
      <c r="D8" s="439">
        <v>3.44382162</v>
      </c>
      <c r="E8" s="439">
        <v>0.52834817000000001</v>
      </c>
      <c r="F8" s="439">
        <v>0.96362187999999993</v>
      </c>
      <c r="G8" s="439">
        <v>1.61711374</v>
      </c>
      <c r="H8" s="439">
        <v>1.58589907</v>
      </c>
      <c r="I8" s="439">
        <v>1.69840021</v>
      </c>
      <c r="J8" s="439">
        <v>2.0199524499999999</v>
      </c>
      <c r="K8" s="439">
        <v>2.4689764999999997</v>
      </c>
      <c r="L8" s="439">
        <v>2.6983453900000001</v>
      </c>
      <c r="M8" s="439">
        <v>2.8881806699999997</v>
      </c>
      <c r="N8" s="439">
        <v>3.0182872999999999</v>
      </c>
      <c r="O8" s="439">
        <v>4.36494933</v>
      </c>
      <c r="P8" s="439">
        <v>4.5159973499999992</v>
      </c>
      <c r="Q8" s="439">
        <v>4.5201716999999997</v>
      </c>
      <c r="R8" s="439">
        <v>4.6542414299999999</v>
      </c>
      <c r="S8" s="439">
        <v>4.8596830799999999</v>
      </c>
      <c r="T8" s="439">
        <v>2.1044306499999998</v>
      </c>
      <c r="U8" s="439">
        <v>2.3229332400000002</v>
      </c>
      <c r="V8" s="439">
        <v>1.10551946</v>
      </c>
      <c r="W8" s="439">
        <v>1.2081790400000001</v>
      </c>
      <c r="X8" s="439">
        <v>1.4917216399999997</v>
      </c>
      <c r="Y8" s="439">
        <v>7.7478409999999998E-2</v>
      </c>
      <c r="Z8" s="439">
        <v>0.20579432999999997</v>
      </c>
      <c r="AA8" s="439">
        <v>2.08527073</v>
      </c>
      <c r="AB8" s="439">
        <v>2.1227347000000001</v>
      </c>
      <c r="AC8" s="439">
        <v>0.16106642000000002</v>
      </c>
      <c r="AD8" s="439">
        <v>0.40776766999999997</v>
      </c>
      <c r="AE8" s="439">
        <v>0.53828650999999994</v>
      </c>
      <c r="AF8" s="439">
        <v>6.8709489999999998E-2</v>
      </c>
      <c r="AG8" s="439">
        <v>0.28507784000000003</v>
      </c>
      <c r="AH8" s="439">
        <v>0.38971388000000001</v>
      </c>
      <c r="AI8" s="439">
        <v>0.61654191999999997</v>
      </c>
      <c r="AJ8" s="439">
        <v>0.71829385999999995</v>
      </c>
      <c r="AK8" s="439">
        <v>0.82500887999999994</v>
      </c>
      <c r="AL8" s="439">
        <v>0.15974335999999997</v>
      </c>
      <c r="AM8" s="439">
        <v>3.2131500000000001E-3</v>
      </c>
    </row>
    <row r="9" spans="1:39">
      <c r="A9" s="436" t="s">
        <v>514</v>
      </c>
      <c r="B9" s="437" t="s">
        <v>515</v>
      </c>
      <c r="C9" s="439">
        <v>8132.1138869999995</v>
      </c>
      <c r="D9" s="439">
        <v>16165.038531259999</v>
      </c>
      <c r="E9" s="439">
        <v>16415.657714739998</v>
      </c>
      <c r="F9" s="439">
        <v>16282.483959679997</v>
      </c>
      <c r="G9" s="439">
        <v>16384.195707950003</v>
      </c>
      <c r="H9" s="439">
        <v>13563.80866162</v>
      </c>
      <c r="I9" s="439">
        <v>13263.44750547</v>
      </c>
      <c r="J9" s="439">
        <v>17475.175109269996</v>
      </c>
      <c r="K9" s="439">
        <v>20950.598344339996</v>
      </c>
      <c r="L9" s="439">
        <v>15807.355569879999</v>
      </c>
      <c r="M9" s="439">
        <v>14252.397320960001</v>
      </c>
      <c r="N9" s="439">
        <v>12194.92374333</v>
      </c>
      <c r="O9" s="439">
        <v>10752.475926719999</v>
      </c>
      <c r="P9" s="439">
        <v>10561.82350036</v>
      </c>
      <c r="Q9" s="439">
        <v>14281.521187839999</v>
      </c>
      <c r="R9" s="439">
        <v>10431.49251593</v>
      </c>
      <c r="S9" s="439">
        <v>6307.5945568500001</v>
      </c>
      <c r="T9" s="439">
        <v>11907.53680729</v>
      </c>
      <c r="U9" s="439">
        <v>11472.13786741</v>
      </c>
      <c r="V9" s="439">
        <v>13012.974477869999</v>
      </c>
      <c r="W9" s="439">
        <v>13957.589320569999</v>
      </c>
      <c r="X9" s="439">
        <v>15123.004838939998</v>
      </c>
      <c r="Y9" s="439">
        <v>16412.485419919998</v>
      </c>
      <c r="Z9" s="439">
        <v>19677.189963389999</v>
      </c>
      <c r="AA9" s="439">
        <v>18166.427285889997</v>
      </c>
      <c r="AB9" s="439">
        <v>18111.28020479</v>
      </c>
      <c r="AC9" s="439">
        <v>21015.324634590001</v>
      </c>
      <c r="AD9" s="439">
        <v>20102.940633890001</v>
      </c>
      <c r="AE9" s="439">
        <v>19875.265104490001</v>
      </c>
      <c r="AF9" s="439">
        <v>23742.215005490001</v>
      </c>
      <c r="AG9" s="439">
        <v>22304.135166609998</v>
      </c>
      <c r="AH9" s="439">
        <v>30492.67854257</v>
      </c>
      <c r="AI9" s="439">
        <v>32579.410856299997</v>
      </c>
      <c r="AJ9" s="439">
        <v>28249.655219799995</v>
      </c>
      <c r="AK9" s="439">
        <v>30932.623094929997</v>
      </c>
      <c r="AL9" s="439">
        <v>32390.31187293</v>
      </c>
      <c r="AM9" s="439">
        <v>34749.097609590011</v>
      </c>
    </row>
    <row r="10" spans="1:39">
      <c r="A10" s="436" t="s">
        <v>516</v>
      </c>
      <c r="B10" s="437" t="s">
        <v>517</v>
      </c>
      <c r="C10" s="439">
        <v>38344.260228209998</v>
      </c>
      <c r="D10" s="439">
        <v>31170.163890569998</v>
      </c>
      <c r="E10" s="439">
        <v>30458.217517429999</v>
      </c>
      <c r="F10" s="439">
        <v>30830.121354279996</v>
      </c>
      <c r="G10" s="439">
        <v>31584.513719139999</v>
      </c>
      <c r="H10" s="439">
        <v>34184.241495039998</v>
      </c>
      <c r="I10" s="439">
        <v>35777.790271029997</v>
      </c>
      <c r="J10" s="439">
        <v>31855.438379689997</v>
      </c>
      <c r="K10" s="439">
        <v>31497.674340359998</v>
      </c>
      <c r="L10" s="439">
        <v>29929.794581529997</v>
      </c>
      <c r="M10" s="439">
        <v>33844.803538099994</v>
      </c>
      <c r="N10" s="439">
        <v>38360.14002097</v>
      </c>
      <c r="O10" s="439">
        <v>37396.164551549999</v>
      </c>
      <c r="P10" s="439">
        <v>37417.551427999999</v>
      </c>
      <c r="Q10" s="439">
        <v>36044.467595589995</v>
      </c>
      <c r="R10" s="439">
        <v>39360.102269879993</v>
      </c>
      <c r="S10" s="439">
        <v>41794.618096300001</v>
      </c>
      <c r="T10" s="439">
        <v>38811.454377540002</v>
      </c>
      <c r="U10" s="439">
        <v>38485.609693169994</v>
      </c>
      <c r="V10" s="439">
        <v>36529.34239464</v>
      </c>
      <c r="W10" s="439">
        <v>34029.800388759999</v>
      </c>
      <c r="X10" s="439">
        <v>34993.114313079997</v>
      </c>
      <c r="Y10" s="439">
        <v>30095.185955499997</v>
      </c>
      <c r="Z10" s="439">
        <v>30012.930467769998</v>
      </c>
      <c r="AA10" s="439">
        <v>30672.732184939996</v>
      </c>
      <c r="AB10" s="439">
        <v>30654.736318689997</v>
      </c>
      <c r="AC10" s="439">
        <v>27594.188082969999</v>
      </c>
      <c r="AD10" s="439">
        <v>27945.230522999998</v>
      </c>
      <c r="AE10" s="439">
        <v>27350.431267830001</v>
      </c>
      <c r="AF10" s="439">
        <v>29149.89765436</v>
      </c>
      <c r="AG10" s="439">
        <v>29554.858855889997</v>
      </c>
      <c r="AH10" s="439">
        <v>21767.800397259998</v>
      </c>
      <c r="AI10" s="439">
        <v>19906.328581779999</v>
      </c>
      <c r="AJ10" s="439">
        <v>20010.942818439999</v>
      </c>
      <c r="AK10" s="439">
        <v>19964.35384045</v>
      </c>
      <c r="AL10" s="439">
        <v>19839.805294300004</v>
      </c>
      <c r="AM10" s="439">
        <v>19792.458165529999</v>
      </c>
    </row>
    <row r="11" spans="1:39">
      <c r="A11" s="436" t="s">
        <v>518</v>
      </c>
      <c r="B11" s="437" t="s">
        <v>519</v>
      </c>
      <c r="C11" s="439">
        <v>0</v>
      </c>
      <c r="D11" s="439">
        <v>0</v>
      </c>
      <c r="E11" s="439">
        <v>0</v>
      </c>
      <c r="F11" s="439">
        <v>0</v>
      </c>
      <c r="G11" s="439">
        <v>0</v>
      </c>
      <c r="H11" s="439">
        <v>0</v>
      </c>
      <c r="I11" s="439">
        <v>0</v>
      </c>
      <c r="J11" s="439">
        <v>0</v>
      </c>
      <c r="K11" s="439">
        <v>0</v>
      </c>
      <c r="L11" s="439">
        <v>0</v>
      </c>
      <c r="M11" s="439">
        <v>0</v>
      </c>
      <c r="N11" s="439">
        <v>0</v>
      </c>
      <c r="O11" s="439">
        <v>0</v>
      </c>
      <c r="P11" s="439">
        <v>0</v>
      </c>
      <c r="Q11" s="439">
        <v>0</v>
      </c>
      <c r="R11" s="439">
        <v>0</v>
      </c>
      <c r="S11" s="439">
        <v>0</v>
      </c>
      <c r="T11" s="439">
        <v>0</v>
      </c>
      <c r="U11" s="439">
        <v>0</v>
      </c>
      <c r="V11" s="439">
        <v>0</v>
      </c>
      <c r="W11" s="439">
        <v>0</v>
      </c>
      <c r="X11" s="439">
        <v>0</v>
      </c>
      <c r="Y11" s="439">
        <v>0</v>
      </c>
      <c r="Z11" s="439">
        <v>0</v>
      </c>
      <c r="AA11" s="439">
        <v>0</v>
      </c>
      <c r="AB11" s="439">
        <v>0</v>
      </c>
      <c r="AC11" s="439">
        <v>0</v>
      </c>
      <c r="AD11" s="439">
        <v>0</v>
      </c>
      <c r="AE11" s="439">
        <v>0</v>
      </c>
      <c r="AF11" s="439">
        <v>0</v>
      </c>
      <c r="AG11" s="439">
        <v>0</v>
      </c>
      <c r="AH11" s="439">
        <v>0</v>
      </c>
      <c r="AI11" s="439">
        <v>0</v>
      </c>
      <c r="AJ11" s="439">
        <v>0</v>
      </c>
      <c r="AK11" s="439">
        <v>0</v>
      </c>
      <c r="AL11" s="439">
        <v>0</v>
      </c>
      <c r="AM11" s="439">
        <v>0</v>
      </c>
    </row>
    <row r="12" spans="1:39">
      <c r="A12" s="436"/>
      <c r="B12" s="437"/>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row>
    <row r="13" spans="1:39">
      <c r="A13" s="433" t="s">
        <v>520</v>
      </c>
      <c r="B13" s="434" t="s">
        <v>521</v>
      </c>
      <c r="C13" s="435">
        <v>12072.22659412</v>
      </c>
      <c r="D13" s="435">
        <v>12310.380973459998</v>
      </c>
      <c r="E13" s="435">
        <v>12299.3892326</v>
      </c>
      <c r="F13" s="435">
        <v>12753.430159419999</v>
      </c>
      <c r="G13" s="435">
        <v>14169.02264089</v>
      </c>
      <c r="H13" s="435">
        <v>13795.39429459</v>
      </c>
      <c r="I13" s="435">
        <v>13439.258409259999</v>
      </c>
      <c r="J13" s="435">
        <v>13996.250062699999</v>
      </c>
      <c r="K13" s="435">
        <v>14106.46864476</v>
      </c>
      <c r="L13" s="435">
        <v>21466.012411629996</v>
      </c>
      <c r="M13" s="435">
        <v>22259.942895280001</v>
      </c>
      <c r="N13" s="435">
        <v>22989.724287000001</v>
      </c>
      <c r="O13" s="435">
        <v>22602.2319183</v>
      </c>
      <c r="P13" s="435">
        <v>22691.09387561</v>
      </c>
      <c r="Q13" s="435">
        <v>22352.028991380001</v>
      </c>
      <c r="R13" s="435">
        <v>20849.54136513</v>
      </c>
      <c r="S13" s="435">
        <v>25311.236187789997</v>
      </c>
      <c r="T13" s="435">
        <v>25904.122945640003</v>
      </c>
      <c r="U13" s="435">
        <v>25448.523120929996</v>
      </c>
      <c r="V13" s="435">
        <v>26103.861314179998</v>
      </c>
      <c r="W13" s="435">
        <v>26478.396701689999</v>
      </c>
      <c r="X13" s="435">
        <v>26989.708329679997</v>
      </c>
      <c r="Y13" s="435">
        <v>28710.847810829997</v>
      </c>
      <c r="Z13" s="435">
        <v>29272.863074449997</v>
      </c>
      <c r="AA13" s="435">
        <v>29774.367504059999</v>
      </c>
      <c r="AB13" s="435">
        <v>29994.585717139998</v>
      </c>
      <c r="AC13" s="435">
        <v>29716.363131129998</v>
      </c>
      <c r="AD13" s="435">
        <v>30191.575073689997</v>
      </c>
      <c r="AE13" s="435">
        <v>30291.892443910001</v>
      </c>
      <c r="AF13" s="435">
        <v>30655.36253658</v>
      </c>
      <c r="AG13" s="435">
        <v>32696.011781870002</v>
      </c>
      <c r="AH13" s="435">
        <v>31903.367670209998</v>
      </c>
      <c r="AI13" s="435">
        <v>31757.040021659996</v>
      </c>
      <c r="AJ13" s="435">
        <v>35107.437926109997</v>
      </c>
      <c r="AK13" s="435">
        <v>33233.225229119998</v>
      </c>
      <c r="AL13" s="435">
        <v>33263.001441159999</v>
      </c>
      <c r="AM13" s="435">
        <v>34490.790181199998</v>
      </c>
    </row>
    <row r="14" spans="1:39">
      <c r="A14" s="436"/>
      <c r="B14" s="437"/>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row>
    <row r="15" spans="1:39">
      <c r="A15" s="433" t="s">
        <v>522</v>
      </c>
      <c r="B15" s="434" t="s">
        <v>322</v>
      </c>
      <c r="C15" s="435">
        <v>491.84622338999992</v>
      </c>
      <c r="D15" s="435">
        <v>524.90104052999993</v>
      </c>
      <c r="E15" s="435">
        <v>473.86928965999999</v>
      </c>
      <c r="F15" s="435">
        <v>502.70682980000004</v>
      </c>
      <c r="G15" s="435">
        <v>478.72747143999999</v>
      </c>
      <c r="H15" s="435">
        <v>513.68363216</v>
      </c>
      <c r="I15" s="435">
        <v>477.29557854999996</v>
      </c>
      <c r="J15" s="435">
        <v>507.48070460999998</v>
      </c>
      <c r="K15" s="435">
        <v>684.1661249199999</v>
      </c>
      <c r="L15" s="435">
        <v>747.12506561999999</v>
      </c>
      <c r="M15" s="435">
        <v>1143.4792162199999</v>
      </c>
      <c r="N15" s="435">
        <v>1120.76761362</v>
      </c>
      <c r="O15" s="435">
        <v>1123.4188966800002</v>
      </c>
      <c r="P15" s="435">
        <v>1122.3026721700001</v>
      </c>
      <c r="Q15" s="435">
        <v>339.41735683000002</v>
      </c>
      <c r="R15" s="435">
        <v>1831.8265738599998</v>
      </c>
      <c r="S15" s="435">
        <v>738.01858803999994</v>
      </c>
      <c r="T15" s="435">
        <v>319.08661459000001</v>
      </c>
      <c r="U15" s="435">
        <v>1894.1164255000001</v>
      </c>
      <c r="V15" s="435">
        <v>1174.0161133600002</v>
      </c>
      <c r="W15" s="435">
        <v>856.10078765999992</v>
      </c>
      <c r="X15" s="435">
        <v>1051.07743783</v>
      </c>
      <c r="Y15" s="435">
        <v>1204.4816335000003</v>
      </c>
      <c r="Z15" s="435">
        <v>1260.3841304100001</v>
      </c>
      <c r="AA15" s="435">
        <v>1230.5332219800002</v>
      </c>
      <c r="AB15" s="435">
        <v>1230.5164966699999</v>
      </c>
      <c r="AC15" s="435">
        <v>1215.4940869</v>
      </c>
      <c r="AD15" s="435">
        <v>1190.11493638</v>
      </c>
      <c r="AE15" s="435">
        <v>174.57985774000002</v>
      </c>
      <c r="AF15" s="435">
        <v>561.96719344000007</v>
      </c>
      <c r="AG15" s="435">
        <v>275.87252819999998</v>
      </c>
      <c r="AH15" s="435">
        <v>557.69373244000008</v>
      </c>
      <c r="AI15" s="435">
        <v>867.05270255000005</v>
      </c>
      <c r="AJ15" s="435">
        <v>1270.9848473699999</v>
      </c>
      <c r="AK15" s="435">
        <v>1435.0759070899996</v>
      </c>
      <c r="AL15" s="435">
        <v>1912.9682759799998</v>
      </c>
      <c r="AM15" s="435">
        <v>2240.3772425499997</v>
      </c>
    </row>
    <row r="16" spans="1:39">
      <c r="A16" s="436"/>
      <c r="B16" s="437"/>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row>
    <row r="17" spans="1:39">
      <c r="A17" s="433" t="s">
        <v>523</v>
      </c>
      <c r="B17" s="434" t="s">
        <v>524</v>
      </c>
      <c r="C17" s="435">
        <v>161.26920694999998</v>
      </c>
      <c r="D17" s="435">
        <v>166.87536215999998</v>
      </c>
      <c r="E17" s="435">
        <v>161.42028822999998</v>
      </c>
      <c r="F17" s="435">
        <v>160.23152331999998</v>
      </c>
      <c r="G17" s="435">
        <v>179.13171553999999</v>
      </c>
      <c r="H17" s="435">
        <v>174.67062755999999</v>
      </c>
      <c r="I17" s="435">
        <v>169.48025906000001</v>
      </c>
      <c r="J17" s="435">
        <v>176.93580440999997</v>
      </c>
      <c r="K17" s="435">
        <v>174.46881076</v>
      </c>
      <c r="L17" s="435">
        <v>177.56091634000001</v>
      </c>
      <c r="M17" s="435">
        <v>174.34058016</v>
      </c>
      <c r="N17" s="435">
        <v>327.91928007999996</v>
      </c>
      <c r="O17" s="435">
        <v>316.69406669</v>
      </c>
      <c r="P17" s="435">
        <v>296.98852712000001</v>
      </c>
      <c r="Q17" s="435">
        <v>235.19138181999998</v>
      </c>
      <c r="R17" s="435">
        <v>228.24569933999999</v>
      </c>
      <c r="S17" s="435">
        <v>158.11373581000001</v>
      </c>
      <c r="T17" s="435">
        <v>160.36309102999999</v>
      </c>
      <c r="U17" s="435">
        <v>156.48745005000001</v>
      </c>
      <c r="V17" s="435">
        <v>157.26738781</v>
      </c>
      <c r="W17" s="435">
        <v>163.49021656999997</v>
      </c>
      <c r="X17" s="435">
        <v>162.04376009000001</v>
      </c>
      <c r="Y17" s="435">
        <v>164.88998756999999</v>
      </c>
      <c r="Z17" s="435">
        <v>165.16484383</v>
      </c>
      <c r="AA17" s="435">
        <v>164.04060859999998</v>
      </c>
      <c r="AB17" s="435">
        <v>161.96498192999999</v>
      </c>
      <c r="AC17" s="435">
        <v>162.67566421000001</v>
      </c>
      <c r="AD17" s="435">
        <v>163.50994844999997</v>
      </c>
      <c r="AE17" s="435">
        <v>167.93374788</v>
      </c>
      <c r="AF17" s="435">
        <v>174.45067546999999</v>
      </c>
      <c r="AG17" s="435">
        <v>211.87972452</v>
      </c>
      <c r="AH17" s="435">
        <v>209.07097730999999</v>
      </c>
      <c r="AI17" s="435">
        <v>208.87521335</v>
      </c>
      <c r="AJ17" s="435">
        <v>212.53402743999999</v>
      </c>
      <c r="AK17" s="435">
        <v>210.95428206999998</v>
      </c>
      <c r="AL17" s="435">
        <v>209.43874825</v>
      </c>
      <c r="AM17" s="435">
        <v>208.60019591999998</v>
      </c>
    </row>
    <row r="18" spans="1:39">
      <c r="A18" s="436"/>
      <c r="B18" s="440"/>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row>
    <row r="19" spans="1:39">
      <c r="A19" s="433" t="s">
        <v>525</v>
      </c>
      <c r="B19" s="434" t="s">
        <v>526</v>
      </c>
      <c r="C19" s="435">
        <v>0</v>
      </c>
      <c r="D19" s="435">
        <v>0</v>
      </c>
      <c r="E19" s="435">
        <v>0</v>
      </c>
      <c r="F19" s="435">
        <v>0</v>
      </c>
      <c r="G19" s="435">
        <v>0</v>
      </c>
      <c r="H19" s="435">
        <v>0</v>
      </c>
      <c r="I19" s="435">
        <v>0</v>
      </c>
      <c r="J19" s="435">
        <v>0</v>
      </c>
      <c r="K19" s="435">
        <v>0</v>
      </c>
      <c r="L19" s="435">
        <v>0</v>
      </c>
      <c r="M19" s="435">
        <v>0</v>
      </c>
      <c r="N19" s="435">
        <v>0</v>
      </c>
      <c r="O19" s="435">
        <v>0</v>
      </c>
      <c r="P19" s="435">
        <v>0</v>
      </c>
      <c r="Q19" s="435">
        <v>0</v>
      </c>
      <c r="R19" s="435">
        <v>0</v>
      </c>
      <c r="S19" s="435">
        <v>0</v>
      </c>
      <c r="T19" s="435">
        <v>0</v>
      </c>
      <c r="U19" s="435">
        <v>0</v>
      </c>
      <c r="V19" s="435">
        <v>0</v>
      </c>
      <c r="W19" s="435">
        <v>0</v>
      </c>
      <c r="X19" s="435">
        <v>0</v>
      </c>
      <c r="Y19" s="435">
        <v>0</v>
      </c>
      <c r="Z19" s="435">
        <v>0</v>
      </c>
      <c r="AA19" s="435">
        <v>0</v>
      </c>
      <c r="AB19" s="435">
        <v>0</v>
      </c>
      <c r="AC19" s="435">
        <v>0</v>
      </c>
      <c r="AD19" s="435">
        <v>0</v>
      </c>
      <c r="AE19" s="435">
        <v>0</v>
      </c>
      <c r="AF19" s="435">
        <v>0</v>
      </c>
      <c r="AG19" s="435">
        <v>0</v>
      </c>
      <c r="AH19" s="435">
        <v>0</v>
      </c>
      <c r="AI19" s="435">
        <v>0</v>
      </c>
      <c r="AJ19" s="435">
        <v>0</v>
      </c>
      <c r="AK19" s="435">
        <v>0</v>
      </c>
      <c r="AL19" s="435">
        <v>0</v>
      </c>
      <c r="AM19" s="435">
        <v>0</v>
      </c>
    </row>
    <row r="20" spans="1:39">
      <c r="A20" s="436"/>
      <c r="B20" s="437"/>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row>
    <row r="21" spans="1:39">
      <c r="A21" s="433" t="s">
        <v>527</v>
      </c>
      <c r="B21" s="434" t="s">
        <v>528</v>
      </c>
      <c r="C21" s="435">
        <v>0</v>
      </c>
      <c r="D21" s="435">
        <v>0</v>
      </c>
      <c r="E21" s="435">
        <v>0</v>
      </c>
      <c r="F21" s="435">
        <v>0</v>
      </c>
      <c r="G21" s="435">
        <v>0</v>
      </c>
      <c r="H21" s="435">
        <v>0</v>
      </c>
      <c r="I21" s="435">
        <v>0</v>
      </c>
      <c r="J21" s="435">
        <v>0</v>
      </c>
      <c r="K21" s="435">
        <v>0</v>
      </c>
      <c r="L21" s="435">
        <v>0</v>
      </c>
      <c r="M21" s="435">
        <v>0</v>
      </c>
      <c r="N21" s="435">
        <v>0</v>
      </c>
      <c r="O21" s="435">
        <v>0</v>
      </c>
      <c r="P21" s="435">
        <v>0</v>
      </c>
      <c r="Q21" s="435">
        <v>0</v>
      </c>
      <c r="R21" s="435">
        <v>0</v>
      </c>
      <c r="S21" s="435">
        <v>0</v>
      </c>
      <c r="T21" s="435">
        <v>0</v>
      </c>
      <c r="U21" s="435">
        <v>0</v>
      </c>
      <c r="V21" s="435">
        <v>0</v>
      </c>
      <c r="W21" s="435">
        <v>0</v>
      </c>
      <c r="X21" s="435">
        <v>0</v>
      </c>
      <c r="Y21" s="435">
        <v>0</v>
      </c>
      <c r="Z21" s="435">
        <v>0</v>
      </c>
      <c r="AA21" s="435">
        <v>0</v>
      </c>
      <c r="AB21" s="435">
        <v>0</v>
      </c>
      <c r="AC21" s="435">
        <v>0</v>
      </c>
      <c r="AD21" s="435">
        <v>0</v>
      </c>
      <c r="AE21" s="435">
        <v>0</v>
      </c>
      <c r="AF21" s="435">
        <v>0</v>
      </c>
      <c r="AG21" s="435">
        <v>0</v>
      </c>
      <c r="AH21" s="435">
        <v>0</v>
      </c>
      <c r="AI21" s="435">
        <v>0</v>
      </c>
      <c r="AJ21" s="435">
        <v>0</v>
      </c>
      <c r="AK21" s="435">
        <v>0</v>
      </c>
      <c r="AL21" s="435">
        <v>0</v>
      </c>
      <c r="AM21" s="435">
        <v>0</v>
      </c>
    </row>
    <row r="22" spans="1:39">
      <c r="A22" s="436"/>
      <c r="B22" s="437"/>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row>
    <row r="23" spans="1:39">
      <c r="A23" s="433" t="s">
        <v>529</v>
      </c>
      <c r="B23" s="434" t="s">
        <v>530</v>
      </c>
      <c r="C23" s="435">
        <v>100.87174853000002</v>
      </c>
      <c r="D23" s="435">
        <v>61.454897129999992</v>
      </c>
      <c r="E23" s="435">
        <v>161.37574275</v>
      </c>
      <c r="F23" s="435">
        <v>34.115845870000001</v>
      </c>
      <c r="G23" s="435">
        <v>104.31416644999999</v>
      </c>
      <c r="H23" s="435">
        <v>94.826760669999999</v>
      </c>
      <c r="I23" s="435">
        <v>117.08089912000001</v>
      </c>
      <c r="J23" s="435">
        <v>17.912021249999999</v>
      </c>
      <c r="K23" s="435">
        <v>223.52273242999996</v>
      </c>
      <c r="L23" s="435">
        <v>154.10795172999997</v>
      </c>
      <c r="M23" s="435">
        <v>155.91394252999999</v>
      </c>
      <c r="N23" s="435">
        <v>172.57112454999998</v>
      </c>
      <c r="O23" s="435">
        <v>415.07645757999995</v>
      </c>
      <c r="P23" s="435">
        <v>143.73269343999999</v>
      </c>
      <c r="Q23" s="435">
        <v>198.36355931999998</v>
      </c>
      <c r="R23" s="435">
        <v>270.89756561000002</v>
      </c>
      <c r="S23" s="435">
        <v>262.07020447999997</v>
      </c>
      <c r="T23" s="435">
        <v>89.969799440000003</v>
      </c>
      <c r="U23" s="435">
        <v>40.614643090000001</v>
      </c>
      <c r="V23" s="435">
        <v>102.21225756</v>
      </c>
      <c r="W23" s="435">
        <v>26.833478599999999</v>
      </c>
      <c r="X23" s="435">
        <v>108.75771674999999</v>
      </c>
      <c r="Y23" s="435">
        <v>127.08106000000001</v>
      </c>
      <c r="Z23" s="435">
        <v>81.813073779999996</v>
      </c>
      <c r="AA23" s="435">
        <v>181.16817865000002</v>
      </c>
      <c r="AB23" s="435">
        <v>152.61813896000001</v>
      </c>
      <c r="AC23" s="435">
        <v>208.72010127999999</v>
      </c>
      <c r="AD23" s="435">
        <v>190.56597326999997</v>
      </c>
      <c r="AE23" s="435">
        <v>276.53585465000003</v>
      </c>
      <c r="AF23" s="435">
        <v>58.611248670000002</v>
      </c>
      <c r="AG23" s="435">
        <v>151.15780359000001</v>
      </c>
      <c r="AH23" s="435">
        <v>73.411701520000008</v>
      </c>
      <c r="AI23" s="435">
        <v>111.50296273000001</v>
      </c>
      <c r="AJ23" s="435">
        <v>107.42566719000001</v>
      </c>
      <c r="AK23" s="435">
        <v>66.706140189999999</v>
      </c>
      <c r="AL23" s="435">
        <v>130.50753857999999</v>
      </c>
      <c r="AM23" s="435">
        <v>122.77166274</v>
      </c>
    </row>
    <row r="24" spans="1:39">
      <c r="A24" s="436"/>
      <c r="B24" s="437"/>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row>
    <row r="25" spans="1:39">
      <c r="A25" s="433" t="s">
        <v>531</v>
      </c>
      <c r="B25" s="434" t="s">
        <v>532</v>
      </c>
      <c r="C25" s="435">
        <v>1976.6657630399998</v>
      </c>
      <c r="D25" s="435">
        <v>1984.2185947199998</v>
      </c>
      <c r="E25" s="435">
        <v>1985.61688293</v>
      </c>
      <c r="F25" s="435">
        <v>1991.1752804099999</v>
      </c>
      <c r="G25" s="435">
        <v>1992.6125975</v>
      </c>
      <c r="H25" s="435">
        <v>1917.5217818799999</v>
      </c>
      <c r="I25" s="435">
        <v>1917.4961673199998</v>
      </c>
      <c r="J25" s="435">
        <v>1917.28120543</v>
      </c>
      <c r="K25" s="435">
        <v>1917.2325234799998</v>
      </c>
      <c r="L25" s="435">
        <v>1919.18921602</v>
      </c>
      <c r="M25" s="435">
        <v>1918.9397383599999</v>
      </c>
      <c r="N25" s="435">
        <v>1918.1092738299999</v>
      </c>
      <c r="O25" s="435">
        <v>1918.06444788</v>
      </c>
      <c r="P25" s="435">
        <v>1917.1917345799998</v>
      </c>
      <c r="Q25" s="435">
        <v>1919.72773794</v>
      </c>
      <c r="R25" s="435">
        <v>1919.4142326399999</v>
      </c>
      <c r="S25" s="435">
        <v>1921.2854840099999</v>
      </c>
      <c r="T25" s="435">
        <v>1996.35895349</v>
      </c>
      <c r="U25" s="435">
        <v>1865.7395783099998</v>
      </c>
      <c r="V25" s="435">
        <v>1865.7184242599999</v>
      </c>
      <c r="W25" s="435">
        <v>1868.6160445899998</v>
      </c>
      <c r="X25" s="435">
        <v>1868.3027242999999</v>
      </c>
      <c r="Y25" s="435">
        <v>1978.7657218599998</v>
      </c>
      <c r="Z25" s="435">
        <v>1978.4810529399999</v>
      </c>
      <c r="AA25" s="435">
        <v>1981.11967119</v>
      </c>
      <c r="AB25" s="435">
        <v>1982.9341981499999</v>
      </c>
      <c r="AC25" s="435">
        <v>1982.877802</v>
      </c>
      <c r="AD25" s="435">
        <v>1984.58480121</v>
      </c>
      <c r="AE25" s="435">
        <v>1989.52938365</v>
      </c>
      <c r="AF25" s="435">
        <v>1865.9288570599999</v>
      </c>
      <c r="AG25" s="435">
        <v>1866.5775801199998</v>
      </c>
      <c r="AH25" s="435">
        <v>1954.0414822299999</v>
      </c>
      <c r="AI25" s="435">
        <v>1954.1670820299998</v>
      </c>
      <c r="AJ25" s="435">
        <v>2087.27910208</v>
      </c>
      <c r="AK25" s="435">
        <v>2104.2370903299998</v>
      </c>
      <c r="AL25" s="435">
        <v>2097.3760829099997</v>
      </c>
      <c r="AM25" s="435">
        <v>2095.2486594500001</v>
      </c>
    </row>
    <row r="26" spans="1:39">
      <c r="A26" s="436"/>
      <c r="B26" s="437"/>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row>
    <row r="27" spans="1:39">
      <c r="A27" s="433"/>
      <c r="B27" s="434" t="s">
        <v>533</v>
      </c>
      <c r="C27" s="435">
        <v>69596.492978260008</v>
      </c>
      <c r="D27" s="435">
        <v>70941.137481960002</v>
      </c>
      <c r="E27" s="435">
        <v>70499.654408689996</v>
      </c>
      <c r="F27" s="435">
        <v>71302.400434919982</v>
      </c>
      <c r="G27" s="435">
        <v>74450.371189410012</v>
      </c>
      <c r="H27" s="435">
        <v>73422.695010850002</v>
      </c>
      <c r="I27" s="435">
        <v>73741.022601379998</v>
      </c>
      <c r="J27" s="435">
        <v>74913.405534099991</v>
      </c>
      <c r="K27" s="435">
        <v>78694.334378229978</v>
      </c>
      <c r="L27" s="435">
        <v>79392.890200669979</v>
      </c>
      <c r="M27" s="435">
        <v>82982.389130539988</v>
      </c>
      <c r="N27" s="435">
        <v>86612.239956250007</v>
      </c>
      <c r="O27" s="435">
        <v>83585.412843940008</v>
      </c>
      <c r="P27" s="435">
        <v>83414.25191986002</v>
      </c>
      <c r="Q27" s="435">
        <v>84435.871825220005</v>
      </c>
      <c r="R27" s="435">
        <v>84082.643758529986</v>
      </c>
      <c r="S27" s="435">
        <v>85853.749046339988</v>
      </c>
      <c r="T27" s="435">
        <v>88592.54695193001</v>
      </c>
      <c r="U27" s="435">
        <v>88882.225354269991</v>
      </c>
      <c r="V27" s="435">
        <v>89112.098272500007</v>
      </c>
      <c r="W27" s="435">
        <v>87868.856741180018</v>
      </c>
      <c r="X27" s="435">
        <v>91091.426085909989</v>
      </c>
      <c r="Y27" s="435">
        <v>89540.306182900007</v>
      </c>
      <c r="Z27" s="435">
        <v>92681.040482939992</v>
      </c>
      <c r="AA27" s="435">
        <v>93057.427462349995</v>
      </c>
      <c r="AB27" s="435">
        <v>93216.006621159991</v>
      </c>
      <c r="AC27" s="435">
        <v>92395.195668540007</v>
      </c>
      <c r="AD27" s="435">
        <v>92343.3335161</v>
      </c>
      <c r="AE27" s="435">
        <v>90504.874658370012</v>
      </c>
      <c r="AF27" s="435">
        <v>97002.375047109992</v>
      </c>
      <c r="AG27" s="435">
        <v>98020.362661199993</v>
      </c>
      <c r="AH27" s="435">
        <v>97950.904823339995</v>
      </c>
      <c r="AI27" s="435">
        <v>98887.514703899986</v>
      </c>
      <c r="AJ27" s="435">
        <v>98497.72901571999</v>
      </c>
      <c r="AK27" s="435">
        <v>99356.306598119991</v>
      </c>
      <c r="AL27" s="435">
        <v>100930.55150610002</v>
      </c>
      <c r="AM27" s="435">
        <v>104790.87118644998</v>
      </c>
    </row>
    <row r="28" spans="1:39" ht="13.5" thickBot="1">
      <c r="A28" s="441"/>
      <c r="B28" s="442"/>
      <c r="C28" s="443"/>
      <c r="D28" s="443"/>
      <c r="E28" s="443"/>
      <c r="F28" s="443"/>
      <c r="G28" s="443"/>
      <c r="H28" s="443"/>
      <c r="I28" s="443"/>
      <c r="J28" s="444"/>
      <c r="K28" s="445"/>
      <c r="L28" s="445"/>
      <c r="M28" s="445"/>
      <c r="N28" s="445"/>
      <c r="O28" s="445"/>
      <c r="P28" s="445"/>
      <c r="Q28" s="445"/>
      <c r="R28" s="445"/>
      <c r="S28" s="445"/>
      <c r="T28" s="445"/>
      <c r="U28" s="445"/>
      <c r="V28" s="446"/>
      <c r="W28" s="446"/>
      <c r="X28" s="446"/>
      <c r="Y28" s="446"/>
      <c r="Z28" s="446"/>
      <c r="AA28" s="446"/>
      <c r="AB28" s="446"/>
      <c r="AC28" s="446"/>
      <c r="AD28" s="446"/>
      <c r="AE28" s="446"/>
      <c r="AF28" s="446"/>
      <c r="AG28" s="446"/>
      <c r="AH28" s="446"/>
      <c r="AI28" s="446"/>
      <c r="AJ28" s="446"/>
      <c r="AK28" s="446"/>
      <c r="AL28" s="446"/>
      <c r="AM28" s="446"/>
    </row>
    <row r="29" spans="1:39" ht="13.5" hidden="1" thickTop="1">
      <c r="A29" s="447"/>
      <c r="B29" s="447"/>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row>
    <row r="30" spans="1:39" ht="13.5" thickTop="1">
      <c r="A30" s="447"/>
      <c r="B30" s="447"/>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row>
    <row r="31" spans="1:39" ht="13.5" thickBot="1">
      <c r="A31" s="447"/>
      <c r="B31" s="447"/>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row>
    <row r="32" spans="1:39" ht="14.25" thickTop="1" thickBot="1">
      <c r="A32" s="421" t="s">
        <v>506</v>
      </c>
      <c r="B32" s="422" t="s">
        <v>534</v>
      </c>
      <c r="C32" s="423">
        <v>40179</v>
      </c>
      <c r="D32" s="423">
        <v>40211</v>
      </c>
      <c r="E32" s="423">
        <v>40239</v>
      </c>
      <c r="F32" s="423">
        <v>40270</v>
      </c>
      <c r="G32" s="423">
        <v>40300</v>
      </c>
      <c r="H32" s="423">
        <v>40331</v>
      </c>
      <c r="I32" s="423">
        <v>40361</v>
      </c>
      <c r="J32" s="424">
        <v>40392</v>
      </c>
      <c r="K32" s="425">
        <v>40423</v>
      </c>
      <c r="L32" s="425">
        <v>40453</v>
      </c>
      <c r="M32" s="425">
        <v>40484</v>
      </c>
      <c r="N32" s="425">
        <v>40514</v>
      </c>
      <c r="O32" s="425">
        <v>40545</v>
      </c>
      <c r="P32" s="425">
        <v>40576</v>
      </c>
      <c r="Q32" s="425">
        <v>40604</v>
      </c>
      <c r="R32" s="425">
        <v>40635</v>
      </c>
      <c r="S32" s="425">
        <v>40665</v>
      </c>
      <c r="T32" s="425">
        <v>40696</v>
      </c>
      <c r="U32" s="425">
        <v>40726</v>
      </c>
      <c r="V32" s="426">
        <v>40757</v>
      </c>
      <c r="W32" s="426">
        <v>40788</v>
      </c>
      <c r="X32" s="426">
        <v>40818</v>
      </c>
      <c r="Y32" s="426">
        <v>40849</v>
      </c>
      <c r="Z32" s="426">
        <v>40879</v>
      </c>
      <c r="AA32" s="426">
        <v>40910</v>
      </c>
      <c r="AB32" s="426">
        <v>40941</v>
      </c>
      <c r="AC32" s="426">
        <v>40970</v>
      </c>
      <c r="AD32" s="426">
        <v>41001</v>
      </c>
      <c r="AE32" s="426">
        <v>41031</v>
      </c>
      <c r="AF32" s="426">
        <v>41062</v>
      </c>
      <c r="AG32" s="426">
        <v>41092</v>
      </c>
      <c r="AH32" s="426">
        <v>41123</v>
      </c>
      <c r="AI32" s="426">
        <v>41154</v>
      </c>
      <c r="AJ32" s="426">
        <v>41184</v>
      </c>
      <c r="AK32" s="426">
        <v>41215</v>
      </c>
      <c r="AL32" s="426">
        <v>41245</v>
      </c>
      <c r="AM32" s="426">
        <v>41276</v>
      </c>
    </row>
    <row r="33" spans="1:39" ht="13.5" thickTop="1">
      <c r="A33" s="436"/>
      <c r="B33" s="448"/>
      <c r="C33" s="439"/>
      <c r="D33" s="439"/>
      <c r="E33" s="439"/>
      <c r="F33" s="439"/>
      <c r="G33" s="439"/>
      <c r="H33" s="439"/>
      <c r="I33" s="439"/>
      <c r="J33" s="449"/>
      <c r="K33" s="450"/>
      <c r="L33" s="450"/>
      <c r="M33" s="450"/>
      <c r="N33" s="450"/>
      <c r="O33" s="450"/>
      <c r="P33" s="450"/>
      <c r="Q33" s="450"/>
      <c r="R33" s="450"/>
      <c r="S33" s="450"/>
      <c r="T33" s="450"/>
      <c r="U33" s="450"/>
      <c r="V33" s="451"/>
      <c r="W33" s="451"/>
      <c r="X33" s="451"/>
      <c r="Y33" s="451"/>
      <c r="Z33" s="451"/>
      <c r="AA33" s="451"/>
      <c r="AB33" s="451"/>
      <c r="AC33" s="451"/>
      <c r="AD33" s="451"/>
      <c r="AE33" s="451"/>
      <c r="AF33" s="451"/>
      <c r="AG33" s="451"/>
      <c r="AH33" s="451"/>
      <c r="AI33" s="451"/>
      <c r="AJ33" s="451"/>
      <c r="AK33" s="451"/>
      <c r="AL33" s="451"/>
      <c r="AM33" s="451"/>
    </row>
    <row r="34" spans="1:39">
      <c r="A34" s="433" t="s">
        <v>535</v>
      </c>
      <c r="B34" s="434" t="s">
        <v>536</v>
      </c>
      <c r="C34" s="435">
        <v>18952.441887060002</v>
      </c>
      <c r="D34" s="435">
        <v>18641.061393979999</v>
      </c>
      <c r="E34" s="435">
        <v>18743.303560849996</v>
      </c>
      <c r="F34" s="435">
        <v>18751.685785169997</v>
      </c>
      <c r="G34" s="435">
        <v>18911.351549290001</v>
      </c>
      <c r="H34" s="435">
        <v>18649.461355769999</v>
      </c>
      <c r="I34" s="435">
        <v>18959.472219740001</v>
      </c>
      <c r="J34" s="435">
        <v>19099.734956819997</v>
      </c>
      <c r="K34" s="435">
        <v>19096.175257759998</v>
      </c>
      <c r="L34" s="435">
        <v>19126.732547099997</v>
      </c>
      <c r="M34" s="435">
        <v>19515.158774399999</v>
      </c>
      <c r="N34" s="435">
        <v>22591.76147184</v>
      </c>
      <c r="O34" s="435">
        <v>21236.65837347</v>
      </c>
      <c r="P34" s="435">
        <v>20538.891013150002</v>
      </c>
      <c r="Q34" s="435">
        <v>20556.85096652</v>
      </c>
      <c r="R34" s="435">
        <v>20352.834272419997</v>
      </c>
      <c r="S34" s="435">
        <v>20595.249062759998</v>
      </c>
      <c r="T34" s="435">
        <v>20453.797603709998</v>
      </c>
      <c r="U34" s="435">
        <v>20905.664051119998</v>
      </c>
      <c r="V34" s="435">
        <v>21645.42161148</v>
      </c>
      <c r="W34" s="435">
        <v>21156.80149025</v>
      </c>
      <c r="X34" s="435">
        <v>21838.137164569998</v>
      </c>
      <c r="Y34" s="435">
        <v>21414.945182689997</v>
      </c>
      <c r="Z34" s="435">
        <v>24469.755843179999</v>
      </c>
      <c r="AA34" s="435">
        <v>22588.058014799997</v>
      </c>
      <c r="AB34" s="435">
        <v>22171.260158819998</v>
      </c>
      <c r="AC34" s="435">
        <v>21862.04674324</v>
      </c>
      <c r="AD34" s="435">
        <v>21939.357956429998</v>
      </c>
      <c r="AE34" s="435">
        <v>22081.98990434</v>
      </c>
      <c r="AF34" s="435">
        <v>21745.491674569999</v>
      </c>
      <c r="AG34" s="435">
        <v>22149.626996290001</v>
      </c>
      <c r="AH34" s="435">
        <v>22572.425488049998</v>
      </c>
      <c r="AI34" s="435">
        <v>22452.776109720002</v>
      </c>
      <c r="AJ34" s="435">
        <v>23032.897365330002</v>
      </c>
      <c r="AK34" s="435">
        <v>23216.152670249998</v>
      </c>
      <c r="AL34" s="435">
        <v>26961.314001819999</v>
      </c>
      <c r="AM34" s="435">
        <v>25163.105337090001</v>
      </c>
    </row>
    <row r="35" spans="1:39">
      <c r="A35" s="436"/>
      <c r="B35" s="437"/>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row>
    <row r="36" spans="1:39">
      <c r="A36" s="433" t="s">
        <v>537</v>
      </c>
      <c r="B36" s="434" t="s">
        <v>538</v>
      </c>
      <c r="C36" s="435">
        <v>173.77583848999998</v>
      </c>
      <c r="D36" s="435">
        <v>102.15030181408299</v>
      </c>
      <c r="E36" s="435">
        <v>107.57548442879599</v>
      </c>
      <c r="F36" s="435">
        <v>96.970545829999992</v>
      </c>
      <c r="G36" s="435">
        <v>92.457328589252</v>
      </c>
      <c r="H36" s="435">
        <v>440.817523815794</v>
      </c>
      <c r="I36" s="435">
        <v>144.695107660503</v>
      </c>
      <c r="J36" s="435">
        <v>139.61848140775101</v>
      </c>
      <c r="K36" s="435">
        <v>267.13934071788196</v>
      </c>
      <c r="L36" s="435">
        <v>140.39613334605099</v>
      </c>
      <c r="M36" s="435">
        <v>147.65538167153198</v>
      </c>
      <c r="N36" s="435">
        <v>156.18358312016798</v>
      </c>
      <c r="O36" s="435">
        <v>141.37216390342701</v>
      </c>
      <c r="P36" s="435">
        <v>165.14521648076197</v>
      </c>
      <c r="Q36" s="435">
        <v>156.283154672509</v>
      </c>
      <c r="R36" s="435">
        <v>170.538513680878</v>
      </c>
      <c r="S36" s="435">
        <v>118.92258400263799</v>
      </c>
      <c r="T36" s="435">
        <v>227.06391243610898</v>
      </c>
      <c r="U36" s="435">
        <v>147.606747109975</v>
      </c>
      <c r="V36" s="435">
        <v>145.05270454831998</v>
      </c>
      <c r="W36" s="435">
        <v>178.60699340812801</v>
      </c>
      <c r="X36" s="435">
        <v>228.86708454979401</v>
      </c>
      <c r="Y36" s="435">
        <v>145.94768976260698</v>
      </c>
      <c r="Z36" s="435">
        <v>144.74181716741302</v>
      </c>
      <c r="AA36" s="435">
        <v>134.190323829216</v>
      </c>
      <c r="AB36" s="435">
        <v>122.79770026911299</v>
      </c>
      <c r="AC36" s="435">
        <v>128.30850091761698</v>
      </c>
      <c r="AD36" s="435">
        <v>125.31778668365899</v>
      </c>
      <c r="AE36" s="435">
        <v>104.85266671033099</v>
      </c>
      <c r="AF36" s="435">
        <v>188.10748455776599</v>
      </c>
      <c r="AG36" s="435">
        <v>198.07162782</v>
      </c>
      <c r="AH36" s="435">
        <v>71.810326250000003</v>
      </c>
      <c r="AI36" s="435">
        <v>223.63965296000001</v>
      </c>
      <c r="AJ36" s="435">
        <v>238.61876867999996</v>
      </c>
      <c r="AK36" s="435">
        <v>151.47403553999999</v>
      </c>
      <c r="AL36" s="435">
        <v>146.47737080000002</v>
      </c>
      <c r="AM36" s="435">
        <v>69.348740169999985</v>
      </c>
    </row>
    <row r="37" spans="1:39">
      <c r="A37" s="436" t="s">
        <v>539</v>
      </c>
      <c r="B37" s="437" t="s">
        <v>540</v>
      </c>
      <c r="C37" s="439">
        <v>22.587345850000002</v>
      </c>
      <c r="D37" s="439">
        <v>24.744540514082999</v>
      </c>
      <c r="E37" s="439">
        <v>23.849837548796</v>
      </c>
      <c r="F37" s="439">
        <v>18.228978470000001</v>
      </c>
      <c r="G37" s="439">
        <v>18.263779599251997</v>
      </c>
      <c r="H37" s="439">
        <v>20.765367005793998</v>
      </c>
      <c r="I37" s="439">
        <v>19.718758210502997</v>
      </c>
      <c r="J37" s="439">
        <v>24.796664857751008</v>
      </c>
      <c r="K37" s="439">
        <v>24.287037047881995</v>
      </c>
      <c r="L37" s="439">
        <v>19.542466706051002</v>
      </c>
      <c r="M37" s="439">
        <v>21.999239441531991</v>
      </c>
      <c r="N37" s="439">
        <v>24.493795200167998</v>
      </c>
      <c r="O37" s="439">
        <v>14.350253283427008</v>
      </c>
      <c r="P37" s="439">
        <v>12.139555840761995</v>
      </c>
      <c r="Q37" s="439">
        <v>11.978865682509007</v>
      </c>
      <c r="R37" s="439">
        <v>10.738506780878001</v>
      </c>
      <c r="S37" s="439">
        <v>11.205565562638004</v>
      </c>
      <c r="T37" s="439">
        <v>10.587319066109</v>
      </c>
      <c r="U37" s="439">
        <v>14.109763349974992</v>
      </c>
      <c r="V37" s="439">
        <v>13.63773414832</v>
      </c>
      <c r="W37" s="439">
        <v>15.698556618128009</v>
      </c>
      <c r="X37" s="439">
        <v>14.606797769794008</v>
      </c>
      <c r="Y37" s="439">
        <v>15.119194412606996</v>
      </c>
      <c r="Z37" s="439">
        <v>16.387315327413003</v>
      </c>
      <c r="AA37" s="439">
        <v>19.396711529215999</v>
      </c>
      <c r="AB37" s="439">
        <v>15.694678129113001</v>
      </c>
      <c r="AC37" s="439">
        <v>15.629992317616994</v>
      </c>
      <c r="AD37" s="439">
        <v>8.5982636536590107</v>
      </c>
      <c r="AE37" s="439">
        <v>8.3524888203310006</v>
      </c>
      <c r="AF37" s="439">
        <v>10.438192297765998</v>
      </c>
      <c r="AG37" s="439">
        <v>8.942154580000004</v>
      </c>
      <c r="AH37" s="439">
        <v>12.123119959999997</v>
      </c>
      <c r="AI37" s="439">
        <v>9.9914872199999998</v>
      </c>
      <c r="AJ37" s="439">
        <v>10.633213389999991</v>
      </c>
      <c r="AK37" s="439">
        <v>15.135496139999999</v>
      </c>
      <c r="AL37" s="439">
        <v>12.26796014</v>
      </c>
      <c r="AM37" s="439">
        <v>9.4486492399999911</v>
      </c>
    </row>
    <row r="38" spans="1:39">
      <c r="A38" s="436" t="s">
        <v>541</v>
      </c>
      <c r="B38" s="437" t="s">
        <v>542</v>
      </c>
      <c r="C38" s="439">
        <v>0</v>
      </c>
      <c r="D38" s="439">
        <v>0</v>
      </c>
      <c r="E38" s="439">
        <v>0</v>
      </c>
      <c r="F38" s="439">
        <v>0</v>
      </c>
      <c r="G38" s="439">
        <v>0</v>
      </c>
      <c r="H38" s="439">
        <v>0</v>
      </c>
      <c r="I38" s="439">
        <v>0</v>
      </c>
      <c r="J38" s="439">
        <v>0</v>
      </c>
      <c r="K38" s="439">
        <v>0</v>
      </c>
      <c r="L38" s="439">
        <v>0</v>
      </c>
      <c r="M38" s="439">
        <v>0</v>
      </c>
      <c r="N38" s="439">
        <v>0</v>
      </c>
      <c r="O38" s="439">
        <v>0</v>
      </c>
      <c r="P38" s="439">
        <v>0</v>
      </c>
      <c r="Q38" s="439">
        <v>0</v>
      </c>
      <c r="R38" s="439">
        <v>0</v>
      </c>
      <c r="S38" s="439">
        <v>0</v>
      </c>
      <c r="T38" s="439">
        <v>0</v>
      </c>
      <c r="U38" s="439">
        <v>0</v>
      </c>
      <c r="V38" s="439">
        <v>0</v>
      </c>
      <c r="W38" s="439">
        <v>0</v>
      </c>
      <c r="X38" s="439">
        <v>0</v>
      </c>
      <c r="Y38" s="439">
        <v>0</v>
      </c>
      <c r="Z38" s="439">
        <v>0</v>
      </c>
      <c r="AA38" s="439">
        <v>0</v>
      </c>
      <c r="AB38" s="439">
        <v>0</v>
      </c>
      <c r="AC38" s="439">
        <v>0</v>
      </c>
      <c r="AD38" s="439">
        <v>0</v>
      </c>
      <c r="AE38" s="439">
        <v>0</v>
      </c>
      <c r="AF38" s="439">
        <v>0</v>
      </c>
      <c r="AG38" s="439">
        <v>0</v>
      </c>
      <c r="AH38" s="439">
        <v>0</v>
      </c>
      <c r="AI38" s="439">
        <v>0</v>
      </c>
      <c r="AJ38" s="439">
        <v>0</v>
      </c>
      <c r="AK38" s="439">
        <v>0</v>
      </c>
      <c r="AL38" s="439">
        <v>0</v>
      </c>
      <c r="AM38" s="439">
        <v>0</v>
      </c>
    </row>
    <row r="39" spans="1:39">
      <c r="A39" s="436" t="s">
        <v>543</v>
      </c>
      <c r="B39" s="437" t="s">
        <v>544</v>
      </c>
      <c r="C39" s="439">
        <v>151.18849263999999</v>
      </c>
      <c r="D39" s="439">
        <v>77.405761299999995</v>
      </c>
      <c r="E39" s="439">
        <v>83.725646879999985</v>
      </c>
      <c r="F39" s="439">
        <v>78.741567359999991</v>
      </c>
      <c r="G39" s="439">
        <v>74.193548989999996</v>
      </c>
      <c r="H39" s="439">
        <v>420.05215680999999</v>
      </c>
      <c r="I39" s="439">
        <v>124.97634945</v>
      </c>
      <c r="J39" s="439">
        <v>114.82181654999999</v>
      </c>
      <c r="K39" s="439">
        <v>242.85230366999997</v>
      </c>
      <c r="L39" s="439">
        <v>120.85366664</v>
      </c>
      <c r="M39" s="439">
        <v>125.65614223</v>
      </c>
      <c r="N39" s="439">
        <v>131.68978791999999</v>
      </c>
      <c r="O39" s="439">
        <v>127.02191062</v>
      </c>
      <c r="P39" s="439">
        <v>153.00566063999997</v>
      </c>
      <c r="Q39" s="439">
        <v>144.30428899</v>
      </c>
      <c r="R39" s="439">
        <v>159.8000069</v>
      </c>
      <c r="S39" s="439">
        <v>107.71701843999999</v>
      </c>
      <c r="T39" s="439">
        <v>216.47659336999999</v>
      </c>
      <c r="U39" s="439">
        <v>133.49698376000001</v>
      </c>
      <c r="V39" s="439">
        <v>131.41497039999999</v>
      </c>
      <c r="W39" s="439">
        <v>162.90843679</v>
      </c>
      <c r="X39" s="439">
        <v>214.26028678</v>
      </c>
      <c r="Y39" s="439">
        <v>130.82849535</v>
      </c>
      <c r="Z39" s="439">
        <v>128.35450184000001</v>
      </c>
      <c r="AA39" s="439">
        <v>114.79361229999999</v>
      </c>
      <c r="AB39" s="439">
        <v>107.10302213999999</v>
      </c>
      <c r="AC39" s="439">
        <v>112.67850859999999</v>
      </c>
      <c r="AD39" s="439">
        <v>116.71952302999999</v>
      </c>
      <c r="AE39" s="439">
        <v>96.500177889999989</v>
      </c>
      <c r="AF39" s="439">
        <v>177.66929225999999</v>
      </c>
      <c r="AG39" s="439">
        <v>189.12947324000001</v>
      </c>
      <c r="AH39" s="439">
        <v>59.687206289999999</v>
      </c>
      <c r="AI39" s="439">
        <v>213.64816574</v>
      </c>
      <c r="AJ39" s="439">
        <v>227.98555528999998</v>
      </c>
      <c r="AK39" s="439">
        <v>136.3385394</v>
      </c>
      <c r="AL39" s="439">
        <v>134.20941066</v>
      </c>
      <c r="AM39" s="439">
        <v>59.900090929999998</v>
      </c>
    </row>
    <row r="40" spans="1:39">
      <c r="A40" s="436"/>
      <c r="B40" s="437"/>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row>
    <row r="41" spans="1:39">
      <c r="A41" s="433" t="s">
        <v>545</v>
      </c>
      <c r="B41" s="434" t="s">
        <v>546</v>
      </c>
      <c r="C41" s="435">
        <v>29966.975270430004</v>
      </c>
      <c r="D41" s="435">
        <v>31254.647347658003</v>
      </c>
      <c r="E41" s="435">
        <v>30372.563617634001</v>
      </c>
      <c r="F41" s="435">
        <v>30963.920489230004</v>
      </c>
      <c r="G41" s="435">
        <v>30613.226018459998</v>
      </c>
      <c r="H41" s="435">
        <v>33128.330575418004</v>
      </c>
      <c r="I41" s="435">
        <v>33789.267421356002</v>
      </c>
      <c r="J41" s="435">
        <v>33020.689187719807</v>
      </c>
      <c r="K41" s="435">
        <v>30534.132591883994</v>
      </c>
      <c r="L41" s="435">
        <v>31544.458324931002</v>
      </c>
      <c r="M41" s="435">
        <v>34977.812640402</v>
      </c>
      <c r="N41" s="435">
        <v>35949.448974421</v>
      </c>
      <c r="O41" s="435">
        <v>35192.75877875572</v>
      </c>
      <c r="P41" s="435">
        <v>34541.421341773646</v>
      </c>
      <c r="Q41" s="435">
        <v>36939.507580827478</v>
      </c>
      <c r="R41" s="435">
        <v>36646.860198302456</v>
      </c>
      <c r="S41" s="435">
        <v>36053.616068564763</v>
      </c>
      <c r="T41" s="435">
        <v>36084.724062089997</v>
      </c>
      <c r="U41" s="435">
        <v>36239.179683970557</v>
      </c>
      <c r="V41" s="435">
        <v>35220.694716186779</v>
      </c>
      <c r="W41" s="435">
        <v>35968.445858579995</v>
      </c>
      <c r="X41" s="435">
        <v>36491.476768018532</v>
      </c>
      <c r="Y41" s="435">
        <v>36444.609430624776</v>
      </c>
      <c r="Z41" s="435">
        <v>38789.824571191995</v>
      </c>
      <c r="AA41" s="435">
        <v>38832.313905730829</v>
      </c>
      <c r="AB41" s="435">
        <v>39201.650866966433</v>
      </c>
      <c r="AC41" s="435">
        <v>39598.520794407035</v>
      </c>
      <c r="AD41" s="435">
        <v>39343.312606860163</v>
      </c>
      <c r="AE41" s="435">
        <v>39252.326794396096</v>
      </c>
      <c r="AF41" s="435">
        <v>42619.680820155401</v>
      </c>
      <c r="AG41" s="435">
        <v>42577.058093508051</v>
      </c>
      <c r="AH41" s="435">
        <v>43504.518758566446</v>
      </c>
      <c r="AI41" s="435">
        <v>43201.277614377948</v>
      </c>
      <c r="AJ41" s="435">
        <v>42159.302407638199</v>
      </c>
      <c r="AK41" s="435">
        <v>42910.437745755764</v>
      </c>
      <c r="AL41" s="435">
        <v>40614.66020448348</v>
      </c>
      <c r="AM41" s="435">
        <v>42825.937377875787</v>
      </c>
    </row>
    <row r="42" spans="1:39">
      <c r="A42" s="436" t="s">
        <v>547</v>
      </c>
      <c r="B42" s="437" t="s">
        <v>540</v>
      </c>
      <c r="C42" s="439">
        <v>29905.948359430004</v>
      </c>
      <c r="D42" s="439">
        <v>31193.630936658003</v>
      </c>
      <c r="E42" s="439">
        <v>27311.545206634</v>
      </c>
      <c r="F42" s="439">
        <v>29202.901078230003</v>
      </c>
      <c r="G42" s="439">
        <v>30552.205607459997</v>
      </c>
      <c r="H42" s="439">
        <v>31067.309164418002</v>
      </c>
      <c r="I42" s="439">
        <v>33728.246010356001</v>
      </c>
      <c r="J42" s="439">
        <v>32959.665776719805</v>
      </c>
      <c r="K42" s="439">
        <v>30473.108180883995</v>
      </c>
      <c r="L42" s="439">
        <v>31483.433913931003</v>
      </c>
      <c r="M42" s="439">
        <v>34916.786229402001</v>
      </c>
      <c r="N42" s="439">
        <v>35888.421563420998</v>
      </c>
      <c r="O42" s="439">
        <v>35131.730367755721</v>
      </c>
      <c r="P42" s="439">
        <v>34480.391930773643</v>
      </c>
      <c r="Q42" s="439">
        <v>36878.477169827478</v>
      </c>
      <c r="R42" s="439">
        <v>36585.829787302457</v>
      </c>
      <c r="S42" s="439">
        <v>35982.459657564759</v>
      </c>
      <c r="T42" s="439">
        <v>36017.19423909</v>
      </c>
      <c r="U42" s="439">
        <v>36171.64986097056</v>
      </c>
      <c r="V42" s="439">
        <v>35153.164893186782</v>
      </c>
      <c r="W42" s="439">
        <v>35900.916035579998</v>
      </c>
      <c r="X42" s="439">
        <v>36423.946945018535</v>
      </c>
      <c r="Y42" s="439">
        <v>36377.079607624779</v>
      </c>
      <c r="Z42" s="439">
        <v>38722.294748191998</v>
      </c>
      <c r="AA42" s="439">
        <v>38764.784082730832</v>
      </c>
      <c r="AB42" s="439">
        <v>39134.121043966436</v>
      </c>
      <c r="AC42" s="439">
        <v>39530.990971407038</v>
      </c>
      <c r="AD42" s="439">
        <v>39275.779788860164</v>
      </c>
      <c r="AE42" s="439">
        <v>39184.793976396097</v>
      </c>
      <c r="AF42" s="439">
        <v>42552.138171155399</v>
      </c>
      <c r="AG42" s="439">
        <v>42506.010275508052</v>
      </c>
      <c r="AH42" s="439">
        <v>43433.470940566447</v>
      </c>
      <c r="AI42" s="439">
        <v>43130.22012637795</v>
      </c>
      <c r="AJ42" s="439">
        <v>42088.247914638203</v>
      </c>
      <c r="AK42" s="439">
        <v>42839.383252755768</v>
      </c>
      <c r="AL42" s="439">
        <v>40543.605711483484</v>
      </c>
      <c r="AM42" s="439">
        <v>42754.882884875791</v>
      </c>
    </row>
    <row r="43" spans="1:39">
      <c r="A43" s="436" t="s">
        <v>548</v>
      </c>
      <c r="B43" s="437" t="s">
        <v>542</v>
      </c>
      <c r="C43" s="439">
        <v>61.026910999999927</v>
      </c>
      <c r="D43" s="439">
        <v>61.016411000000062</v>
      </c>
      <c r="E43" s="439">
        <v>61.018411000000015</v>
      </c>
      <c r="F43" s="439">
        <v>61.019411000000218</v>
      </c>
      <c r="G43" s="439">
        <v>61.020410999999967</v>
      </c>
      <c r="H43" s="439">
        <v>61.021410999999716</v>
      </c>
      <c r="I43" s="439">
        <v>61.021411000000171</v>
      </c>
      <c r="J43" s="439">
        <v>61.023411000000124</v>
      </c>
      <c r="K43" s="439">
        <v>61.024410999999873</v>
      </c>
      <c r="L43" s="439">
        <v>61.024410999999873</v>
      </c>
      <c r="M43" s="439">
        <v>61.026410999999825</v>
      </c>
      <c r="N43" s="439">
        <v>61.027411000000029</v>
      </c>
      <c r="O43" s="439">
        <v>61.028410999999778</v>
      </c>
      <c r="P43" s="439">
        <v>61.029410999999982</v>
      </c>
      <c r="Q43" s="439">
        <v>61.030411000000186</v>
      </c>
      <c r="R43" s="439">
        <v>61.030411000000186</v>
      </c>
      <c r="S43" s="439">
        <v>71.156410999999935</v>
      </c>
      <c r="T43" s="439">
        <v>67.529822999999851</v>
      </c>
      <c r="U43" s="439">
        <v>67.529822999999851</v>
      </c>
      <c r="V43" s="439">
        <v>67.529822999999851</v>
      </c>
      <c r="W43" s="439">
        <v>67.529822999999851</v>
      </c>
      <c r="X43" s="439">
        <v>67.529822999999851</v>
      </c>
      <c r="Y43" s="439">
        <v>67.529822999999851</v>
      </c>
      <c r="Z43" s="439">
        <v>67.529822999999851</v>
      </c>
      <c r="AA43" s="439">
        <v>67.529822999999851</v>
      </c>
      <c r="AB43" s="439">
        <v>67.529822999999851</v>
      </c>
      <c r="AC43" s="439">
        <v>67.529822999999851</v>
      </c>
      <c r="AD43" s="439">
        <v>67.532818000000134</v>
      </c>
      <c r="AE43" s="439">
        <v>67.532818000000134</v>
      </c>
      <c r="AF43" s="439">
        <v>67.542648999999983</v>
      </c>
      <c r="AG43" s="439">
        <v>67.532818000000006</v>
      </c>
      <c r="AH43" s="439">
        <v>67.532818000000006</v>
      </c>
      <c r="AI43" s="439">
        <v>67.542487999999921</v>
      </c>
      <c r="AJ43" s="439">
        <v>67.539493000000093</v>
      </c>
      <c r="AK43" s="439">
        <v>67.539493000000093</v>
      </c>
      <c r="AL43" s="439">
        <v>67.539493000000093</v>
      </c>
      <c r="AM43" s="439">
        <v>67.539493000000093</v>
      </c>
    </row>
    <row r="44" spans="1:39">
      <c r="A44" s="436" t="s">
        <v>549</v>
      </c>
      <c r="B44" s="437" t="s">
        <v>544</v>
      </c>
      <c r="C44" s="439">
        <v>0</v>
      </c>
      <c r="D44" s="439">
        <v>0</v>
      </c>
      <c r="E44" s="439">
        <v>3000</v>
      </c>
      <c r="F44" s="439">
        <v>1700</v>
      </c>
      <c r="G44" s="439">
        <v>0</v>
      </c>
      <c r="H44" s="439">
        <v>2000</v>
      </c>
      <c r="I44" s="439">
        <v>0</v>
      </c>
      <c r="J44" s="439">
        <v>0</v>
      </c>
      <c r="K44" s="439">
        <v>0</v>
      </c>
      <c r="L44" s="439">
        <v>0</v>
      </c>
      <c r="M44" s="439">
        <v>0</v>
      </c>
      <c r="N44" s="439">
        <v>0</v>
      </c>
      <c r="O44" s="439">
        <v>0</v>
      </c>
      <c r="P44" s="439">
        <v>0</v>
      </c>
      <c r="Q44" s="439">
        <v>0</v>
      </c>
      <c r="R44" s="439">
        <v>0</v>
      </c>
      <c r="S44" s="439">
        <v>0</v>
      </c>
      <c r="T44" s="439">
        <v>0</v>
      </c>
      <c r="U44" s="439">
        <v>0</v>
      </c>
      <c r="V44" s="439">
        <v>0</v>
      </c>
      <c r="W44" s="439">
        <v>0</v>
      </c>
      <c r="X44" s="439">
        <v>0</v>
      </c>
      <c r="Y44" s="439">
        <v>0</v>
      </c>
      <c r="Z44" s="439">
        <v>0</v>
      </c>
      <c r="AA44" s="439">
        <v>0</v>
      </c>
      <c r="AB44" s="439">
        <v>0</v>
      </c>
      <c r="AC44" s="439">
        <v>0</v>
      </c>
      <c r="AD44" s="439">
        <v>0</v>
      </c>
      <c r="AE44" s="439">
        <v>0</v>
      </c>
      <c r="AF44" s="439">
        <v>0</v>
      </c>
      <c r="AG44" s="439">
        <v>3.5150000000000001</v>
      </c>
      <c r="AH44" s="439">
        <v>3.5150000000000001</v>
      </c>
      <c r="AI44" s="439">
        <v>3.5150000000000001</v>
      </c>
      <c r="AJ44" s="439">
        <v>3.5150000000000001</v>
      </c>
      <c r="AK44" s="439">
        <v>3.5150000000000001</v>
      </c>
      <c r="AL44" s="439">
        <v>3.5150000000000001</v>
      </c>
      <c r="AM44" s="439">
        <v>3.5150000000000001</v>
      </c>
    </row>
    <row r="45" spans="1:39">
      <c r="A45" s="436"/>
      <c r="B45" s="437"/>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row>
    <row r="46" spans="1:39">
      <c r="A46" s="433" t="s">
        <v>550</v>
      </c>
      <c r="B46" s="434" t="s">
        <v>551</v>
      </c>
      <c r="C46" s="435">
        <v>0</v>
      </c>
      <c r="D46" s="435">
        <v>0</v>
      </c>
      <c r="E46" s="435">
        <v>0</v>
      </c>
      <c r="F46" s="435">
        <v>0</v>
      </c>
      <c r="G46" s="435">
        <v>0</v>
      </c>
      <c r="H46" s="435">
        <v>0</v>
      </c>
      <c r="I46" s="435">
        <v>0</v>
      </c>
      <c r="J46" s="435">
        <v>911.24699999999996</v>
      </c>
      <c r="K46" s="435">
        <v>2101.005643</v>
      </c>
      <c r="L46" s="435">
        <v>2101.005643</v>
      </c>
      <c r="M46" s="435">
        <v>2101.005643</v>
      </c>
      <c r="N46" s="435">
        <v>1976.9168929999998</v>
      </c>
      <c r="O46" s="435">
        <v>2120.4720090000001</v>
      </c>
      <c r="P46" s="435">
        <v>2219.7488979999998</v>
      </c>
      <c r="Q46" s="435">
        <v>2556.0925769999999</v>
      </c>
      <c r="R46" s="435">
        <v>2666.5939119999998</v>
      </c>
      <c r="S46" s="435">
        <v>2878.590831</v>
      </c>
      <c r="T46" s="435">
        <v>3092.9646889999999</v>
      </c>
      <c r="U46" s="435">
        <v>3503.7332629999996</v>
      </c>
      <c r="V46" s="435">
        <v>3428.5739399999998</v>
      </c>
      <c r="W46" s="435">
        <v>3180.0192959999999</v>
      </c>
      <c r="X46" s="435">
        <v>3230.1208339999998</v>
      </c>
      <c r="Y46" s="435">
        <v>3156.9951469999996</v>
      </c>
      <c r="Z46" s="435">
        <v>3056.51838</v>
      </c>
      <c r="AA46" s="435">
        <v>3095.3051984999997</v>
      </c>
      <c r="AB46" s="435">
        <v>3095.9082248099999</v>
      </c>
      <c r="AC46" s="435">
        <v>3096.1976481799998</v>
      </c>
      <c r="AD46" s="435">
        <v>3013.3279889999999</v>
      </c>
      <c r="AE46" s="435">
        <v>2864.0974923399999</v>
      </c>
      <c r="AF46" s="435">
        <v>2863.6994106899997</v>
      </c>
      <c r="AG46" s="435">
        <v>2914.2595256899999</v>
      </c>
      <c r="AH46" s="435">
        <v>2614.3997466937931</v>
      </c>
      <c r="AI46" s="435">
        <v>2170.3288351000001</v>
      </c>
      <c r="AJ46" s="435">
        <v>2042.9337933599998</v>
      </c>
      <c r="AK46" s="435">
        <v>2211.1670412100002</v>
      </c>
      <c r="AL46" s="435">
        <v>2606.1340234000004</v>
      </c>
      <c r="AM46" s="435">
        <v>3214.4529285099998</v>
      </c>
    </row>
    <row r="47" spans="1:39">
      <c r="A47" s="436"/>
      <c r="B47" s="437"/>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row>
    <row r="48" spans="1:39">
      <c r="A48" s="433" t="s">
        <v>552</v>
      </c>
      <c r="B48" s="434" t="s">
        <v>553</v>
      </c>
      <c r="C48" s="435">
        <v>0.97697899999999993</v>
      </c>
      <c r="D48" s="435">
        <v>0.97697899999999993</v>
      </c>
      <c r="E48" s="435">
        <v>0.97697899999999993</v>
      </c>
      <c r="F48" s="435">
        <v>0.97697899999999993</v>
      </c>
      <c r="G48" s="435">
        <v>700.304979</v>
      </c>
      <c r="H48" s="435">
        <v>0.97697899999999993</v>
      </c>
      <c r="I48" s="435">
        <v>0.97697899999999993</v>
      </c>
      <c r="J48" s="435">
        <v>1342.0135290000001</v>
      </c>
      <c r="K48" s="435">
        <v>5128.5327129999996</v>
      </c>
      <c r="L48" s="435">
        <v>5128.5327129999996</v>
      </c>
      <c r="M48" s="435">
        <v>5128.5327129999996</v>
      </c>
      <c r="N48" s="435">
        <v>3601.5898259999999</v>
      </c>
      <c r="O48" s="435">
        <v>4301.2561479999995</v>
      </c>
      <c r="P48" s="435">
        <v>5521.529313</v>
      </c>
      <c r="Q48" s="435">
        <v>5115.8322310000003</v>
      </c>
      <c r="R48" s="435">
        <v>5270.236629</v>
      </c>
      <c r="S48" s="435">
        <v>6129.5538670000005</v>
      </c>
      <c r="T48" s="435">
        <v>7368.8640720000003</v>
      </c>
      <c r="U48" s="435">
        <v>7978.5449390000003</v>
      </c>
      <c r="V48" s="435">
        <v>7701.2381679999999</v>
      </c>
      <c r="W48" s="435">
        <v>6801.8031949999995</v>
      </c>
      <c r="X48" s="435">
        <v>6824.1437519999999</v>
      </c>
      <c r="Y48" s="435">
        <v>6906.4970777203471</v>
      </c>
      <c r="Z48" s="435">
        <v>5539.1833360000001</v>
      </c>
      <c r="AA48" s="435">
        <v>5989.8998494899997</v>
      </c>
      <c r="AB48" s="435">
        <v>5995.0665644899991</v>
      </c>
      <c r="AC48" s="435">
        <v>5879.4127763899996</v>
      </c>
      <c r="AD48" s="435">
        <v>5617.7866568099998</v>
      </c>
      <c r="AE48" s="435">
        <v>5010.0680150511407</v>
      </c>
      <c r="AF48" s="435">
        <v>4890.1397889799991</v>
      </c>
      <c r="AG48" s="435">
        <v>4775.8819794499996</v>
      </c>
      <c r="AH48" s="435">
        <v>4068.6399359999996</v>
      </c>
      <c r="AI48" s="435">
        <v>4106.44381634</v>
      </c>
      <c r="AJ48" s="435">
        <v>3735.2819949099999</v>
      </c>
      <c r="AK48" s="435">
        <v>3923.8686898099995</v>
      </c>
      <c r="AL48" s="435">
        <v>3905.1079668000002</v>
      </c>
      <c r="AM48" s="435">
        <v>6213.8985070799999</v>
      </c>
    </row>
    <row r="49" spans="1:39">
      <c r="A49" s="436"/>
      <c r="B49" s="437"/>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row>
    <row r="50" spans="1:39">
      <c r="A50" s="433" t="s">
        <v>554</v>
      </c>
      <c r="B50" s="434" t="s">
        <v>322</v>
      </c>
      <c r="C50" s="435">
        <v>0</v>
      </c>
      <c r="D50" s="435">
        <v>0</v>
      </c>
      <c r="E50" s="435">
        <v>0</v>
      </c>
      <c r="F50" s="435">
        <v>0</v>
      </c>
      <c r="G50" s="435">
        <v>0</v>
      </c>
      <c r="H50" s="435">
        <v>0</v>
      </c>
      <c r="I50" s="435">
        <v>0</v>
      </c>
      <c r="J50" s="435">
        <v>0</v>
      </c>
      <c r="K50" s="435">
        <v>0</v>
      </c>
      <c r="L50" s="435">
        <v>0</v>
      </c>
      <c r="M50" s="435">
        <v>0</v>
      </c>
      <c r="N50" s="435">
        <v>0</v>
      </c>
      <c r="O50" s="435">
        <v>0</v>
      </c>
      <c r="P50" s="435">
        <v>0</v>
      </c>
      <c r="Q50" s="435">
        <v>0</v>
      </c>
      <c r="R50" s="435">
        <v>0</v>
      </c>
      <c r="S50" s="435">
        <v>0</v>
      </c>
      <c r="T50" s="435">
        <v>0</v>
      </c>
      <c r="U50" s="435">
        <v>0</v>
      </c>
      <c r="V50" s="435">
        <v>0</v>
      </c>
      <c r="W50" s="435">
        <v>0</v>
      </c>
      <c r="X50" s="435">
        <v>0</v>
      </c>
      <c r="Y50" s="435">
        <v>0</v>
      </c>
      <c r="Z50" s="435">
        <v>0</v>
      </c>
      <c r="AA50" s="435">
        <v>0</v>
      </c>
      <c r="AB50" s="435">
        <v>0</v>
      </c>
      <c r="AC50" s="435">
        <v>0</v>
      </c>
      <c r="AD50" s="435">
        <v>0</v>
      </c>
      <c r="AE50" s="435">
        <v>0</v>
      </c>
      <c r="AF50" s="435">
        <v>0</v>
      </c>
      <c r="AG50" s="435">
        <v>0</v>
      </c>
      <c r="AH50" s="435">
        <v>0</v>
      </c>
      <c r="AI50" s="435">
        <v>0</v>
      </c>
      <c r="AJ50" s="435">
        <v>0</v>
      </c>
      <c r="AK50" s="435">
        <v>0</v>
      </c>
      <c r="AL50" s="435">
        <v>0</v>
      </c>
      <c r="AM50" s="435">
        <v>0</v>
      </c>
    </row>
    <row r="51" spans="1:39">
      <c r="A51" s="436"/>
      <c r="B51" s="452"/>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row>
    <row r="52" spans="1:39">
      <c r="A52" s="433" t="s">
        <v>555</v>
      </c>
      <c r="B52" s="434" t="s">
        <v>526</v>
      </c>
      <c r="C52" s="435">
        <v>0</v>
      </c>
      <c r="D52" s="435">
        <v>0</v>
      </c>
      <c r="E52" s="435">
        <v>0</v>
      </c>
      <c r="F52" s="435">
        <v>0</v>
      </c>
      <c r="G52" s="435">
        <v>0</v>
      </c>
      <c r="H52" s="435">
        <v>0</v>
      </c>
      <c r="I52" s="435">
        <v>0</v>
      </c>
      <c r="J52" s="435">
        <v>0</v>
      </c>
      <c r="K52" s="435">
        <v>0</v>
      </c>
      <c r="L52" s="435">
        <v>0</v>
      </c>
      <c r="M52" s="435">
        <v>0</v>
      </c>
      <c r="N52" s="435">
        <v>0</v>
      </c>
      <c r="O52" s="435">
        <v>0</v>
      </c>
      <c r="P52" s="435">
        <v>0</v>
      </c>
      <c r="Q52" s="435">
        <v>0</v>
      </c>
      <c r="R52" s="435">
        <v>0</v>
      </c>
      <c r="S52" s="435">
        <v>0</v>
      </c>
      <c r="T52" s="435">
        <v>0</v>
      </c>
      <c r="U52" s="435">
        <v>0</v>
      </c>
      <c r="V52" s="435">
        <v>0</v>
      </c>
      <c r="W52" s="435">
        <v>0</v>
      </c>
      <c r="X52" s="435">
        <v>0</v>
      </c>
      <c r="Y52" s="435">
        <v>0</v>
      </c>
      <c r="Z52" s="435">
        <v>0</v>
      </c>
      <c r="AA52" s="435">
        <v>0</v>
      </c>
      <c r="AB52" s="435">
        <v>0</v>
      </c>
      <c r="AC52" s="435">
        <v>0</v>
      </c>
      <c r="AD52" s="435">
        <v>0</v>
      </c>
      <c r="AE52" s="435">
        <v>0</v>
      </c>
      <c r="AF52" s="435">
        <v>0</v>
      </c>
      <c r="AG52" s="435">
        <v>0</v>
      </c>
      <c r="AH52" s="435">
        <v>0</v>
      </c>
      <c r="AI52" s="435">
        <v>0</v>
      </c>
      <c r="AJ52" s="435">
        <v>0</v>
      </c>
      <c r="AK52" s="435">
        <v>0</v>
      </c>
      <c r="AL52" s="435">
        <v>0</v>
      </c>
      <c r="AM52" s="435">
        <v>0</v>
      </c>
    </row>
    <row r="53" spans="1:39">
      <c r="A53" s="436"/>
      <c r="B53" s="437"/>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row>
    <row r="54" spans="1:39">
      <c r="A54" s="433" t="s">
        <v>556</v>
      </c>
      <c r="B54" s="434" t="s">
        <v>528</v>
      </c>
      <c r="C54" s="435">
        <v>0</v>
      </c>
      <c r="D54" s="435">
        <v>0</v>
      </c>
      <c r="E54" s="435">
        <v>0</v>
      </c>
      <c r="F54" s="435">
        <v>0</v>
      </c>
      <c r="G54" s="435">
        <v>0</v>
      </c>
      <c r="H54" s="435">
        <v>0</v>
      </c>
      <c r="I54" s="435">
        <v>0</v>
      </c>
      <c r="J54" s="435">
        <v>0</v>
      </c>
      <c r="K54" s="435">
        <v>0</v>
      </c>
      <c r="L54" s="435">
        <v>0</v>
      </c>
      <c r="M54" s="435">
        <v>0</v>
      </c>
      <c r="N54" s="435">
        <v>0</v>
      </c>
      <c r="O54" s="435">
        <v>0</v>
      </c>
      <c r="P54" s="435">
        <v>0</v>
      </c>
      <c r="Q54" s="435">
        <v>0</v>
      </c>
      <c r="R54" s="435">
        <v>0</v>
      </c>
      <c r="S54" s="435">
        <v>0</v>
      </c>
      <c r="T54" s="435">
        <v>0</v>
      </c>
      <c r="U54" s="435">
        <v>0</v>
      </c>
      <c r="V54" s="435">
        <v>0</v>
      </c>
      <c r="W54" s="435">
        <v>0</v>
      </c>
      <c r="X54" s="435">
        <v>0</v>
      </c>
      <c r="Y54" s="435">
        <v>0</v>
      </c>
      <c r="Z54" s="435">
        <v>0</v>
      </c>
      <c r="AA54" s="435">
        <v>0</v>
      </c>
      <c r="AB54" s="435">
        <v>0</v>
      </c>
      <c r="AC54" s="435">
        <v>0</v>
      </c>
      <c r="AD54" s="435">
        <v>0</v>
      </c>
      <c r="AE54" s="435">
        <v>0</v>
      </c>
      <c r="AF54" s="435">
        <v>0</v>
      </c>
      <c r="AG54" s="435">
        <v>0</v>
      </c>
      <c r="AH54" s="435">
        <v>0</v>
      </c>
      <c r="AI54" s="435">
        <v>0</v>
      </c>
      <c r="AJ54" s="435">
        <v>0</v>
      </c>
      <c r="AK54" s="435">
        <v>0</v>
      </c>
      <c r="AL54" s="435">
        <v>0</v>
      </c>
      <c r="AM54" s="435">
        <v>0</v>
      </c>
    </row>
    <row r="55" spans="1:39">
      <c r="A55" s="436"/>
      <c r="B55" s="437"/>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8"/>
      <c r="AA55" s="438"/>
      <c r="AB55" s="438"/>
      <c r="AC55" s="438"/>
      <c r="AD55" s="438"/>
      <c r="AE55" s="438"/>
      <c r="AF55" s="438"/>
      <c r="AG55" s="438"/>
      <c r="AH55" s="438"/>
      <c r="AI55" s="438"/>
      <c r="AJ55" s="438"/>
      <c r="AK55" s="438"/>
      <c r="AL55" s="438"/>
      <c r="AM55" s="438"/>
    </row>
    <row r="56" spans="1:39">
      <c r="A56" s="433" t="s">
        <v>557</v>
      </c>
      <c r="B56" s="434" t="s">
        <v>558</v>
      </c>
      <c r="C56" s="435">
        <v>538.21283592999998</v>
      </c>
      <c r="D56" s="435">
        <v>486.14490092999995</v>
      </c>
      <c r="E56" s="435">
        <v>618.69126218000008</v>
      </c>
      <c r="F56" s="435">
        <v>512.37668000999997</v>
      </c>
      <c r="G56" s="435">
        <v>590.64657192999994</v>
      </c>
      <c r="H56" s="435">
        <v>929.23720615000002</v>
      </c>
      <c r="I56" s="435">
        <v>2338.0420034099998</v>
      </c>
      <c r="J56" s="435">
        <v>927.75824321999994</v>
      </c>
      <c r="K56" s="435">
        <v>1072.1266438399998</v>
      </c>
      <c r="L56" s="435">
        <v>1049.9736225899999</v>
      </c>
      <c r="M56" s="435">
        <v>921.2037224899999</v>
      </c>
      <c r="N56" s="435">
        <v>975.29421922999995</v>
      </c>
      <c r="O56" s="435">
        <v>1179.0680737399998</v>
      </c>
      <c r="P56" s="435">
        <v>845.18880186000001</v>
      </c>
      <c r="Q56" s="435">
        <v>867.82027834999997</v>
      </c>
      <c r="R56" s="435">
        <v>1070.84335545</v>
      </c>
      <c r="S56" s="435">
        <v>1155.9288818900002</v>
      </c>
      <c r="T56" s="435">
        <v>1215.97244467</v>
      </c>
      <c r="U56" s="435">
        <v>1354.25470415</v>
      </c>
      <c r="V56" s="435">
        <v>1353.74939073</v>
      </c>
      <c r="W56" s="435">
        <v>978.95630284999993</v>
      </c>
      <c r="X56" s="435">
        <v>1123.9420090399999</v>
      </c>
      <c r="Y56" s="435">
        <v>1187.4279252400001</v>
      </c>
      <c r="Z56" s="435">
        <v>1138.04615612</v>
      </c>
      <c r="AA56" s="435">
        <v>1126.1566596799998</v>
      </c>
      <c r="AB56" s="435">
        <v>1034.2038716699999</v>
      </c>
      <c r="AC56" s="435">
        <v>1047.56163956</v>
      </c>
      <c r="AD56" s="435">
        <v>1100.7612842200001</v>
      </c>
      <c r="AE56" s="435">
        <v>1237.1838996199999</v>
      </c>
      <c r="AF56" s="435">
        <v>911.68682326999988</v>
      </c>
      <c r="AG56" s="435">
        <v>1625.31888514</v>
      </c>
      <c r="AH56" s="435">
        <v>1549.26650855</v>
      </c>
      <c r="AI56" s="435">
        <v>1568.3670513499999</v>
      </c>
      <c r="AJ56" s="435">
        <v>1263.2788130399999</v>
      </c>
      <c r="AK56" s="435">
        <v>1250.9957634699999</v>
      </c>
      <c r="AL56" s="435">
        <v>1312.9801299100004</v>
      </c>
      <c r="AM56" s="435">
        <v>1373.2369780400002</v>
      </c>
    </row>
    <row r="57" spans="1:39">
      <c r="A57" s="436"/>
      <c r="B57" s="437"/>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row>
    <row r="58" spans="1:39">
      <c r="A58" s="433" t="s">
        <v>559</v>
      </c>
      <c r="B58" s="434" t="s">
        <v>524</v>
      </c>
      <c r="C58" s="435">
        <v>19964.110167409999</v>
      </c>
      <c r="D58" s="435">
        <v>20456.15655851</v>
      </c>
      <c r="E58" s="435">
        <v>20656.54350453</v>
      </c>
      <c r="F58" s="435">
        <v>20976.469956159999</v>
      </c>
      <c r="G58" s="435">
        <v>23542.384742170001</v>
      </c>
      <c r="H58" s="435">
        <v>20273.87106505</v>
      </c>
      <c r="I58" s="435">
        <v>18508.569286829999</v>
      </c>
      <c r="J58" s="435">
        <v>19472.344551769998</v>
      </c>
      <c r="K58" s="435">
        <v>20495.222189169999</v>
      </c>
      <c r="L58" s="435">
        <v>20301.791217229998</v>
      </c>
      <c r="M58" s="435">
        <v>20191.020255150001</v>
      </c>
      <c r="N58" s="435">
        <v>21361.044988709997</v>
      </c>
      <c r="O58" s="435">
        <v>19413.827296809999</v>
      </c>
      <c r="P58" s="435">
        <v>19582.327154340001</v>
      </c>
      <c r="Q58" s="435">
        <v>18243.485036359998</v>
      </c>
      <c r="R58" s="435">
        <v>17904.736877859999</v>
      </c>
      <c r="S58" s="435">
        <v>18921.887750959999</v>
      </c>
      <c r="T58" s="435">
        <v>20149.1601701</v>
      </c>
      <c r="U58" s="435">
        <v>18753.241767789998</v>
      </c>
      <c r="V58" s="435">
        <v>19617.36774234</v>
      </c>
      <c r="W58" s="435">
        <v>19604.223607199998</v>
      </c>
      <c r="X58" s="435">
        <v>21354.738473539997</v>
      </c>
      <c r="Y58" s="435">
        <v>20283.88373102</v>
      </c>
      <c r="Z58" s="435">
        <v>19542.970377909998</v>
      </c>
      <c r="AA58" s="435">
        <v>21291.50351029</v>
      </c>
      <c r="AB58" s="435">
        <v>21595.119234289999</v>
      </c>
      <c r="AC58" s="435">
        <v>20783.147565799998</v>
      </c>
      <c r="AD58" s="435">
        <v>21203.46923585</v>
      </c>
      <c r="AE58" s="435">
        <v>19954.35588607</v>
      </c>
      <c r="AF58" s="435">
        <v>23783.569044779997</v>
      </c>
      <c r="AG58" s="435">
        <v>23780.145553330003</v>
      </c>
      <c r="AH58" s="435">
        <v>23569.844059790001</v>
      </c>
      <c r="AI58" s="435">
        <v>25164.681625080102</v>
      </c>
      <c r="AJ58" s="435">
        <v>26025.415872760001</v>
      </c>
      <c r="AK58" s="435">
        <v>25692.210255179998</v>
      </c>
      <c r="AL58" s="435">
        <v>25383.877467489987</v>
      </c>
      <c r="AM58" s="435">
        <v>25930.891317520014</v>
      </c>
    </row>
    <row r="59" spans="1:39">
      <c r="A59" s="436"/>
      <c r="B59" s="437"/>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c r="AI59" s="439"/>
      <c r="AJ59" s="439"/>
      <c r="AK59" s="439"/>
      <c r="AL59" s="439"/>
      <c r="AM59" s="439"/>
    </row>
    <row r="60" spans="1:39">
      <c r="A60" s="433"/>
      <c r="B60" s="434" t="s">
        <v>560</v>
      </c>
      <c r="C60" s="435">
        <v>69596.492978319991</v>
      </c>
      <c r="D60" s="435">
        <v>70941.137481892089</v>
      </c>
      <c r="E60" s="435">
        <v>70499.654408622795</v>
      </c>
      <c r="F60" s="435">
        <v>71302.400435399992</v>
      </c>
      <c r="G60" s="435">
        <v>74450.371189439247</v>
      </c>
      <c r="H60" s="435">
        <v>73422.694705203787</v>
      </c>
      <c r="I60" s="435">
        <v>73741.023017996515</v>
      </c>
      <c r="J60" s="435">
        <v>74913.405949937558</v>
      </c>
      <c r="K60" s="435">
        <v>78694.334379371867</v>
      </c>
      <c r="L60" s="435">
        <v>79392.890201197035</v>
      </c>
      <c r="M60" s="435">
        <v>82982.38913011353</v>
      </c>
      <c r="N60" s="435">
        <v>86612.239956321166</v>
      </c>
      <c r="O60" s="435">
        <v>83585.412843679136</v>
      </c>
      <c r="P60" s="435">
        <v>83414.251738604406</v>
      </c>
      <c r="Q60" s="435">
        <v>84435.871824729984</v>
      </c>
      <c r="R60" s="435">
        <v>84082.643758713326</v>
      </c>
      <c r="S60" s="435">
        <v>85853.7490461774</v>
      </c>
      <c r="T60" s="435">
        <v>88592.546954006102</v>
      </c>
      <c r="U60" s="435">
        <v>88882.225156140514</v>
      </c>
      <c r="V60" s="435">
        <v>89112.098273285083</v>
      </c>
      <c r="W60" s="435">
        <v>87868.85674328811</v>
      </c>
      <c r="X60" s="435">
        <v>91091.426085718325</v>
      </c>
      <c r="Y60" s="435">
        <v>89540.306184057728</v>
      </c>
      <c r="Z60" s="435">
        <v>92681.040481569406</v>
      </c>
      <c r="AA60" s="435">
        <v>93057.427462320033</v>
      </c>
      <c r="AB60" s="435">
        <v>93216.006621315551</v>
      </c>
      <c r="AC60" s="435">
        <v>92395.195668494649</v>
      </c>
      <c r="AD60" s="435">
        <v>92343.333515853825</v>
      </c>
      <c r="AE60" s="435">
        <v>90504.874658527566</v>
      </c>
      <c r="AF60" s="435">
        <v>97002.375047003166</v>
      </c>
      <c r="AG60" s="435">
        <v>98020.362661228064</v>
      </c>
      <c r="AH60" s="435">
        <v>97950.904823900244</v>
      </c>
      <c r="AI60" s="435">
        <v>98887.514704928049</v>
      </c>
      <c r="AJ60" s="435">
        <v>98497.7290157182</v>
      </c>
      <c r="AK60" s="435">
        <v>99356.306201215775</v>
      </c>
      <c r="AL60" s="435">
        <v>100930.55116470347</v>
      </c>
      <c r="AM60" s="435">
        <v>104790.8711862858</v>
      </c>
    </row>
    <row r="61" spans="1:39" ht="13.5" thickBot="1">
      <c r="A61" s="453"/>
      <c r="B61" s="454"/>
      <c r="C61" s="455"/>
      <c r="D61" s="455"/>
      <c r="E61" s="455"/>
      <c r="F61" s="455"/>
      <c r="G61" s="455"/>
      <c r="H61" s="455"/>
      <c r="I61" s="455"/>
      <c r="J61" s="456"/>
      <c r="K61" s="457"/>
      <c r="L61" s="457"/>
      <c r="M61" s="457"/>
      <c r="N61" s="457"/>
      <c r="O61" s="457"/>
      <c r="P61" s="457"/>
      <c r="Q61" s="457"/>
      <c r="R61" s="457"/>
      <c r="S61" s="457"/>
      <c r="T61" s="457"/>
      <c r="U61" s="457"/>
      <c r="V61" s="458"/>
      <c r="W61" s="458"/>
      <c r="X61" s="458"/>
      <c r="Y61" s="458"/>
      <c r="Z61" s="458"/>
      <c r="AA61" s="458"/>
      <c r="AB61" s="458"/>
      <c r="AC61" s="458"/>
      <c r="AD61" s="458"/>
      <c r="AE61" s="458"/>
      <c r="AF61" s="458"/>
      <c r="AG61" s="458"/>
      <c r="AH61" s="458"/>
      <c r="AI61" s="458"/>
      <c r="AJ61" s="458"/>
      <c r="AK61" s="458"/>
      <c r="AL61" s="458"/>
      <c r="AM61" s="458"/>
    </row>
    <row r="62" spans="1:39" ht="17.25" customHeight="1" thickTop="1">
      <c r="A62" s="237" t="s">
        <v>561</v>
      </c>
      <c r="B62" s="135"/>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row>
    <row r="63" spans="1:39" ht="14.25" customHeight="1">
      <c r="A63" s="459" t="s">
        <v>562</v>
      </c>
      <c r="B63" s="135"/>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row>
    <row r="64" spans="1:39" ht="14.25" customHeight="1">
      <c r="A64" s="237" t="s">
        <v>361</v>
      </c>
      <c r="B64" s="135"/>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row>
    <row r="65" spans="1:39" ht="13.5" customHeight="1">
      <c r="A65" s="237" t="s">
        <v>303</v>
      </c>
      <c r="B65" s="135"/>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row>
    <row r="66" spans="1:39">
      <c r="A66" s="460"/>
    </row>
  </sheetData>
  <printOptions horizontalCentered="1" verticalCentered="1"/>
  <pageMargins left="0" right="0" top="0.5" bottom="0" header="0" footer="0"/>
  <pageSetup paperSize="9" scale="3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69"/>
  <sheetViews>
    <sheetView zoomScaleNormal="100" workbookViewId="0">
      <pane xSplit="2" ySplit="4" topLeftCell="CF5" activePane="bottomRight" state="frozen"/>
      <selection pane="topRight" activeCell="C1" sqref="C1"/>
      <selection pane="bottomLeft" activeCell="A4" sqref="A4"/>
      <selection pane="bottomRight" activeCell="B7" sqref="B7:B8"/>
    </sheetView>
  </sheetViews>
  <sheetFormatPr defaultRowHeight="12.75"/>
  <cols>
    <col min="1" max="1" width="5.85546875" style="463" customWidth="1"/>
    <col min="2" max="2" width="55.42578125" style="463" bestFit="1" customWidth="1"/>
    <col min="3" max="3" width="0" style="463" hidden="1" customWidth="1"/>
    <col min="4" max="8" width="9.140625" style="463" hidden="1" customWidth="1"/>
    <col min="9" max="9" width="0" style="463" hidden="1" customWidth="1"/>
    <col min="10" max="14" width="9.140625" style="463" hidden="1" customWidth="1"/>
    <col min="15" max="43" width="0" style="463" hidden="1" customWidth="1"/>
    <col min="44" max="44" width="9" style="463" hidden="1" customWidth="1"/>
    <col min="45" max="51" width="0" style="463" hidden="1" customWidth="1"/>
    <col min="52" max="56" width="9" style="463" hidden="1" customWidth="1"/>
    <col min="57" max="61" width="8.85546875" style="463" hidden="1" customWidth="1"/>
    <col min="62" max="81" width="10.7109375" style="463" hidden="1" customWidth="1"/>
    <col min="82" max="94" width="10.7109375" style="463" customWidth="1"/>
    <col min="95" max="256" width="9.140625" style="463"/>
    <col min="257" max="257" width="5.85546875" style="463" customWidth="1"/>
    <col min="258" max="258" width="55.42578125" style="463" bestFit="1" customWidth="1"/>
    <col min="259" max="337" width="0" style="463" hidden="1" customWidth="1"/>
    <col min="338" max="350" width="10.7109375" style="463" customWidth="1"/>
    <col min="351" max="512" width="9.140625" style="463"/>
    <col min="513" max="513" width="5.85546875" style="463" customWidth="1"/>
    <col min="514" max="514" width="55.42578125" style="463" bestFit="1" customWidth="1"/>
    <col min="515" max="593" width="0" style="463" hidden="1" customWidth="1"/>
    <col min="594" max="606" width="10.7109375" style="463" customWidth="1"/>
    <col min="607" max="768" width="9.140625" style="463"/>
    <col min="769" max="769" width="5.85546875" style="463" customWidth="1"/>
    <col min="770" max="770" width="55.42578125" style="463" bestFit="1" customWidth="1"/>
    <col min="771" max="849" width="0" style="463" hidden="1" customWidth="1"/>
    <col min="850" max="862" width="10.7109375" style="463" customWidth="1"/>
    <col min="863" max="1024" width="9.140625" style="463"/>
    <col min="1025" max="1025" width="5.85546875" style="463" customWidth="1"/>
    <col min="1026" max="1026" width="55.42578125" style="463" bestFit="1" customWidth="1"/>
    <col min="1027" max="1105" width="0" style="463" hidden="1" customWidth="1"/>
    <col min="1106" max="1118" width="10.7109375" style="463" customWidth="1"/>
    <col min="1119" max="1280" width="9.140625" style="463"/>
    <col min="1281" max="1281" width="5.85546875" style="463" customWidth="1"/>
    <col min="1282" max="1282" width="55.42578125" style="463" bestFit="1" customWidth="1"/>
    <col min="1283" max="1361" width="0" style="463" hidden="1" customWidth="1"/>
    <col min="1362" max="1374" width="10.7109375" style="463" customWidth="1"/>
    <col min="1375" max="1536" width="9.140625" style="463"/>
    <col min="1537" max="1537" width="5.85546875" style="463" customWidth="1"/>
    <col min="1538" max="1538" width="55.42578125" style="463" bestFit="1" customWidth="1"/>
    <col min="1539" max="1617" width="0" style="463" hidden="1" customWidth="1"/>
    <col min="1618" max="1630" width="10.7109375" style="463" customWidth="1"/>
    <col min="1631" max="1792" width="9.140625" style="463"/>
    <col min="1793" max="1793" width="5.85546875" style="463" customWidth="1"/>
    <col min="1794" max="1794" width="55.42578125" style="463" bestFit="1" customWidth="1"/>
    <col min="1795" max="1873" width="0" style="463" hidden="1" customWidth="1"/>
    <col min="1874" max="1886" width="10.7109375" style="463" customWidth="1"/>
    <col min="1887" max="2048" width="9.140625" style="463"/>
    <col min="2049" max="2049" width="5.85546875" style="463" customWidth="1"/>
    <col min="2050" max="2050" width="55.42578125" style="463" bestFit="1" customWidth="1"/>
    <col min="2051" max="2129" width="0" style="463" hidden="1" customWidth="1"/>
    <col min="2130" max="2142" width="10.7109375" style="463" customWidth="1"/>
    <col min="2143" max="2304" width="9.140625" style="463"/>
    <col min="2305" max="2305" width="5.85546875" style="463" customWidth="1"/>
    <col min="2306" max="2306" width="55.42578125" style="463" bestFit="1" customWidth="1"/>
    <col min="2307" max="2385" width="0" style="463" hidden="1" customWidth="1"/>
    <col min="2386" max="2398" width="10.7109375" style="463" customWidth="1"/>
    <col min="2399" max="2560" width="9.140625" style="463"/>
    <col min="2561" max="2561" width="5.85546875" style="463" customWidth="1"/>
    <col min="2562" max="2562" width="55.42578125" style="463" bestFit="1" customWidth="1"/>
    <col min="2563" max="2641" width="0" style="463" hidden="1" customWidth="1"/>
    <col min="2642" max="2654" width="10.7109375" style="463" customWidth="1"/>
    <col min="2655" max="2816" width="9.140625" style="463"/>
    <col min="2817" max="2817" width="5.85546875" style="463" customWidth="1"/>
    <col min="2818" max="2818" width="55.42578125" style="463" bestFit="1" customWidth="1"/>
    <col min="2819" max="2897" width="0" style="463" hidden="1" customWidth="1"/>
    <col min="2898" max="2910" width="10.7109375" style="463" customWidth="1"/>
    <col min="2911" max="3072" width="9.140625" style="463"/>
    <col min="3073" max="3073" width="5.85546875" style="463" customWidth="1"/>
    <col min="3074" max="3074" width="55.42578125" style="463" bestFit="1" customWidth="1"/>
    <col min="3075" max="3153" width="0" style="463" hidden="1" customWidth="1"/>
    <col min="3154" max="3166" width="10.7109375" style="463" customWidth="1"/>
    <col min="3167" max="3328" width="9.140625" style="463"/>
    <col min="3329" max="3329" width="5.85546875" style="463" customWidth="1"/>
    <col min="3330" max="3330" width="55.42578125" style="463" bestFit="1" customWidth="1"/>
    <col min="3331" max="3409" width="0" style="463" hidden="1" customWidth="1"/>
    <col min="3410" max="3422" width="10.7109375" style="463" customWidth="1"/>
    <col min="3423" max="3584" width="9.140625" style="463"/>
    <col min="3585" max="3585" width="5.85546875" style="463" customWidth="1"/>
    <col min="3586" max="3586" width="55.42578125" style="463" bestFit="1" customWidth="1"/>
    <col min="3587" max="3665" width="0" style="463" hidden="1" customWidth="1"/>
    <col min="3666" max="3678" width="10.7109375" style="463" customWidth="1"/>
    <col min="3679" max="3840" width="9.140625" style="463"/>
    <col min="3841" max="3841" width="5.85546875" style="463" customWidth="1"/>
    <col min="3842" max="3842" width="55.42578125" style="463" bestFit="1" customWidth="1"/>
    <col min="3843" max="3921" width="0" style="463" hidden="1" customWidth="1"/>
    <col min="3922" max="3934" width="10.7109375" style="463" customWidth="1"/>
    <col min="3935" max="4096" width="9.140625" style="463"/>
    <col min="4097" max="4097" width="5.85546875" style="463" customWidth="1"/>
    <col min="4098" max="4098" width="55.42578125" style="463" bestFit="1" customWidth="1"/>
    <col min="4099" max="4177" width="0" style="463" hidden="1" customWidth="1"/>
    <col min="4178" max="4190" width="10.7109375" style="463" customWidth="1"/>
    <col min="4191" max="4352" width="9.140625" style="463"/>
    <col min="4353" max="4353" width="5.85546875" style="463" customWidth="1"/>
    <col min="4354" max="4354" width="55.42578125" style="463" bestFit="1" customWidth="1"/>
    <col min="4355" max="4433" width="0" style="463" hidden="1" customWidth="1"/>
    <col min="4434" max="4446" width="10.7109375" style="463" customWidth="1"/>
    <col min="4447" max="4608" width="9.140625" style="463"/>
    <col min="4609" max="4609" width="5.85546875" style="463" customWidth="1"/>
    <col min="4610" max="4610" width="55.42578125" style="463" bestFit="1" customWidth="1"/>
    <col min="4611" max="4689" width="0" style="463" hidden="1" customWidth="1"/>
    <col min="4690" max="4702" width="10.7109375" style="463" customWidth="1"/>
    <col min="4703" max="4864" width="9.140625" style="463"/>
    <col min="4865" max="4865" width="5.85546875" style="463" customWidth="1"/>
    <col min="4866" max="4866" width="55.42578125" style="463" bestFit="1" customWidth="1"/>
    <col min="4867" max="4945" width="0" style="463" hidden="1" customWidth="1"/>
    <col min="4946" max="4958" width="10.7109375" style="463" customWidth="1"/>
    <col min="4959" max="5120" width="9.140625" style="463"/>
    <col min="5121" max="5121" width="5.85546875" style="463" customWidth="1"/>
    <col min="5122" max="5122" width="55.42578125" style="463" bestFit="1" customWidth="1"/>
    <col min="5123" max="5201" width="0" style="463" hidden="1" customWidth="1"/>
    <col min="5202" max="5214" width="10.7109375" style="463" customWidth="1"/>
    <col min="5215" max="5376" width="9.140625" style="463"/>
    <col min="5377" max="5377" width="5.85546875" style="463" customWidth="1"/>
    <col min="5378" max="5378" width="55.42578125" style="463" bestFit="1" customWidth="1"/>
    <col min="5379" max="5457" width="0" style="463" hidden="1" customWidth="1"/>
    <col min="5458" max="5470" width="10.7109375" style="463" customWidth="1"/>
    <col min="5471" max="5632" width="9.140625" style="463"/>
    <col min="5633" max="5633" width="5.85546875" style="463" customWidth="1"/>
    <col min="5634" max="5634" width="55.42578125" style="463" bestFit="1" customWidth="1"/>
    <col min="5635" max="5713" width="0" style="463" hidden="1" customWidth="1"/>
    <col min="5714" max="5726" width="10.7109375" style="463" customWidth="1"/>
    <col min="5727" max="5888" width="9.140625" style="463"/>
    <col min="5889" max="5889" width="5.85546875" style="463" customWidth="1"/>
    <col min="5890" max="5890" width="55.42578125" style="463" bestFit="1" customWidth="1"/>
    <col min="5891" max="5969" width="0" style="463" hidden="1" customWidth="1"/>
    <col min="5970" max="5982" width="10.7109375" style="463" customWidth="1"/>
    <col min="5983" max="6144" width="9.140625" style="463"/>
    <col min="6145" max="6145" width="5.85546875" style="463" customWidth="1"/>
    <col min="6146" max="6146" width="55.42578125" style="463" bestFit="1" customWidth="1"/>
    <col min="6147" max="6225" width="0" style="463" hidden="1" customWidth="1"/>
    <col min="6226" max="6238" width="10.7109375" style="463" customWidth="1"/>
    <col min="6239" max="6400" width="9.140625" style="463"/>
    <col min="6401" max="6401" width="5.85546875" style="463" customWidth="1"/>
    <col min="6402" max="6402" width="55.42578125" style="463" bestFit="1" customWidth="1"/>
    <col min="6403" max="6481" width="0" style="463" hidden="1" customWidth="1"/>
    <col min="6482" max="6494" width="10.7109375" style="463" customWidth="1"/>
    <col min="6495" max="6656" width="9.140625" style="463"/>
    <col min="6657" max="6657" width="5.85546875" style="463" customWidth="1"/>
    <col min="6658" max="6658" width="55.42578125" style="463" bestFit="1" customWidth="1"/>
    <col min="6659" max="6737" width="0" style="463" hidden="1" customWidth="1"/>
    <col min="6738" max="6750" width="10.7109375" style="463" customWidth="1"/>
    <col min="6751" max="6912" width="9.140625" style="463"/>
    <col min="6913" max="6913" width="5.85546875" style="463" customWidth="1"/>
    <col min="6914" max="6914" width="55.42578125" style="463" bestFit="1" customWidth="1"/>
    <col min="6915" max="6993" width="0" style="463" hidden="1" customWidth="1"/>
    <col min="6994" max="7006" width="10.7109375" style="463" customWidth="1"/>
    <col min="7007" max="7168" width="9.140625" style="463"/>
    <col min="7169" max="7169" width="5.85546875" style="463" customWidth="1"/>
    <col min="7170" max="7170" width="55.42578125" style="463" bestFit="1" customWidth="1"/>
    <col min="7171" max="7249" width="0" style="463" hidden="1" customWidth="1"/>
    <col min="7250" max="7262" width="10.7109375" style="463" customWidth="1"/>
    <col min="7263" max="7424" width="9.140625" style="463"/>
    <col min="7425" max="7425" width="5.85546875" style="463" customWidth="1"/>
    <col min="7426" max="7426" width="55.42578125" style="463" bestFit="1" customWidth="1"/>
    <col min="7427" max="7505" width="0" style="463" hidden="1" customWidth="1"/>
    <col min="7506" max="7518" width="10.7109375" style="463" customWidth="1"/>
    <col min="7519" max="7680" width="9.140625" style="463"/>
    <col min="7681" max="7681" width="5.85546875" style="463" customWidth="1"/>
    <col min="7682" max="7682" width="55.42578125" style="463" bestFit="1" customWidth="1"/>
    <col min="7683" max="7761" width="0" style="463" hidden="1" customWidth="1"/>
    <col min="7762" max="7774" width="10.7109375" style="463" customWidth="1"/>
    <col min="7775" max="7936" width="9.140625" style="463"/>
    <col min="7937" max="7937" width="5.85546875" style="463" customWidth="1"/>
    <col min="7938" max="7938" width="55.42578125" style="463" bestFit="1" customWidth="1"/>
    <col min="7939" max="8017" width="0" style="463" hidden="1" customWidth="1"/>
    <col min="8018" max="8030" width="10.7109375" style="463" customWidth="1"/>
    <col min="8031" max="8192" width="9.140625" style="463"/>
    <col min="8193" max="8193" width="5.85546875" style="463" customWidth="1"/>
    <col min="8194" max="8194" width="55.42578125" style="463" bestFit="1" customWidth="1"/>
    <col min="8195" max="8273" width="0" style="463" hidden="1" customWidth="1"/>
    <col min="8274" max="8286" width="10.7109375" style="463" customWidth="1"/>
    <col min="8287" max="8448" width="9.140625" style="463"/>
    <col min="8449" max="8449" width="5.85546875" style="463" customWidth="1"/>
    <col min="8450" max="8450" width="55.42578125" style="463" bestFit="1" customWidth="1"/>
    <col min="8451" max="8529" width="0" style="463" hidden="1" customWidth="1"/>
    <col min="8530" max="8542" width="10.7109375" style="463" customWidth="1"/>
    <col min="8543" max="8704" width="9.140625" style="463"/>
    <col min="8705" max="8705" width="5.85546875" style="463" customWidth="1"/>
    <col min="8706" max="8706" width="55.42578125" style="463" bestFit="1" customWidth="1"/>
    <col min="8707" max="8785" width="0" style="463" hidden="1" customWidth="1"/>
    <col min="8786" max="8798" width="10.7109375" style="463" customWidth="1"/>
    <col min="8799" max="8960" width="9.140625" style="463"/>
    <col min="8961" max="8961" width="5.85546875" style="463" customWidth="1"/>
    <col min="8962" max="8962" width="55.42578125" style="463" bestFit="1" customWidth="1"/>
    <col min="8963" max="9041" width="0" style="463" hidden="1" customWidth="1"/>
    <col min="9042" max="9054" width="10.7109375" style="463" customWidth="1"/>
    <col min="9055" max="9216" width="9.140625" style="463"/>
    <col min="9217" max="9217" width="5.85546875" style="463" customWidth="1"/>
    <col min="9218" max="9218" width="55.42578125" style="463" bestFit="1" customWidth="1"/>
    <col min="9219" max="9297" width="0" style="463" hidden="1" customWidth="1"/>
    <col min="9298" max="9310" width="10.7109375" style="463" customWidth="1"/>
    <col min="9311" max="9472" width="9.140625" style="463"/>
    <col min="9473" max="9473" width="5.85546875" style="463" customWidth="1"/>
    <col min="9474" max="9474" width="55.42578125" style="463" bestFit="1" customWidth="1"/>
    <col min="9475" max="9553" width="0" style="463" hidden="1" customWidth="1"/>
    <col min="9554" max="9566" width="10.7109375" style="463" customWidth="1"/>
    <col min="9567" max="9728" width="9.140625" style="463"/>
    <col min="9729" max="9729" width="5.85546875" style="463" customWidth="1"/>
    <col min="9730" max="9730" width="55.42578125" style="463" bestFit="1" customWidth="1"/>
    <col min="9731" max="9809" width="0" style="463" hidden="1" customWidth="1"/>
    <col min="9810" max="9822" width="10.7109375" style="463" customWidth="1"/>
    <col min="9823" max="9984" width="9.140625" style="463"/>
    <col min="9985" max="9985" width="5.85546875" style="463" customWidth="1"/>
    <col min="9986" max="9986" width="55.42578125" style="463" bestFit="1" customWidth="1"/>
    <col min="9987" max="10065" width="0" style="463" hidden="1" customWidth="1"/>
    <col min="10066" max="10078" width="10.7109375" style="463" customWidth="1"/>
    <col min="10079" max="10240" width="9.140625" style="463"/>
    <col min="10241" max="10241" width="5.85546875" style="463" customWidth="1"/>
    <col min="10242" max="10242" width="55.42578125" style="463" bestFit="1" customWidth="1"/>
    <col min="10243" max="10321" width="0" style="463" hidden="1" customWidth="1"/>
    <col min="10322" max="10334" width="10.7109375" style="463" customWidth="1"/>
    <col min="10335" max="10496" width="9.140625" style="463"/>
    <col min="10497" max="10497" width="5.85546875" style="463" customWidth="1"/>
    <col min="10498" max="10498" width="55.42578125" style="463" bestFit="1" customWidth="1"/>
    <col min="10499" max="10577" width="0" style="463" hidden="1" customWidth="1"/>
    <col min="10578" max="10590" width="10.7109375" style="463" customWidth="1"/>
    <col min="10591" max="10752" width="9.140625" style="463"/>
    <col min="10753" max="10753" width="5.85546875" style="463" customWidth="1"/>
    <col min="10754" max="10754" width="55.42578125" style="463" bestFit="1" customWidth="1"/>
    <col min="10755" max="10833" width="0" style="463" hidden="1" customWidth="1"/>
    <col min="10834" max="10846" width="10.7109375" style="463" customWidth="1"/>
    <col min="10847" max="11008" width="9.140625" style="463"/>
    <col min="11009" max="11009" width="5.85546875" style="463" customWidth="1"/>
    <col min="11010" max="11010" width="55.42578125" style="463" bestFit="1" customWidth="1"/>
    <col min="11011" max="11089" width="0" style="463" hidden="1" customWidth="1"/>
    <col min="11090" max="11102" width="10.7109375" style="463" customWidth="1"/>
    <col min="11103" max="11264" width="9.140625" style="463"/>
    <col min="11265" max="11265" width="5.85546875" style="463" customWidth="1"/>
    <col min="11266" max="11266" width="55.42578125" style="463" bestFit="1" customWidth="1"/>
    <col min="11267" max="11345" width="0" style="463" hidden="1" customWidth="1"/>
    <col min="11346" max="11358" width="10.7109375" style="463" customWidth="1"/>
    <col min="11359" max="11520" width="9.140625" style="463"/>
    <col min="11521" max="11521" width="5.85546875" style="463" customWidth="1"/>
    <col min="11522" max="11522" width="55.42578125" style="463" bestFit="1" customWidth="1"/>
    <col min="11523" max="11601" width="0" style="463" hidden="1" customWidth="1"/>
    <col min="11602" max="11614" width="10.7109375" style="463" customWidth="1"/>
    <col min="11615" max="11776" width="9.140625" style="463"/>
    <col min="11777" max="11777" width="5.85546875" style="463" customWidth="1"/>
    <col min="11778" max="11778" width="55.42578125" style="463" bestFit="1" customWidth="1"/>
    <col min="11779" max="11857" width="0" style="463" hidden="1" customWidth="1"/>
    <col min="11858" max="11870" width="10.7109375" style="463" customWidth="1"/>
    <col min="11871" max="12032" width="9.140625" style="463"/>
    <col min="12033" max="12033" width="5.85546875" style="463" customWidth="1"/>
    <col min="12034" max="12034" width="55.42578125" style="463" bestFit="1" customWidth="1"/>
    <col min="12035" max="12113" width="0" style="463" hidden="1" customWidth="1"/>
    <col min="12114" max="12126" width="10.7109375" style="463" customWidth="1"/>
    <col min="12127" max="12288" width="9.140625" style="463"/>
    <col min="12289" max="12289" width="5.85546875" style="463" customWidth="1"/>
    <col min="12290" max="12290" width="55.42578125" style="463" bestFit="1" customWidth="1"/>
    <col min="12291" max="12369" width="0" style="463" hidden="1" customWidth="1"/>
    <col min="12370" max="12382" width="10.7109375" style="463" customWidth="1"/>
    <col min="12383" max="12544" width="9.140625" style="463"/>
    <col min="12545" max="12545" width="5.85546875" style="463" customWidth="1"/>
    <col min="12546" max="12546" width="55.42578125" style="463" bestFit="1" customWidth="1"/>
    <col min="12547" max="12625" width="0" style="463" hidden="1" customWidth="1"/>
    <col min="12626" max="12638" width="10.7109375" style="463" customWidth="1"/>
    <col min="12639" max="12800" width="9.140625" style="463"/>
    <col min="12801" max="12801" width="5.85546875" style="463" customWidth="1"/>
    <col min="12802" max="12802" width="55.42578125" style="463" bestFit="1" customWidth="1"/>
    <col min="12803" max="12881" width="0" style="463" hidden="1" customWidth="1"/>
    <col min="12882" max="12894" width="10.7109375" style="463" customWidth="1"/>
    <col min="12895" max="13056" width="9.140625" style="463"/>
    <col min="13057" max="13057" width="5.85546875" style="463" customWidth="1"/>
    <col min="13058" max="13058" width="55.42578125" style="463" bestFit="1" customWidth="1"/>
    <col min="13059" max="13137" width="0" style="463" hidden="1" customWidth="1"/>
    <col min="13138" max="13150" width="10.7109375" style="463" customWidth="1"/>
    <col min="13151" max="13312" width="9.140625" style="463"/>
    <col min="13313" max="13313" width="5.85546875" style="463" customWidth="1"/>
    <col min="13314" max="13314" width="55.42578125" style="463" bestFit="1" customWidth="1"/>
    <col min="13315" max="13393" width="0" style="463" hidden="1" customWidth="1"/>
    <col min="13394" max="13406" width="10.7109375" style="463" customWidth="1"/>
    <col min="13407" max="13568" width="9.140625" style="463"/>
    <col min="13569" max="13569" width="5.85546875" style="463" customWidth="1"/>
    <col min="13570" max="13570" width="55.42578125" style="463" bestFit="1" customWidth="1"/>
    <col min="13571" max="13649" width="0" style="463" hidden="1" customWidth="1"/>
    <col min="13650" max="13662" width="10.7109375" style="463" customWidth="1"/>
    <col min="13663" max="13824" width="9.140625" style="463"/>
    <col min="13825" max="13825" width="5.85546875" style="463" customWidth="1"/>
    <col min="13826" max="13826" width="55.42578125" style="463" bestFit="1" customWidth="1"/>
    <col min="13827" max="13905" width="0" style="463" hidden="1" customWidth="1"/>
    <col min="13906" max="13918" width="10.7109375" style="463" customWidth="1"/>
    <col min="13919" max="14080" width="9.140625" style="463"/>
    <col min="14081" max="14081" width="5.85546875" style="463" customWidth="1"/>
    <col min="14082" max="14082" width="55.42578125" style="463" bestFit="1" customWidth="1"/>
    <col min="14083" max="14161" width="0" style="463" hidden="1" customWidth="1"/>
    <col min="14162" max="14174" width="10.7109375" style="463" customWidth="1"/>
    <col min="14175" max="14336" width="9.140625" style="463"/>
    <col min="14337" max="14337" width="5.85546875" style="463" customWidth="1"/>
    <col min="14338" max="14338" width="55.42578125" style="463" bestFit="1" customWidth="1"/>
    <col min="14339" max="14417" width="0" style="463" hidden="1" customWidth="1"/>
    <col min="14418" max="14430" width="10.7109375" style="463" customWidth="1"/>
    <col min="14431" max="14592" width="9.140625" style="463"/>
    <col min="14593" max="14593" width="5.85546875" style="463" customWidth="1"/>
    <col min="14594" max="14594" width="55.42578125" style="463" bestFit="1" customWidth="1"/>
    <col min="14595" max="14673" width="0" style="463" hidden="1" customWidth="1"/>
    <col min="14674" max="14686" width="10.7109375" style="463" customWidth="1"/>
    <col min="14687" max="14848" width="9.140625" style="463"/>
    <col min="14849" max="14849" width="5.85546875" style="463" customWidth="1"/>
    <col min="14850" max="14850" width="55.42578125" style="463" bestFit="1" customWidth="1"/>
    <col min="14851" max="14929" width="0" style="463" hidden="1" customWidth="1"/>
    <col min="14930" max="14942" width="10.7109375" style="463" customWidth="1"/>
    <col min="14943" max="15104" width="9.140625" style="463"/>
    <col min="15105" max="15105" width="5.85546875" style="463" customWidth="1"/>
    <col min="15106" max="15106" width="55.42578125" style="463" bestFit="1" customWidth="1"/>
    <col min="15107" max="15185" width="0" style="463" hidden="1" customWidth="1"/>
    <col min="15186" max="15198" width="10.7109375" style="463" customWidth="1"/>
    <col min="15199" max="15360" width="9.140625" style="463"/>
    <col min="15361" max="15361" width="5.85546875" style="463" customWidth="1"/>
    <col min="15362" max="15362" width="55.42578125" style="463" bestFit="1" customWidth="1"/>
    <col min="15363" max="15441" width="0" style="463" hidden="1" customWidth="1"/>
    <col min="15442" max="15454" width="10.7109375" style="463" customWidth="1"/>
    <col min="15455" max="15616" width="9.140625" style="463"/>
    <col min="15617" max="15617" width="5.85546875" style="463" customWidth="1"/>
    <col min="15618" max="15618" width="55.42578125" style="463" bestFit="1" customWidth="1"/>
    <col min="15619" max="15697" width="0" style="463" hidden="1" customWidth="1"/>
    <col min="15698" max="15710" width="10.7109375" style="463" customWidth="1"/>
    <col min="15711" max="15872" width="9.140625" style="463"/>
    <col min="15873" max="15873" width="5.85546875" style="463" customWidth="1"/>
    <col min="15874" max="15874" width="55.42578125" style="463" bestFit="1" customWidth="1"/>
    <col min="15875" max="15953" width="0" style="463" hidden="1" customWidth="1"/>
    <col min="15954" max="15966" width="10.7109375" style="463" customWidth="1"/>
    <col min="15967" max="16128" width="9.140625" style="463"/>
    <col min="16129" max="16129" width="5.85546875" style="463" customWidth="1"/>
    <col min="16130" max="16130" width="55.42578125" style="463" bestFit="1" customWidth="1"/>
    <col min="16131" max="16209" width="0" style="463" hidden="1" customWidth="1"/>
    <col min="16210" max="16222" width="10.7109375" style="463" customWidth="1"/>
    <col min="16223" max="16384" width="9.140625" style="463"/>
  </cols>
  <sheetData>
    <row r="1" spans="1:94" ht="16.5">
      <c r="A1" s="418" t="s">
        <v>563</v>
      </c>
      <c r="B1" s="419"/>
      <c r="C1" s="461"/>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row>
    <row r="2" spans="1:94" ht="15.75" hidden="1">
      <c r="A2" s="464"/>
      <c r="B2" s="465"/>
      <c r="C2" s="466"/>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462"/>
      <c r="AE2" s="462"/>
      <c r="AF2" s="462"/>
      <c r="AG2" s="462"/>
      <c r="AH2" s="462"/>
      <c r="AI2" s="462"/>
      <c r="AJ2" s="462"/>
      <c r="AK2" s="462"/>
      <c r="AL2" s="462"/>
      <c r="AM2" s="462"/>
      <c r="AN2" s="462"/>
      <c r="AO2" s="462"/>
      <c r="AP2" s="462"/>
      <c r="AQ2" s="462"/>
      <c r="AR2" s="462"/>
      <c r="AS2" s="462"/>
      <c r="AT2" s="462"/>
      <c r="AU2" s="46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row>
    <row r="3" spans="1:94" ht="13.5" thickBot="1">
      <c r="A3" s="420"/>
      <c r="B3" s="420"/>
      <c r="C3" s="129"/>
      <c r="D3" s="129"/>
      <c r="E3" s="129"/>
      <c r="F3" s="129"/>
      <c r="G3" s="129"/>
      <c r="H3" s="129"/>
      <c r="I3" s="129"/>
      <c r="J3" s="129"/>
      <c r="K3" s="129"/>
      <c r="L3" s="129"/>
      <c r="M3" s="129"/>
      <c r="N3" s="129"/>
      <c r="O3" s="129"/>
      <c r="P3" s="129"/>
      <c r="Q3" s="129"/>
      <c r="R3" s="129"/>
      <c r="S3" s="129"/>
      <c r="T3" s="129"/>
      <c r="U3" s="141"/>
      <c r="V3" s="129"/>
      <c r="W3" s="129"/>
      <c r="X3" s="129"/>
      <c r="Y3" s="129"/>
      <c r="Z3" s="129"/>
      <c r="AA3" s="129"/>
      <c r="AB3" s="129"/>
      <c r="AC3" s="129"/>
      <c r="AD3" s="462"/>
      <c r="AE3" s="141"/>
      <c r="AF3" s="462"/>
      <c r="AG3" s="462"/>
      <c r="AH3" s="3262"/>
      <c r="AI3" s="3262"/>
      <c r="AJ3" s="462"/>
      <c r="AK3" s="462"/>
      <c r="AL3" s="462"/>
      <c r="AM3" s="3262"/>
      <c r="AN3" s="3262"/>
      <c r="AO3" s="3262"/>
      <c r="AP3" s="3262"/>
      <c r="AQ3" s="462"/>
      <c r="AR3" s="462"/>
      <c r="AS3" s="462"/>
      <c r="AT3" s="462"/>
      <c r="AU3" s="462"/>
      <c r="AV3" s="462"/>
      <c r="AW3" s="462"/>
      <c r="AX3" s="462"/>
      <c r="AY3" s="462"/>
      <c r="AZ3" s="3262"/>
      <c r="BA3" s="3262"/>
      <c r="BB3" s="3262"/>
      <c r="BC3" s="3262"/>
      <c r="BD3" s="462"/>
      <c r="BE3" s="462"/>
      <c r="BF3" s="462"/>
      <c r="BG3" s="462"/>
      <c r="BH3" s="462"/>
      <c r="BI3" s="3262"/>
      <c r="BJ3" s="3262"/>
      <c r="BK3" s="467"/>
      <c r="BL3" s="467"/>
      <c r="BM3" s="462"/>
      <c r="BN3" s="462"/>
      <c r="BO3" s="3262"/>
      <c r="BP3" s="3262"/>
      <c r="BQ3" s="462"/>
      <c r="BR3" s="462"/>
      <c r="BS3" s="462"/>
      <c r="BT3" s="462"/>
      <c r="BU3" s="462"/>
      <c r="BV3" s="468"/>
      <c r="BW3" s="468"/>
      <c r="BX3" s="469"/>
      <c r="BY3" s="469"/>
      <c r="BZ3" s="469"/>
      <c r="CA3" s="469"/>
      <c r="CB3" s="469"/>
      <c r="CC3" s="469"/>
      <c r="CD3" s="469"/>
      <c r="CE3" s="469"/>
      <c r="CF3" s="469"/>
      <c r="CG3" s="469"/>
      <c r="CH3" s="469"/>
      <c r="CI3" s="469"/>
      <c r="CJ3" s="469"/>
      <c r="CK3" s="469"/>
      <c r="CL3" s="469"/>
      <c r="CM3" s="469"/>
      <c r="CN3" s="469"/>
      <c r="CO3" s="469"/>
      <c r="CP3" s="469" t="s">
        <v>12</v>
      </c>
    </row>
    <row r="4" spans="1:94" ht="14.25" thickTop="1" thickBot="1">
      <c r="A4" s="421" t="s">
        <v>506</v>
      </c>
      <c r="B4" s="422" t="s">
        <v>507</v>
      </c>
      <c r="C4" s="425">
        <v>38504</v>
      </c>
      <c r="D4" s="425">
        <v>38534</v>
      </c>
      <c r="E4" s="425">
        <v>38565</v>
      </c>
      <c r="F4" s="470">
        <v>38596</v>
      </c>
      <c r="G4" s="425">
        <v>38626</v>
      </c>
      <c r="H4" s="471">
        <v>38657</v>
      </c>
      <c r="I4" s="425">
        <v>38687</v>
      </c>
      <c r="J4" s="425">
        <v>38718</v>
      </c>
      <c r="K4" s="425">
        <v>38749</v>
      </c>
      <c r="L4" s="425">
        <v>38777</v>
      </c>
      <c r="M4" s="470">
        <v>38808</v>
      </c>
      <c r="N4" s="425">
        <v>38838</v>
      </c>
      <c r="O4" s="425">
        <v>38869</v>
      </c>
      <c r="P4" s="425">
        <v>38899</v>
      </c>
      <c r="Q4" s="425">
        <v>38930</v>
      </c>
      <c r="R4" s="425">
        <v>38961</v>
      </c>
      <c r="S4" s="425">
        <v>38991</v>
      </c>
      <c r="T4" s="425">
        <v>39022</v>
      </c>
      <c r="U4" s="425">
        <v>39052</v>
      </c>
      <c r="V4" s="425">
        <v>39083</v>
      </c>
      <c r="W4" s="425">
        <v>39114</v>
      </c>
      <c r="X4" s="425">
        <v>39142</v>
      </c>
      <c r="Y4" s="425">
        <v>39173</v>
      </c>
      <c r="Z4" s="425">
        <v>39203</v>
      </c>
      <c r="AA4" s="425">
        <v>39234</v>
      </c>
      <c r="AB4" s="470">
        <v>39264</v>
      </c>
      <c r="AC4" s="425">
        <v>39295</v>
      </c>
      <c r="AD4" s="425">
        <v>39326</v>
      </c>
      <c r="AE4" s="425">
        <v>39356</v>
      </c>
      <c r="AF4" s="425">
        <v>39387</v>
      </c>
      <c r="AG4" s="425">
        <v>39417</v>
      </c>
      <c r="AH4" s="425">
        <v>39448</v>
      </c>
      <c r="AI4" s="425">
        <v>39479</v>
      </c>
      <c r="AJ4" s="425">
        <v>39508</v>
      </c>
      <c r="AK4" s="425">
        <v>39539</v>
      </c>
      <c r="AL4" s="425">
        <v>39569</v>
      </c>
      <c r="AM4" s="425">
        <v>39600</v>
      </c>
      <c r="AN4" s="425">
        <v>39630</v>
      </c>
      <c r="AO4" s="425">
        <v>39661</v>
      </c>
      <c r="AP4" s="425">
        <v>39692</v>
      </c>
      <c r="AQ4" s="425">
        <v>39722</v>
      </c>
      <c r="AR4" s="425">
        <v>39753</v>
      </c>
      <c r="AS4" s="425">
        <v>39783</v>
      </c>
      <c r="AT4" s="425">
        <v>39814</v>
      </c>
      <c r="AU4" s="425">
        <v>39845</v>
      </c>
      <c r="AV4" s="425">
        <v>39881</v>
      </c>
      <c r="AW4" s="425">
        <v>39904</v>
      </c>
      <c r="AX4" s="425">
        <v>39934</v>
      </c>
      <c r="AY4" s="425">
        <v>39965</v>
      </c>
      <c r="AZ4" s="425">
        <v>39995</v>
      </c>
      <c r="BA4" s="425">
        <v>40026</v>
      </c>
      <c r="BB4" s="425">
        <v>40057</v>
      </c>
      <c r="BC4" s="425">
        <v>40087</v>
      </c>
      <c r="BD4" s="425">
        <v>40118</v>
      </c>
      <c r="BE4" s="425">
        <v>40148</v>
      </c>
      <c r="BF4" s="425">
        <v>40179</v>
      </c>
      <c r="BG4" s="425">
        <v>40210</v>
      </c>
      <c r="BH4" s="425">
        <v>40238</v>
      </c>
      <c r="BI4" s="425">
        <v>40269</v>
      </c>
      <c r="BJ4" s="425">
        <v>40299</v>
      </c>
      <c r="BK4" s="425">
        <v>40330</v>
      </c>
      <c r="BL4" s="425">
        <v>40360</v>
      </c>
      <c r="BM4" s="425">
        <v>40391</v>
      </c>
      <c r="BN4" s="425">
        <v>40422</v>
      </c>
      <c r="BO4" s="425">
        <v>40452</v>
      </c>
      <c r="BP4" s="425">
        <v>40483</v>
      </c>
      <c r="BQ4" s="425">
        <v>40513</v>
      </c>
      <c r="BR4" s="425">
        <v>40544</v>
      </c>
      <c r="BS4" s="425">
        <v>40575</v>
      </c>
      <c r="BT4" s="425">
        <v>40603</v>
      </c>
      <c r="BU4" s="425">
        <v>40634</v>
      </c>
      <c r="BV4" s="425">
        <v>40664</v>
      </c>
      <c r="BW4" s="425">
        <v>40695</v>
      </c>
      <c r="BX4" s="425">
        <v>40725</v>
      </c>
      <c r="BY4" s="425">
        <v>40756</v>
      </c>
      <c r="BZ4" s="425">
        <v>40787</v>
      </c>
      <c r="CA4" s="425">
        <v>40817</v>
      </c>
      <c r="CB4" s="425">
        <v>40848</v>
      </c>
      <c r="CC4" s="425">
        <v>40878</v>
      </c>
      <c r="CD4" s="425">
        <v>40909</v>
      </c>
      <c r="CE4" s="425">
        <v>40940</v>
      </c>
      <c r="CF4" s="425">
        <v>40969</v>
      </c>
      <c r="CG4" s="425">
        <v>41000</v>
      </c>
      <c r="CH4" s="425">
        <v>41030</v>
      </c>
      <c r="CI4" s="425">
        <v>41061</v>
      </c>
      <c r="CJ4" s="425">
        <v>41091</v>
      </c>
      <c r="CK4" s="425">
        <v>41122</v>
      </c>
      <c r="CL4" s="425">
        <v>41153</v>
      </c>
      <c r="CM4" s="425">
        <v>41183</v>
      </c>
      <c r="CN4" s="425">
        <v>41214</v>
      </c>
      <c r="CO4" s="425">
        <v>41244</v>
      </c>
      <c r="CP4" s="423">
        <v>41275</v>
      </c>
    </row>
    <row r="5" spans="1:94" ht="13.5" thickTop="1">
      <c r="A5" s="427"/>
      <c r="B5" s="428"/>
      <c r="C5" s="472"/>
      <c r="D5" s="472"/>
      <c r="E5" s="472"/>
      <c r="F5" s="135"/>
      <c r="G5" s="472"/>
      <c r="H5" s="473"/>
      <c r="I5" s="472"/>
      <c r="J5" s="472"/>
      <c r="K5" s="472"/>
      <c r="L5" s="472"/>
      <c r="M5" s="135"/>
      <c r="N5" s="472"/>
      <c r="O5" s="472"/>
      <c r="P5" s="472"/>
      <c r="Q5" s="472"/>
      <c r="R5" s="472"/>
      <c r="S5" s="472"/>
      <c r="T5" s="472"/>
      <c r="U5" s="472"/>
      <c r="V5" s="472"/>
      <c r="W5" s="472"/>
      <c r="X5" s="472"/>
      <c r="Y5" s="472"/>
      <c r="Z5" s="472"/>
      <c r="AA5" s="472"/>
      <c r="AB5" s="135"/>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4"/>
      <c r="BC5" s="474"/>
      <c r="BD5" s="474"/>
      <c r="BE5" s="474"/>
      <c r="BF5" s="474"/>
      <c r="BG5" s="474"/>
      <c r="BH5" s="474"/>
      <c r="BI5" s="474"/>
      <c r="BJ5" s="474"/>
      <c r="BK5" s="474"/>
      <c r="BL5" s="474"/>
      <c r="BM5" s="474"/>
      <c r="BN5" s="474"/>
      <c r="BO5" s="474"/>
      <c r="BP5" s="474"/>
      <c r="BQ5" s="474"/>
      <c r="BR5" s="474"/>
      <c r="BS5" s="474"/>
      <c r="BT5" s="474"/>
      <c r="BU5" s="474"/>
      <c r="BV5" s="474"/>
      <c r="BW5" s="474"/>
      <c r="BX5" s="474"/>
      <c r="BY5" s="474"/>
      <c r="BZ5" s="474"/>
      <c r="CA5" s="474"/>
      <c r="CB5" s="474"/>
      <c r="CC5" s="474"/>
      <c r="CD5" s="474"/>
      <c r="CE5" s="474"/>
      <c r="CF5" s="474"/>
      <c r="CG5" s="474"/>
      <c r="CH5" s="474"/>
      <c r="CI5" s="474"/>
      <c r="CJ5" s="474"/>
      <c r="CK5" s="474"/>
      <c r="CL5" s="474"/>
      <c r="CM5" s="474"/>
      <c r="CN5" s="474"/>
      <c r="CO5" s="474"/>
      <c r="CP5" s="475"/>
    </row>
    <row r="6" spans="1:94">
      <c r="A6" s="433" t="s">
        <v>508</v>
      </c>
      <c r="B6" s="434" t="s">
        <v>509</v>
      </c>
      <c r="C6" s="476">
        <f>([3]sheet1!$N$8+'[4]Cat 2-MUR'!$P$8)/1000000</f>
        <v>0</v>
      </c>
      <c r="D6" s="476">
        <f>[5]Sheet1!$C$5/1000000</f>
        <v>0</v>
      </c>
      <c r="E6" s="476">
        <f>[6]Sheet1!$C$5/1000000</f>
        <v>0</v>
      </c>
      <c r="F6" s="400">
        <f>[7]Sheet1!$C$5/1000000</f>
        <v>0</v>
      </c>
      <c r="G6" s="476">
        <f>[8]Sheet1!$C$5/1000000</f>
        <v>0</v>
      </c>
      <c r="H6" s="477">
        <f>[9]Sheet1!$C$5/1000000</f>
        <v>0</v>
      </c>
      <c r="I6" s="476">
        <f>[10]Sheet1!$C$5/1000000</f>
        <v>0</v>
      </c>
      <c r="J6" s="476">
        <f>[11]Sheet1!$C$5/1000000</f>
        <v>0</v>
      </c>
      <c r="K6" s="476">
        <f>[12]Sheet1!$C$5/1000000</f>
        <v>0</v>
      </c>
      <c r="L6" s="476">
        <f>[13]Sheet1!$C$5/1000000</f>
        <v>0</v>
      </c>
      <c r="M6" s="400">
        <f>[14]Sheet1!$C$5/1000000</f>
        <v>0</v>
      </c>
      <c r="N6" s="476">
        <f>[15]Sheet1!$C$5/1000000</f>
        <v>0</v>
      </c>
      <c r="O6" s="476">
        <f>[16]Sheet1!$C$5/1000000</f>
        <v>0</v>
      </c>
      <c r="P6" s="476">
        <f>[17]Sheet1!$C$5/1000000</f>
        <v>0</v>
      </c>
      <c r="Q6" s="476">
        <f>[18]Sheet1!$C$5/1000000</f>
        <v>0</v>
      </c>
      <c r="R6" s="476">
        <f>[19]Sheet1!$C$5/1000000</f>
        <v>0</v>
      </c>
      <c r="S6" s="476">
        <f>[20]Sheet1!$C$5/1000000</f>
        <v>0</v>
      </c>
      <c r="T6" s="476">
        <f>[21]Sheet1!$C$5/1000000</f>
        <v>0</v>
      </c>
      <c r="U6" s="476">
        <f>[22]Sheet1!$C$5/1000000</f>
        <v>0</v>
      </c>
      <c r="V6" s="476">
        <f>[23]Sheet1!$C$5/1000000</f>
        <v>0</v>
      </c>
      <c r="W6" s="476">
        <f>[24]Sheet1!$C$5/1000000</f>
        <v>0</v>
      </c>
      <c r="X6" s="476">
        <f>[25]Sheet1!$C$5/1000000</f>
        <v>0</v>
      </c>
      <c r="Y6" s="476">
        <f>[26]Sheet1!$C$5/1000000</f>
        <v>0</v>
      </c>
      <c r="Z6" s="476">
        <f>[27]Sheet1!$C$5/1000000</f>
        <v>0</v>
      </c>
      <c r="AA6" s="476">
        <f>[28]Sheet1!$C$5/1000000</f>
        <v>0</v>
      </c>
      <c r="AB6" s="400">
        <f>[29]Sheet1!$C$5/1000000</f>
        <v>0</v>
      </c>
      <c r="AC6" s="476">
        <f>[30]Sheet1!$C$5/1000000</f>
        <v>0</v>
      </c>
      <c r="AD6" s="476">
        <f>[31]Sheet1!$C$5/1000000</f>
        <v>0</v>
      </c>
      <c r="AE6" s="476">
        <f>[32]Sheet1!$C$5/1000000</f>
        <v>0</v>
      </c>
      <c r="AF6" s="476">
        <f>[33]Sheet1!$C$5/1000000</f>
        <v>0</v>
      </c>
      <c r="AG6" s="476">
        <f>[34]Sheet1!$C$5/1000000</f>
        <v>0</v>
      </c>
      <c r="AH6" s="476">
        <f>[35]Sheet1!$C$5/1000000</f>
        <v>0</v>
      </c>
      <c r="AI6" s="476">
        <f>[36]Sheet1!$C$5/1000000</f>
        <v>0</v>
      </c>
      <c r="AJ6" s="476">
        <f>[36]Sheet1!$C$5/1000000</f>
        <v>0</v>
      </c>
      <c r="AK6" s="476">
        <f>[36]Sheet1!$C$5/1000000</f>
        <v>0</v>
      </c>
      <c r="AL6" s="476">
        <f>[36]Sheet1!$C$5/1000000</f>
        <v>0</v>
      </c>
      <c r="AM6" s="476">
        <f>[36]Sheet1!$C$5/1000000</f>
        <v>0</v>
      </c>
      <c r="AN6" s="476">
        <f>[36]Sheet1!$C$5/1000000</f>
        <v>0</v>
      </c>
      <c r="AO6" s="476">
        <f>[36]Sheet1!$C$5/1000000</f>
        <v>0</v>
      </c>
      <c r="AP6" s="476">
        <f>[37]Sheet1!$C$5/1000000</f>
        <v>0</v>
      </c>
      <c r="AQ6" s="476">
        <f>[38]Sheet1!$C$5/1000000</f>
        <v>0</v>
      </c>
      <c r="AR6" s="476">
        <f>[39]Sheet1!$C$5/1000000</f>
        <v>0</v>
      </c>
      <c r="AS6" s="476">
        <f>[39]Sheet1!$C$5/1000000</f>
        <v>0</v>
      </c>
      <c r="AT6" s="476">
        <f>[39]Sheet1!$C$5/1000000</f>
        <v>0</v>
      </c>
      <c r="AU6" s="476">
        <f>[39]Sheet1!$C$5/1000000</f>
        <v>0</v>
      </c>
      <c r="AV6" s="476">
        <f>[39]Sheet1!$C$5/1000000</f>
        <v>0</v>
      </c>
      <c r="AW6" s="476">
        <f>[39]Sheet1!$C$5/1000000</f>
        <v>0</v>
      </c>
      <c r="AX6" s="476">
        <f>[39]Sheet1!$C$5/1000000</f>
        <v>0</v>
      </c>
      <c r="AY6" s="476">
        <f>[39]Sheet1!$C$5/1000000</f>
        <v>0</v>
      </c>
      <c r="AZ6" s="476">
        <f>[39]Sheet1!$C$5/1000000</f>
        <v>0</v>
      </c>
      <c r="BA6" s="476">
        <f>[39]Sheet1!$C$5/1000000</f>
        <v>0</v>
      </c>
      <c r="BB6" s="476">
        <f>[40]Sheet1!$C$5/1000000</f>
        <v>0</v>
      </c>
      <c r="BC6" s="476">
        <f>[40]Sheet1!$C$5/1000000</f>
        <v>0</v>
      </c>
      <c r="BD6" s="476">
        <f>[40]Sheet1!$C$5/1000000</f>
        <v>0</v>
      </c>
      <c r="BE6" s="476">
        <f>[40]Sheet1!$C$5/1000000</f>
        <v>0</v>
      </c>
      <c r="BF6" s="476">
        <f>[41]Sheet1!$C$5/1000000</f>
        <v>0</v>
      </c>
      <c r="BG6" s="476">
        <f>[42]Sheet1!$C$5/1000000</f>
        <v>0</v>
      </c>
      <c r="BH6" s="476">
        <f>[43]Sheet1!$C$5/1000000</f>
        <v>0</v>
      </c>
      <c r="BI6" s="476">
        <f>[44]Sheet1!$C$5/1000000</f>
        <v>0</v>
      </c>
      <c r="BJ6" s="476">
        <f>[44]Sheet1!$C$5/1000000</f>
        <v>0</v>
      </c>
      <c r="BK6" s="476">
        <f>[44]Sheet1!$C$5/1000000</f>
        <v>0</v>
      </c>
      <c r="BL6" s="476">
        <f>[44]Sheet1!$C$5/1000000</f>
        <v>0</v>
      </c>
      <c r="BM6" s="476">
        <f>[44]Sheet1!$C$5/1000000</f>
        <v>0</v>
      </c>
      <c r="BN6" s="476">
        <f>[44]Sheet1!$C$5/1000000</f>
        <v>0</v>
      </c>
      <c r="BO6" s="476">
        <f>[44]Sheet1!$C$5/1000000</f>
        <v>0</v>
      </c>
      <c r="BP6" s="476">
        <f>[44]Sheet1!$C$5/1000000</f>
        <v>0</v>
      </c>
      <c r="BQ6" s="476">
        <f>[44]Sheet1!$C$5/1000000</f>
        <v>0</v>
      </c>
      <c r="BR6" s="476">
        <f>[44]Sheet1!$C$5/1000000</f>
        <v>0</v>
      </c>
      <c r="BS6" s="476">
        <f>[44]Sheet1!$C$5/1000000</f>
        <v>0</v>
      </c>
      <c r="BT6" s="476">
        <f>[44]Sheet1!$C$5/1000000</f>
        <v>0</v>
      </c>
      <c r="BU6" s="476">
        <f>[44]Sheet1!$C$5/1000000</f>
        <v>0</v>
      </c>
      <c r="BV6" s="476">
        <f>[44]Sheet1!$C$5/1000000</f>
        <v>0</v>
      </c>
      <c r="BW6" s="476">
        <f>[44]Sheet1!$C$5/1000000</f>
        <v>0</v>
      </c>
      <c r="BX6" s="476">
        <f>[44]Sheet1!$C$5/1000000</f>
        <v>0</v>
      </c>
      <c r="BY6" s="476">
        <f>[44]Sheet1!$C$5/1000000</f>
        <v>0</v>
      </c>
      <c r="BZ6" s="476">
        <f>[44]Sheet1!$C$5/1000000</f>
        <v>0</v>
      </c>
      <c r="CA6" s="476">
        <f>[44]Sheet1!$C$5/1000000</f>
        <v>0</v>
      </c>
      <c r="CB6" s="476">
        <f>[45]Sheet1!$C$5/1000000</f>
        <v>0</v>
      </c>
      <c r="CC6" s="476">
        <f>[46]Sheet1!$C$5/1000000</f>
        <v>0</v>
      </c>
      <c r="CD6" s="476">
        <f>[47]Sheet1!$C$5/1000000</f>
        <v>0</v>
      </c>
      <c r="CE6" s="476">
        <f>[48]Sheet1!$C$5/1000000</f>
        <v>0</v>
      </c>
      <c r="CF6" s="476">
        <f>[49]Sheet1!$C$5/1000000</f>
        <v>0</v>
      </c>
      <c r="CG6" s="476">
        <f>[50]Sheet1!$C$5/1000000</f>
        <v>0</v>
      </c>
      <c r="CH6" s="476">
        <f>[51]Sheet1!$C$5/1000000</f>
        <v>0</v>
      </c>
      <c r="CI6" s="476">
        <f>[52]Sheet1!$C$5/1000000</f>
        <v>0</v>
      </c>
      <c r="CJ6" s="476">
        <f>[53]Sheet1!$C$5/1000000</f>
        <v>0</v>
      </c>
      <c r="CK6" s="476">
        <f>[54]Sheet1!$C$5/1000000</f>
        <v>0</v>
      </c>
      <c r="CL6" s="476">
        <f>[55]Sheet1!$C$5/1000000</f>
        <v>0</v>
      </c>
      <c r="CM6" s="476">
        <f>[56]Sheet1!$C$5/1000000</f>
        <v>0</v>
      </c>
      <c r="CN6" s="476">
        <f>[57]Sheet1!$C$5/1000000</f>
        <v>0</v>
      </c>
      <c r="CO6" s="476">
        <f>[58]Sheet1!$C$5/1000000</f>
        <v>0</v>
      </c>
      <c r="CP6" s="435">
        <f>[59]Sheet1!$C$5/1000000</f>
        <v>0</v>
      </c>
    </row>
    <row r="7" spans="1:94">
      <c r="A7" s="436"/>
      <c r="B7" s="437"/>
      <c r="C7" s="478"/>
      <c r="D7" s="478"/>
      <c r="E7" s="478"/>
      <c r="F7" s="479"/>
      <c r="G7" s="478"/>
      <c r="H7" s="480"/>
      <c r="I7" s="478"/>
      <c r="J7" s="478"/>
      <c r="K7" s="478"/>
      <c r="L7" s="478"/>
      <c r="M7" s="479"/>
      <c r="N7" s="478"/>
      <c r="O7" s="478"/>
      <c r="P7" s="478"/>
      <c r="Q7" s="478"/>
      <c r="R7" s="478"/>
      <c r="S7" s="478"/>
      <c r="T7" s="478"/>
      <c r="U7" s="478"/>
      <c r="V7" s="478"/>
      <c r="W7" s="478"/>
      <c r="X7" s="478"/>
      <c r="Y7" s="478"/>
      <c r="Z7" s="478"/>
      <c r="AA7" s="478"/>
      <c r="AB7" s="479"/>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38"/>
    </row>
    <row r="8" spans="1:94">
      <c r="A8" s="433" t="s">
        <v>510</v>
      </c>
      <c r="B8" s="434" t="s">
        <v>511</v>
      </c>
      <c r="C8" s="476">
        <f>C9+C10+C11+C12</f>
        <v>136178.43999452301</v>
      </c>
      <c r="D8" s="476">
        <f>D9+D10+D11+D12</f>
        <v>116230.03408391667</v>
      </c>
      <c r="E8" s="476">
        <f t="shared" ref="E8:BP8" si="0">E9+E10+E11+E12</f>
        <v>130132.37196290678</v>
      </c>
      <c r="F8" s="400">
        <f t="shared" si="0"/>
        <v>139521.98715559201</v>
      </c>
      <c r="G8" s="476">
        <f t="shared" si="0"/>
        <v>139367.33836026196</v>
      </c>
      <c r="H8" s="477">
        <f t="shared" si="0"/>
        <v>157762.66453401314</v>
      </c>
      <c r="I8" s="476">
        <f t="shared" si="0"/>
        <v>143451.05274890381</v>
      </c>
      <c r="J8" s="476">
        <f t="shared" si="0"/>
        <v>148155.25278240716</v>
      </c>
      <c r="K8" s="476">
        <f t="shared" si="0"/>
        <v>177797.85328286284</v>
      </c>
      <c r="L8" s="476">
        <f t="shared" si="0"/>
        <v>183467.7645240183</v>
      </c>
      <c r="M8" s="400">
        <f t="shared" si="0"/>
        <v>169663.0647888302</v>
      </c>
      <c r="N8" s="476">
        <f t="shared" si="0"/>
        <v>195799.69742275891</v>
      </c>
      <c r="O8" s="476">
        <f t="shared" si="0"/>
        <v>187507.06538600696</v>
      </c>
      <c r="P8" s="476">
        <f t="shared" si="0"/>
        <v>199013.7328134976</v>
      </c>
      <c r="Q8" s="476">
        <f t="shared" si="0"/>
        <v>205198.34475756431</v>
      </c>
      <c r="R8" s="476">
        <f t="shared" si="0"/>
        <v>230350.69407867076</v>
      </c>
      <c r="S8" s="476">
        <f t="shared" si="0"/>
        <v>233076.84816871831</v>
      </c>
      <c r="T8" s="476">
        <f t="shared" si="0"/>
        <v>250966.8914985405</v>
      </c>
      <c r="U8" s="476">
        <f t="shared" si="0"/>
        <v>276375.87292437919</v>
      </c>
      <c r="V8" s="476">
        <f t="shared" si="0"/>
        <v>243155.21555671969</v>
      </c>
      <c r="W8" s="476">
        <f t="shared" si="0"/>
        <v>240416.3637943858</v>
      </c>
      <c r="X8" s="476">
        <f t="shared" si="0"/>
        <v>239185.99880830882</v>
      </c>
      <c r="Y8" s="476">
        <f t="shared" si="0"/>
        <v>228709.43412511045</v>
      </c>
      <c r="Z8" s="476">
        <f t="shared" si="0"/>
        <v>227011.69903462991</v>
      </c>
      <c r="AA8" s="476">
        <f t="shared" si="0"/>
        <v>234098.59419943648</v>
      </c>
      <c r="AB8" s="400">
        <f t="shared" si="0"/>
        <v>260109.87297384226</v>
      </c>
      <c r="AC8" s="476">
        <f t="shared" si="0"/>
        <v>272734.00079297763</v>
      </c>
      <c r="AD8" s="476">
        <f t="shared" si="0"/>
        <v>276341.08277825976</v>
      </c>
      <c r="AE8" s="476">
        <f t="shared" si="0"/>
        <v>264167.83444763487</v>
      </c>
      <c r="AF8" s="476">
        <f t="shared" si="0"/>
        <v>295025.7933259884</v>
      </c>
      <c r="AG8" s="476">
        <f t="shared" si="0"/>
        <v>276984.07760893798</v>
      </c>
      <c r="AH8" s="476">
        <f t="shared" si="0"/>
        <v>293130.94655232655</v>
      </c>
      <c r="AI8" s="476">
        <f t="shared" si="0"/>
        <v>268554.87057226081</v>
      </c>
      <c r="AJ8" s="476">
        <f t="shared" si="0"/>
        <v>259006.22230780192</v>
      </c>
      <c r="AK8" s="476">
        <f t="shared" si="0"/>
        <v>236645.51199449706</v>
      </c>
      <c r="AL8" s="476">
        <f t="shared" si="0"/>
        <v>243650.5208996307</v>
      </c>
      <c r="AM8" s="476">
        <f t="shared" si="0"/>
        <v>255585.31891297194</v>
      </c>
      <c r="AN8" s="476">
        <f t="shared" si="0"/>
        <v>279887.81503659399</v>
      </c>
      <c r="AO8" s="476">
        <f t="shared" si="0"/>
        <v>257411.54356240056</v>
      </c>
      <c r="AP8" s="476">
        <f t="shared" si="0"/>
        <v>235388.51431186678</v>
      </c>
      <c r="AQ8" s="476">
        <f t="shared" si="0"/>
        <v>242599.32134361344</v>
      </c>
      <c r="AR8" s="476">
        <f t="shared" si="0"/>
        <v>242909.14039155218</v>
      </c>
      <c r="AS8" s="476">
        <f t="shared" si="0"/>
        <v>222126.34724996117</v>
      </c>
      <c r="AT8" s="476">
        <f t="shared" si="0"/>
        <v>244276.71415654916</v>
      </c>
      <c r="AU8" s="476">
        <f t="shared" si="0"/>
        <v>251635.90433816437</v>
      </c>
      <c r="AV8" s="476">
        <f t="shared" si="0"/>
        <v>257142.14499298923</v>
      </c>
      <c r="AW8" s="476">
        <f t="shared" si="0"/>
        <v>246223.51353805588</v>
      </c>
      <c r="AX8" s="476">
        <f t="shared" si="0"/>
        <v>242231.97659319796</v>
      </c>
      <c r="AY8" s="476">
        <f t="shared" si="0"/>
        <v>233918.13117396811</v>
      </c>
      <c r="AZ8" s="476">
        <f t="shared" si="0"/>
        <v>216309.13123138339</v>
      </c>
      <c r="BA8" s="476">
        <f t="shared" si="0"/>
        <v>206554.12635361252</v>
      </c>
      <c r="BB8" s="476">
        <f t="shared" si="0"/>
        <v>214871.6219141389</v>
      </c>
      <c r="BC8" s="476">
        <f t="shared" si="0"/>
        <v>223527.69391904242</v>
      </c>
      <c r="BD8" s="476">
        <f t="shared" si="0"/>
        <v>218840.07105076354</v>
      </c>
      <c r="BE8" s="476">
        <f t="shared" si="0"/>
        <v>236285.32378748566</v>
      </c>
      <c r="BF8" s="476">
        <f t="shared" si="0"/>
        <v>246330.23434637161</v>
      </c>
      <c r="BG8" s="476">
        <f t="shared" si="0"/>
        <v>239911.35103890789</v>
      </c>
      <c r="BH8" s="476">
        <f t="shared" si="0"/>
        <v>251110.30049444461</v>
      </c>
      <c r="BI8" s="476">
        <f t="shared" si="0"/>
        <v>233179.76966713739</v>
      </c>
      <c r="BJ8" s="476">
        <f t="shared" si="0"/>
        <v>265891.45698459179</v>
      </c>
      <c r="BK8" s="476">
        <f t="shared" si="0"/>
        <v>251091.27311556888</v>
      </c>
      <c r="BL8" s="476">
        <f t="shared" si="0"/>
        <v>206610.44095982582</v>
      </c>
      <c r="BM8" s="476">
        <f t="shared" si="0"/>
        <v>234315.70890849963</v>
      </c>
      <c r="BN8" s="476">
        <f t="shared" si="0"/>
        <v>237730.71370376952</v>
      </c>
      <c r="BO8" s="476">
        <f t="shared" si="0"/>
        <v>244526.9694849565</v>
      </c>
      <c r="BP8" s="476">
        <f t="shared" si="0"/>
        <v>251433.09264393171</v>
      </c>
      <c r="BQ8" s="476">
        <f t="shared" ref="BQ8:CN8" si="1">BQ9+BQ10+BQ11+BQ12</f>
        <v>248371.92779843963</v>
      </c>
      <c r="BR8" s="476">
        <f t="shared" si="1"/>
        <v>249037.7096510827</v>
      </c>
      <c r="BS8" s="476">
        <f t="shared" si="1"/>
        <v>249966.23457969213</v>
      </c>
      <c r="BT8" s="476">
        <f t="shared" si="1"/>
        <v>209095.88711222709</v>
      </c>
      <c r="BU8" s="476">
        <f t="shared" si="1"/>
        <v>245681.91932774591</v>
      </c>
      <c r="BV8" s="476">
        <f t="shared" si="1"/>
        <v>204668.14780793706</v>
      </c>
      <c r="BW8" s="476">
        <f t="shared" si="1"/>
        <v>235655.57660381799</v>
      </c>
      <c r="BX8" s="476">
        <f t="shared" si="1"/>
        <v>210901.19464144739</v>
      </c>
      <c r="BY8" s="476">
        <f t="shared" si="1"/>
        <v>197483.72443542042</v>
      </c>
      <c r="BZ8" s="476">
        <f t="shared" si="1"/>
        <v>209697.98557407345</v>
      </c>
      <c r="CA8" s="476">
        <f t="shared" si="1"/>
        <v>210427.60377609509</v>
      </c>
      <c r="CB8" s="476">
        <f t="shared" si="1"/>
        <v>257384.77811784571</v>
      </c>
      <c r="CC8" s="476">
        <f t="shared" si="1"/>
        <v>207166.58874576859</v>
      </c>
      <c r="CD8" s="476">
        <f t="shared" si="1"/>
        <v>167566.96571080218</v>
      </c>
      <c r="CE8" s="476">
        <f t="shared" si="1"/>
        <v>188761.54489262865</v>
      </c>
      <c r="CF8" s="476">
        <f t="shared" si="1"/>
        <v>237917.17436641685</v>
      </c>
      <c r="CG8" s="476">
        <f t="shared" si="1"/>
        <v>235637.24590558562</v>
      </c>
      <c r="CH8" s="476">
        <f t="shared" si="1"/>
        <v>243001.46460930759</v>
      </c>
      <c r="CI8" s="476">
        <f t="shared" si="1"/>
        <v>184322.05402565229</v>
      </c>
      <c r="CJ8" s="476">
        <f t="shared" si="1"/>
        <v>226817.20269414515</v>
      </c>
      <c r="CK8" s="476">
        <f t="shared" si="1"/>
        <v>196214.34019245527</v>
      </c>
      <c r="CL8" s="476">
        <f t="shared" si="1"/>
        <v>205966.0335260616</v>
      </c>
      <c r="CM8" s="476">
        <f t="shared" si="1"/>
        <v>214191.04639274476</v>
      </c>
      <c r="CN8" s="476">
        <f t="shared" si="1"/>
        <v>214750.81469717098</v>
      </c>
      <c r="CO8" s="476">
        <f>CO9+CO10+CO11+CO12</f>
        <v>238219.25371931389</v>
      </c>
      <c r="CP8" s="435">
        <f>CP9+CP10+CP11+CP12</f>
        <v>252737.0724059433</v>
      </c>
    </row>
    <row r="9" spans="1:94">
      <c r="A9" s="436" t="s">
        <v>512</v>
      </c>
      <c r="B9" s="437" t="s">
        <v>381</v>
      </c>
      <c r="C9" s="450">
        <f>([3]sheet1!$N$13+'[4]Cat 2-MUR'!$P$13)/1000000</f>
        <v>2411.5080739245864</v>
      </c>
      <c r="D9" s="450">
        <f>[5]Sheet1!$C$10/1000000</f>
        <v>2374.2704695120633</v>
      </c>
      <c r="E9" s="450">
        <f>[6]Sheet1!$C$10/1000000</f>
        <v>2689.4286805223851</v>
      </c>
      <c r="F9" s="390">
        <f>[7]Sheet1!$C$10/1000000</f>
        <v>2609.3305751896678</v>
      </c>
      <c r="G9" s="450">
        <f>[8]Sheet1!$C$10/1000000</f>
        <v>2829.9908421619598</v>
      </c>
      <c r="H9" s="481">
        <f>[9]Sheet1!$C$10/1000000</f>
        <v>3422.3627835995226</v>
      </c>
      <c r="I9" s="450">
        <f>[10]Sheet1!$C$10/1000000</f>
        <v>3857.0544986418649</v>
      </c>
      <c r="J9" s="450">
        <f>[11]Sheet1!$C$10/1000000</f>
        <v>2834.672189555828</v>
      </c>
      <c r="K9" s="450">
        <f>[12]Sheet1!$C$10/1000000</f>
        <v>2471.2032170934831</v>
      </c>
      <c r="L9" s="450">
        <f>[13]Sheet1!$C$10/1000000</f>
        <v>2242.8746434496229</v>
      </c>
      <c r="M9" s="390">
        <f>[14]Sheet1!$C$10/1000000</f>
        <v>2325.7475869641262</v>
      </c>
      <c r="N9" s="450">
        <f>[15]Sheet1!$C$10/1000000</f>
        <v>2201.1372161125737</v>
      </c>
      <c r="O9" s="450">
        <f>[16]Sheet1!$C$10/1000000</f>
        <v>2000.4248363982758</v>
      </c>
      <c r="P9" s="450">
        <f>[17]Sheet1!$C$10/1000000</f>
        <v>2248.1926656085639</v>
      </c>
      <c r="Q9" s="450">
        <f>[18]Sheet1!$C$10/1000000</f>
        <v>2611.2474925302877</v>
      </c>
      <c r="R9" s="450">
        <f>[19]Sheet1!$C$10/1000000</f>
        <v>2145.4001480244069</v>
      </c>
      <c r="S9" s="450">
        <f>[20]Sheet1!$C$10/1000000</f>
        <v>2471.1521219531987</v>
      </c>
      <c r="T9" s="450">
        <f>[21]Sheet1!$C$10/1000000</f>
        <v>2775.6725251363996</v>
      </c>
      <c r="U9" s="450">
        <f>[22]Sheet1!$C$10/1000000</f>
        <v>3733.3959026907896</v>
      </c>
      <c r="V9" s="450">
        <f>[23]Sheet1!$C$10/1000000</f>
        <v>2768.3246351410908</v>
      </c>
      <c r="W9" s="450">
        <f>[24]Sheet1!$C$10/1000000</f>
        <v>2662.1335959648309</v>
      </c>
      <c r="X9" s="450">
        <f>[25]Sheet1!$C$10/1000000</f>
        <v>2443.8508128417689</v>
      </c>
      <c r="Y9" s="450">
        <f>[26]Sheet1!$C$10/1000000</f>
        <v>2448.3523229018556</v>
      </c>
      <c r="Z9" s="450">
        <f>[27]Sheet1!$C$10/1000000</f>
        <v>2350.0757424319381</v>
      </c>
      <c r="AA9" s="450">
        <f>[28]Sheet1!$C$10/1000000</f>
        <v>2179.8350122071138</v>
      </c>
      <c r="AB9" s="390">
        <f>[29]Sheet1!$C$10/1000000</f>
        <v>2430.911087485094</v>
      </c>
      <c r="AC9" s="450">
        <f>[30]Sheet1!$C$10/1000000</f>
        <v>2272.8653160495328</v>
      </c>
      <c r="AD9" s="450">
        <f>[31]Sheet1!$C$10/1000000</f>
        <v>2236.8598920954041</v>
      </c>
      <c r="AE9" s="450">
        <f>[32]Sheet1!$C$10/1000000</f>
        <v>2654.1271336085929</v>
      </c>
      <c r="AF9" s="450">
        <f>[33]Sheet1!$C$10/1000000</f>
        <v>2637.0378675246689</v>
      </c>
      <c r="AG9" s="450">
        <f>[34]Sheet1!$C$10/1000000</f>
        <v>4080.4407354679688</v>
      </c>
      <c r="AH9" s="450">
        <f>[35]Sheet1!$C$10/1000000</f>
        <v>3184.1021022115565</v>
      </c>
      <c r="AI9" s="450">
        <f>[36]Sheet1!$C$10/1000000</f>
        <v>2678.2470005154933</v>
      </c>
      <c r="AJ9" s="450">
        <f>[60]Sheet1!$C$10/1000000</f>
        <v>2471.0397739160198</v>
      </c>
      <c r="AK9" s="450">
        <f>[61]Sheet1!$C$10/1000000</f>
        <v>2611.3709323426338</v>
      </c>
      <c r="AL9" s="450">
        <f>[62]Sheet1!$C$10/1000000</f>
        <v>2543.4467479521204</v>
      </c>
      <c r="AM9" s="450">
        <f>[63]Sheet1!$C$10/1000000</f>
        <v>2419.4218642864121</v>
      </c>
      <c r="AN9" s="450">
        <f>[64]Sheet1!$C$10/1000000</f>
        <v>2828.5732531700705</v>
      </c>
      <c r="AO9" s="450">
        <f>[65]Sheet1!$C$10/1000000</f>
        <v>2635.5941385999749</v>
      </c>
      <c r="AP9" s="450">
        <f>[37]Sheet1!$C$10/1000000</f>
        <v>2433.0508271385793</v>
      </c>
      <c r="AQ9" s="450">
        <f>[38]Sheet1!$C$10/1000000</f>
        <v>2727.1367521419652</v>
      </c>
      <c r="AR9" s="450">
        <f>[39]Sheet1!$C$10/1000000</f>
        <v>2735.8121807136531</v>
      </c>
      <c r="AS9" s="450">
        <f>[66]Sheet1!$C$10/1000000</f>
        <v>4915.9890583607203</v>
      </c>
      <c r="AT9" s="450">
        <f>[67]Sheet1!$C$10/1000000</f>
        <v>3156.0812645841052</v>
      </c>
      <c r="AU9" s="450">
        <f>[68]Sheet1!$C$10/1000000</f>
        <v>2931.6981214160155</v>
      </c>
      <c r="AV9" s="450">
        <f>[69]Sheet1!$C$10/1000000</f>
        <v>2635.3750150856335</v>
      </c>
      <c r="AW9" s="450">
        <f>[70]Sheet1!$C$10/1000000</f>
        <v>2802.4667992532422</v>
      </c>
      <c r="AX9" s="450">
        <f>[71]Sheet1!$C$10/1000000</f>
        <v>2500.8052513529528</v>
      </c>
      <c r="AY9" s="450">
        <f>[72]Sheet1!$C$10/1000000</f>
        <v>2639.1395872433595</v>
      </c>
      <c r="AZ9" s="450">
        <f>[73]Sheet1!$C$10/1000000</f>
        <v>2762.4244680578418</v>
      </c>
      <c r="BA9" s="450">
        <f>[74]Sheet1!$C$10/1000000</f>
        <v>2763.1871916836071</v>
      </c>
      <c r="BB9" s="450">
        <f>[40]Sheet1!$C$10/1000000</f>
        <v>2587.5747578782689</v>
      </c>
      <c r="BC9" s="450">
        <f>[75]Sheet1!$C$10/1000000</f>
        <v>2615.9736950549827</v>
      </c>
      <c r="BD9" s="450">
        <f>[76]Sheet1!$C$10/1000000</f>
        <v>2905.9479754705753</v>
      </c>
      <c r="BE9" s="450">
        <f>[77]Sheet1!$C$10/1000000</f>
        <v>4540.4009026838485</v>
      </c>
      <c r="BF9" s="450">
        <f>[41]Sheet1!$C$10/1000000</f>
        <v>3193.4770430194899</v>
      </c>
      <c r="BG9" s="450">
        <f>[42]Sheet1!$C$10/1000000</f>
        <v>3013.6093341912247</v>
      </c>
      <c r="BH9" s="450">
        <f>[43]Sheet1!$C$10/1000000</f>
        <v>3330.9740599154284</v>
      </c>
      <c r="BI9" s="450">
        <f>[44]Sheet1!$C$10/1000000</f>
        <v>3034.4051382918592</v>
      </c>
      <c r="BJ9" s="450">
        <f>[78]Sheet1!$C$10/1000000</f>
        <v>3057.9910606992457</v>
      </c>
      <c r="BK9" s="450">
        <f>[79]Sheet1!$C$10/1000000</f>
        <v>3044.2690983029765</v>
      </c>
      <c r="BL9" s="450">
        <f>[80]Sheet1!$C$10/1000000</f>
        <v>2922.3970337241335</v>
      </c>
      <c r="BM9" s="450">
        <f>[81]Sheet1!$C$10/1000000</f>
        <v>3203.9671479032882</v>
      </c>
      <c r="BN9" s="450">
        <f>[82]Sheet1!$C$10/1000000</f>
        <v>3270.4690305055519</v>
      </c>
      <c r="BO9" s="450">
        <f>[83]Sheet1!$C$10/1000000</f>
        <v>3170.4250638812568</v>
      </c>
      <c r="BP9" s="450">
        <f>[84]Sheet1!$C$10/1000000</f>
        <v>3235.2780204776659</v>
      </c>
      <c r="BQ9" s="450">
        <f>[85]Sheet1!$C$10/1000000</f>
        <v>4205.9198756393207</v>
      </c>
      <c r="BR9" s="450">
        <f>[86]Sheet1!$C$10/1000000</f>
        <v>3861.1149867947979</v>
      </c>
      <c r="BS9" s="450">
        <f>[87]Sheet1!$C$10/1000000</f>
        <v>3247.8468417434906</v>
      </c>
      <c r="BT9" s="450">
        <f>[88]Sheet1!$C$10/1000000</f>
        <v>3401.457315797285</v>
      </c>
      <c r="BU9" s="450">
        <f>[89]Sheet1!$C$10/1000000</f>
        <v>3143.0336881032258</v>
      </c>
      <c r="BV9" s="450">
        <f>[90]Sheet1!$C$10/1000000</f>
        <v>3347.6792710326076</v>
      </c>
      <c r="BW9" s="450">
        <f>[91]Sheet1!$C$10/1000000</f>
        <v>3195.4686562305333</v>
      </c>
      <c r="BX9" s="450">
        <f>[92]Sheet1!$C$10/1000000</f>
        <v>3270.5200782956481</v>
      </c>
      <c r="BY9" s="450">
        <f>[93]Sheet1!$C$10/1000000</f>
        <v>3722.8116416959419</v>
      </c>
      <c r="BZ9" s="450">
        <f>[94]Sheet1!$C$10/1000000</f>
        <v>3522.4362761507259</v>
      </c>
      <c r="CA9" s="450">
        <f>[95]Sheet1!$C$10/1000000</f>
        <v>3952.2740490782348</v>
      </c>
      <c r="CB9" s="450">
        <f>[45]Sheet1!$C$10/1000000</f>
        <v>3989.8715547605752</v>
      </c>
      <c r="CC9" s="450">
        <f>[46]Sheet1!$C$10/1000000</f>
        <v>4740.2541348085651</v>
      </c>
      <c r="CD9" s="450">
        <f>[47]Sheet1!$C$10/1000000</f>
        <v>3775.5713950513682</v>
      </c>
      <c r="CE9" s="450">
        <f>[48]Sheet1!$C$10/1000000</f>
        <v>3639.9467417759838</v>
      </c>
      <c r="CF9" s="450">
        <f>[49]Sheet1!$C$10/1000000</f>
        <v>3311.4361768832928</v>
      </c>
      <c r="CG9" s="450">
        <f>[50]Sheet1!$C$10/1000000</f>
        <v>3394.0250294460238</v>
      </c>
      <c r="CH9" s="450">
        <f>[51]Sheet1!$C$10/1000000</f>
        <v>3668.905479245519</v>
      </c>
      <c r="CI9" s="450">
        <f>[52]Sheet1!$C$10/1000000</f>
        <v>3070.8687497072065</v>
      </c>
      <c r="CJ9" s="450">
        <f>[53]Sheet1!$C$10/1000000</f>
        <v>3325.0385551201116</v>
      </c>
      <c r="CK9" s="450">
        <f>[54]Sheet1!$C$10/1000000</f>
        <v>3591.2501800222963</v>
      </c>
      <c r="CL9" s="450">
        <f>[55]Sheet1!$C$10/1000000</f>
        <v>3575.2710323313904</v>
      </c>
      <c r="CM9" s="450">
        <f>[56]Sheet1!$C$10/1000000</f>
        <v>4228.1544489717844</v>
      </c>
      <c r="CN9" s="450">
        <f>[57]Sheet1!$C$10/1000000</f>
        <v>3979.8004943419373</v>
      </c>
      <c r="CO9" s="450">
        <f>[58]Sheet1!$C$10/1000000</f>
        <v>5631.2046430665814</v>
      </c>
      <c r="CP9" s="439">
        <f>[59]Sheet1!$C$10/1000000</f>
        <v>4740.5413379273359</v>
      </c>
    </row>
    <row r="10" spans="1:94">
      <c r="A10" s="436" t="s">
        <v>514</v>
      </c>
      <c r="B10" s="437" t="s">
        <v>564</v>
      </c>
      <c r="C10" s="450">
        <f>([3]sheet1!$N$16+'[4]Cat 2-MUR'!$P$16)/1000000</f>
        <v>19372.497178089121</v>
      </c>
      <c r="D10" s="450">
        <f>[5]Sheet1!$C$13/1000000</f>
        <v>21811.45304293888</v>
      </c>
      <c r="E10" s="450">
        <f>[6]Sheet1!$C$13/1000000</f>
        <v>20140.064850267598</v>
      </c>
      <c r="F10" s="390">
        <f>[7]Sheet1!$C$13/1000000</f>
        <v>22500.198349040598</v>
      </c>
      <c r="G10" s="450">
        <f>[8]Sheet1!$C$13/1000000</f>
        <v>21091.447033129349</v>
      </c>
      <c r="H10" s="481">
        <f>[9]Sheet1!$C$13/1000000</f>
        <v>33863.571290211439</v>
      </c>
      <c r="I10" s="450">
        <f>[10]Sheet1!$C$13/1000000</f>
        <v>16950.46396142547</v>
      </c>
      <c r="J10" s="450">
        <f>[11]Sheet1!$C$13/1000000</f>
        <v>24828.484319455329</v>
      </c>
      <c r="K10" s="450">
        <f>[12]Sheet1!$C$13/1000000</f>
        <v>20520.348330811332</v>
      </c>
      <c r="L10" s="450">
        <f>[13]Sheet1!$C$13/1000000</f>
        <v>21788.716617751496</v>
      </c>
      <c r="M10" s="390">
        <f>[14]Sheet1!$C$13/1000000</f>
        <v>21136.533940462206</v>
      </c>
      <c r="N10" s="450">
        <f>[15]Sheet1!$C$13/1000000</f>
        <v>21881.029047653123</v>
      </c>
      <c r="O10" s="450">
        <f>[16]Sheet1!$C$13/1000000</f>
        <v>29961.791713402781</v>
      </c>
      <c r="P10" s="450">
        <f>[17]Sheet1!$C$13/1000000</f>
        <v>72762.31758220683</v>
      </c>
      <c r="Q10" s="450">
        <f>[18]Sheet1!$C$13/1000000</f>
        <v>19813.471024808143</v>
      </c>
      <c r="R10" s="450">
        <f>[19]Sheet1!$C$13/1000000</f>
        <v>24781.925601504456</v>
      </c>
      <c r="S10" s="450">
        <f>[20]Sheet1!$C$13/1000000</f>
        <v>23970.775045566035</v>
      </c>
      <c r="T10" s="450">
        <f>[21]Sheet1!$C$13/1000000</f>
        <v>79364.872045984797</v>
      </c>
      <c r="U10" s="450">
        <f>[22]Sheet1!$C$13/1000000</f>
        <v>90373.548526471655</v>
      </c>
      <c r="V10" s="450">
        <f>[23]Sheet1!$C$13/1000000</f>
        <v>85467.674202021604</v>
      </c>
      <c r="W10" s="450">
        <f>[24]Sheet1!$C$13/1000000</f>
        <v>85963.10252231441</v>
      </c>
      <c r="X10" s="450">
        <f>[25]Sheet1!$C$13/1000000</f>
        <v>87001.712854412603</v>
      </c>
      <c r="Y10" s="450">
        <f>[26]Sheet1!$C$13/1000000</f>
        <v>73024.245739335296</v>
      </c>
      <c r="Z10" s="450">
        <f>[27]Sheet1!$C$13/1000000</f>
        <v>74868.258054711288</v>
      </c>
      <c r="AA10" s="450">
        <f>[28]Sheet1!$C$13/1000000</f>
        <v>85554.140486566248</v>
      </c>
      <c r="AB10" s="390">
        <f>[29]Sheet1!$C$13/1000000</f>
        <v>95310.67266924381</v>
      </c>
      <c r="AC10" s="450">
        <f>[30]Sheet1!$C$13/1000000</f>
        <v>99393.637243461111</v>
      </c>
      <c r="AD10" s="450">
        <f>[31]Sheet1!$C$13/1000000</f>
        <v>106461.49659481132</v>
      </c>
      <c r="AE10" s="450">
        <f>[32]Sheet1!$C$13/1000000</f>
        <v>104985.64466603976</v>
      </c>
      <c r="AF10" s="450">
        <f>[33]Sheet1!$C$13/1000000</f>
        <v>128165.25093603706</v>
      </c>
      <c r="AG10" s="450">
        <f>[34]Sheet1!$C$13/1000000</f>
        <v>118998.08743565575</v>
      </c>
      <c r="AH10" s="450">
        <f>[35]Sheet1!$C$13/1000000</f>
        <v>115973.95053092935</v>
      </c>
      <c r="AI10" s="450">
        <f>[36]Sheet1!$C$13/1000000</f>
        <v>121881.17877102098</v>
      </c>
      <c r="AJ10" s="450">
        <f>[60]Sheet1!$C$13/1000000</f>
        <v>115071.06459612236</v>
      </c>
      <c r="AK10" s="450">
        <f>[61]Sheet1!$C$13/1000000</f>
        <v>103068.83960736473</v>
      </c>
      <c r="AL10" s="450">
        <f>[62]Sheet1!$C$13/1000000</f>
        <v>115070.62113672115</v>
      </c>
      <c r="AM10" s="450">
        <f>[63]Sheet1!$C$13/1000000</f>
        <v>116133.69736549529</v>
      </c>
      <c r="AN10" s="450">
        <f>[64]Sheet1!$C$13/1000000</f>
        <v>124154.22723424113</v>
      </c>
      <c r="AO10" s="450">
        <f>[65]Sheet1!$C$13/1000000</f>
        <v>122454.82181064108</v>
      </c>
      <c r="AP10" s="450">
        <f>[37]Sheet1!$C$13/1000000</f>
        <v>102430.08047653887</v>
      </c>
      <c r="AQ10" s="450">
        <f>[38]Sheet1!$C$13/1000000</f>
        <v>105500.37623858193</v>
      </c>
      <c r="AR10" s="450">
        <f>[39]Sheet1!$C$13/1000000</f>
        <v>111256.13827532271</v>
      </c>
      <c r="AS10" s="450">
        <f>[66]Sheet1!$C$13/1000000</f>
        <v>93611.401633474787</v>
      </c>
      <c r="AT10" s="450">
        <f>[67]Sheet1!$C$13/1000000</f>
        <v>109013.44494751716</v>
      </c>
      <c r="AU10" s="450">
        <f>[68]Sheet1!$C$13/1000000</f>
        <v>116223.12000862884</v>
      </c>
      <c r="AV10" s="450">
        <f>[69]Sheet1!$C$13/1000000</f>
        <v>121059.02344704936</v>
      </c>
      <c r="AW10" s="450">
        <f>[70]Sheet1!$C$13/1000000</f>
        <v>115228.04676245789</v>
      </c>
      <c r="AX10" s="450">
        <f>[71]Sheet1!$C$13/1000000</f>
        <v>128385.0851598944</v>
      </c>
      <c r="AY10" s="450">
        <f>[72]Sheet1!$C$13/1000000</f>
        <v>116008.65179457638</v>
      </c>
      <c r="AZ10" s="450">
        <f>[73]Sheet1!$C$13/1000000</f>
        <v>112596.29078310099</v>
      </c>
      <c r="BA10" s="450">
        <f>[74]Sheet1!$C$13/1000000</f>
        <v>92141.03188137633</v>
      </c>
      <c r="BB10" s="450">
        <f>[40]Sheet1!$C$13/1000000</f>
        <v>111171.92101952963</v>
      </c>
      <c r="BC10" s="450">
        <f>[75]Sheet1!$C$13/1000000</f>
        <v>126452.85822182799</v>
      </c>
      <c r="BD10" s="450">
        <f>[76]Sheet1!$C$13/1000000</f>
        <v>117627.13513352763</v>
      </c>
      <c r="BE10" s="450">
        <f>[77]Sheet1!$C$13/1000000</f>
        <v>131861.36605195337</v>
      </c>
      <c r="BF10" s="450">
        <f>[41]Sheet1!$C$13/1000000</f>
        <v>84638.301057638717</v>
      </c>
      <c r="BG10" s="450">
        <f>[42]Sheet1!$C$13/1000000</f>
        <v>111324.48024282596</v>
      </c>
      <c r="BH10" s="450">
        <f>[43]Sheet1!$C$13/1000000</f>
        <v>116309.43157712731</v>
      </c>
      <c r="BI10" s="450">
        <f>[44]Sheet1!$C$13/1000000</f>
        <v>123528.10856784337</v>
      </c>
      <c r="BJ10" s="450">
        <f>[78]Sheet1!$C$13/1000000</f>
        <v>129109.5650927508</v>
      </c>
      <c r="BK10" s="450">
        <f>[79]Sheet1!$C$13/1000000</f>
        <v>118853.8001190136</v>
      </c>
      <c r="BL10" s="450">
        <f>[80]Sheet1!$C$13/1000000</f>
        <v>106418.78767673639</v>
      </c>
      <c r="BM10" s="450">
        <f>[81]Sheet1!$C$13/1000000</f>
        <v>111174.67117188471</v>
      </c>
      <c r="BN10" s="450">
        <f>[82]Sheet1!$C$13/1000000</f>
        <v>125694.95124885418</v>
      </c>
      <c r="BO10" s="450">
        <f>[83]Sheet1!$C$13/1000000</f>
        <v>120080.24828405512</v>
      </c>
      <c r="BP10" s="450">
        <f>[84]Sheet1!$C$13/1000000</f>
        <v>140257.65722166409</v>
      </c>
      <c r="BQ10" s="450">
        <f>[85]Sheet1!$C$13/1000000</f>
        <v>130678.39432055525</v>
      </c>
      <c r="BR10" s="450">
        <f>[86]Sheet1!$C$13/1000000</f>
        <v>112871.51547570368</v>
      </c>
      <c r="BS10" s="450">
        <f>[87]Sheet1!$C$13/1000000</f>
        <v>126582.20599317455</v>
      </c>
      <c r="BT10" s="450">
        <f>[88]Sheet1!$C$13/1000000</f>
        <v>105608.86744171046</v>
      </c>
      <c r="BU10" s="450">
        <f>[89]Sheet1!$C$13/1000000</f>
        <v>99480.647649199571</v>
      </c>
      <c r="BV10" s="450">
        <f>[90]Sheet1!$C$13/1000000</f>
        <v>94612.881897526109</v>
      </c>
      <c r="BW10" s="450">
        <f>[91]Sheet1!$C$13/1000000</f>
        <v>111227.37928747242</v>
      </c>
      <c r="BX10" s="450">
        <f>[92]Sheet1!$C$13/1000000</f>
        <v>95601.870036061155</v>
      </c>
      <c r="BY10" s="450">
        <f>[93]Sheet1!$C$13/1000000</f>
        <v>96979.441764803458</v>
      </c>
      <c r="BZ10" s="450">
        <f>[94]Sheet1!$C$13/1000000</f>
        <v>94022.876384923948</v>
      </c>
      <c r="CA10" s="450">
        <f>[95]Sheet1!$C$13/1000000</f>
        <v>75984.590253608243</v>
      </c>
      <c r="CB10" s="450">
        <f>[45]Sheet1!$C$13/1000000</f>
        <v>88303.756366307178</v>
      </c>
      <c r="CC10" s="450">
        <f>[46]Sheet1!$C$13/1000000</f>
        <v>80666.989539758899</v>
      </c>
      <c r="CD10" s="450">
        <f>[47]Sheet1!$C$13/1000000</f>
        <v>74904.430257042593</v>
      </c>
      <c r="CE10" s="450">
        <f>[48]Sheet1!$C$13/1000000</f>
        <v>96230.596931217719</v>
      </c>
      <c r="CF10" s="450">
        <f>[49]Sheet1!$C$13/1000000</f>
        <v>152820.72861303377</v>
      </c>
      <c r="CG10" s="450">
        <f>[50]Sheet1!$C$13/1000000</f>
        <v>138913.21934683764</v>
      </c>
      <c r="CH10" s="450">
        <f>[51]Sheet1!$C$13/1000000</f>
        <v>160088.27656827722</v>
      </c>
      <c r="CI10" s="450">
        <f>[52]Sheet1!$C$13/1000000</f>
        <v>101587.37974218235</v>
      </c>
      <c r="CJ10" s="450">
        <f>[53]Sheet1!$C$13/1000000</f>
        <v>141205.43091802069</v>
      </c>
      <c r="CK10" s="450">
        <f>[54]Sheet1!$C$13/1000000</f>
        <v>100357.13402877848</v>
      </c>
      <c r="CL10" s="450">
        <f>[55]Sheet1!$C$13/1000000</f>
        <v>113904.00472743899</v>
      </c>
      <c r="CM10" s="450">
        <f>[56]Sheet1!$C$13/1000000</f>
        <v>122004.62938306242</v>
      </c>
      <c r="CN10" s="450">
        <f>[57]Sheet1!$C$13/1000000</f>
        <v>123236.02790771764</v>
      </c>
      <c r="CO10" s="450">
        <f>[58]Sheet1!$C$13/1000000</f>
        <v>142045.80793896987</v>
      </c>
      <c r="CP10" s="439">
        <f>[59]Sheet1!$C$13/1000000</f>
        <v>150699.32882133598</v>
      </c>
    </row>
    <row r="11" spans="1:94">
      <c r="A11" s="436" t="s">
        <v>516</v>
      </c>
      <c r="B11" s="437" t="s">
        <v>565</v>
      </c>
      <c r="C11" s="450">
        <f>([3]sheet1!$N$35+'[4]Cat 2-MUR'!$P$35)/1000000</f>
        <v>70.920454319999934</v>
      </c>
      <c r="D11" s="450">
        <f>[5]Sheet1!$C$30/1000000</f>
        <v>360.85227277419995</v>
      </c>
      <c r="E11" s="450">
        <f>[6]Sheet1!$C$30/1000000</f>
        <v>575.23873825420014</v>
      </c>
      <c r="F11" s="390">
        <f>[7]Sheet1!$C$30/1000000</f>
        <v>246.11876686240001</v>
      </c>
      <c r="G11" s="450">
        <f>[8]Sheet1!$C$30/1000000</f>
        <v>218.11239322679995</v>
      </c>
      <c r="H11" s="481">
        <f>[9]Sheet1!$C$30/1000000</f>
        <v>835.80947388940001</v>
      </c>
      <c r="I11" s="450">
        <f>[10]Sheet1!$C$30/1000000</f>
        <v>763.9751539163999</v>
      </c>
      <c r="J11" s="450">
        <f>[11]Sheet1!$C$30/1000000</f>
        <v>1359.5783642255999</v>
      </c>
      <c r="K11" s="450">
        <f>[12]Sheet1!$C$30/1000000</f>
        <v>705.37565373860014</v>
      </c>
      <c r="L11" s="450">
        <f>[13]Sheet1!$C$30/1000000</f>
        <v>411.56452298479996</v>
      </c>
      <c r="M11" s="390">
        <f>[14]Sheet1!$C$30/1000000</f>
        <v>620.27342922080004</v>
      </c>
      <c r="N11" s="450">
        <f>[15]Sheet1!$C$30/1000000</f>
        <v>360.01000025300004</v>
      </c>
      <c r="O11" s="450">
        <f>[16]Sheet1!$C$30/1000000</f>
        <v>104.19486440619993</v>
      </c>
      <c r="P11" s="450">
        <f>[17]Sheet1!$C$30/1000000</f>
        <v>335.37000679859995</v>
      </c>
      <c r="Q11" s="450">
        <f>[18]Sheet1!$C$30/1000000</f>
        <v>65.502828061600027</v>
      </c>
      <c r="R11" s="450">
        <f>[19]Sheet1!$C$30/1000000</f>
        <v>72.012554168299999</v>
      </c>
      <c r="S11" s="450">
        <f>[20]Sheet1!$C$30/1000000</f>
        <v>61.778148959799928</v>
      </c>
      <c r="T11" s="450">
        <f>[21]Sheet1!$C$30/1000000</f>
        <v>95.56619359200009</v>
      </c>
      <c r="U11" s="450">
        <f>[22]Sheet1!$C$30/1000000</f>
        <v>98.153958074999935</v>
      </c>
      <c r="V11" s="450">
        <f>[23]Sheet1!$C$30/1000000</f>
        <v>151.68436484839989</v>
      </c>
      <c r="W11" s="450">
        <f>[24]Sheet1!$C$30/1000000</f>
        <v>138.59943383369992</v>
      </c>
      <c r="X11" s="450">
        <f>[25]Sheet1!$C$30/1000000</f>
        <v>78.566557189999941</v>
      </c>
      <c r="Y11" s="450">
        <f>[26]Sheet1!$C$30/1000000</f>
        <v>66.169113649999971</v>
      </c>
      <c r="Z11" s="450">
        <f>[27]Sheet1!$C$30/1000000</f>
        <v>63.810968990000006</v>
      </c>
      <c r="AA11" s="450">
        <f>[28]Sheet1!$C$30/1000000</f>
        <v>77.894420040000085</v>
      </c>
      <c r="AB11" s="390">
        <f>[29]Sheet1!$C$30/1000000</f>
        <v>55.28352579999995</v>
      </c>
      <c r="AC11" s="450">
        <f>[30]Sheet1!$C$30/1000000</f>
        <v>84.578675290000078</v>
      </c>
      <c r="AD11" s="450">
        <f>[31]Sheet1!$C$30/1000000</f>
        <v>53.702130899999979</v>
      </c>
      <c r="AE11" s="450">
        <f>[32]Sheet1!$C$30/1000000</f>
        <v>54.629029289999963</v>
      </c>
      <c r="AF11" s="450">
        <f>[33]Sheet1!$C$30/1000000</f>
        <v>31.799534870000006</v>
      </c>
      <c r="AG11" s="450">
        <f>[34]Sheet1!$C$30/1000000</f>
        <v>33.147472899999855</v>
      </c>
      <c r="AH11" s="450">
        <f>[35]Sheet1!$C$30/1000000</f>
        <v>33.617811150000094</v>
      </c>
      <c r="AI11" s="450">
        <f>[36]Sheet1!$C$30/1000000</f>
        <v>28.310095590000035</v>
      </c>
      <c r="AJ11" s="450">
        <f>[60]Sheet1!$C$30/1000000</f>
        <v>28.007880570000051</v>
      </c>
      <c r="AK11" s="450">
        <f>[61]Sheet1!$C$30/1000000</f>
        <v>30.128625680000066</v>
      </c>
      <c r="AL11" s="450">
        <f>[62]Sheet1!$C$30/1000000</f>
        <v>80.019914529999738</v>
      </c>
      <c r="AM11" s="450">
        <f>[63]Sheet1!$C$30/1000000</f>
        <v>68.183187889999985</v>
      </c>
      <c r="AN11" s="450">
        <f>[64]Sheet1!$C$30/1000000</f>
        <v>98.778285340000039</v>
      </c>
      <c r="AO11" s="450">
        <f>[65]Sheet1!$C$30/1000000</f>
        <v>77.690181239999887</v>
      </c>
      <c r="AP11" s="450">
        <f>[37]Sheet1!$C$30/1000000</f>
        <v>94.587463599999907</v>
      </c>
      <c r="AQ11" s="450">
        <f>[38]Sheet1!$C$30/1000000</f>
        <v>107.04570761999989</v>
      </c>
      <c r="AR11" s="450">
        <f>[39]Sheet1!$C$30/1000000</f>
        <v>101.31739917999982</v>
      </c>
      <c r="AS11" s="450">
        <f>[66]Sheet1!$C$30/1000000</f>
        <v>97.130994959999796</v>
      </c>
      <c r="AT11" s="450">
        <f>[67]Sheet1!$C$30/1000000</f>
        <v>96.348543409999849</v>
      </c>
      <c r="AU11" s="450">
        <f>[68]Sheet1!$C$30/1000000</f>
        <v>131.95658680999995</v>
      </c>
      <c r="AV11" s="450">
        <f>[69]Sheet1!$C$30/1000000</f>
        <v>239.06982174000001</v>
      </c>
      <c r="AW11" s="450">
        <f>[70]Sheet1!$C$30/1000000</f>
        <v>316.99842974000023</v>
      </c>
      <c r="AX11" s="450">
        <f>[71]Sheet1!$C$30/1000000</f>
        <v>391.93407399000023</v>
      </c>
      <c r="AY11" s="450">
        <f>[72]Sheet1!$C$30/1000000</f>
        <v>313.37631256999993</v>
      </c>
      <c r="AZ11" s="450">
        <f>[73]Sheet1!$C$30/1000000</f>
        <v>430.17006928000023</v>
      </c>
      <c r="BA11" s="450">
        <f>[74]Sheet1!$C$30/1000000</f>
        <v>415.23923310999987</v>
      </c>
      <c r="BB11" s="450">
        <f>[40]Sheet1!$C$30/1000000</f>
        <v>271.22492728999998</v>
      </c>
      <c r="BC11" s="450">
        <f>[75]Sheet1!$C$30/1000000</f>
        <v>381.38800407000019</v>
      </c>
      <c r="BD11" s="450">
        <f>[76]Sheet1!$C$30/1000000</f>
        <v>341.2010708900001</v>
      </c>
      <c r="BE11" s="450">
        <f>[77]Sheet1!$C$30/1000000</f>
        <v>557.14549523000005</v>
      </c>
      <c r="BF11" s="450">
        <f>[41]Sheet1!$C$30/1000000</f>
        <v>421.33078375000002</v>
      </c>
      <c r="BG11" s="450">
        <f>[42]Sheet1!$C$30/1000000</f>
        <v>507.93813001000046</v>
      </c>
      <c r="BH11" s="450">
        <f>[43]Sheet1!$C$30/1000000</f>
        <v>692.28925011000013</v>
      </c>
      <c r="BI11" s="450">
        <f>[44]Sheet1!$C$30/1000000</f>
        <v>424.70352194999981</v>
      </c>
      <c r="BJ11" s="450">
        <f>[78]Sheet1!$C$30/1000000</f>
        <v>482.5556980799999</v>
      </c>
      <c r="BK11" s="450">
        <f>[79]Sheet1!$C$30/1000000</f>
        <v>863.6718329399996</v>
      </c>
      <c r="BL11" s="450">
        <f>[80]Sheet1!$C$30/1000000</f>
        <v>641.06922653000026</v>
      </c>
      <c r="BM11" s="450">
        <f>[81]Sheet1!$C$30/1000000</f>
        <v>601.57831634000013</v>
      </c>
      <c r="BN11" s="450">
        <f>[82]Sheet1!$C$30/1000000</f>
        <v>569.73809253999991</v>
      </c>
      <c r="BO11" s="450">
        <f>[83]Sheet1!$C$30/1000000</f>
        <v>910.43725463000055</v>
      </c>
      <c r="BP11" s="450">
        <f>[84]Sheet1!$C$30/1000000</f>
        <v>547.17586496000024</v>
      </c>
      <c r="BQ11" s="450">
        <f>[85]Sheet1!$C$30/1000000</f>
        <v>495.22329861000014</v>
      </c>
      <c r="BR11" s="450">
        <f>[86]Sheet1!$C$30/1000000</f>
        <v>583.4981277400002</v>
      </c>
      <c r="BS11" s="450">
        <f>[87]Sheet1!$C$30/1000000</f>
        <v>569.72189308000031</v>
      </c>
      <c r="BT11" s="450">
        <f>[88]Sheet1!$C$30/1000000</f>
        <v>668.82277629999999</v>
      </c>
      <c r="BU11" s="450">
        <f>[89]Sheet1!$C$30/1000000</f>
        <v>1078.9575788999998</v>
      </c>
      <c r="BV11" s="450">
        <f>[90]Sheet1!$C$30/1000000</f>
        <v>965.06436724999958</v>
      </c>
      <c r="BW11" s="450">
        <f>[91]Sheet1!$C$30/1000000</f>
        <v>316.563514</v>
      </c>
      <c r="BX11" s="450">
        <f>[92]Sheet1!$C$30/1000000</f>
        <v>747.3139162599997</v>
      </c>
      <c r="BY11" s="450">
        <f>[93]Sheet1!$C$30/1000000</f>
        <v>457.11329188000013</v>
      </c>
      <c r="BZ11" s="450">
        <f>[94]Sheet1!$C$30/1000000</f>
        <v>450.92952379999969</v>
      </c>
      <c r="CA11" s="450">
        <f>[95]Sheet1!$C$30/1000000</f>
        <v>449.15714103000067</v>
      </c>
      <c r="CB11" s="450">
        <f>[45]Sheet1!$C$30/1000000</f>
        <v>465.92530578999998</v>
      </c>
      <c r="CC11" s="450">
        <f>[46]Sheet1!$C$30/1000000</f>
        <v>544.45027290000007</v>
      </c>
      <c r="CD11" s="450">
        <f>[47]Sheet1!$C$30/1000000</f>
        <v>496.84693280999994</v>
      </c>
      <c r="CE11" s="450">
        <f>[48]Sheet1!$C$30/1000000</f>
        <v>440.59300530000019</v>
      </c>
      <c r="CF11" s="450">
        <f>[49]Sheet1!$C$30/1000000</f>
        <v>428.37721201000073</v>
      </c>
      <c r="CG11" s="450">
        <f>[50]Sheet1!$C$30/1000000</f>
        <v>470.43509617999985</v>
      </c>
      <c r="CH11" s="450">
        <f>[51]Sheet1!$C$30/1000000</f>
        <v>468.40562928999947</v>
      </c>
      <c r="CI11" s="450">
        <f>[52]Sheet1!$C$30/1000000</f>
        <v>846.99559690000058</v>
      </c>
      <c r="CJ11" s="450">
        <f>[53]Sheet1!$C$30/1000000</f>
        <v>551.03779815000007</v>
      </c>
      <c r="CK11" s="450">
        <f>[54]Sheet1!$C$30/1000000</f>
        <v>522.49862458999917</v>
      </c>
      <c r="CL11" s="450">
        <f>[55]Sheet1!$C$30/1000000</f>
        <v>550.27020068999957</v>
      </c>
      <c r="CM11" s="450">
        <f>[56]Sheet1!$C$30/1000000</f>
        <v>521.57993880000015</v>
      </c>
      <c r="CN11" s="450">
        <f>[57]Sheet1!$C$30/1000000</f>
        <v>503.31552029000187</v>
      </c>
      <c r="CO11" s="450">
        <f>[58]Sheet1!$C$30/1000000</f>
        <v>474.16894263000012</v>
      </c>
      <c r="CP11" s="439">
        <f>[59]Sheet1!$C$30/1000000</f>
        <v>444.25430463000009</v>
      </c>
    </row>
    <row r="12" spans="1:94">
      <c r="A12" s="436" t="s">
        <v>518</v>
      </c>
      <c r="B12" s="437" t="s">
        <v>566</v>
      </c>
      <c r="C12" s="450">
        <f>([3]sheet1!$N$54+'[4]Cat 2-MUR'!$P$54)/1000000</f>
        <v>114323.5142881893</v>
      </c>
      <c r="D12" s="450">
        <f>[5]Sheet1!$C$47/1000000</f>
        <v>91683.458298691534</v>
      </c>
      <c r="E12" s="450">
        <f>[6]Sheet1!$C$47/1000000</f>
        <v>106727.6396938626</v>
      </c>
      <c r="F12" s="390">
        <f>[7]Sheet1!$C$47/1000000</f>
        <v>114166.33946449935</v>
      </c>
      <c r="G12" s="450">
        <f>[8]Sheet1!$C$47/1000000</f>
        <v>115227.78809174386</v>
      </c>
      <c r="H12" s="481">
        <f>[9]Sheet1!$C$47/1000000</f>
        <v>119640.92098631279</v>
      </c>
      <c r="I12" s="450">
        <f>[10]Sheet1!$C$47/1000000</f>
        <v>121879.55913492008</v>
      </c>
      <c r="J12" s="450">
        <f>[11]Sheet1!$C$47/1000000</f>
        <v>119132.5179091704</v>
      </c>
      <c r="K12" s="450">
        <f>[12]Sheet1!$C$47/1000000</f>
        <v>154100.92608121943</v>
      </c>
      <c r="L12" s="450">
        <f>[13]Sheet1!$C$47/1000000</f>
        <v>159024.60873983239</v>
      </c>
      <c r="M12" s="390">
        <f>[14]Sheet1!$C$47/1000000</f>
        <v>145580.50983218307</v>
      </c>
      <c r="N12" s="450">
        <f>[15]Sheet1!$C$47/1000000</f>
        <v>171357.52115874022</v>
      </c>
      <c r="O12" s="450">
        <f>[16]Sheet1!$C$47/1000000</f>
        <v>155440.65397179971</v>
      </c>
      <c r="P12" s="450">
        <f>[17]Sheet1!$C$47/1000000</f>
        <v>123667.85255888358</v>
      </c>
      <c r="Q12" s="450">
        <f>[18]Sheet1!$C$47/1000000</f>
        <v>182708.12341216428</v>
      </c>
      <c r="R12" s="450">
        <f>[19]Sheet1!$C$47/1000000</f>
        <v>203351.35577497361</v>
      </c>
      <c r="S12" s="450">
        <f>[20]Sheet1!$C$47/1000000</f>
        <v>206573.14285223928</v>
      </c>
      <c r="T12" s="450">
        <f>[21]Sheet1!$C$47/1000000</f>
        <v>168730.7807338273</v>
      </c>
      <c r="U12" s="450">
        <f>[22]Sheet1!$C$47/1000000</f>
        <v>182170.77453714173</v>
      </c>
      <c r="V12" s="450">
        <f>[23]Sheet1!$C$47/1000000</f>
        <v>154767.53235470859</v>
      </c>
      <c r="W12" s="450">
        <f>[24]Sheet1!$C$47/1000000</f>
        <v>151652.52824227285</v>
      </c>
      <c r="X12" s="450">
        <f>[25]Sheet1!$C$47/1000000</f>
        <v>149661.86858386445</v>
      </c>
      <c r="Y12" s="450">
        <f>[26]Sheet1!$C$47/1000000</f>
        <v>153170.66694922329</v>
      </c>
      <c r="Z12" s="450">
        <f>[27]Sheet1!$C$47/1000000</f>
        <v>149729.55426849669</v>
      </c>
      <c r="AA12" s="450">
        <f>[28]Sheet1!$C$47/1000000</f>
        <v>146286.72428062311</v>
      </c>
      <c r="AB12" s="390">
        <f>[29]Sheet1!$C$47/1000000</f>
        <v>162313.00569131336</v>
      </c>
      <c r="AC12" s="450">
        <f>[30]Sheet1!$C$47/1000000</f>
        <v>170982.919558177</v>
      </c>
      <c r="AD12" s="450">
        <f>[31]Sheet1!$C$47/1000000</f>
        <v>167589.02416045303</v>
      </c>
      <c r="AE12" s="450">
        <f>[32]Sheet1!$C$47/1000000</f>
        <v>156473.43361869655</v>
      </c>
      <c r="AF12" s="450">
        <f>[33]Sheet1!$C$47/1000000</f>
        <v>164191.70498755667</v>
      </c>
      <c r="AG12" s="450">
        <f>[34]Sheet1!$C$47/1000000</f>
        <v>153872.40196491426</v>
      </c>
      <c r="AH12" s="450">
        <f>[35]Sheet1!$C$47/1000000</f>
        <v>173939.27610803567</v>
      </c>
      <c r="AI12" s="450">
        <f>[36]Sheet1!$C$47/1000000</f>
        <v>143967.13470513438</v>
      </c>
      <c r="AJ12" s="450">
        <f>[60]Sheet1!$C$47/1000000</f>
        <v>141436.11005719352</v>
      </c>
      <c r="AK12" s="450">
        <f>[61]Sheet1!$C$47/1000000</f>
        <v>130935.17282910971</v>
      </c>
      <c r="AL12" s="450">
        <f>[62]Sheet1!$C$47/1000000</f>
        <v>125956.43310042743</v>
      </c>
      <c r="AM12" s="450">
        <f>[63]Sheet1!$C$47/1000000</f>
        <v>136964.01649530025</v>
      </c>
      <c r="AN12" s="450">
        <f>[64]Sheet1!$C$47/1000000</f>
        <v>152806.23626384279</v>
      </c>
      <c r="AO12" s="450">
        <f>[65]Sheet1!$C$47/1000000</f>
        <v>132243.4374319195</v>
      </c>
      <c r="AP12" s="450">
        <f>[37]Sheet1!$C$47/1000000</f>
        <v>130430.79554458933</v>
      </c>
      <c r="AQ12" s="450">
        <f>[38]Sheet1!$C$47/1000000</f>
        <v>134264.76264526957</v>
      </c>
      <c r="AR12" s="450">
        <f>[39]Sheet1!$C$47/1000000</f>
        <v>128815.87253633582</v>
      </c>
      <c r="AS12" s="450">
        <f>[66]Sheet1!$C$47/1000000</f>
        <v>123501.82556316566</v>
      </c>
      <c r="AT12" s="450">
        <f>[67]Sheet1!$C$47/1000000</f>
        <v>132010.8394010379</v>
      </c>
      <c r="AU12" s="450">
        <f>[68]Sheet1!$C$47/1000000</f>
        <v>132349.12962130949</v>
      </c>
      <c r="AV12" s="450">
        <f>[69]Sheet1!$C$47/1000000</f>
        <v>133208.67670911422</v>
      </c>
      <c r="AW12" s="450">
        <f>[70]Sheet1!$C$47/1000000</f>
        <v>127876.00154660475</v>
      </c>
      <c r="AX12" s="450">
        <f>[71]Sheet1!$C$47/1000000</f>
        <v>110954.1521079606</v>
      </c>
      <c r="AY12" s="450">
        <f>[72]Sheet1!$C$47/1000000</f>
        <v>114956.96347957836</v>
      </c>
      <c r="AZ12" s="450">
        <f>[73]Sheet1!$C$47/1000000</f>
        <v>100520.24591094456</v>
      </c>
      <c r="BA12" s="450">
        <f>[74]Sheet1!$C$47/1000000</f>
        <v>111234.66804744258</v>
      </c>
      <c r="BB12" s="450">
        <f>[40]Sheet1!$C$47/1000000</f>
        <v>100840.901209441</v>
      </c>
      <c r="BC12" s="450">
        <f>[75]Sheet1!$C$47/1000000</f>
        <v>94077.473998089437</v>
      </c>
      <c r="BD12" s="450">
        <f>[76]Sheet1!$C$47/1000000</f>
        <v>97965.786870875338</v>
      </c>
      <c r="BE12" s="450">
        <f>[77]Sheet1!$C$47/1000000</f>
        <v>99326.41133761844</v>
      </c>
      <c r="BF12" s="450">
        <f>[41]Sheet1!$C$47/1000000</f>
        <v>158077.12546196338</v>
      </c>
      <c r="BG12" s="450">
        <f>[42]Sheet1!$C$47/1000000</f>
        <v>125065.3233318807</v>
      </c>
      <c r="BH12" s="450">
        <f>[43]Sheet1!$C$47/1000000</f>
        <v>130777.60560729186</v>
      </c>
      <c r="BI12" s="450">
        <f>[44]Sheet1!$C$47/1000000</f>
        <v>106192.55243905216</v>
      </c>
      <c r="BJ12" s="450">
        <f>[78]Sheet1!$C$47/1000000</f>
        <v>133241.34513306178</v>
      </c>
      <c r="BK12" s="450">
        <f>[79]Sheet1!$C$47/1000000</f>
        <v>128329.53206531231</v>
      </c>
      <c r="BL12" s="450">
        <f>[80]Sheet1!$C$47/1000000</f>
        <v>96628.187022835307</v>
      </c>
      <c r="BM12" s="450">
        <f>[81]Sheet1!$C$47/1000000</f>
        <v>119335.49227237162</v>
      </c>
      <c r="BN12" s="450">
        <f>[82]Sheet1!$C$47/1000000</f>
        <v>108195.55533186978</v>
      </c>
      <c r="BO12" s="450">
        <f>[83]Sheet1!$C$47/1000000</f>
        <v>120365.85888239012</v>
      </c>
      <c r="BP12" s="450">
        <f>[84]Sheet1!$C$47/1000000</f>
        <v>107392.98153682993</v>
      </c>
      <c r="BQ12" s="450">
        <f>[85]Sheet1!$C$47/1000000</f>
        <v>112992.39030363502</v>
      </c>
      <c r="BR12" s="450">
        <f>[86]Sheet1!$C$47/1000000</f>
        <v>131721.58106084421</v>
      </c>
      <c r="BS12" s="450">
        <f>[87]Sheet1!$C$47/1000000</f>
        <v>119566.45985169409</v>
      </c>
      <c r="BT12" s="450">
        <f>[88]Sheet1!$C$47/1000000</f>
        <v>99416.739578419336</v>
      </c>
      <c r="BU12" s="450">
        <f>[89]Sheet1!$C$47/1000000</f>
        <v>141979.28041154312</v>
      </c>
      <c r="BV12" s="450">
        <f>[90]Sheet1!$C$47/1000000</f>
        <v>105742.52227212832</v>
      </c>
      <c r="BW12" s="450">
        <f>[91]Sheet1!$C$47/1000000</f>
        <v>120916.16514611505</v>
      </c>
      <c r="BX12" s="450">
        <f>[92]Sheet1!$C$47/1000000</f>
        <v>111281.4906108306</v>
      </c>
      <c r="BY12" s="450">
        <f>[93]Sheet1!$C$47/1000000</f>
        <v>96324.357737041006</v>
      </c>
      <c r="BZ12" s="450">
        <f>[94]Sheet1!$C$47/1000000</f>
        <v>111701.74338919876</v>
      </c>
      <c r="CA12" s="450">
        <f>[95]Sheet1!$C$47/1000000</f>
        <v>130041.58233237863</v>
      </c>
      <c r="CB12" s="450">
        <f>[45]Sheet1!$C$47/1000000</f>
        <v>164625.22489098794</v>
      </c>
      <c r="CC12" s="450">
        <f>[46]Sheet1!$C$47/1000000</f>
        <v>121214.89479830113</v>
      </c>
      <c r="CD12" s="450">
        <f>[47]Sheet1!$C$47/1000000</f>
        <v>88390.117125898221</v>
      </c>
      <c r="CE12" s="450">
        <f>[48]Sheet1!$C$47/1000000</f>
        <v>88450.408214334937</v>
      </c>
      <c r="CF12" s="450">
        <f>[49]Sheet1!$C$47/1000000</f>
        <v>81356.632364489778</v>
      </c>
      <c r="CG12" s="450">
        <f>[50]Sheet1!$C$47/1000000</f>
        <v>92859.566433121945</v>
      </c>
      <c r="CH12" s="450">
        <f>[51]Sheet1!$C$47/1000000</f>
        <v>78775.876932494823</v>
      </c>
      <c r="CI12" s="450">
        <f>[52]Sheet1!$C$47/1000000</f>
        <v>78816.809936862745</v>
      </c>
      <c r="CJ12" s="450">
        <f>[53]Sheet1!$C$47/1000000</f>
        <v>81735.695422854333</v>
      </c>
      <c r="CK12" s="450">
        <f>[54]Sheet1!$C$47/1000000</f>
        <v>91743.457359064501</v>
      </c>
      <c r="CL12" s="450">
        <f>[55]Sheet1!$C$47/1000000</f>
        <v>87936.487565601215</v>
      </c>
      <c r="CM12" s="450">
        <f>[56]Sheet1!$C$47/1000000</f>
        <v>87436.682621910542</v>
      </c>
      <c r="CN12" s="450">
        <f>[57]Sheet1!$C$47/1000000</f>
        <v>87031.67077482141</v>
      </c>
      <c r="CO12" s="450">
        <f>[58]Sheet1!$C$47/1000000</f>
        <v>90068.072194647422</v>
      </c>
      <c r="CP12" s="439">
        <f>[59]Sheet1!$C$47/1000000</f>
        <v>96852.947942049985</v>
      </c>
    </row>
    <row r="13" spans="1:94">
      <c r="A13" s="436"/>
      <c r="B13" s="437"/>
      <c r="C13" s="478"/>
      <c r="D13" s="478"/>
      <c r="E13" s="478"/>
      <c r="F13" s="479"/>
      <c r="G13" s="478"/>
      <c r="H13" s="480"/>
      <c r="I13" s="478"/>
      <c r="J13" s="478"/>
      <c r="K13" s="478"/>
      <c r="L13" s="478"/>
      <c r="M13" s="479"/>
      <c r="N13" s="478"/>
      <c r="O13" s="478"/>
      <c r="P13" s="478"/>
      <c r="Q13" s="478"/>
      <c r="R13" s="478"/>
      <c r="S13" s="478"/>
      <c r="T13" s="478"/>
      <c r="U13" s="478"/>
      <c r="V13" s="478"/>
      <c r="W13" s="478"/>
      <c r="X13" s="478"/>
      <c r="Y13" s="478"/>
      <c r="Z13" s="478"/>
      <c r="AA13" s="478"/>
      <c r="AB13" s="479"/>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38"/>
    </row>
    <row r="14" spans="1:94">
      <c r="A14" s="433" t="s">
        <v>520</v>
      </c>
      <c r="B14" s="434" t="s">
        <v>521</v>
      </c>
      <c r="C14" s="476">
        <f>([3]sheet1!$N$75+'[4]Cat 2-MUR'!$P$75)/1000000</f>
        <v>82626.360389128167</v>
      </c>
      <c r="D14" s="476">
        <f>[5]Sheet1!$C$65/1000000</f>
        <v>83567.312453427832</v>
      </c>
      <c r="E14" s="476">
        <f>[6]Sheet1!$C$65/1000000</f>
        <v>81757.699899994375</v>
      </c>
      <c r="F14" s="400">
        <f>[7]Sheet1!$C$65/1000000</f>
        <v>78884.335197591121</v>
      </c>
      <c r="G14" s="476">
        <f>[8]Sheet1!$C$65/1000000</f>
        <v>78272.290446320214</v>
      </c>
      <c r="H14" s="477">
        <f>[9]Sheet1!$C$65/1000000</f>
        <v>75122.342548932065</v>
      </c>
      <c r="I14" s="476">
        <f>[10]Sheet1!$C$65/1000000</f>
        <v>75086.610615830927</v>
      </c>
      <c r="J14" s="476">
        <f>[11]Sheet1!$C$65/1000000</f>
        <v>79052.611168353935</v>
      </c>
      <c r="K14" s="476">
        <f>[12]Sheet1!$C$65/1000000</f>
        <v>78442.486392192557</v>
      </c>
      <c r="L14" s="476">
        <f>[13]Sheet1!$C$65/1000000</f>
        <v>77506.998995166694</v>
      </c>
      <c r="M14" s="400">
        <f>[14]Sheet1!$C$65/1000000</f>
        <v>75068.16541095679</v>
      </c>
      <c r="N14" s="476">
        <f>[15]Sheet1!$C$65/1000000</f>
        <v>78846.624319984214</v>
      </c>
      <c r="O14" s="476">
        <f>[16]Sheet1!$C$65/1000000</f>
        <v>78192.37447742169</v>
      </c>
      <c r="P14" s="476">
        <f>[17]Sheet1!$C$65/1000000</f>
        <v>79939.833705522149</v>
      </c>
      <c r="Q14" s="476">
        <f>[18]Sheet1!$C$65/1000000</f>
        <v>79577.839826028052</v>
      </c>
      <c r="R14" s="476">
        <f>[19]Sheet1!$C$65/1000000</f>
        <v>75443.570082636477</v>
      </c>
      <c r="S14" s="476">
        <f>[20]Sheet1!$C$65/1000000</f>
        <v>73435.359609997497</v>
      </c>
      <c r="T14" s="476">
        <f>[21]Sheet1!$C$65/1000000</f>
        <v>73111.319912955354</v>
      </c>
      <c r="U14" s="476">
        <f>[22]Sheet1!$C$65/1000000</f>
        <v>72806.98069229089</v>
      </c>
      <c r="V14" s="476">
        <f>[23]Sheet1!$C$65/1000000</f>
        <v>71631.351229818058</v>
      </c>
      <c r="W14" s="476">
        <f>[24]Sheet1!$C$65/1000000</f>
        <v>71491.119043442348</v>
      </c>
      <c r="X14" s="476">
        <f>[25]Sheet1!$C$65/1000000</f>
        <v>74327.344918298666</v>
      </c>
      <c r="Y14" s="476">
        <f>[26]Sheet1!$C$65/1000000</f>
        <v>79945.004682946223</v>
      </c>
      <c r="Z14" s="476">
        <f>[27]Sheet1!$C$65/1000000</f>
        <v>80173.080006361197</v>
      </c>
      <c r="AA14" s="476">
        <f>[28]Sheet1!$C$65/1000000</f>
        <v>81236.374323242344</v>
      </c>
      <c r="AB14" s="400">
        <f>[29]Sheet1!$C$65/1000000</f>
        <v>79670.135959241612</v>
      </c>
      <c r="AC14" s="476">
        <f>[30]Sheet1!$C$65/1000000</f>
        <v>82412.880946665406</v>
      </c>
      <c r="AD14" s="476">
        <f>[31]Sheet1!$C$65/1000000</f>
        <v>81030.313924400878</v>
      </c>
      <c r="AE14" s="476">
        <f>[32]Sheet1!$C$65/1000000</f>
        <v>80479.601918408633</v>
      </c>
      <c r="AF14" s="476">
        <f>[33]Sheet1!$C$65/1000000</f>
        <v>83925.043083417695</v>
      </c>
      <c r="AG14" s="476">
        <f>[34]Sheet1!$C$65/1000000</f>
        <v>83452.727416757654</v>
      </c>
      <c r="AH14" s="476">
        <f>[35]Sheet1!$C$65/1000000</f>
        <v>84871.637613946776</v>
      </c>
      <c r="AI14" s="476">
        <f>[36]Sheet1!$C$65/1000000</f>
        <v>85970.033963058435</v>
      </c>
      <c r="AJ14" s="476">
        <f>[60]Sheet1!$C$65/1000000</f>
        <v>74046.562791216333</v>
      </c>
      <c r="AK14" s="476">
        <f>[61]Sheet1!$C$65/1000000</f>
        <v>81163.989926882714</v>
      </c>
      <c r="AL14" s="476">
        <f>[62]Sheet1!$C$65/1000000</f>
        <v>91316.80742407497</v>
      </c>
      <c r="AM14" s="476">
        <f>[63]Sheet1!$C$65/1000000</f>
        <v>96539.980371974438</v>
      </c>
      <c r="AN14" s="476">
        <f>[64]Sheet1!$C$65/1000000</f>
        <v>85873.866492769506</v>
      </c>
      <c r="AO14" s="476">
        <f>[65]Sheet1!$C$65/1000000</f>
        <v>81844.776786486545</v>
      </c>
      <c r="AP14" s="476">
        <f>[37]Sheet1!$C$65/1000000</f>
        <v>79127.07622286542</v>
      </c>
      <c r="AQ14" s="476">
        <f>[38]Sheet1!$C$65/1000000</f>
        <v>76678.124097262553</v>
      </c>
      <c r="AR14" s="476">
        <f>[39]Sheet1!$C$65/1000000</f>
        <v>75556.470414682422</v>
      </c>
      <c r="AS14" s="476">
        <f>[66]Sheet1!$C$65/1000000</f>
        <v>93979.843620965083</v>
      </c>
      <c r="AT14" s="476">
        <f>[67]Sheet1!$C$65/1000000</f>
        <v>77661.819176369565</v>
      </c>
      <c r="AU14" s="476">
        <f>[68]Sheet1!$C$65/1000000</f>
        <v>78211.744231205434</v>
      </c>
      <c r="AV14" s="476">
        <f>[69]Sheet1!$C$65/1000000</f>
        <v>79222.317912360319</v>
      </c>
      <c r="AW14" s="476">
        <f>[70]Sheet1!$C$65/1000000</f>
        <v>85033.590933520463</v>
      </c>
      <c r="AX14" s="476">
        <f>[71]Sheet1!$C$65/1000000</f>
        <v>86563.229182468756</v>
      </c>
      <c r="AY14" s="476">
        <f>[72]Sheet1!$C$65/1000000</f>
        <v>96730.023722333659</v>
      </c>
      <c r="AZ14" s="476">
        <f>[73]Sheet1!$C$65/1000000</f>
        <v>105153.85390564824</v>
      </c>
      <c r="BA14" s="476">
        <f>[74]Sheet1!$C$65/1000000</f>
        <v>103493.59486433576</v>
      </c>
      <c r="BB14" s="476">
        <f>[40]Sheet1!$C$65/1000000</f>
        <v>100474.35102567454</v>
      </c>
      <c r="BC14" s="476">
        <f>[75]Sheet1!$C$65/1000000</f>
        <v>102914.6563340412</v>
      </c>
      <c r="BD14" s="476">
        <f>[76]Sheet1!$C$65/1000000</f>
        <v>106043.44249806491</v>
      </c>
      <c r="BE14" s="476">
        <f>[77]Sheet1!$C$65/1000000</f>
        <v>111036.16839818955</v>
      </c>
      <c r="BF14" s="476">
        <f>[41]Sheet1!$C$65/1000000</f>
        <v>111749.17520217151</v>
      </c>
      <c r="BG14" s="476">
        <f>[42]Sheet1!$C$65/1000000</f>
        <v>121874.9351728171</v>
      </c>
      <c r="BH14" s="476">
        <f>[43]Sheet1!$C$65/1000000</f>
        <v>123758.83719426092</v>
      </c>
      <c r="BI14" s="476">
        <f>[44]Sheet1!$C$65/1000000</f>
        <v>129716.99442449595</v>
      </c>
      <c r="BJ14" s="476">
        <f>[78]Sheet1!$C$65/1000000</f>
        <v>148053.71745124331</v>
      </c>
      <c r="BK14" s="476">
        <f>[79]Sheet1!$C$65/1000000</f>
        <v>144583.08279840273</v>
      </c>
      <c r="BL14" s="476">
        <f>[80]Sheet1!$C$65/1000000</f>
        <v>139212.11305088253</v>
      </c>
      <c r="BM14" s="476">
        <f>[81]Sheet1!$C$65/1000000</f>
        <v>140677.9113324655</v>
      </c>
      <c r="BN14" s="476">
        <f>[82]Sheet1!$C$65/1000000</f>
        <v>146843.16248045588</v>
      </c>
      <c r="BO14" s="476">
        <f>[83]Sheet1!$C$65/1000000</f>
        <v>143749.85896578743</v>
      </c>
      <c r="BP14" s="476">
        <f>[84]Sheet1!$C$65/1000000</f>
        <v>143582.35501178046</v>
      </c>
      <c r="BQ14" s="476">
        <f>[85]Sheet1!$C$65/1000000</f>
        <v>140529.94717886351</v>
      </c>
      <c r="BR14" s="476">
        <f>[86]Sheet1!$C$65/1000000</f>
        <v>132222.59223122144</v>
      </c>
      <c r="BS14" s="476">
        <f>[87]Sheet1!$C$65/1000000</f>
        <v>128383.79347015778</v>
      </c>
      <c r="BT14" s="476">
        <f>[88]Sheet1!$C$65/1000000</f>
        <v>129312.30198168219</v>
      </c>
      <c r="BU14" s="476">
        <f>[89]Sheet1!$C$65/1000000</f>
        <v>127890.33080152266</v>
      </c>
      <c r="BV14" s="476">
        <f>[90]Sheet1!$C$65/1000000</f>
        <v>120646.17313871859</v>
      </c>
      <c r="BW14" s="476">
        <f>[91]Sheet1!$C$65/1000000</f>
        <v>130881.52481520401</v>
      </c>
      <c r="BX14" s="476">
        <f>[92]Sheet1!$C$65/1000000</f>
        <v>134800.38709182254</v>
      </c>
      <c r="BY14" s="476">
        <f>[93]Sheet1!$C$65/1000000</f>
        <v>136678.66558510187</v>
      </c>
      <c r="BZ14" s="476">
        <f>[94]Sheet1!$C$65/1000000</f>
        <v>133408.66838813169</v>
      </c>
      <c r="CA14" s="476">
        <f>[95]Sheet1!$C$65/1000000</f>
        <v>134942.43902747094</v>
      </c>
      <c r="CB14" s="476">
        <f>[45]Sheet1!$C$65/1000000</f>
        <v>127668.48975939756</v>
      </c>
      <c r="CC14" s="476">
        <f>[46]Sheet1!$C$65/1000000</f>
        <v>124817.16336947604</v>
      </c>
      <c r="CD14" s="476">
        <f>[47]Sheet1!$C$65/1000000</f>
        <v>136694.46976323763</v>
      </c>
      <c r="CE14" s="476">
        <f>[48]Sheet1!$C$65/1000000</f>
        <v>131440.71090583361</v>
      </c>
      <c r="CF14" s="476">
        <f>[49]Sheet1!$C$65/1000000</f>
        <v>134575.68138529616</v>
      </c>
      <c r="CG14" s="476">
        <f>[50]Sheet1!$C$65/1000000</f>
        <v>138333.95997681268</v>
      </c>
      <c r="CH14" s="476">
        <f>[51]Sheet1!$C$65/1000000</f>
        <v>134417.71675145789</v>
      </c>
      <c r="CI14" s="476">
        <f>[52]Sheet1!$C$65/1000000</f>
        <v>144801.20404873413</v>
      </c>
      <c r="CJ14" s="476">
        <f>[53]Sheet1!$C$65/1000000</f>
        <v>137015.58247171863</v>
      </c>
      <c r="CK14" s="476">
        <f>[54]Sheet1!$C$65/1000000</f>
        <v>142202.88458265382</v>
      </c>
      <c r="CL14" s="476">
        <f>[55]Sheet1!$C$65/1000000</f>
        <v>144769.32789235353</v>
      </c>
      <c r="CM14" s="476">
        <f>[56]Sheet1!$C$65/1000000</f>
        <v>146232.46112448504</v>
      </c>
      <c r="CN14" s="476">
        <f>[57]Sheet1!$C$65/1000000</f>
        <v>153178.67398663203</v>
      </c>
      <c r="CO14" s="476">
        <f>[58]Sheet1!$C$65/1000000</f>
        <v>133503.22152563324</v>
      </c>
      <c r="CP14" s="435">
        <f>[59]Sheet1!$C$65/1000000</f>
        <v>138177.67327067017</v>
      </c>
    </row>
    <row r="15" spans="1:94">
      <c r="A15" s="436"/>
      <c r="B15" s="437"/>
      <c r="C15" s="478"/>
      <c r="D15" s="478"/>
      <c r="E15" s="478"/>
      <c r="F15" s="479"/>
      <c r="G15" s="478"/>
      <c r="H15" s="480"/>
      <c r="I15" s="478"/>
      <c r="J15" s="478"/>
      <c r="K15" s="478"/>
      <c r="L15" s="478"/>
      <c r="M15" s="479"/>
      <c r="N15" s="478"/>
      <c r="O15" s="478"/>
      <c r="P15" s="478"/>
      <c r="Q15" s="478"/>
      <c r="R15" s="478"/>
      <c r="S15" s="478"/>
      <c r="T15" s="478"/>
      <c r="U15" s="478"/>
      <c r="V15" s="478"/>
      <c r="W15" s="478"/>
      <c r="X15" s="478"/>
      <c r="Y15" s="478"/>
      <c r="Z15" s="478"/>
      <c r="AA15" s="478"/>
      <c r="AB15" s="479"/>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8"/>
      <c r="CM15" s="478"/>
      <c r="CN15" s="478"/>
      <c r="CO15" s="478"/>
      <c r="CP15" s="438"/>
    </row>
    <row r="16" spans="1:94">
      <c r="A16" s="433" t="s">
        <v>522</v>
      </c>
      <c r="B16" s="434" t="s">
        <v>322</v>
      </c>
      <c r="C16" s="476">
        <f>([3]sheet1!$N$95+'[4]Cat 2-MUR'!$P$95)/1000000</f>
        <v>179764.18146169593</v>
      </c>
      <c r="D16" s="476">
        <f>[5]Sheet1!$C$84/1000000</f>
        <v>179591.61172792967</v>
      </c>
      <c r="E16" s="476">
        <f>[6]Sheet1!$C$84/1000000</f>
        <v>180400.63368034217</v>
      </c>
      <c r="F16" s="400">
        <f>[7]Sheet1!$C$84/1000000</f>
        <v>190932.37516618377</v>
      </c>
      <c r="G16" s="476">
        <f>[8]Sheet1!$C$84/1000000</f>
        <v>188730.85419042656</v>
      </c>
      <c r="H16" s="477">
        <f>[9]Sheet1!$C$84/1000000</f>
        <v>192952.9797188151</v>
      </c>
      <c r="I16" s="476">
        <f>[10]Sheet1!$C$84/1000000</f>
        <v>195300.45640721545</v>
      </c>
      <c r="J16" s="476">
        <f>[11]Sheet1!$C$84/1000000</f>
        <v>191302.08613044658</v>
      </c>
      <c r="K16" s="476">
        <f>[12]Sheet1!$C$84/1000000</f>
        <v>188755.17446339058</v>
      </c>
      <c r="L16" s="476">
        <f>[13]Sheet1!$C$84/1000000</f>
        <v>191139.48148165486</v>
      </c>
      <c r="M16" s="400">
        <f>[14]Sheet1!$C$84/1000000</f>
        <v>199822.1173350476</v>
      </c>
      <c r="N16" s="476">
        <f>[15]Sheet1!$C$84/1000000</f>
        <v>200946.74230554287</v>
      </c>
      <c r="O16" s="476">
        <f>[16]Sheet1!$C$84/1000000</f>
        <v>201150.54437579276</v>
      </c>
      <c r="P16" s="476">
        <f>[17]Sheet1!$C$84/1000000</f>
        <v>206000.09023063336</v>
      </c>
      <c r="Q16" s="476">
        <f>[18]Sheet1!$C$84/1000000</f>
        <v>211691.52381715903</v>
      </c>
      <c r="R16" s="476">
        <f>[19]Sheet1!$C$84/1000000</f>
        <v>215910.97425066982</v>
      </c>
      <c r="S16" s="476">
        <f>[20]Sheet1!$C$84/1000000</f>
        <v>220003.52132813956</v>
      </c>
      <c r="T16" s="476">
        <f>[21]Sheet1!$C$84/1000000</f>
        <v>227908.96346601471</v>
      </c>
      <c r="U16" s="476">
        <f>[22]Sheet1!$C$84/1000000</f>
        <v>232633.69410979754</v>
      </c>
      <c r="V16" s="476">
        <f>[23]Sheet1!$C$84/1000000</f>
        <v>237287.73676774194</v>
      </c>
      <c r="W16" s="476">
        <f>[24]Sheet1!$C$84/1000000</f>
        <v>242373.00131097407</v>
      </c>
      <c r="X16" s="476">
        <f>[25]Sheet1!$C$84/1000000</f>
        <v>256451.18042543554</v>
      </c>
      <c r="Y16" s="476">
        <f>[26]Sheet1!$C$84/1000000</f>
        <v>260758.93102484845</v>
      </c>
      <c r="Z16" s="476">
        <f>[27]Sheet1!$C$84/1000000</f>
        <v>267888.69959609298</v>
      </c>
      <c r="AA16" s="476">
        <f>[28]Sheet1!$C$84/1000000</f>
        <v>278542.66735049873</v>
      </c>
      <c r="AB16" s="400">
        <f>[29]Sheet1!$C$84/1000000</f>
        <v>276414.0546749708</v>
      </c>
      <c r="AC16" s="476">
        <f>[30]Sheet1!$C$84/1000000</f>
        <v>278190.94833163772</v>
      </c>
      <c r="AD16" s="476">
        <f>[31]Sheet1!$C$84/1000000</f>
        <v>285376.88376735453</v>
      </c>
      <c r="AE16" s="476">
        <f>[32]Sheet1!$C$84/1000000</f>
        <v>294626.79030478245</v>
      </c>
      <c r="AF16" s="476">
        <f>[33]Sheet1!$C$84/1000000</f>
        <v>305220.11318666465</v>
      </c>
      <c r="AG16" s="476">
        <f>[34]Sheet1!$C$84/1000000</f>
        <v>305414.48065076885</v>
      </c>
      <c r="AH16" s="476">
        <f>[35]Sheet1!$C$84/1000000</f>
        <v>316464.27412598266</v>
      </c>
      <c r="AI16" s="476">
        <f>[36]Sheet1!$C$84/1000000</f>
        <v>321488.08190471033</v>
      </c>
      <c r="AJ16" s="476">
        <f>[60]Sheet1!$C$84/1000000</f>
        <v>324718.76942076941</v>
      </c>
      <c r="AK16" s="476">
        <f>[61]Sheet1!$C$84/1000000</f>
        <v>334334.91390119802</v>
      </c>
      <c r="AL16" s="476">
        <f>[62]Sheet1!$C$84/1000000</f>
        <v>353784.7891928301</v>
      </c>
      <c r="AM16" s="476">
        <f>[63]Sheet1!$C$84/1000000</f>
        <v>344918.27478603664</v>
      </c>
      <c r="AN16" s="476">
        <f>[64]Sheet1!$C$84/1000000</f>
        <v>351080.79259677895</v>
      </c>
      <c r="AO16" s="476">
        <f>[65]Sheet1!$C$84/1000000</f>
        <v>366799.36755449406</v>
      </c>
      <c r="AP16" s="476">
        <f>[37]Sheet1!$C$84/1000000</f>
        <v>378298.36246365175</v>
      </c>
      <c r="AQ16" s="476">
        <f>[38]Sheet1!$C$84/1000000</f>
        <v>405673.81507120864</v>
      </c>
      <c r="AR16" s="476">
        <f>[39]Sheet1!$C$84/1000000</f>
        <v>407645.48360256373</v>
      </c>
      <c r="AS16" s="476">
        <f>[66]Sheet1!$C$84/1000000</f>
        <v>406034.25630723045</v>
      </c>
      <c r="AT16" s="476">
        <f>[67]Sheet1!$C$84/1000000</f>
        <v>406375.12004752737</v>
      </c>
      <c r="AU16" s="476">
        <f>[68]Sheet1!$C$84/1000000</f>
        <v>407599.22215343959</v>
      </c>
      <c r="AV16" s="476">
        <f>[69]Sheet1!$C$84/1000000</f>
        <v>392946.15722075611</v>
      </c>
      <c r="AW16" s="476">
        <f>[70]Sheet1!$C$84/1000000</f>
        <v>387571.1121437776</v>
      </c>
      <c r="AX16" s="476">
        <f>[71]Sheet1!$C$84/1000000</f>
        <v>382553.5277641057</v>
      </c>
      <c r="AY16" s="476">
        <f>[72]Sheet1!$C$84/1000000</f>
        <v>378714.36046257848</v>
      </c>
      <c r="AZ16" s="476">
        <f>[73]Sheet1!$C$84/1000000</f>
        <v>384547.53966456914</v>
      </c>
      <c r="BA16" s="476">
        <f>[74]Sheet1!$C$84/1000000</f>
        <v>392966.88784112025</v>
      </c>
      <c r="BB16" s="476">
        <f>[40]Sheet1!$C$84/1000000</f>
        <v>390396.04204216122</v>
      </c>
      <c r="BC16" s="476">
        <f>[75]Sheet1!$C$84/1000000</f>
        <v>374723.27415283828</v>
      </c>
      <c r="BD16" s="476">
        <f>[76]Sheet1!$C$84/1000000</f>
        <v>368585.876975864</v>
      </c>
      <c r="BE16" s="476">
        <f>[77]Sheet1!$C$84/1000000</f>
        <v>369234.04283372802</v>
      </c>
      <c r="BF16" s="476">
        <f>[41]Sheet1!$C$84/1000000</f>
        <v>367004.62905803765</v>
      </c>
      <c r="BG16" s="476">
        <f>[42]Sheet1!$C$84/1000000</f>
        <v>373325.19938802731</v>
      </c>
      <c r="BH16" s="476">
        <f>[43]Sheet1!$C$84/1000000</f>
        <v>368662.33569503558</v>
      </c>
      <c r="BI16" s="476">
        <f>[44]Sheet1!$C$84/1000000</f>
        <v>374090.97362944548</v>
      </c>
      <c r="BJ16" s="476">
        <f>[78]Sheet1!$C$84/1000000</f>
        <v>400651.4841397191</v>
      </c>
      <c r="BK16" s="476">
        <f>[79]Sheet1!$C$84/1000000</f>
        <v>411413.14709731407</v>
      </c>
      <c r="BL16" s="476">
        <f>[80]Sheet1!$C$84/1000000</f>
        <v>410272.1869251008</v>
      </c>
      <c r="BM16" s="476">
        <f>[81]Sheet1!$C$84/1000000</f>
        <v>419210.44856338523</v>
      </c>
      <c r="BN16" s="476">
        <f>[82]Sheet1!$C$84/1000000</f>
        <v>414383.54595580377</v>
      </c>
      <c r="BO16" s="476">
        <f>[83]Sheet1!$C$84/1000000</f>
        <v>411871.50668126525</v>
      </c>
      <c r="BP16" s="476">
        <f>[84]Sheet1!$C$84/1000000</f>
        <v>414354.97821152146</v>
      </c>
      <c r="BQ16" s="476">
        <f>[85]Sheet1!$C$84/1000000</f>
        <v>427334.60872403492</v>
      </c>
      <c r="BR16" s="476">
        <f>[86]Sheet1!$C$84/1000000</f>
        <v>422538.62061731407</v>
      </c>
      <c r="BS16" s="476">
        <f>[87]Sheet1!$C$84/1000000</f>
        <v>427846.11300471361</v>
      </c>
      <c r="BT16" s="476">
        <f>[88]Sheet1!$C$84/1000000</f>
        <v>431186.02208875871</v>
      </c>
      <c r="BU16" s="476">
        <f>[89]Sheet1!$C$84/1000000</f>
        <v>428538.19527020393</v>
      </c>
      <c r="BV16" s="476">
        <f>[90]Sheet1!$C$84/1000000</f>
        <v>445161.06554927357</v>
      </c>
      <c r="BW16" s="476">
        <f>[91]Sheet1!$C$84/1000000</f>
        <v>453707.34446915303</v>
      </c>
      <c r="BX16" s="476">
        <f>[92]Sheet1!$C$84/1000000</f>
        <v>458523.23958994192</v>
      </c>
      <c r="BY16" s="476">
        <f>[93]Sheet1!$C$84/1000000</f>
        <v>467036.74765025225</v>
      </c>
      <c r="BZ16" s="476">
        <f>[94]Sheet1!$C$84/1000000</f>
        <v>474422.99957642856</v>
      </c>
      <c r="CA16" s="476">
        <f>[95]Sheet1!$C$84/1000000</f>
        <v>475904.6376257154</v>
      </c>
      <c r="CB16" s="476">
        <f>[45]Sheet1!$C$84/1000000</f>
        <v>484559.66586078994</v>
      </c>
      <c r="CC16" s="476">
        <f>[46]Sheet1!$C$84/1000000</f>
        <v>496998.63777517405</v>
      </c>
      <c r="CD16" s="476">
        <f>[47]Sheet1!$C$84/1000000</f>
        <v>500608.26110202086</v>
      </c>
      <c r="CE16" s="476">
        <f>[48]Sheet1!$C$84/1000000</f>
        <v>488704.15101132356</v>
      </c>
      <c r="CF16" s="476">
        <f>[49]Sheet1!$C$84/1000000</f>
        <v>489964.81371050281</v>
      </c>
      <c r="CG16" s="476">
        <f>[50]Sheet1!$C$84/1000000</f>
        <v>490261.90212582826</v>
      </c>
      <c r="CH16" s="476">
        <f>[51]Sheet1!$C$84/1000000</f>
        <v>501158.97295709484</v>
      </c>
      <c r="CI16" s="476">
        <f>[52]Sheet1!$C$84/1000000</f>
        <v>520940.20937516302</v>
      </c>
      <c r="CJ16" s="476">
        <f>[53]Sheet1!$C$84/1000000</f>
        <v>513303.51404687302</v>
      </c>
      <c r="CK16" s="476">
        <f>[54]Sheet1!$C$84/1000000</f>
        <v>505733.67093811667</v>
      </c>
      <c r="CL16" s="476">
        <f>[55]Sheet1!$C$84/1000000</f>
        <v>510038.05878588563</v>
      </c>
      <c r="CM16" s="476">
        <f>[56]Sheet1!$C$84/1000000</f>
        <v>525115.37969341618</v>
      </c>
      <c r="CN16" s="476">
        <f>[57]Sheet1!$C$84/1000000</f>
        <v>535255.1564709571</v>
      </c>
      <c r="CO16" s="476">
        <f>[58]Sheet1!$C$84/1000000</f>
        <v>534442.85094956658</v>
      </c>
      <c r="CP16" s="435">
        <f>[59]Sheet1!$C$84/1000000</f>
        <v>528829.43426212191</v>
      </c>
    </row>
    <row r="17" spans="1:94">
      <c r="A17" s="436"/>
      <c r="B17" s="437"/>
      <c r="C17" s="478"/>
      <c r="D17" s="478"/>
      <c r="E17" s="478"/>
      <c r="F17" s="479"/>
      <c r="G17" s="478"/>
      <c r="H17" s="480"/>
      <c r="I17" s="478"/>
      <c r="J17" s="478"/>
      <c r="K17" s="478"/>
      <c r="L17" s="478"/>
      <c r="M17" s="479"/>
      <c r="N17" s="478"/>
      <c r="O17" s="478"/>
      <c r="P17" s="478"/>
      <c r="Q17" s="478"/>
      <c r="R17" s="478"/>
      <c r="S17" s="478"/>
      <c r="T17" s="478"/>
      <c r="U17" s="478"/>
      <c r="V17" s="478"/>
      <c r="W17" s="478"/>
      <c r="X17" s="478"/>
      <c r="Y17" s="478"/>
      <c r="Z17" s="478"/>
      <c r="AA17" s="478"/>
      <c r="AB17" s="479"/>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38"/>
    </row>
    <row r="18" spans="1:94">
      <c r="A18" s="433" t="s">
        <v>523</v>
      </c>
      <c r="B18" s="434" t="s">
        <v>524</v>
      </c>
      <c r="C18" s="476">
        <f>([3]sheet1!$N$110+'[4]Cat 2-MUR'!$P$110)/1000000</f>
        <v>5282.042762257528</v>
      </c>
      <c r="D18" s="476">
        <f>[5]Sheet1!$C$98/1000000</f>
        <v>6123.5235808214493</v>
      </c>
      <c r="E18" s="476">
        <f>[6]Sheet1!$C$98/1000000</f>
        <v>6153.1801983783034</v>
      </c>
      <c r="F18" s="400">
        <f>[7]Sheet1!$C$98/1000000</f>
        <v>6063.0566770590876</v>
      </c>
      <c r="G18" s="476">
        <f>[8]Sheet1!$C$98/1000000</f>
        <v>6273.5712235014062</v>
      </c>
      <c r="H18" s="477">
        <f>[9]Sheet1!$C$98/1000000</f>
        <v>6431.3921764998713</v>
      </c>
      <c r="I18" s="476">
        <f>[10]Sheet1!$C$98/1000000</f>
        <v>6675.5342359677488</v>
      </c>
      <c r="J18" s="476">
        <f>[11]Sheet1!$C$98/1000000</f>
        <v>6123.3352067205733</v>
      </c>
      <c r="K18" s="476">
        <f>[12]Sheet1!$C$98/1000000</f>
        <v>6391.2170966939248</v>
      </c>
      <c r="L18" s="476">
        <f>[13]Sheet1!$C$98/1000000</f>
        <v>6609.6105331083254</v>
      </c>
      <c r="M18" s="400">
        <f>[14]Sheet1!$C$98/1000000</f>
        <v>6482.459391530756</v>
      </c>
      <c r="N18" s="476">
        <f>[15]Sheet1!$C$98/1000000</f>
        <v>6162.9194693860054</v>
      </c>
      <c r="O18" s="476">
        <f>[16]Sheet1!$C$98/1000000</f>
        <v>7050.0320425050813</v>
      </c>
      <c r="P18" s="476">
        <f>[17]Sheet1!$C$98/1000000</f>
        <v>7810.9919800473563</v>
      </c>
      <c r="Q18" s="476">
        <f>[18]Sheet1!$C$98/1000000</f>
        <v>8162.7798835411477</v>
      </c>
      <c r="R18" s="476">
        <f>[19]Sheet1!$C$98/1000000</f>
        <v>8339.9352781056496</v>
      </c>
      <c r="S18" s="476">
        <f>[20]Sheet1!$C$98/1000000</f>
        <v>8775.1399464384449</v>
      </c>
      <c r="T18" s="476">
        <f>[21]Sheet1!$C$98/1000000</f>
        <v>9056.0215949071808</v>
      </c>
      <c r="U18" s="476">
        <f>[22]Sheet1!$C$98/1000000</f>
        <v>9113.2825619745945</v>
      </c>
      <c r="V18" s="476">
        <f>[23]Sheet1!$C$98/1000000</f>
        <v>8864.1059087831745</v>
      </c>
      <c r="W18" s="476">
        <f>[24]Sheet1!$C$98/1000000</f>
        <v>8836.9800189444995</v>
      </c>
      <c r="X18" s="476">
        <f>[25]Sheet1!$C$98/1000000</f>
        <v>9046.9744280820723</v>
      </c>
      <c r="Y18" s="476">
        <f>[26]Sheet1!$C$98/1000000</f>
        <v>8892.6326690806345</v>
      </c>
      <c r="Z18" s="476">
        <f>[27]Sheet1!$C$98/1000000</f>
        <v>9159.700990851059</v>
      </c>
      <c r="AA18" s="476">
        <f>[28]Sheet1!$C$98/1000000</f>
        <v>9714.1885484408103</v>
      </c>
      <c r="AB18" s="400">
        <f>[29]Sheet1!$C$98/1000000</f>
        <v>9721.5077135713418</v>
      </c>
      <c r="AC18" s="476">
        <f>[30]Sheet1!$C$98/1000000</f>
        <v>9637.4572681773534</v>
      </c>
      <c r="AD18" s="476">
        <f>[31]Sheet1!$C$98/1000000</f>
        <v>9905.6636775367569</v>
      </c>
      <c r="AE18" s="476">
        <f>[32]Sheet1!$C$98/1000000</f>
        <v>10070.92471456089</v>
      </c>
      <c r="AF18" s="476">
        <f>[33]Sheet1!$C$98/1000000</f>
        <v>9905.6309114562446</v>
      </c>
      <c r="AG18" s="476">
        <f>[34]Sheet1!$C$98/1000000</f>
        <v>9492.5063277130303</v>
      </c>
      <c r="AH18" s="476">
        <f>[35]Sheet1!$C$98/1000000</f>
        <v>9140.6115855565113</v>
      </c>
      <c r="AI18" s="476">
        <f>[36]Sheet1!$C$98/1000000</f>
        <v>9097.9581863881867</v>
      </c>
      <c r="AJ18" s="476">
        <f>[60]Sheet1!$C$98/1000000</f>
        <v>9049.2120614765481</v>
      </c>
      <c r="AK18" s="476">
        <f>[61]Sheet1!$C$98/1000000</f>
        <v>9451.7013272666081</v>
      </c>
      <c r="AL18" s="476">
        <f>[62]Sheet1!$C$98/1000000</f>
        <v>9903.4702497332273</v>
      </c>
      <c r="AM18" s="476">
        <f>[63]Sheet1!$C$98/1000000</f>
        <v>10266.522122360468</v>
      </c>
      <c r="AN18" s="476">
        <f>[64]Sheet1!$C$98/1000000</f>
        <v>10138.398130109386</v>
      </c>
      <c r="AO18" s="476">
        <f>[65]Sheet1!$C$98/1000000</f>
        <v>10258.146089774506</v>
      </c>
      <c r="AP18" s="476">
        <f>[37]Sheet1!$C$98/1000000</f>
        <v>10123.111599918151</v>
      </c>
      <c r="AQ18" s="476">
        <f>[38]Sheet1!$C$98/1000000</f>
        <v>10381.543188819252</v>
      </c>
      <c r="AR18" s="476">
        <f>[39]Sheet1!$C$98/1000000</f>
        <v>10247.739571464119</v>
      </c>
      <c r="AS18" s="476">
        <f>[66]Sheet1!$C$98/1000000</f>
        <v>10020.429651028317</v>
      </c>
      <c r="AT18" s="476">
        <f>[67]Sheet1!$C$98/1000000</f>
        <v>10457.706461113652</v>
      </c>
      <c r="AU18" s="476">
        <f>[68]Sheet1!$C$98/1000000</f>
        <v>10427.419027896141</v>
      </c>
      <c r="AV18" s="476">
        <f>[69]Sheet1!$C$98/1000000</f>
        <v>10321.16999048943</v>
      </c>
      <c r="AW18" s="476">
        <f>[70]Sheet1!$C$98/1000000</f>
        <v>10757.798135475576</v>
      </c>
      <c r="AX18" s="476">
        <f>[71]Sheet1!$C$98/1000000</f>
        <v>10905.522944980214</v>
      </c>
      <c r="AY18" s="476">
        <f>[72]Sheet1!$C$98/1000000</f>
        <v>11138.713318420934</v>
      </c>
      <c r="AZ18" s="476">
        <f>[73]Sheet1!$C$98/1000000</f>
        <v>10946.915813885547</v>
      </c>
      <c r="BA18" s="476">
        <f>[74]Sheet1!$C$98/1000000</f>
        <v>11002.011173572051</v>
      </c>
      <c r="BB18" s="476">
        <f>[40]Sheet1!$C$98/1000000</f>
        <v>11322.968254376423</v>
      </c>
      <c r="BC18" s="476">
        <f>[75]Sheet1!$C$98/1000000</f>
        <v>11229.967388345669</v>
      </c>
      <c r="BD18" s="476">
        <f>[76]Sheet1!$C$98/1000000</f>
        <v>10773.805149697238</v>
      </c>
      <c r="BE18" s="476">
        <f>[77]Sheet1!$C$98/1000000</f>
        <v>10544.653757608021</v>
      </c>
      <c r="BF18" s="476">
        <f>[41]Sheet1!$C$98/1000000</f>
        <v>10624.524407957028</v>
      </c>
      <c r="BG18" s="476">
        <f>[42]Sheet1!$C$98/1000000</f>
        <v>10114.274971665242</v>
      </c>
      <c r="BH18" s="476">
        <f>[43]Sheet1!$C$98/1000000</f>
        <v>10400.813354384767</v>
      </c>
      <c r="BI18" s="476">
        <f>[44]Sheet1!$C$98/1000000</f>
        <v>10340.646852045124</v>
      </c>
      <c r="BJ18" s="476">
        <f>[78]Sheet1!$C$98/1000000</f>
        <v>10667.759708783247</v>
      </c>
      <c r="BK18" s="476">
        <f>[79]Sheet1!$C$98/1000000</f>
        <v>10824.915072189777</v>
      </c>
      <c r="BL18" s="476">
        <f>[80]Sheet1!$C$98/1000000</f>
        <v>10531.243095866486</v>
      </c>
      <c r="BM18" s="476">
        <f>[81]Sheet1!$C$98/1000000</f>
        <v>10469.677174365628</v>
      </c>
      <c r="BN18" s="476">
        <f>[82]Sheet1!$C$98/1000000</f>
        <v>10644.814493983091</v>
      </c>
      <c r="BO18" s="476">
        <f>[83]Sheet1!$C$98/1000000</f>
        <v>10490.394928120415</v>
      </c>
      <c r="BP18" s="476">
        <f>[84]Sheet1!$C$98/1000000</f>
        <v>10669.389382399033</v>
      </c>
      <c r="BQ18" s="476">
        <f>[85]Sheet1!$C$98/1000000</f>
        <v>11197.725749705383</v>
      </c>
      <c r="BR18" s="476">
        <f>[86]Sheet1!$C$98/1000000</f>
        <v>11143.212660116214</v>
      </c>
      <c r="BS18" s="476">
        <f>[87]Sheet1!$C$98/1000000</f>
        <v>14201.062500297105</v>
      </c>
      <c r="BT18" s="476">
        <f>[88]Sheet1!$C$98/1000000</f>
        <v>14189.63483859886</v>
      </c>
      <c r="BU18" s="476">
        <f>[89]Sheet1!$C$98/1000000</f>
        <v>14068.346302054286</v>
      </c>
      <c r="BV18" s="476">
        <f>[90]Sheet1!$C$98/1000000</f>
        <v>14326.580397842639</v>
      </c>
      <c r="BW18" s="476">
        <f>[91]Sheet1!$C$98/1000000</f>
        <v>14744.866356662254</v>
      </c>
      <c r="BX18" s="476">
        <f>[92]Sheet1!$C$98/1000000</f>
        <v>14606.023406897541</v>
      </c>
      <c r="BY18" s="476">
        <f>[93]Sheet1!$C$98/1000000</f>
        <v>14364.851775402482</v>
      </c>
      <c r="BZ18" s="476">
        <f>[94]Sheet1!$C$98/1000000</f>
        <v>15612.987536650087</v>
      </c>
      <c r="CA18" s="476">
        <f>[95]Sheet1!$C$98/1000000</f>
        <v>15428.354063499448</v>
      </c>
      <c r="CB18" s="476">
        <f>[45]Sheet1!$C$98/1000000</f>
        <v>15535.647640264111</v>
      </c>
      <c r="CC18" s="476">
        <f>[46]Sheet1!$C$98/1000000</f>
        <v>12876.78512332525</v>
      </c>
      <c r="CD18" s="476">
        <f>[47]Sheet1!$C$98/1000000</f>
        <v>12373.018670679581</v>
      </c>
      <c r="CE18" s="476">
        <f>[48]Sheet1!$C$98/1000000</f>
        <v>12863.420396478494</v>
      </c>
      <c r="CF18" s="476">
        <f>[49]Sheet1!$C$98/1000000</f>
        <v>14295.046985859741</v>
      </c>
      <c r="CG18" s="476">
        <f>[50]Sheet1!$C$98/1000000</f>
        <v>14965.028151925204</v>
      </c>
      <c r="CH18" s="476">
        <f>[51]Sheet1!$C$98/1000000</f>
        <v>15129.693912540921</v>
      </c>
      <c r="CI18" s="476">
        <f>[52]Sheet1!$C$98/1000000</f>
        <v>15533.467592170398</v>
      </c>
      <c r="CJ18" s="476">
        <f>[53]Sheet1!$C$98/1000000</f>
        <v>13880.737775192189</v>
      </c>
      <c r="CK18" s="476">
        <f>[54]Sheet1!$C$98/1000000</f>
        <v>14211.997956327354</v>
      </c>
      <c r="CL18" s="476">
        <f>[55]Sheet1!$C$98/1000000</f>
        <v>13462.792695712837</v>
      </c>
      <c r="CM18" s="476">
        <f>[56]Sheet1!$C$98/1000000</f>
        <v>13994.288435268953</v>
      </c>
      <c r="CN18" s="476">
        <f>[57]Sheet1!$C$98/1000000</f>
        <v>13732.079233812961</v>
      </c>
      <c r="CO18" s="476">
        <f>[58]Sheet1!$C$98/1000000</f>
        <v>14474.851702859765</v>
      </c>
      <c r="CP18" s="435">
        <f>[59]Sheet1!$C$98/1000000</f>
        <v>13976.891304580611</v>
      </c>
    </row>
    <row r="19" spans="1:94">
      <c r="A19" s="436"/>
      <c r="B19" s="440"/>
      <c r="C19" s="478"/>
      <c r="D19" s="478"/>
      <c r="E19" s="478"/>
      <c r="F19" s="479"/>
      <c r="G19" s="478"/>
      <c r="H19" s="480"/>
      <c r="I19" s="478"/>
      <c r="J19" s="478"/>
      <c r="K19" s="478"/>
      <c r="L19" s="478"/>
      <c r="M19" s="479"/>
      <c r="N19" s="478"/>
      <c r="O19" s="478"/>
      <c r="P19" s="478"/>
      <c r="Q19" s="478"/>
      <c r="R19" s="478"/>
      <c r="S19" s="478"/>
      <c r="T19" s="478"/>
      <c r="U19" s="478"/>
      <c r="V19" s="478"/>
      <c r="W19" s="478"/>
      <c r="X19" s="478"/>
      <c r="Y19" s="478"/>
      <c r="Z19" s="478"/>
      <c r="AA19" s="478"/>
      <c r="AB19" s="479"/>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38"/>
    </row>
    <row r="20" spans="1:94">
      <c r="A20" s="433" t="s">
        <v>525</v>
      </c>
      <c r="B20" s="434" t="s">
        <v>526</v>
      </c>
      <c r="C20" s="476">
        <f>([3]sheet1!$N$123+'[4]Cat 2-MUR'!$P$123)/1000000</f>
        <v>0</v>
      </c>
      <c r="D20" s="476">
        <f>[5]Sheet1!$C$110/1000000</f>
        <v>0</v>
      </c>
      <c r="E20" s="476">
        <f>[6]Sheet1!$C$110/1000000</f>
        <v>0</v>
      </c>
      <c r="F20" s="400">
        <f>[7]Sheet1!$C$110/1000000</f>
        <v>0</v>
      </c>
      <c r="G20" s="476">
        <f>[8]Sheet1!$C$110/1000000</f>
        <v>0</v>
      </c>
      <c r="H20" s="477">
        <f>[9]Sheet1!$C$110/1000000</f>
        <v>0</v>
      </c>
      <c r="I20" s="476">
        <f>[10]Sheet1!$C$110/1000000</f>
        <v>0</v>
      </c>
      <c r="J20" s="476">
        <f>[11]Sheet1!$C$110/1000000</f>
        <v>0</v>
      </c>
      <c r="K20" s="476">
        <f>[12]Sheet1!$C$110/1000000</f>
        <v>0</v>
      </c>
      <c r="L20" s="476">
        <f>[13]Sheet1!$C$110/1000000</f>
        <v>0</v>
      </c>
      <c r="M20" s="400">
        <f>[14]Sheet1!$C$110/1000000</f>
        <v>0</v>
      </c>
      <c r="N20" s="476">
        <f>[15]Sheet1!$C$110/1000000</f>
        <v>0</v>
      </c>
      <c r="O20" s="476">
        <f>[16]Sheet1!$C$110/1000000</f>
        <v>0</v>
      </c>
      <c r="P20" s="476">
        <f>[17]Sheet1!$C$110/1000000</f>
        <v>0</v>
      </c>
      <c r="Q20" s="476">
        <f>[18]Sheet1!$C$110/1000000</f>
        <v>0</v>
      </c>
      <c r="R20" s="476">
        <f>[19]Sheet1!$C$110/1000000</f>
        <v>0</v>
      </c>
      <c r="S20" s="476">
        <f>[20]Sheet1!$C$110/1000000</f>
        <v>0</v>
      </c>
      <c r="T20" s="476">
        <f>[21]Sheet1!$C$110/1000000</f>
        <v>0</v>
      </c>
      <c r="U20" s="476">
        <f>[22]Sheet1!$C$110/1000000</f>
        <v>0</v>
      </c>
      <c r="V20" s="476">
        <f>[23]Sheet1!$C$110/1000000</f>
        <v>0</v>
      </c>
      <c r="W20" s="476">
        <f>[24]Sheet1!$C$110/1000000</f>
        <v>0</v>
      </c>
      <c r="X20" s="476">
        <f>[25]Sheet1!$C$110/1000000</f>
        <v>0</v>
      </c>
      <c r="Y20" s="476">
        <f>[26]Sheet1!$C$110/1000000</f>
        <v>0</v>
      </c>
      <c r="Z20" s="476">
        <f>[27]Sheet1!$C$110/1000000</f>
        <v>0</v>
      </c>
      <c r="AA20" s="476">
        <f>[28]Sheet1!$C$110/1000000</f>
        <v>0</v>
      </c>
      <c r="AB20" s="400">
        <f>[29]Sheet1!$C$110/1000000</f>
        <v>0</v>
      </c>
      <c r="AC20" s="476">
        <f>[30]Sheet1!$C$110/1000000</f>
        <v>0</v>
      </c>
      <c r="AD20" s="476">
        <f>[31]Sheet1!$C$110/1000000</f>
        <v>0</v>
      </c>
      <c r="AE20" s="476">
        <f>[32]Sheet1!$C$110/1000000</f>
        <v>0</v>
      </c>
      <c r="AF20" s="476">
        <f>[33]Sheet1!$C$110/1000000</f>
        <v>0</v>
      </c>
      <c r="AG20" s="476">
        <f>[34]Sheet1!$C$110/1000000</f>
        <v>0</v>
      </c>
      <c r="AH20" s="476">
        <f>[35]Sheet1!$C$110/1000000</f>
        <v>0</v>
      </c>
      <c r="AI20" s="476">
        <f>[36]Sheet1!$C$110/1000000</f>
        <v>0</v>
      </c>
      <c r="AJ20" s="476">
        <f>[60]Sheet1!$C$110/1000000</f>
        <v>0</v>
      </c>
      <c r="AK20" s="476">
        <f>[61]Sheet1!$C$110/1000000</f>
        <v>0</v>
      </c>
      <c r="AL20" s="476">
        <f>[62]Sheet1!$C$110/1000000</f>
        <v>0</v>
      </c>
      <c r="AM20" s="476">
        <f>[63]Sheet1!$C$110/1000000</f>
        <v>0</v>
      </c>
      <c r="AN20" s="476">
        <f>[64]Sheet1!$C$110/1000000</f>
        <v>0</v>
      </c>
      <c r="AO20" s="476">
        <f>[65]Sheet1!$C$110/1000000</f>
        <v>0</v>
      </c>
      <c r="AP20" s="476">
        <f>[37]Sheet1!$C$110/1000000</f>
        <v>0</v>
      </c>
      <c r="AQ20" s="476">
        <f>[38]Sheet1!$C$110/1000000</f>
        <v>0</v>
      </c>
      <c r="AR20" s="476">
        <f>[39]Sheet1!$C$110/1000000</f>
        <v>0</v>
      </c>
      <c r="AS20" s="476">
        <f>[66]Sheet1!$C$110/1000000</f>
        <v>0</v>
      </c>
      <c r="AT20" s="476">
        <f>[67]Sheet1!$C$110/1000000</f>
        <v>0</v>
      </c>
      <c r="AU20" s="476">
        <f>[68]Sheet1!$C$110/1000000</f>
        <v>0</v>
      </c>
      <c r="AV20" s="476">
        <f>[69]Sheet1!$C$110/1000000</f>
        <v>0</v>
      </c>
      <c r="AW20" s="476">
        <f>[70]Sheet1!$C$110/1000000</f>
        <v>0</v>
      </c>
      <c r="AX20" s="476">
        <f>[71]Sheet1!$C$110/1000000</f>
        <v>0</v>
      </c>
      <c r="AY20" s="476">
        <f>[72]Sheet1!$C$110/1000000</f>
        <v>0</v>
      </c>
      <c r="AZ20" s="476">
        <f>[73]Sheet1!$C$110/1000000</f>
        <v>0</v>
      </c>
      <c r="BA20" s="476">
        <f>[74]Sheet1!$C$110/1000000</f>
        <v>0</v>
      </c>
      <c r="BB20" s="476">
        <f>[40]Sheet1!$C$110/1000000</f>
        <v>0</v>
      </c>
      <c r="BC20" s="476">
        <f>[75]Sheet1!$C$110/1000000</f>
        <v>0</v>
      </c>
      <c r="BD20" s="476">
        <f>[76]Sheet1!$C$110/1000000</f>
        <v>0</v>
      </c>
      <c r="BE20" s="476">
        <f>[77]Sheet1!$C$110/1000000</f>
        <v>0</v>
      </c>
      <c r="BF20" s="476">
        <f>[41]Sheet1!$C$110/1000000</f>
        <v>0</v>
      </c>
      <c r="BG20" s="476">
        <f>[42]Sheet1!$C$110/1000000</f>
        <v>0</v>
      </c>
      <c r="BH20" s="476">
        <f>[43]Sheet1!$C$110/1000000</f>
        <v>0</v>
      </c>
      <c r="BI20" s="476">
        <f>[44]Sheet1!$C$110/1000000</f>
        <v>0</v>
      </c>
      <c r="BJ20" s="476">
        <f>[78]Sheet1!$C$110/1000000</f>
        <v>0</v>
      </c>
      <c r="BK20" s="476">
        <f>[79]Sheet1!$C$110/1000000</f>
        <v>0</v>
      </c>
      <c r="BL20" s="476">
        <f>[80]Sheet1!$C$110/1000000</f>
        <v>0</v>
      </c>
      <c r="BM20" s="476">
        <f>[81]Sheet1!$C$110/1000000</f>
        <v>0</v>
      </c>
      <c r="BN20" s="476">
        <f>[82]Sheet1!$C$110/1000000</f>
        <v>0</v>
      </c>
      <c r="BO20" s="476">
        <f>[83]Sheet1!$C$110/1000000</f>
        <v>0</v>
      </c>
      <c r="BP20" s="476">
        <f>[84]Sheet1!$C$110/1000000</f>
        <v>0</v>
      </c>
      <c r="BQ20" s="476">
        <f>[85]Sheet1!$C$110/1000000</f>
        <v>0</v>
      </c>
      <c r="BR20" s="476">
        <f>[86]Sheet1!$C$110/1000000</f>
        <v>0</v>
      </c>
      <c r="BS20" s="476">
        <f>[87]Sheet1!$C$110/1000000</f>
        <v>0</v>
      </c>
      <c r="BT20" s="476">
        <f>[88]Sheet1!$C$110/1000000</f>
        <v>0</v>
      </c>
      <c r="BU20" s="476">
        <f>[89]Sheet1!$C$110/1000000</f>
        <v>0</v>
      </c>
      <c r="BV20" s="476">
        <f>[90]Sheet1!$C$110/1000000</f>
        <v>0</v>
      </c>
      <c r="BW20" s="476">
        <f>[91]Sheet1!$C$110/1000000</f>
        <v>0</v>
      </c>
      <c r="BX20" s="476">
        <f>[92]Sheet1!$C$110/1000000</f>
        <v>0</v>
      </c>
      <c r="BY20" s="476">
        <f>[93]Sheet1!$C$110/1000000</f>
        <v>0</v>
      </c>
      <c r="BZ20" s="476">
        <f>[94]Sheet1!$C$110/1000000</f>
        <v>0</v>
      </c>
      <c r="CA20" s="476">
        <f>[95]Sheet1!$C$110/1000000</f>
        <v>0</v>
      </c>
      <c r="CB20" s="476">
        <f>[45]Sheet1!$C$110/1000000</f>
        <v>0</v>
      </c>
      <c r="CC20" s="476">
        <f>[46]Sheet1!$C$110/1000000</f>
        <v>0</v>
      </c>
      <c r="CD20" s="476">
        <f>[47]Sheet1!$C$110/1000000</f>
        <v>0</v>
      </c>
      <c r="CE20" s="476">
        <f>[48]Sheet1!$C$110/1000000</f>
        <v>0</v>
      </c>
      <c r="CF20" s="476">
        <f>[49]Sheet1!$C$110/1000000</f>
        <v>0</v>
      </c>
      <c r="CG20" s="476">
        <f>[50]Sheet1!$C$110/1000000</f>
        <v>0</v>
      </c>
      <c r="CH20" s="476">
        <f>[51]Sheet1!$C$110/1000000</f>
        <v>0</v>
      </c>
      <c r="CI20" s="476">
        <f>[52]Sheet1!$C$110/1000000</f>
        <v>0</v>
      </c>
      <c r="CJ20" s="476">
        <f>[53]Sheet1!$C$110/1000000</f>
        <v>0</v>
      </c>
      <c r="CK20" s="476">
        <f>[54]Sheet1!$C$110/1000000</f>
        <v>0</v>
      </c>
      <c r="CL20" s="476">
        <f>[55]Sheet1!$C$110/1000000</f>
        <v>0</v>
      </c>
      <c r="CM20" s="476">
        <f>[56]Sheet1!$C$110/1000000</f>
        <v>0</v>
      </c>
      <c r="CN20" s="476">
        <f>[57]Sheet1!$C$110/1000000</f>
        <v>0</v>
      </c>
      <c r="CO20" s="476">
        <f>[58]Sheet1!$C$110/1000000</f>
        <v>0</v>
      </c>
      <c r="CP20" s="435">
        <f>[59]Sheet1!$C$110/1000000</f>
        <v>0</v>
      </c>
    </row>
    <row r="21" spans="1:94">
      <c r="A21" s="436"/>
      <c r="B21" s="437"/>
      <c r="C21" s="478"/>
      <c r="D21" s="478"/>
      <c r="E21" s="478"/>
      <c r="F21" s="479"/>
      <c r="G21" s="478"/>
      <c r="H21" s="480"/>
      <c r="I21" s="478"/>
      <c r="J21" s="478"/>
      <c r="K21" s="478"/>
      <c r="L21" s="478"/>
      <c r="M21" s="479"/>
      <c r="N21" s="478"/>
      <c r="O21" s="478"/>
      <c r="P21" s="478"/>
      <c r="Q21" s="478"/>
      <c r="R21" s="478"/>
      <c r="S21" s="478"/>
      <c r="T21" s="478"/>
      <c r="U21" s="478"/>
      <c r="V21" s="478"/>
      <c r="W21" s="478"/>
      <c r="X21" s="478"/>
      <c r="Y21" s="478"/>
      <c r="Z21" s="478"/>
      <c r="AA21" s="478"/>
      <c r="AB21" s="479"/>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38"/>
    </row>
    <row r="22" spans="1:94">
      <c r="A22" s="433" t="s">
        <v>527</v>
      </c>
      <c r="B22" s="434" t="s">
        <v>528</v>
      </c>
      <c r="C22" s="476">
        <f>([3]sheet1!$N$129+'[4]Cat 2-MUR'!$P$129)/1000000</f>
        <v>26183.901282920295</v>
      </c>
      <c r="D22" s="476">
        <f>[5]Sheet1!$C$115/1000000</f>
        <v>30920.629340638301</v>
      </c>
      <c r="E22" s="476">
        <f>[6]Sheet1!$C$115/1000000</f>
        <v>30127.544491920886</v>
      </c>
      <c r="F22" s="400">
        <f>[7]Sheet1!$C$115/1000000</f>
        <v>27572.021538983245</v>
      </c>
      <c r="G22" s="476">
        <f>[8]Sheet1!$C$115/1000000</f>
        <v>33933.736539922735</v>
      </c>
      <c r="H22" s="477">
        <f>[9]Sheet1!$C$115/1000000</f>
        <v>32760.140197956243</v>
      </c>
      <c r="I22" s="476">
        <f>[10]Sheet1!$C$115/1000000</f>
        <v>30932.200626476388</v>
      </c>
      <c r="J22" s="476">
        <f>[11]Sheet1!$C$115/1000000</f>
        <v>36789.194293661276</v>
      </c>
      <c r="K22" s="476">
        <f>[12]Sheet1!$C$115/1000000</f>
        <v>38716.69300264043</v>
      </c>
      <c r="L22" s="476">
        <f>[13]Sheet1!$C$115/1000000</f>
        <v>35113.899233169977</v>
      </c>
      <c r="M22" s="400">
        <f>[14]Sheet1!$C$115/1000000</f>
        <v>38261.367843577915</v>
      </c>
      <c r="N22" s="476">
        <f>[15]Sheet1!$C$115/1000000</f>
        <v>35373.730196793753</v>
      </c>
      <c r="O22" s="476">
        <f>[16]Sheet1!$C$115/1000000</f>
        <v>30702.881672898991</v>
      </c>
      <c r="P22" s="476">
        <f>[17]Sheet1!$C$115/1000000</f>
        <v>24608.514195546501</v>
      </c>
      <c r="Q22" s="476">
        <f>[18]Sheet1!$C$115/1000000</f>
        <v>23590.456271051909</v>
      </c>
      <c r="R22" s="476">
        <f>[19]Sheet1!$C$115/1000000</f>
        <v>26051.634146052649</v>
      </c>
      <c r="S22" s="476">
        <f>[20]Sheet1!$C$115/1000000</f>
        <v>23754.468337843799</v>
      </c>
      <c r="T22" s="476">
        <f>[21]Sheet1!$C$115/1000000</f>
        <v>26204.682153106383</v>
      </c>
      <c r="U22" s="476">
        <f>[22]Sheet1!$C$115/1000000</f>
        <v>20675.033267786333</v>
      </c>
      <c r="V22" s="476">
        <f>[23]Sheet1!$C$115/1000000</f>
        <v>22950.153968386727</v>
      </c>
      <c r="W22" s="476">
        <f>[24]Sheet1!$C$115/1000000</f>
        <v>23418.528605273306</v>
      </c>
      <c r="X22" s="476">
        <f>[25]Sheet1!$C$115/1000000</f>
        <v>25423.366629636468</v>
      </c>
      <c r="Y22" s="476">
        <f>[26]Sheet1!$C$115/1000000</f>
        <v>29513.872719127681</v>
      </c>
      <c r="Z22" s="476">
        <f>[27]Sheet1!$C$115/1000000</f>
        <v>23818.396172333396</v>
      </c>
      <c r="AA22" s="476">
        <f>[28]Sheet1!$C$115/1000000</f>
        <v>34451.741724165789</v>
      </c>
      <c r="AB22" s="400">
        <f>[29]Sheet1!$C$115/1000000</f>
        <v>33222.715717653664</v>
      </c>
      <c r="AC22" s="476">
        <f>[30]Sheet1!$C$115/1000000</f>
        <v>30110.290967177945</v>
      </c>
      <c r="AD22" s="476">
        <f>[31]Sheet1!$C$115/1000000</f>
        <v>28922.717702781105</v>
      </c>
      <c r="AE22" s="476">
        <f>[32]Sheet1!$C$115/1000000</f>
        <v>34532.161147931627</v>
      </c>
      <c r="AF22" s="476">
        <f>[33]Sheet1!$C$115/1000000</f>
        <v>30103.844928940875</v>
      </c>
      <c r="AG22" s="476">
        <f>[34]Sheet1!$C$115/1000000</f>
        <v>26603.276718278383</v>
      </c>
      <c r="AH22" s="476">
        <f>[35]Sheet1!$C$115/1000000</f>
        <v>26714.359443100075</v>
      </c>
      <c r="AI22" s="476">
        <f>[36]Sheet1!$C$115/1000000</f>
        <v>40370.62161006096</v>
      </c>
      <c r="AJ22" s="476">
        <f>[60]Sheet1!$C$115/1000000</f>
        <v>42571.506750741144</v>
      </c>
      <c r="AK22" s="476">
        <f>[61]Sheet1!$C$115/1000000</f>
        <v>34963.558149141951</v>
      </c>
      <c r="AL22" s="476">
        <f>[62]Sheet1!$C$115/1000000</f>
        <v>38700.580017500237</v>
      </c>
      <c r="AM22" s="476">
        <f>[63]Sheet1!$C$115/1000000</f>
        <v>38769.383876147826</v>
      </c>
      <c r="AN22" s="476">
        <f>[64]Sheet1!$C$115/1000000</f>
        <v>38750.924156272849</v>
      </c>
      <c r="AO22" s="476">
        <f>[65]Sheet1!$C$115/1000000</f>
        <v>41982.447517360888</v>
      </c>
      <c r="AP22" s="476">
        <f>[37]Sheet1!$C$115/1000000</f>
        <v>37091.78975061958</v>
      </c>
      <c r="AQ22" s="476">
        <f>[38]Sheet1!$C$115/1000000</f>
        <v>57479.341437148803</v>
      </c>
      <c r="AR22" s="476">
        <f>[39]Sheet1!$C$115/1000000</f>
        <v>42436.091494125823</v>
      </c>
      <c r="AS22" s="476">
        <f>[66]Sheet1!$C$115/1000000</f>
        <v>48467.510631874728</v>
      </c>
      <c r="AT22" s="476">
        <f>[67]Sheet1!$C$115/1000000</f>
        <v>43766.19374855388</v>
      </c>
      <c r="AU22" s="476">
        <f>[68]Sheet1!$C$115/1000000</f>
        <v>43751.220261671922</v>
      </c>
      <c r="AV22" s="476">
        <f>[69]Sheet1!$C$115/1000000</f>
        <v>43168.524312416805</v>
      </c>
      <c r="AW22" s="476">
        <f>[70]Sheet1!$C$115/1000000</f>
        <v>54777.149352958186</v>
      </c>
      <c r="AX22" s="476">
        <f>[71]Sheet1!$C$115/1000000</f>
        <v>56565.334847755534</v>
      </c>
      <c r="AY22" s="476">
        <f>[72]Sheet1!$C$115/1000000</f>
        <v>70806.799089933018</v>
      </c>
      <c r="AZ22" s="476">
        <f>[73]Sheet1!$C$115/1000000</f>
        <v>90527.344397130335</v>
      </c>
      <c r="BA22" s="476">
        <f>[74]Sheet1!$C$115/1000000</f>
        <v>96028.651392077169</v>
      </c>
      <c r="BB22" s="476">
        <f>[40]Sheet1!$C$115/1000000</f>
        <v>76118.656717261925</v>
      </c>
      <c r="BC22" s="476">
        <f>[75]Sheet1!$C$115/1000000</f>
        <v>80474.430639867147</v>
      </c>
      <c r="BD22" s="476">
        <f>[76]Sheet1!$C$115/1000000</f>
        <v>77218.847195249997</v>
      </c>
      <c r="BE22" s="476">
        <f>[77]Sheet1!$C$115/1000000</f>
        <v>98721.071718576917</v>
      </c>
      <c r="BF22" s="476">
        <f>[41]Sheet1!$C$115/1000000</f>
        <v>111246.1864692542</v>
      </c>
      <c r="BG22" s="476">
        <f>[42]Sheet1!$C$115/1000000</f>
        <v>123630.10038815008</v>
      </c>
      <c r="BH22" s="476">
        <f>[43]Sheet1!$C$115/1000000</f>
        <v>137628.01191243459</v>
      </c>
      <c r="BI22" s="476">
        <f>[44]Sheet1!$C$115/1000000</f>
        <v>145174.68787323617</v>
      </c>
      <c r="BJ22" s="476">
        <f>[78]Sheet1!$C$115/1000000</f>
        <v>179768.03997429187</v>
      </c>
      <c r="BK22" s="476">
        <f>[79]Sheet1!$C$115/1000000</f>
        <v>170478.7823330292</v>
      </c>
      <c r="BL22" s="476">
        <f>[80]Sheet1!$C$115/1000000</f>
        <v>161000.1806050069</v>
      </c>
      <c r="BM22" s="476">
        <f>[81]Sheet1!$C$115/1000000</f>
        <v>164772.99928111248</v>
      </c>
      <c r="BN22" s="476">
        <f>[82]Sheet1!$C$115/1000000</f>
        <v>180117.91477136695</v>
      </c>
      <c r="BO22" s="476">
        <f>[83]Sheet1!$C$115/1000000</f>
        <v>196966.81957067244</v>
      </c>
      <c r="BP22" s="476">
        <f>[84]Sheet1!$C$115/1000000</f>
        <v>164974.35568354317</v>
      </c>
      <c r="BQ22" s="476">
        <f>[85]Sheet1!$C$115/1000000</f>
        <v>205532.71512867292</v>
      </c>
      <c r="BR22" s="476">
        <f>[86]Sheet1!$C$115/1000000</f>
        <v>233615.43440302191</v>
      </c>
      <c r="BS22" s="476">
        <f>[87]Sheet1!$C$115/1000000</f>
        <v>237429.01184841729</v>
      </c>
      <c r="BT22" s="476">
        <f>[88]Sheet1!$C$115/1000000</f>
        <v>229439.60619730927</v>
      </c>
      <c r="BU22" s="476">
        <f>[89]Sheet1!$C$115/1000000</f>
        <v>264086.64914514747</v>
      </c>
      <c r="BV22" s="476">
        <f>[90]Sheet1!$C$115/1000000</f>
        <v>227132.10828651127</v>
      </c>
      <c r="BW22" s="476">
        <f>[91]Sheet1!$C$115/1000000</f>
        <v>243937.36260248709</v>
      </c>
      <c r="BX22" s="476">
        <f>[92]Sheet1!$C$115/1000000</f>
        <v>234468.511852241</v>
      </c>
      <c r="BY22" s="476">
        <f>[93]Sheet1!$C$115/1000000</f>
        <v>223431.57729376826</v>
      </c>
      <c r="BZ22" s="476">
        <f>[94]Sheet1!$C$115/1000000</f>
        <v>280749.98540102836</v>
      </c>
      <c r="CA22" s="476">
        <f>[95]Sheet1!$C$115/1000000</f>
        <v>259276.10367702376</v>
      </c>
      <c r="CB22" s="476">
        <f>[45]Sheet1!$C$115/1000000</f>
        <v>238813.20075755485</v>
      </c>
      <c r="CC22" s="476">
        <f>[46]Sheet1!$C$115/1000000</f>
        <v>291326.19892175758</v>
      </c>
      <c r="CD22" s="476">
        <f>[47]Sheet1!$C$115/1000000</f>
        <v>332228.6903683822</v>
      </c>
      <c r="CE22" s="476">
        <f>[48]Sheet1!$C$115/1000000</f>
        <v>366057.60420105705</v>
      </c>
      <c r="CF22" s="476">
        <f>[49]Sheet1!$C$115/1000000</f>
        <v>332692.92225448351</v>
      </c>
      <c r="CG22" s="476">
        <f>[50]Sheet1!$C$115/1000000</f>
        <v>306885.93879038072</v>
      </c>
      <c r="CH22" s="476">
        <f>[51]Sheet1!$C$115/1000000</f>
        <v>326897.43717744708</v>
      </c>
      <c r="CI22" s="476">
        <f>[52]Sheet1!$C$115/1000000</f>
        <v>345977.21981359209</v>
      </c>
      <c r="CJ22" s="476">
        <f>[53]Sheet1!$C$115/1000000</f>
        <v>356196.03470418812</v>
      </c>
      <c r="CK22" s="476">
        <f>[54]Sheet1!$C$115/1000000</f>
        <v>345138.7756166319</v>
      </c>
      <c r="CL22" s="476">
        <f>[55]Sheet1!$C$115/1000000</f>
        <v>352278.96527660429</v>
      </c>
      <c r="CM22" s="476">
        <f>[56]Sheet1!$C$115/1000000</f>
        <v>331072.12614123517</v>
      </c>
      <c r="CN22" s="476">
        <f>[57]Sheet1!$C$115/1000000</f>
        <v>288516.44618739793</v>
      </c>
      <c r="CO22" s="476">
        <f>[58]Sheet1!$C$115/1000000</f>
        <v>281109.40385980502</v>
      </c>
      <c r="CP22" s="435">
        <f>[59]Sheet1!$C$115/1000000</f>
        <v>298079.43139751867</v>
      </c>
    </row>
    <row r="23" spans="1:94">
      <c r="A23" s="436"/>
      <c r="B23" s="437"/>
      <c r="C23" s="478"/>
      <c r="D23" s="478"/>
      <c r="E23" s="478"/>
      <c r="F23" s="479"/>
      <c r="G23" s="478"/>
      <c r="H23" s="480"/>
      <c r="I23" s="478"/>
      <c r="J23" s="478"/>
      <c r="K23" s="478"/>
      <c r="L23" s="478"/>
      <c r="M23" s="479"/>
      <c r="N23" s="478"/>
      <c r="O23" s="478"/>
      <c r="P23" s="478"/>
      <c r="Q23" s="478"/>
      <c r="R23" s="478"/>
      <c r="S23" s="478"/>
      <c r="T23" s="478"/>
      <c r="U23" s="478"/>
      <c r="V23" s="478"/>
      <c r="W23" s="478"/>
      <c r="X23" s="478"/>
      <c r="Y23" s="478"/>
      <c r="Z23" s="478"/>
      <c r="AA23" s="478"/>
      <c r="AB23" s="479"/>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8"/>
      <c r="CM23" s="478"/>
      <c r="CN23" s="478"/>
      <c r="CO23" s="478"/>
      <c r="CP23" s="438"/>
    </row>
    <row r="24" spans="1:94">
      <c r="A24" s="433" t="s">
        <v>529</v>
      </c>
      <c r="B24" s="434" t="s">
        <v>530</v>
      </c>
      <c r="C24" s="476">
        <f>([3]sheet1!$N$144+'[4]Cat 2-MUR'!$P$144)/1000000</f>
        <v>5586.798867614908</v>
      </c>
      <c r="D24" s="476">
        <f>[5]Sheet1!$C$129/1000000</f>
        <v>5670.2383501161712</v>
      </c>
      <c r="E24" s="476">
        <f>[6]Sheet1!$C$129/1000000</f>
        <v>6117.0573349504757</v>
      </c>
      <c r="F24" s="400">
        <f>[7]Sheet1!$C$129/1000000</f>
        <v>7474.1806698326081</v>
      </c>
      <c r="G24" s="476">
        <f>[8]Sheet1!$C$129/1000000</f>
        <v>6266.8263476957054</v>
      </c>
      <c r="H24" s="477">
        <f>[9]Sheet1!$C$129/1000000</f>
        <v>6063.7564736961303</v>
      </c>
      <c r="I24" s="476">
        <f>[10]Sheet1!$C$129/1000000</f>
        <v>6666.9401175171824</v>
      </c>
      <c r="J24" s="476">
        <f>[11]Sheet1!$C$129/1000000</f>
        <v>6579.056281183487</v>
      </c>
      <c r="K24" s="476">
        <f>[12]Sheet1!$C$129/1000000</f>
        <v>7008.9555369945765</v>
      </c>
      <c r="L24" s="476">
        <f>[13]Sheet1!$C$129/1000000</f>
        <v>6820.9021825312575</v>
      </c>
      <c r="M24" s="400">
        <f>[14]Sheet1!$C$129/1000000</f>
        <v>7631.3581200062245</v>
      </c>
      <c r="N24" s="476">
        <f>[15]Sheet1!$C$129/1000000</f>
        <v>7806.0112989903628</v>
      </c>
      <c r="O24" s="476">
        <f>[16]Sheet1!$C$129/1000000</f>
        <v>8382.2791541429269</v>
      </c>
      <c r="P24" s="476">
        <f>[17]Sheet1!$C$129/1000000</f>
        <v>5165.1919955896801</v>
      </c>
      <c r="Q24" s="476">
        <f>[18]Sheet1!$C$129/1000000</f>
        <v>5723.0687758585036</v>
      </c>
      <c r="R24" s="476">
        <f>[19]Sheet1!$C$129/1000000</f>
        <v>7551.9510162780534</v>
      </c>
      <c r="S24" s="476">
        <f>[20]Sheet1!$C$129/1000000</f>
        <v>7663.7134439486545</v>
      </c>
      <c r="T24" s="476">
        <f>[21]Sheet1!$C$129/1000000</f>
        <v>8255.4748656612992</v>
      </c>
      <c r="U24" s="476">
        <f>[22]Sheet1!$C$129/1000000</f>
        <v>7438.1685543321464</v>
      </c>
      <c r="V24" s="476">
        <f>[23]Sheet1!$C$129/1000000</f>
        <v>6960.562159441788</v>
      </c>
      <c r="W24" s="476">
        <f>[24]Sheet1!$C$129/1000000</f>
        <v>7857.1388660158736</v>
      </c>
      <c r="X24" s="476">
        <f>[25]Sheet1!$C$129/1000000</f>
        <v>8484.5331707902569</v>
      </c>
      <c r="Y24" s="476">
        <f>[26]Sheet1!$C$129/1000000</f>
        <v>11530.962587584701</v>
      </c>
      <c r="Z24" s="476">
        <f>[27]Sheet1!$C$129/1000000</f>
        <v>12922.31894454308</v>
      </c>
      <c r="AA24" s="476">
        <f>[28]Sheet1!$C$129/1000000</f>
        <v>13641.58370018477</v>
      </c>
      <c r="AB24" s="400">
        <f>[29]Sheet1!$C$129/1000000</f>
        <v>11192.800028664689</v>
      </c>
      <c r="AC24" s="476">
        <f>[30]Sheet1!$C$129/1000000</f>
        <v>11547.884203073783</v>
      </c>
      <c r="AD24" s="476">
        <f>[31]Sheet1!$C$129/1000000</f>
        <v>10500.761405279829</v>
      </c>
      <c r="AE24" s="476">
        <f>[32]Sheet1!$C$129/1000000</f>
        <v>11355.924284038227</v>
      </c>
      <c r="AF24" s="476">
        <f>[33]Sheet1!$C$129/1000000</f>
        <v>10284.080548874359</v>
      </c>
      <c r="AG24" s="476">
        <f>[34]Sheet1!$C$129/1000000</f>
        <v>10027.130049652962</v>
      </c>
      <c r="AH24" s="476">
        <f>[35]Sheet1!$C$129/1000000</f>
        <v>10673.026815798956</v>
      </c>
      <c r="AI24" s="476">
        <f>[36]Sheet1!$C$129/1000000</f>
        <v>11371.503905600166</v>
      </c>
      <c r="AJ24" s="476">
        <f>[60]Sheet1!$C$129/1000000</f>
        <v>12145.767563427276</v>
      </c>
      <c r="AK24" s="476">
        <f>[61]Sheet1!$C$129/1000000</f>
        <v>11209.264290815925</v>
      </c>
      <c r="AL24" s="476">
        <f>[62]Sheet1!$C$129/1000000</f>
        <v>11222.241155054264</v>
      </c>
      <c r="AM24" s="476">
        <f>[63]Sheet1!$C$129/1000000</f>
        <v>15181.785867937439</v>
      </c>
      <c r="AN24" s="476">
        <f>[64]Sheet1!$C$129/1000000</f>
        <v>12850.536794886611</v>
      </c>
      <c r="AO24" s="476">
        <f>[65]Sheet1!$C$129/1000000</f>
        <v>10483.63429309343</v>
      </c>
      <c r="AP24" s="476">
        <f>[37]Sheet1!$C$129/1000000</f>
        <v>11581.603150539095</v>
      </c>
      <c r="AQ24" s="476">
        <f>[38]Sheet1!$C$129/1000000</f>
        <v>14172.875508021096</v>
      </c>
      <c r="AR24" s="476">
        <f>[39]Sheet1!$C$129/1000000</f>
        <v>11941.791449044793</v>
      </c>
      <c r="AS24" s="476">
        <f>[66]Sheet1!$C$129/1000000</f>
        <v>12288.775715904736</v>
      </c>
      <c r="AT24" s="476">
        <f>[67]Sheet1!$C$129/1000000</f>
        <v>9553.3905783131268</v>
      </c>
      <c r="AU24" s="476">
        <f>[68]Sheet1!$C$129/1000000</f>
        <v>10175.363463764746</v>
      </c>
      <c r="AV24" s="476">
        <f>[69]Sheet1!$C$129/1000000</f>
        <v>11673.019489467513</v>
      </c>
      <c r="AW24" s="476">
        <f>[70]Sheet1!$C$129/1000000</f>
        <v>10714.075941908723</v>
      </c>
      <c r="AX24" s="476">
        <f>[71]Sheet1!$C$129/1000000</f>
        <v>10561.569703707139</v>
      </c>
      <c r="AY24" s="476">
        <f>[72]Sheet1!$C$129/1000000</f>
        <v>10127.180403858782</v>
      </c>
      <c r="AZ24" s="476">
        <f>[73]Sheet1!$C$129/1000000</f>
        <v>8916.3755402082861</v>
      </c>
      <c r="BA24" s="476">
        <f>[74]Sheet1!$C$129/1000000</f>
        <v>9591.3565887875484</v>
      </c>
      <c r="BB24" s="476">
        <f>[40]Sheet1!$C$129/1000000</f>
        <v>8824.9289822759856</v>
      </c>
      <c r="BC24" s="476">
        <f>[75]Sheet1!$C$129/1000000</f>
        <v>8438.262072096717</v>
      </c>
      <c r="BD24" s="476">
        <f>[76]Sheet1!$C$129/1000000</f>
        <v>8294.6577118151545</v>
      </c>
      <c r="BE24" s="476">
        <f>[77]Sheet1!$C$129/1000000</f>
        <v>10294.380814194436</v>
      </c>
      <c r="BF24" s="476">
        <f>[41]Sheet1!$C$129/1000000</f>
        <v>10135.351869342354</v>
      </c>
      <c r="BG24" s="476">
        <f>[42]Sheet1!$C$129/1000000</f>
        <v>9562.9213973704991</v>
      </c>
      <c r="BH24" s="476">
        <f>[43]Sheet1!$C$129/1000000</f>
        <v>7538.2620045354715</v>
      </c>
      <c r="BI24" s="476">
        <f>[44]Sheet1!$C$129/1000000</f>
        <v>6656.081488824997</v>
      </c>
      <c r="BJ24" s="476">
        <f>[78]Sheet1!$C$129/1000000</f>
        <v>5651.6614854600657</v>
      </c>
      <c r="BK24" s="476">
        <f>[79]Sheet1!$C$129/1000000</f>
        <v>8234.2420163253446</v>
      </c>
      <c r="BL24" s="476">
        <f>[80]Sheet1!$C$129/1000000</f>
        <v>11081.159814091725</v>
      </c>
      <c r="BM24" s="476">
        <f>[81]Sheet1!$C$129/1000000</f>
        <v>7295.7186112800837</v>
      </c>
      <c r="BN24" s="476">
        <f>[82]Sheet1!$C$129/1000000</f>
        <v>6789.8075006472918</v>
      </c>
      <c r="BO24" s="476">
        <f>[83]Sheet1!$C$129/1000000</f>
        <v>9774.654724436692</v>
      </c>
      <c r="BP24" s="476">
        <f>[84]Sheet1!$C$129/1000000</f>
        <v>11503.842018809039</v>
      </c>
      <c r="BQ24" s="476">
        <f>[85]Sheet1!$C$129/1000000</f>
        <v>11520.901851768776</v>
      </c>
      <c r="BR24" s="476">
        <f>[86]Sheet1!$C$129/1000000</f>
        <v>11830.500007035427</v>
      </c>
      <c r="BS24" s="476">
        <f>[87]Sheet1!$C$129/1000000</f>
        <v>10787.077786941991</v>
      </c>
      <c r="BT24" s="476">
        <f>[88]Sheet1!$C$129/1000000</f>
        <v>22353.30464532099</v>
      </c>
      <c r="BU24" s="476">
        <f>[89]Sheet1!$C$129/1000000</f>
        <v>21263.833247622191</v>
      </c>
      <c r="BV24" s="476">
        <f>[90]Sheet1!$C$129/1000000</f>
        <v>16977.151872741804</v>
      </c>
      <c r="BW24" s="476">
        <f>[91]Sheet1!$C$129/1000000</f>
        <v>15160.294477557121</v>
      </c>
      <c r="BX24" s="476">
        <f>[92]Sheet1!$C$129/1000000</f>
        <v>14739.210506365067</v>
      </c>
      <c r="BY24" s="476">
        <f>[93]Sheet1!$C$129/1000000</f>
        <v>6759.9391974346472</v>
      </c>
      <c r="BZ24" s="476">
        <f>[94]Sheet1!$C$129/1000000</f>
        <v>16885.390142336248</v>
      </c>
      <c r="CA24" s="476">
        <f>[95]Sheet1!$C$129/1000000</f>
        <v>16904.848590467151</v>
      </c>
      <c r="CB24" s="476">
        <f>[45]Sheet1!$C$129/1000000</f>
        <v>18464.724621975449</v>
      </c>
      <c r="CC24" s="476">
        <f>[46]Sheet1!$C$129/1000000</f>
        <v>20310.023745208211</v>
      </c>
      <c r="CD24" s="476">
        <f>[47]Sheet1!$C$129/1000000</f>
        <v>18136.786126254097</v>
      </c>
      <c r="CE24" s="476">
        <f>[48]Sheet1!$C$129/1000000</f>
        <v>17796.881000042162</v>
      </c>
      <c r="CF24" s="476">
        <f>[49]Sheet1!$C$129/1000000</f>
        <v>17003.577548785706</v>
      </c>
      <c r="CG24" s="476">
        <f>[50]Sheet1!$C$129/1000000</f>
        <v>18239.700907009203</v>
      </c>
      <c r="CH24" s="476">
        <f>[51]Sheet1!$C$129/1000000</f>
        <v>24046.779311109243</v>
      </c>
      <c r="CI24" s="476">
        <f>[52]Sheet1!$C$129/1000000</f>
        <v>23259.807723009948</v>
      </c>
      <c r="CJ24" s="476">
        <f>[53]Sheet1!$C$129/1000000</f>
        <v>22427.249946578446</v>
      </c>
      <c r="CK24" s="476">
        <f>[54]Sheet1!$C$129/1000000</f>
        <v>21077.458555829788</v>
      </c>
      <c r="CL24" s="476">
        <f>[55]Sheet1!$C$129/1000000</f>
        <v>20634.046926593754</v>
      </c>
      <c r="CM24" s="476">
        <f>[56]Sheet1!$C$129/1000000</f>
        <v>19142.322849267592</v>
      </c>
      <c r="CN24" s="476">
        <f>[57]Sheet1!$C$129/1000000</f>
        <v>17976.597196121158</v>
      </c>
      <c r="CO24" s="476">
        <f>[58]Sheet1!$C$129/1000000</f>
        <v>26161.113849849502</v>
      </c>
      <c r="CP24" s="435">
        <f>[59]Sheet1!$C$129/1000000</f>
        <v>25694.24424716974</v>
      </c>
    </row>
    <row r="25" spans="1:94">
      <c r="A25" s="436"/>
      <c r="B25" s="437"/>
      <c r="C25" s="478"/>
      <c r="D25" s="478"/>
      <c r="E25" s="478"/>
      <c r="F25" s="479"/>
      <c r="G25" s="478"/>
      <c r="H25" s="480"/>
      <c r="I25" s="478"/>
      <c r="J25" s="478"/>
      <c r="K25" s="478"/>
      <c r="L25" s="478"/>
      <c r="M25" s="479"/>
      <c r="N25" s="478"/>
      <c r="O25" s="478"/>
      <c r="P25" s="478"/>
      <c r="Q25" s="478"/>
      <c r="R25" s="478"/>
      <c r="S25" s="478"/>
      <c r="T25" s="478"/>
      <c r="U25" s="478"/>
      <c r="V25" s="478"/>
      <c r="W25" s="478"/>
      <c r="X25" s="478"/>
      <c r="Y25" s="478"/>
      <c r="Z25" s="478"/>
      <c r="AA25" s="478"/>
      <c r="AB25" s="479"/>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38"/>
    </row>
    <row r="26" spans="1:94">
      <c r="A26" s="433" t="s">
        <v>531</v>
      </c>
      <c r="B26" s="434" t="s">
        <v>532</v>
      </c>
      <c r="C26" s="476">
        <f>([3]sheet1!$N$166+'[4]Cat 2-MUR'!$P$166)/1000000</f>
        <v>10215.371715636911</v>
      </c>
      <c r="D26" s="476">
        <f>[5]Sheet1!$C$150/1000000</f>
        <v>10230.386176877602</v>
      </c>
      <c r="E26" s="476">
        <f>[6]Sheet1!$C$150/1000000</f>
        <v>10264.534151124984</v>
      </c>
      <c r="F26" s="400">
        <f>[7]Sheet1!$C$150/1000000</f>
        <v>10292.840694966148</v>
      </c>
      <c r="G26" s="476">
        <f>[8]Sheet1!$C$150/1000000</f>
        <v>10359.952542342509</v>
      </c>
      <c r="H26" s="477">
        <f>[9]Sheet1!$C$150/1000000</f>
        <v>10372.829824412309</v>
      </c>
      <c r="I26" s="476">
        <f>[10]Sheet1!$C$150/1000000</f>
        <v>10483.290079899974</v>
      </c>
      <c r="J26" s="476">
        <f>[11]Sheet1!$C$150/1000000</f>
        <v>10492.661873524687</v>
      </c>
      <c r="K26" s="476">
        <f>[12]Sheet1!$C$150/1000000</f>
        <v>10513.580191881219</v>
      </c>
      <c r="L26" s="476">
        <f>[13]Sheet1!$C$150/1000000</f>
        <v>10547.697643533049</v>
      </c>
      <c r="M26" s="400">
        <f>[14]Sheet1!$C$150/1000000</f>
        <v>10566.463638046363</v>
      </c>
      <c r="N26" s="476">
        <f>[15]Sheet1!$C$150/1000000</f>
        <v>10727.152068725743</v>
      </c>
      <c r="O26" s="476">
        <f>[16]Sheet1!$C$150/1000000</f>
        <v>10865.093985192434</v>
      </c>
      <c r="P26" s="476">
        <f>[17]Sheet1!$C$150/1000000</f>
        <v>10887.929830016839</v>
      </c>
      <c r="Q26" s="476">
        <f>[18]Sheet1!$C$150/1000000</f>
        <v>10915.478152448781</v>
      </c>
      <c r="R26" s="476">
        <f>[19]Sheet1!$C$150/1000000</f>
        <v>10964.996223353954</v>
      </c>
      <c r="S26" s="476">
        <f>[20]Sheet1!$C$150/1000000</f>
        <v>11007.866502909934</v>
      </c>
      <c r="T26" s="476">
        <f>[21]Sheet1!$C$150/1000000</f>
        <v>11010.610413217419</v>
      </c>
      <c r="U26" s="476">
        <f>[22]Sheet1!$C$150/1000000</f>
        <v>11076.806146190253</v>
      </c>
      <c r="V26" s="476">
        <f>[23]Sheet1!$C$150/1000000</f>
        <v>11105.093902010241</v>
      </c>
      <c r="W26" s="476">
        <f>[24]Sheet1!$C$150/1000000</f>
        <v>11117.860938733025</v>
      </c>
      <c r="X26" s="476">
        <f>[25]Sheet1!$C$150/1000000</f>
        <v>11158.444612866819</v>
      </c>
      <c r="Y26" s="476">
        <f>[26]Sheet1!$C$150/1000000</f>
        <v>11210.363676150844</v>
      </c>
      <c r="Z26" s="476">
        <f>[27]Sheet1!$C$150/1000000</f>
        <v>11272.935388662529</v>
      </c>
      <c r="AA26" s="476">
        <f>[28]Sheet1!$C$150/1000000</f>
        <v>11409.284636318876</v>
      </c>
      <c r="AB26" s="400">
        <f>[29]Sheet1!$C$150/1000000</f>
        <v>11422.076131039485</v>
      </c>
      <c r="AC26" s="476">
        <f>[30]Sheet1!$C$150/1000000</f>
        <v>11444.44480959927</v>
      </c>
      <c r="AD26" s="476">
        <f>[31]Sheet1!$C$150/1000000</f>
        <v>11532.252476586686</v>
      </c>
      <c r="AE26" s="476">
        <f>[32]Sheet1!$C$150/1000000</f>
        <v>11590.240126935367</v>
      </c>
      <c r="AF26" s="476">
        <f>[33]Sheet1!$C$150/1000000</f>
        <v>11673.571102098638</v>
      </c>
      <c r="AG26" s="476">
        <f>[34]Sheet1!$C$150/1000000</f>
        <v>11761.047168821962</v>
      </c>
      <c r="AH26" s="476">
        <f>[35]Sheet1!$C$150/1000000</f>
        <v>11763.811328135618</v>
      </c>
      <c r="AI26" s="476">
        <f>[36]Sheet1!$C$150/1000000</f>
        <v>11806.061369881943</v>
      </c>
      <c r="AJ26" s="476">
        <f>[60]Sheet1!$C$150/1000000</f>
        <v>11816.139712376122</v>
      </c>
      <c r="AK26" s="476">
        <f>[61]Sheet1!$C$150/1000000</f>
        <v>11890.545455707794</v>
      </c>
      <c r="AL26" s="476">
        <f>[62]Sheet1!$C$150/1000000</f>
        <v>11921.049115748849</v>
      </c>
      <c r="AM26" s="476">
        <f>[63]Sheet1!$C$150/1000000</f>
        <v>11991.176862374597</v>
      </c>
      <c r="AN26" s="476">
        <f>[64]Sheet1!$C$150/1000000</f>
        <v>12033.192013161477</v>
      </c>
      <c r="AO26" s="476">
        <f>[65]Sheet1!$C$150/1000000</f>
        <v>12206.364103932192</v>
      </c>
      <c r="AP26" s="476">
        <f>[37]Sheet1!$C$150/1000000</f>
        <v>12245.542505985177</v>
      </c>
      <c r="AQ26" s="476">
        <f>[38]Sheet1!$C$150/1000000</f>
        <v>12337.511775198873</v>
      </c>
      <c r="AR26" s="476">
        <f>[39]Sheet1!$C$150/1000000</f>
        <v>12388.003471182003</v>
      </c>
      <c r="AS26" s="476">
        <f>[66]Sheet1!$C$150/1000000</f>
        <v>13072.915050843339</v>
      </c>
      <c r="AT26" s="476">
        <f>[67]Sheet1!$C$150/1000000</f>
        <v>13232.176902227937</v>
      </c>
      <c r="AU26" s="476">
        <f>[68]Sheet1!$C$150/1000000</f>
        <v>13097.938985023256</v>
      </c>
      <c r="AV26" s="476">
        <f>[69]Sheet1!$C$150/1000000</f>
        <v>13260.289285591152</v>
      </c>
      <c r="AW26" s="476">
        <f>[70]Sheet1!$C$150/1000000</f>
        <v>13403.191097281138</v>
      </c>
      <c r="AX26" s="476">
        <f>[71]Sheet1!$C$150/1000000</f>
        <v>13544.565267320062</v>
      </c>
      <c r="AY26" s="476">
        <f>[72]Sheet1!$C$150/1000000</f>
        <v>13614.289342267039</v>
      </c>
      <c r="AZ26" s="476">
        <f>[73]Sheet1!$C$150/1000000</f>
        <v>13729.554368000301</v>
      </c>
      <c r="BA26" s="476">
        <f>[74]Sheet1!$C$150/1000000</f>
        <v>13814.866305836849</v>
      </c>
      <c r="BB26" s="476">
        <f>[40]Sheet1!$C$150/1000000</f>
        <v>13823.782985256501</v>
      </c>
      <c r="BC26" s="476">
        <f>[75]Sheet1!$C$150/1000000</f>
        <v>14031.010314083316</v>
      </c>
      <c r="BD26" s="476">
        <f>[76]Sheet1!$C$150/1000000</f>
        <v>14127.162151959725</v>
      </c>
      <c r="BE26" s="476">
        <f>[77]Sheet1!$C$150/1000000</f>
        <v>14227.102351594973</v>
      </c>
      <c r="BF26" s="476">
        <f>[41]Sheet1!$C$150/1000000</f>
        <v>14202.525275436403</v>
      </c>
      <c r="BG26" s="476">
        <f>[42]Sheet1!$C$150/1000000</f>
        <v>14302.397524761791</v>
      </c>
      <c r="BH26" s="476">
        <f>[43]Sheet1!$C$150/1000000</f>
        <v>14389.834409854073</v>
      </c>
      <c r="BI26" s="476">
        <f>[44]Sheet1!$C$150/1000000</f>
        <v>14673.937178870799</v>
      </c>
      <c r="BJ26" s="476">
        <f>[78]Sheet1!$C$150/1000000</f>
        <v>14995.416754536564</v>
      </c>
      <c r="BK26" s="476">
        <f>[79]Sheet1!$C$150/1000000</f>
        <v>15409.890920938726</v>
      </c>
      <c r="BL26" s="476">
        <f>[80]Sheet1!$C$150/1000000</f>
        <v>15414.545802328117</v>
      </c>
      <c r="BM26" s="476">
        <f>[81]Sheet1!$C$150/1000000</f>
        <v>15554.16291438724</v>
      </c>
      <c r="BN26" s="476">
        <f>[82]Sheet1!$C$150/1000000</f>
        <v>15894.255435636198</v>
      </c>
      <c r="BO26" s="476">
        <f>[83]Sheet1!$C$150/1000000</f>
        <v>15918.77249047435</v>
      </c>
      <c r="BP26" s="476">
        <f>[84]Sheet1!$C$150/1000000</f>
        <v>17467.182184771249</v>
      </c>
      <c r="BQ26" s="476">
        <f>[85]Sheet1!$C$150/1000000</f>
        <v>17739.609993181337</v>
      </c>
      <c r="BR26" s="476">
        <f>[86]Sheet1!$C$150/1000000</f>
        <v>17793.811540942119</v>
      </c>
      <c r="BS26" s="476">
        <f>[87]Sheet1!$C$150/1000000</f>
        <v>17828.298934435472</v>
      </c>
      <c r="BT26" s="476">
        <f>[88]Sheet1!$C$150/1000000</f>
        <v>18001.626249843775</v>
      </c>
      <c r="BU26" s="476">
        <f>[89]Sheet1!$C$150/1000000</f>
        <v>18001.995798082295</v>
      </c>
      <c r="BV26" s="476">
        <f>[90]Sheet1!$C$150/1000000</f>
        <v>18130.633536210713</v>
      </c>
      <c r="BW26" s="476">
        <f>[91]Sheet1!$C$150/1000000</f>
        <v>18376.006039425818</v>
      </c>
      <c r="BX26" s="476">
        <f>[92]Sheet1!$C$150/1000000</f>
        <v>18603.568490555725</v>
      </c>
      <c r="BY26" s="476">
        <f>[93]Sheet1!$C$150/1000000</f>
        <v>18828.461346276672</v>
      </c>
      <c r="BZ26" s="476">
        <f>[94]Sheet1!$C$150/1000000</f>
        <v>18979.960087374864</v>
      </c>
      <c r="CA26" s="476">
        <f>[95]Sheet1!$C$150/1000000</f>
        <v>19084.166463022997</v>
      </c>
      <c r="CB26" s="476">
        <f>[45]Sheet1!$C$150/1000000</f>
        <v>19207.484316991893</v>
      </c>
      <c r="CC26" s="476">
        <f>[46]Sheet1!$C$150/1000000</f>
        <v>19517.614369597417</v>
      </c>
      <c r="CD26" s="476">
        <f>[47]Sheet1!$C$150/1000000</f>
        <v>19533.764193612762</v>
      </c>
      <c r="CE26" s="476">
        <f>[48]Sheet1!$C$150/1000000</f>
        <v>19537.005283991602</v>
      </c>
      <c r="CF26" s="476">
        <f>[49]Sheet1!$C$150/1000000</f>
        <v>19557.575459742613</v>
      </c>
      <c r="CG26" s="476">
        <f>[50]Sheet1!$C$150/1000000</f>
        <v>19579.441299077534</v>
      </c>
      <c r="CH26" s="476">
        <f>[51]Sheet1!$C$150/1000000</f>
        <v>20428.375245526004</v>
      </c>
      <c r="CI26" s="476">
        <f>[52]Sheet1!$C$150/1000000</f>
        <v>20556.179191954445</v>
      </c>
      <c r="CJ26" s="476">
        <f>[53]Sheet1!$C$150/1000000</f>
        <v>19193.325564116065</v>
      </c>
      <c r="CK26" s="476">
        <f>[54]Sheet1!$C$150/1000000</f>
        <v>18991.125073870578</v>
      </c>
      <c r="CL26" s="476">
        <f>[55]Sheet1!$C$150/1000000</f>
        <v>19013.707845548543</v>
      </c>
      <c r="CM26" s="476">
        <f>[56]Sheet1!$C$150/1000000</f>
        <v>19070.792677045647</v>
      </c>
      <c r="CN26" s="476">
        <f>[57]Sheet1!$C$150/1000000</f>
        <v>19076.525389458013</v>
      </c>
      <c r="CO26" s="476">
        <f>[58]Sheet1!$C$150/1000000</f>
        <v>19357.708645800292</v>
      </c>
      <c r="CP26" s="435">
        <f>[59]Sheet1!$C$150/1000000</f>
        <v>19415.312732245835</v>
      </c>
    </row>
    <row r="27" spans="1:94">
      <c r="A27" s="436"/>
      <c r="B27" s="437"/>
      <c r="C27" s="450"/>
      <c r="D27" s="450"/>
      <c r="E27" s="450"/>
      <c r="F27" s="390"/>
      <c r="G27" s="450"/>
      <c r="H27" s="481"/>
      <c r="I27" s="450"/>
      <c r="J27" s="450"/>
      <c r="K27" s="450"/>
      <c r="L27" s="450"/>
      <c r="M27" s="390"/>
      <c r="N27" s="450"/>
      <c r="O27" s="450"/>
      <c r="P27" s="450"/>
      <c r="Q27" s="450"/>
      <c r="R27" s="450"/>
      <c r="S27" s="450"/>
      <c r="T27" s="450"/>
      <c r="U27" s="450"/>
      <c r="V27" s="450"/>
      <c r="W27" s="450"/>
      <c r="X27" s="450"/>
      <c r="Y27" s="450"/>
      <c r="Z27" s="450"/>
      <c r="AA27" s="450"/>
      <c r="AB27" s="39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39"/>
    </row>
    <row r="28" spans="1:94">
      <c r="A28" s="433"/>
      <c r="B28" s="434" t="s">
        <v>533</v>
      </c>
      <c r="C28" s="476">
        <f>C6+C8+C14+C16+C18+C20+C22+C24+C26</f>
        <v>445837.09647377668</v>
      </c>
      <c r="D28" s="476">
        <f>D6+D8+D14+D16+D18+D20+D22+D24+D26</f>
        <v>432333.73571372771</v>
      </c>
      <c r="E28" s="476">
        <f t="shared" ref="E28:BP28" si="2">E6+E8+E14+E16+E18+E20+E22+E24+E26</f>
        <v>444953.021719618</v>
      </c>
      <c r="F28" s="400">
        <f t="shared" si="2"/>
        <v>460740.797100208</v>
      </c>
      <c r="G28" s="476">
        <f t="shared" si="2"/>
        <v>463204.56965047109</v>
      </c>
      <c r="H28" s="477">
        <f t="shared" si="2"/>
        <v>481466.10547432484</v>
      </c>
      <c r="I28" s="476">
        <f t="shared" si="2"/>
        <v>468596.08483181143</v>
      </c>
      <c r="J28" s="476">
        <f t="shared" si="2"/>
        <v>478494.19773629768</v>
      </c>
      <c r="K28" s="476">
        <f t="shared" si="2"/>
        <v>507625.95996665611</v>
      </c>
      <c r="L28" s="476">
        <f t="shared" si="2"/>
        <v>511206.35459318251</v>
      </c>
      <c r="M28" s="400">
        <f t="shared" si="2"/>
        <v>507494.99652799591</v>
      </c>
      <c r="N28" s="476">
        <f t="shared" si="2"/>
        <v>535662.87708218186</v>
      </c>
      <c r="O28" s="476">
        <f t="shared" si="2"/>
        <v>523850.27109396091</v>
      </c>
      <c r="P28" s="476">
        <f t="shared" si="2"/>
        <v>533426.28475085355</v>
      </c>
      <c r="Q28" s="476">
        <f t="shared" si="2"/>
        <v>544859.49148365168</v>
      </c>
      <c r="R28" s="476">
        <f t="shared" si="2"/>
        <v>574613.75507576729</v>
      </c>
      <c r="S28" s="476">
        <f t="shared" si="2"/>
        <v>577716.91733799619</v>
      </c>
      <c r="T28" s="476">
        <f t="shared" si="2"/>
        <v>606513.96390440303</v>
      </c>
      <c r="U28" s="476">
        <f t="shared" si="2"/>
        <v>630119.83825675095</v>
      </c>
      <c r="V28" s="476">
        <f t="shared" si="2"/>
        <v>601954.21949290158</v>
      </c>
      <c r="W28" s="476">
        <f t="shared" si="2"/>
        <v>605510.99257776886</v>
      </c>
      <c r="X28" s="476">
        <f t="shared" si="2"/>
        <v>624077.8429934188</v>
      </c>
      <c r="Y28" s="476">
        <f t="shared" si="2"/>
        <v>630561.20148484898</v>
      </c>
      <c r="Z28" s="476">
        <f t="shared" si="2"/>
        <v>632246.8301334742</v>
      </c>
      <c r="AA28" s="476">
        <f t="shared" si="2"/>
        <v>663094.43448228785</v>
      </c>
      <c r="AB28" s="400">
        <f t="shared" si="2"/>
        <v>681753.16319898376</v>
      </c>
      <c r="AC28" s="476">
        <f t="shared" si="2"/>
        <v>696077.90731930907</v>
      </c>
      <c r="AD28" s="476">
        <f t="shared" si="2"/>
        <v>703609.67573219968</v>
      </c>
      <c r="AE28" s="476">
        <f t="shared" si="2"/>
        <v>706823.47694429208</v>
      </c>
      <c r="AF28" s="476">
        <f t="shared" si="2"/>
        <v>746138.07708744076</v>
      </c>
      <c r="AG28" s="476">
        <f t="shared" si="2"/>
        <v>723735.24594093079</v>
      </c>
      <c r="AH28" s="476">
        <f t="shared" si="2"/>
        <v>752758.66746484721</v>
      </c>
      <c r="AI28" s="476">
        <f t="shared" si="2"/>
        <v>748659.13151196076</v>
      </c>
      <c r="AJ28" s="476">
        <f t="shared" si="2"/>
        <v>733354.18060780887</v>
      </c>
      <c r="AK28" s="476">
        <f t="shared" si="2"/>
        <v>719659.48504551011</v>
      </c>
      <c r="AL28" s="476">
        <f t="shared" si="2"/>
        <v>760499.45805457234</v>
      </c>
      <c r="AM28" s="476">
        <f t="shared" si="2"/>
        <v>773252.44279980345</v>
      </c>
      <c r="AN28" s="476">
        <f t="shared" si="2"/>
        <v>790615.52522057283</v>
      </c>
      <c r="AO28" s="476">
        <f t="shared" si="2"/>
        <v>780986.27990754228</v>
      </c>
      <c r="AP28" s="476">
        <f t="shared" si="2"/>
        <v>763856.00000544579</v>
      </c>
      <c r="AQ28" s="476">
        <f t="shared" si="2"/>
        <v>819322.53242127271</v>
      </c>
      <c r="AR28" s="476">
        <f t="shared" si="2"/>
        <v>803124.72039461497</v>
      </c>
      <c r="AS28" s="476">
        <f t="shared" si="2"/>
        <v>805990.07822780788</v>
      </c>
      <c r="AT28" s="476">
        <f t="shared" si="2"/>
        <v>805323.12107065471</v>
      </c>
      <c r="AU28" s="476">
        <f t="shared" si="2"/>
        <v>814898.81246116548</v>
      </c>
      <c r="AV28" s="476">
        <f t="shared" si="2"/>
        <v>807733.62320407038</v>
      </c>
      <c r="AW28" s="476">
        <f t="shared" si="2"/>
        <v>808480.43114297767</v>
      </c>
      <c r="AX28" s="476">
        <f t="shared" si="2"/>
        <v>802925.72630353528</v>
      </c>
      <c r="AY28" s="476">
        <f t="shared" si="2"/>
        <v>815049.49751336011</v>
      </c>
      <c r="AZ28" s="476">
        <f t="shared" si="2"/>
        <v>830130.71492082509</v>
      </c>
      <c r="BA28" s="476">
        <f t="shared" si="2"/>
        <v>833451.49451934209</v>
      </c>
      <c r="BB28" s="476">
        <f t="shared" si="2"/>
        <v>815832.35192114545</v>
      </c>
      <c r="BC28" s="476">
        <f t="shared" si="2"/>
        <v>815339.29482031474</v>
      </c>
      <c r="BD28" s="476">
        <f t="shared" si="2"/>
        <v>803883.86273341451</v>
      </c>
      <c r="BE28" s="476">
        <f t="shared" si="2"/>
        <v>850342.74366137758</v>
      </c>
      <c r="BF28" s="476">
        <f t="shared" si="2"/>
        <v>871292.62662857072</v>
      </c>
      <c r="BG28" s="476">
        <f t="shared" si="2"/>
        <v>892721.17988169985</v>
      </c>
      <c r="BH28" s="476">
        <f t="shared" si="2"/>
        <v>913488.39506494999</v>
      </c>
      <c r="BI28" s="476">
        <f t="shared" si="2"/>
        <v>913833.09111405583</v>
      </c>
      <c r="BJ28" s="476">
        <f t="shared" si="2"/>
        <v>1025679.536498626</v>
      </c>
      <c r="BK28" s="476">
        <f t="shared" si="2"/>
        <v>1012035.3333537687</v>
      </c>
      <c r="BL28" s="476">
        <f t="shared" si="2"/>
        <v>954121.8702531025</v>
      </c>
      <c r="BM28" s="476">
        <f t="shared" si="2"/>
        <v>992296.62678549578</v>
      </c>
      <c r="BN28" s="476">
        <f t="shared" si="2"/>
        <v>1012404.2143416627</v>
      </c>
      <c r="BO28" s="476">
        <f t="shared" si="2"/>
        <v>1033298.9768457131</v>
      </c>
      <c r="BP28" s="476">
        <f t="shared" si="2"/>
        <v>1013985.1951367562</v>
      </c>
      <c r="BQ28" s="476">
        <f t="shared" ref="BQ28:CP28" si="3">BQ6+BQ8+BQ14+BQ16+BQ18+BQ20+BQ22+BQ24+BQ26</f>
        <v>1062227.4364246663</v>
      </c>
      <c r="BR28" s="476">
        <f t="shared" si="3"/>
        <v>1078181.8811107341</v>
      </c>
      <c r="BS28" s="476">
        <f t="shared" si="3"/>
        <v>1086441.5921246554</v>
      </c>
      <c r="BT28" s="476">
        <f t="shared" si="3"/>
        <v>1053578.3831137409</v>
      </c>
      <c r="BU28" s="476">
        <f t="shared" si="3"/>
        <v>1119531.2698923787</v>
      </c>
      <c r="BV28" s="476">
        <f t="shared" si="3"/>
        <v>1047041.8605892357</v>
      </c>
      <c r="BW28" s="476">
        <f t="shared" si="3"/>
        <v>1112462.9753643072</v>
      </c>
      <c r="BX28" s="476">
        <f t="shared" si="3"/>
        <v>1086642.1355792715</v>
      </c>
      <c r="BY28" s="476">
        <f t="shared" si="3"/>
        <v>1064583.9672836566</v>
      </c>
      <c r="BZ28" s="476">
        <f t="shared" si="3"/>
        <v>1149757.9767060231</v>
      </c>
      <c r="CA28" s="476">
        <f t="shared" si="3"/>
        <v>1131968.1532232948</v>
      </c>
      <c r="CB28" s="476">
        <f t="shared" si="3"/>
        <v>1161633.9910748196</v>
      </c>
      <c r="CC28" s="476">
        <f t="shared" si="3"/>
        <v>1173013.0120503074</v>
      </c>
      <c r="CD28" s="476">
        <f t="shared" si="3"/>
        <v>1187141.9559349895</v>
      </c>
      <c r="CE28" s="476">
        <f t="shared" si="3"/>
        <v>1225161.3176913552</v>
      </c>
      <c r="CF28" s="476">
        <f t="shared" si="3"/>
        <v>1246006.7917110873</v>
      </c>
      <c r="CG28" s="476">
        <f t="shared" si="3"/>
        <v>1223903.2171566193</v>
      </c>
      <c r="CH28" s="476">
        <f t="shared" si="3"/>
        <v>1265080.4399644835</v>
      </c>
      <c r="CI28" s="476">
        <f t="shared" si="3"/>
        <v>1255390.1417702762</v>
      </c>
      <c r="CJ28" s="476">
        <f t="shared" si="3"/>
        <v>1288833.6472028114</v>
      </c>
      <c r="CK28" s="476">
        <f t="shared" si="3"/>
        <v>1243570.2529158853</v>
      </c>
      <c r="CL28" s="476">
        <f t="shared" si="3"/>
        <v>1266162.93294876</v>
      </c>
      <c r="CM28" s="476">
        <f t="shared" si="3"/>
        <v>1268818.4173134633</v>
      </c>
      <c r="CN28" s="476">
        <f t="shared" si="3"/>
        <v>1242486.2931615503</v>
      </c>
      <c r="CO28" s="476">
        <f t="shared" si="3"/>
        <v>1247268.4042528283</v>
      </c>
      <c r="CP28" s="435">
        <f t="shared" si="3"/>
        <v>1276910.0596202502</v>
      </c>
    </row>
    <row r="29" spans="1:94" ht="13.5" thickBot="1">
      <c r="A29" s="441"/>
      <c r="B29" s="442"/>
      <c r="C29" s="482"/>
      <c r="D29" s="482"/>
      <c r="E29" s="482"/>
      <c r="F29" s="483"/>
      <c r="G29" s="482"/>
      <c r="H29" s="484"/>
      <c r="I29" s="482"/>
      <c r="J29" s="482"/>
      <c r="K29" s="482"/>
      <c r="L29" s="482"/>
      <c r="M29" s="483"/>
      <c r="N29" s="482"/>
      <c r="O29" s="482"/>
      <c r="P29" s="482"/>
      <c r="Q29" s="482"/>
      <c r="R29" s="482"/>
      <c r="S29" s="482"/>
      <c r="T29" s="482"/>
      <c r="U29" s="482"/>
      <c r="V29" s="482"/>
      <c r="W29" s="482"/>
      <c r="X29" s="482"/>
      <c r="Y29" s="482"/>
      <c r="Z29" s="482"/>
      <c r="AA29" s="482"/>
      <c r="AB29" s="483"/>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5"/>
    </row>
    <row r="30" spans="1:94" s="280" customFormat="1" ht="13.5" hidden="1" thickTop="1">
      <c r="A30" s="447"/>
      <c r="B30" s="447"/>
      <c r="C30" s="447"/>
      <c r="D30" s="447"/>
      <c r="E30" s="447"/>
      <c r="F30" s="447"/>
      <c r="G30" s="447"/>
      <c r="H30" s="486"/>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129"/>
      <c r="AW30" s="447"/>
      <c r="AX30" s="447"/>
      <c r="AY30" s="447"/>
      <c r="AZ30" s="447"/>
      <c r="BA30" s="447"/>
      <c r="BB30" s="447"/>
      <c r="BC30" s="447"/>
      <c r="BD30" s="447"/>
      <c r="BE30" s="447"/>
      <c r="BF30" s="447"/>
      <c r="BG30" s="447"/>
      <c r="BH30" s="447"/>
      <c r="BI30" s="447"/>
      <c r="BJ30" s="447"/>
      <c r="BK30" s="447"/>
      <c r="BL30" s="447"/>
      <c r="BM30" s="447"/>
      <c r="BN30" s="447"/>
      <c r="BO30" s="447"/>
      <c r="BP30" s="447"/>
      <c r="BQ30" s="447"/>
      <c r="BR30" s="447"/>
      <c r="BS30" s="447"/>
      <c r="BT30" s="447"/>
      <c r="BU30" s="447"/>
      <c r="BV30" s="447"/>
      <c r="BW30" s="447"/>
      <c r="BX30" s="447"/>
      <c r="BY30" s="447"/>
      <c r="BZ30" s="447"/>
      <c r="CA30" s="447"/>
      <c r="CB30" s="447"/>
      <c r="CC30" s="447"/>
      <c r="CD30" s="447"/>
      <c r="CE30" s="447"/>
      <c r="CF30" s="447"/>
      <c r="CG30" s="447"/>
      <c r="CH30" s="447"/>
      <c r="CI30" s="447"/>
      <c r="CJ30" s="447"/>
      <c r="CK30" s="447"/>
      <c r="CL30" s="447"/>
      <c r="CM30" s="447"/>
      <c r="CN30" s="447"/>
      <c r="CO30" s="447"/>
      <c r="CP30" s="447"/>
    </row>
    <row r="31" spans="1:94" s="280" customFormat="1" ht="13.5" thickTop="1">
      <c r="A31" s="447"/>
      <c r="B31" s="447"/>
      <c r="C31" s="447"/>
      <c r="D31" s="447"/>
      <c r="E31" s="447"/>
      <c r="F31" s="447"/>
      <c r="G31" s="447"/>
      <c r="H31" s="420"/>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129"/>
      <c r="AW31" s="447"/>
      <c r="AX31" s="447"/>
      <c r="AY31" s="447"/>
      <c r="AZ31" s="447"/>
      <c r="BA31" s="447"/>
      <c r="BB31" s="447"/>
      <c r="BC31" s="447"/>
      <c r="BD31" s="447"/>
      <c r="BE31" s="447"/>
      <c r="BF31" s="447"/>
      <c r="BG31" s="447"/>
      <c r="BH31" s="447"/>
      <c r="BI31" s="447"/>
      <c r="BJ31" s="447"/>
      <c r="BK31" s="447"/>
      <c r="BL31" s="447"/>
      <c r="BM31" s="447"/>
      <c r="BN31" s="447"/>
      <c r="BO31" s="44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row>
    <row r="32" spans="1:94" s="280" customFormat="1" ht="13.5" thickBot="1">
      <c r="A32" s="447"/>
      <c r="B32" s="447"/>
      <c r="C32" s="487"/>
      <c r="D32" s="487"/>
      <c r="E32" s="487"/>
      <c r="F32" s="487"/>
      <c r="G32" s="487"/>
      <c r="H32" s="488"/>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352"/>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row>
    <row r="33" spans="1:94" ht="14.25" thickTop="1" thickBot="1">
      <c r="A33" s="421" t="s">
        <v>506</v>
      </c>
      <c r="B33" s="422" t="s">
        <v>534</v>
      </c>
      <c r="C33" s="425">
        <v>38504</v>
      </c>
      <c r="D33" s="425">
        <v>38534</v>
      </c>
      <c r="E33" s="425">
        <v>38565</v>
      </c>
      <c r="F33" s="470">
        <v>38596</v>
      </c>
      <c r="G33" s="425">
        <v>38626</v>
      </c>
      <c r="H33" s="471">
        <v>38657</v>
      </c>
      <c r="I33" s="425">
        <v>38687</v>
      </c>
      <c r="J33" s="425">
        <v>38718</v>
      </c>
      <c r="K33" s="425">
        <v>38749</v>
      </c>
      <c r="L33" s="425">
        <v>38777</v>
      </c>
      <c r="M33" s="470">
        <v>38808</v>
      </c>
      <c r="N33" s="425">
        <v>38838</v>
      </c>
      <c r="O33" s="425">
        <v>38869</v>
      </c>
      <c r="P33" s="425">
        <v>38899</v>
      </c>
      <c r="Q33" s="425">
        <v>38930</v>
      </c>
      <c r="R33" s="425">
        <v>38961</v>
      </c>
      <c r="S33" s="425">
        <v>38991</v>
      </c>
      <c r="T33" s="425">
        <v>39022</v>
      </c>
      <c r="U33" s="425">
        <v>39052</v>
      </c>
      <c r="V33" s="425">
        <v>39083</v>
      </c>
      <c r="W33" s="425">
        <v>39114</v>
      </c>
      <c r="X33" s="425">
        <v>39142</v>
      </c>
      <c r="Y33" s="425">
        <v>39173</v>
      </c>
      <c r="Z33" s="425">
        <v>39203</v>
      </c>
      <c r="AA33" s="425">
        <v>39234</v>
      </c>
      <c r="AB33" s="423">
        <v>39264</v>
      </c>
      <c r="AC33" s="423">
        <v>39295</v>
      </c>
      <c r="AD33" s="424">
        <v>39326</v>
      </c>
      <c r="AE33" s="425">
        <v>39356</v>
      </c>
      <c r="AF33" s="425">
        <v>39387</v>
      </c>
      <c r="AG33" s="425">
        <v>39417</v>
      </c>
      <c r="AH33" s="425">
        <v>39448</v>
      </c>
      <c r="AI33" s="425">
        <v>39479</v>
      </c>
      <c r="AJ33" s="425">
        <v>39508</v>
      </c>
      <c r="AK33" s="425">
        <v>39539</v>
      </c>
      <c r="AL33" s="425">
        <v>39569</v>
      </c>
      <c r="AM33" s="425">
        <v>39600</v>
      </c>
      <c r="AN33" s="425">
        <v>39630</v>
      </c>
      <c r="AO33" s="425">
        <v>39661</v>
      </c>
      <c r="AP33" s="471">
        <v>39692</v>
      </c>
      <c r="AQ33" s="471">
        <v>39722</v>
      </c>
      <c r="AR33" s="425">
        <v>39753</v>
      </c>
      <c r="AS33" s="425">
        <v>39783</v>
      </c>
      <c r="AT33" s="425">
        <v>39814</v>
      </c>
      <c r="AU33" s="425">
        <v>39845</v>
      </c>
      <c r="AV33" s="425" t="s">
        <v>567</v>
      </c>
      <c r="AW33" s="425">
        <v>39904</v>
      </c>
      <c r="AX33" s="425">
        <v>39934</v>
      </c>
      <c r="AY33" s="425">
        <v>39965</v>
      </c>
      <c r="AZ33" s="425">
        <v>39995</v>
      </c>
      <c r="BA33" s="425">
        <v>40026</v>
      </c>
      <c r="BB33" s="425">
        <v>40057</v>
      </c>
      <c r="BC33" s="425">
        <v>40087</v>
      </c>
      <c r="BD33" s="425">
        <v>40118</v>
      </c>
      <c r="BE33" s="425">
        <v>40148</v>
      </c>
      <c r="BF33" s="425">
        <v>40179</v>
      </c>
      <c r="BG33" s="425">
        <v>40210</v>
      </c>
      <c r="BH33" s="425">
        <v>40238</v>
      </c>
      <c r="BI33" s="425">
        <v>40269</v>
      </c>
      <c r="BJ33" s="425">
        <v>40299</v>
      </c>
      <c r="BK33" s="425">
        <v>40330</v>
      </c>
      <c r="BL33" s="425">
        <v>40360</v>
      </c>
      <c r="BM33" s="425">
        <v>40391</v>
      </c>
      <c r="BN33" s="425">
        <v>40422</v>
      </c>
      <c r="BO33" s="425">
        <v>40452</v>
      </c>
      <c r="BP33" s="425">
        <v>40483</v>
      </c>
      <c r="BQ33" s="425">
        <v>40513</v>
      </c>
      <c r="BR33" s="425">
        <v>40544</v>
      </c>
      <c r="BS33" s="425">
        <v>40575</v>
      </c>
      <c r="BT33" s="425">
        <v>40603</v>
      </c>
      <c r="BU33" s="425">
        <v>40634</v>
      </c>
      <c r="BV33" s="425">
        <v>40664</v>
      </c>
      <c r="BW33" s="425">
        <v>40695</v>
      </c>
      <c r="BX33" s="425">
        <v>40725</v>
      </c>
      <c r="BY33" s="425">
        <v>40756</v>
      </c>
      <c r="BZ33" s="425">
        <v>40787</v>
      </c>
      <c r="CA33" s="425">
        <v>40817</v>
      </c>
      <c r="CB33" s="425">
        <v>40848</v>
      </c>
      <c r="CC33" s="425">
        <v>40878</v>
      </c>
      <c r="CD33" s="425">
        <v>40909</v>
      </c>
      <c r="CE33" s="425">
        <v>40940</v>
      </c>
      <c r="CF33" s="425">
        <v>40969</v>
      </c>
      <c r="CG33" s="425">
        <v>41000</v>
      </c>
      <c r="CH33" s="425">
        <v>41030</v>
      </c>
      <c r="CI33" s="425">
        <v>41061</v>
      </c>
      <c r="CJ33" s="425">
        <v>41091</v>
      </c>
      <c r="CK33" s="425">
        <v>41122</v>
      </c>
      <c r="CL33" s="425">
        <v>41153</v>
      </c>
      <c r="CM33" s="425">
        <v>41183</v>
      </c>
      <c r="CN33" s="425">
        <v>41214</v>
      </c>
      <c r="CO33" s="425">
        <v>41244</v>
      </c>
      <c r="CP33" s="423">
        <v>41275</v>
      </c>
    </row>
    <row r="34" spans="1:94" ht="13.5" thickTop="1">
      <c r="A34" s="436"/>
      <c r="B34" s="448"/>
      <c r="C34" s="450"/>
      <c r="D34" s="450"/>
      <c r="E34" s="450"/>
      <c r="F34" s="390"/>
      <c r="G34" s="450"/>
      <c r="H34" s="481"/>
      <c r="I34" s="450"/>
      <c r="J34" s="450"/>
      <c r="K34" s="450"/>
      <c r="L34" s="450"/>
      <c r="M34" s="390"/>
      <c r="N34" s="450"/>
      <c r="O34" s="450"/>
      <c r="P34" s="450"/>
      <c r="Q34" s="450"/>
      <c r="R34" s="450"/>
      <c r="S34" s="450"/>
      <c r="T34" s="450"/>
      <c r="U34" s="450"/>
      <c r="V34" s="450"/>
      <c r="W34" s="450"/>
      <c r="X34" s="450"/>
      <c r="Y34" s="450"/>
      <c r="Z34" s="450"/>
      <c r="AA34" s="450"/>
      <c r="AB34" s="439"/>
      <c r="AC34" s="439"/>
      <c r="AD34" s="449"/>
      <c r="AE34" s="450"/>
      <c r="AF34" s="450"/>
      <c r="AG34" s="450"/>
      <c r="AH34" s="450"/>
      <c r="AI34" s="450"/>
      <c r="AJ34" s="450"/>
      <c r="AK34" s="450"/>
      <c r="AL34" s="450"/>
      <c r="AM34" s="450"/>
      <c r="AN34" s="450"/>
      <c r="AO34" s="450"/>
      <c r="AP34" s="489"/>
      <c r="AQ34" s="49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39"/>
    </row>
    <row r="35" spans="1:94">
      <c r="A35" s="433" t="s">
        <v>535</v>
      </c>
      <c r="B35" s="434" t="s">
        <v>536</v>
      </c>
      <c r="C35" s="476">
        <f>([3]sheet1!$N$175+'[4]Cat 2-MUR'!$P$175)/1000000</f>
        <v>0</v>
      </c>
      <c r="D35" s="476">
        <f>[5]Sheet1!$C$159/1000000</f>
        <v>0</v>
      </c>
      <c r="E35" s="476">
        <f>[6]Sheet1!$C$159/1000000</f>
        <v>0</v>
      </c>
      <c r="F35" s="400">
        <f>[7]Sheet1!$C$159/1000000</f>
        <v>0</v>
      </c>
      <c r="G35" s="476">
        <f>[8]Sheet1!$C$159/1000000</f>
        <v>0</v>
      </c>
      <c r="H35" s="477">
        <f>[9]Sheet1!$C$159/1000000</f>
        <v>0</v>
      </c>
      <c r="I35" s="476">
        <f>[10]Sheet1!$C$159/1000000</f>
        <v>0</v>
      </c>
      <c r="J35" s="476">
        <f>[11]Sheet1!$C$159/1000000</f>
        <v>0</v>
      </c>
      <c r="K35" s="476">
        <f>[12]Sheet1!$C$159/1000000</f>
        <v>0</v>
      </c>
      <c r="L35" s="476">
        <f>[13]Sheet1!$C$159/1000000</f>
        <v>0</v>
      </c>
      <c r="M35" s="400">
        <f>[14]Sheet1!$C$159/1000000</f>
        <v>0</v>
      </c>
      <c r="N35" s="476">
        <f>[15]Sheet1!$C$159/1000000</f>
        <v>0</v>
      </c>
      <c r="O35" s="476">
        <f>[16]Sheet1!$C$159/1000000</f>
        <v>0</v>
      </c>
      <c r="P35" s="476">
        <f>[17]Sheet1!$C$159/1000000</f>
        <v>0</v>
      </c>
      <c r="Q35" s="476">
        <f>[18]Sheet1!$C$159/1000000</f>
        <v>0</v>
      </c>
      <c r="R35" s="476">
        <f>[19]Sheet1!$C$159/1000000</f>
        <v>0</v>
      </c>
      <c r="S35" s="476">
        <f>[20]Sheet1!$C$159/1000000</f>
        <v>0</v>
      </c>
      <c r="T35" s="476">
        <f>[21]Sheet1!$C$159/1000000</f>
        <v>0</v>
      </c>
      <c r="U35" s="476">
        <f>[22]Sheet1!$C$159/1000000</f>
        <v>0</v>
      </c>
      <c r="V35" s="476">
        <f>[23]Sheet1!$C$159/1000000</f>
        <v>0</v>
      </c>
      <c r="W35" s="476">
        <f>[24]Sheet1!$C$159/1000000</f>
        <v>0</v>
      </c>
      <c r="X35" s="476">
        <f>[25]Sheet1!$C$159/1000000</f>
        <v>0</v>
      </c>
      <c r="Y35" s="476">
        <f>[26]Sheet1!$C$159/1000000</f>
        <v>0</v>
      </c>
      <c r="Z35" s="476">
        <f>[27]Sheet1!$C$159/1000000</f>
        <v>0</v>
      </c>
      <c r="AA35" s="476">
        <f>[28]Sheet1!$C$159/1000000</f>
        <v>0</v>
      </c>
      <c r="AB35" s="435">
        <f>[29]Sheet1!$C$159/1000000</f>
        <v>0</v>
      </c>
      <c r="AC35" s="435">
        <f>[30]Sheet1!$C$159/1000000</f>
        <v>0</v>
      </c>
      <c r="AD35" s="491">
        <f>[31]Sheet1!$C$159/1000000</f>
        <v>0</v>
      </c>
      <c r="AE35" s="476">
        <f>[32]Sheet1!$C$159/1000000</f>
        <v>0</v>
      </c>
      <c r="AF35" s="476">
        <f>[33]Sheet1!$C$159/1000000</f>
        <v>0</v>
      </c>
      <c r="AG35" s="476">
        <f>[34]Sheet1!$C$159/1000000</f>
        <v>0</v>
      </c>
      <c r="AH35" s="476">
        <f>[35]Sheet1!$C$159/1000000</f>
        <v>0</v>
      </c>
      <c r="AI35" s="476">
        <f>[36]Sheet1!$C$159/1000000</f>
        <v>0</v>
      </c>
      <c r="AJ35" s="476">
        <f>[60]Sheet1!$C$159/1000000</f>
        <v>0</v>
      </c>
      <c r="AK35" s="476">
        <f>[61]Sheet1!$C$159/1000000</f>
        <v>0</v>
      </c>
      <c r="AL35" s="476">
        <f>[62]Sheet1!$C$159/1000000</f>
        <v>0</v>
      </c>
      <c r="AM35" s="476">
        <f>[63]Sheet1!$C$159/1000000</f>
        <v>0</v>
      </c>
      <c r="AN35" s="476">
        <f>[64]Sheet1!$C$159/1000000</f>
        <v>0</v>
      </c>
      <c r="AO35" s="476">
        <f>[65]Sheet1!$C$159/1000000</f>
        <v>0</v>
      </c>
      <c r="AP35" s="477">
        <f>[37]Sheet1!$C$159/1000000</f>
        <v>0</v>
      </c>
      <c r="AQ35" s="476">
        <f>[38]Sheet1!$C$159/1000000</f>
        <v>0</v>
      </c>
      <c r="AR35" s="476">
        <f>[39]Sheet1!$C$159/1000000</f>
        <v>0</v>
      </c>
      <c r="AS35" s="476">
        <f>[66]Sheet1!$C$159/1000000</f>
        <v>0</v>
      </c>
      <c r="AT35" s="476">
        <f>[67]Sheet1!$C$159/1000000</f>
        <v>0</v>
      </c>
      <c r="AU35" s="476">
        <f>[68]Sheet1!$C$159/1000000</f>
        <v>0</v>
      </c>
      <c r="AV35" s="476">
        <f>[69]Sheet1!$C$159/1000000</f>
        <v>0</v>
      </c>
      <c r="AW35" s="476">
        <f>[70]Sheet1!$C$159/1000000</f>
        <v>0</v>
      </c>
      <c r="AX35" s="476">
        <f>[71]Sheet1!$C$159/1000000</f>
        <v>0</v>
      </c>
      <c r="AY35" s="476">
        <f>[72]Sheet1!$C$159/1000000</f>
        <v>0</v>
      </c>
      <c r="AZ35" s="476">
        <f>[73]Sheet1!$C$159/1000000</f>
        <v>0</v>
      </c>
      <c r="BA35" s="476">
        <f>[74]Sheet1!$C$159/1000000</f>
        <v>0</v>
      </c>
      <c r="BB35" s="476">
        <f>[40]Sheet1!$C$159/1000000</f>
        <v>0</v>
      </c>
      <c r="BC35" s="476">
        <f>[75]Sheet1!$C$159/1000000</f>
        <v>0</v>
      </c>
      <c r="BD35" s="476">
        <f>[76]Sheet1!$C$159/1000000</f>
        <v>0</v>
      </c>
      <c r="BE35" s="476">
        <f>[77]Sheet1!$C$159/1000000</f>
        <v>0</v>
      </c>
      <c r="BF35" s="476">
        <f>[41]Sheet1!$C$159/1000000</f>
        <v>0</v>
      </c>
      <c r="BG35" s="476">
        <f>[42]Sheet1!$C$159/1000000</f>
        <v>0</v>
      </c>
      <c r="BH35" s="476">
        <f>[43]Sheet1!$C$159/1000000</f>
        <v>0</v>
      </c>
      <c r="BI35" s="476">
        <f>[44]Sheet1!$C$159/1000000</f>
        <v>0</v>
      </c>
      <c r="BJ35" s="476">
        <f>[44]Sheet1!$C$159/1000000</f>
        <v>0</v>
      </c>
      <c r="BK35" s="476">
        <f>[44]Sheet1!$C$159/1000000</f>
        <v>0</v>
      </c>
      <c r="BL35" s="476">
        <f>[44]Sheet1!$C$159/1000000</f>
        <v>0</v>
      </c>
      <c r="BM35" s="476">
        <f>[44]Sheet1!$C$159/1000000</f>
        <v>0</v>
      </c>
      <c r="BN35" s="476">
        <f>[44]Sheet1!$C$159/1000000</f>
        <v>0</v>
      </c>
      <c r="BO35" s="476">
        <f>[44]Sheet1!$C$159/1000000</f>
        <v>0</v>
      </c>
      <c r="BP35" s="476">
        <f>[44]Sheet1!$C$159/1000000</f>
        <v>0</v>
      </c>
      <c r="BQ35" s="476">
        <f>[44]Sheet1!$C$159/1000000</f>
        <v>0</v>
      </c>
      <c r="BR35" s="476">
        <f>[44]Sheet1!$C$159/1000000</f>
        <v>0</v>
      </c>
      <c r="BS35" s="476">
        <f>[44]Sheet1!$C$159/1000000</f>
        <v>0</v>
      </c>
      <c r="BT35" s="476">
        <f>[44]Sheet1!$C$159/1000000</f>
        <v>0</v>
      </c>
      <c r="BU35" s="476">
        <f>[44]Sheet1!$C$159/1000000</f>
        <v>0</v>
      </c>
      <c r="BV35" s="476">
        <f>[44]Sheet1!$C$159/1000000</f>
        <v>0</v>
      </c>
      <c r="BW35" s="476">
        <f>[44]Sheet1!$C$159/1000000</f>
        <v>0</v>
      </c>
      <c r="BX35" s="476">
        <f>[44]Sheet1!$C$159/1000000</f>
        <v>0</v>
      </c>
      <c r="BY35" s="476">
        <f>[44]Sheet1!$C$159/1000000</f>
        <v>0</v>
      </c>
      <c r="BZ35" s="476">
        <f>[44]Sheet1!$C$159/1000000</f>
        <v>0</v>
      </c>
      <c r="CA35" s="476">
        <f>[44]Sheet1!$C$159/1000000</f>
        <v>0</v>
      </c>
      <c r="CB35" s="476">
        <f>[45]Sheet1!$C$159/1000000</f>
        <v>0</v>
      </c>
      <c r="CC35" s="476">
        <f>[46]Sheet1!$C$159/1000000</f>
        <v>0</v>
      </c>
      <c r="CD35" s="476">
        <f>[47]Sheet1!$C$159/1000000</f>
        <v>0</v>
      </c>
      <c r="CE35" s="476">
        <f>[48]Sheet1!$C$159/1000000</f>
        <v>0</v>
      </c>
      <c r="CF35" s="476">
        <f>[49]Sheet1!$C$159/1000000</f>
        <v>0</v>
      </c>
      <c r="CG35" s="476">
        <f>[50]Sheet1!$C$159/1000000</f>
        <v>0</v>
      </c>
      <c r="CH35" s="476">
        <f>[51]Sheet1!$C$159/1000000</f>
        <v>0</v>
      </c>
      <c r="CI35" s="476">
        <f>[52]Sheet1!$C$159/1000000</f>
        <v>0</v>
      </c>
      <c r="CJ35" s="476">
        <f>[53]Sheet1!$C$159/1000000</f>
        <v>0</v>
      </c>
      <c r="CK35" s="476">
        <f>[54]Sheet1!$C$159/1000000</f>
        <v>0</v>
      </c>
      <c r="CL35" s="476">
        <f>[55]Sheet1!$C$159/1000000</f>
        <v>0</v>
      </c>
      <c r="CM35" s="476">
        <f>[56]Sheet1!$C$159/1000000</f>
        <v>0</v>
      </c>
      <c r="CN35" s="476">
        <f>[57]Sheet1!$C$159/1000000</f>
        <v>0</v>
      </c>
      <c r="CO35" s="476">
        <f>[58]Sheet1!$C$159/1000000</f>
        <v>0</v>
      </c>
      <c r="CP35" s="435">
        <f>[59]Sheet1!$C$159/1000000</f>
        <v>0</v>
      </c>
    </row>
    <row r="36" spans="1:94">
      <c r="A36" s="436"/>
      <c r="B36" s="437"/>
      <c r="C36" s="492"/>
      <c r="D36" s="492"/>
      <c r="E36" s="492"/>
      <c r="F36" s="493"/>
      <c r="G36" s="492"/>
      <c r="H36" s="494"/>
      <c r="I36" s="492"/>
      <c r="J36" s="492"/>
      <c r="K36" s="492"/>
      <c r="L36" s="492"/>
      <c r="M36" s="493"/>
      <c r="N36" s="492"/>
      <c r="O36" s="492"/>
      <c r="P36" s="492"/>
      <c r="Q36" s="492"/>
      <c r="R36" s="492"/>
      <c r="S36" s="492"/>
      <c r="T36" s="492"/>
      <c r="U36" s="492"/>
      <c r="V36" s="492"/>
      <c r="W36" s="492"/>
      <c r="X36" s="492"/>
      <c r="Y36" s="492"/>
      <c r="Z36" s="492"/>
      <c r="AA36" s="492"/>
      <c r="AB36" s="495"/>
      <c r="AC36" s="495"/>
      <c r="AD36" s="496"/>
      <c r="AE36" s="492"/>
      <c r="AF36" s="492"/>
      <c r="AG36" s="492"/>
      <c r="AH36" s="492"/>
      <c r="AI36" s="492"/>
      <c r="AJ36" s="492"/>
      <c r="AK36" s="492"/>
      <c r="AL36" s="492"/>
      <c r="AM36" s="492"/>
      <c r="AN36" s="492"/>
      <c r="AO36" s="492"/>
      <c r="AP36" s="494"/>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5"/>
    </row>
    <row r="37" spans="1:94">
      <c r="A37" s="433" t="s">
        <v>537</v>
      </c>
      <c r="B37" s="434" t="s">
        <v>538</v>
      </c>
      <c r="C37" s="476">
        <f>C38+C39+C40</f>
        <v>234659.69403894403</v>
      </c>
      <c r="D37" s="476">
        <f>D38+D39+D40</f>
        <v>216175.19586837472</v>
      </c>
      <c r="E37" s="476">
        <f t="shared" ref="E37:BP37" si="4">E38+E39+E40</f>
        <v>211764.41111288907</v>
      </c>
      <c r="F37" s="400">
        <f t="shared" si="4"/>
        <v>221465.78791758599</v>
      </c>
      <c r="G37" s="476">
        <f t="shared" si="4"/>
        <v>224608.9356504812</v>
      </c>
      <c r="H37" s="477">
        <f t="shared" si="4"/>
        <v>239909.87763746487</v>
      </c>
      <c r="I37" s="476">
        <f t="shared" si="4"/>
        <v>239646.34070809974</v>
      </c>
      <c r="J37" s="476">
        <f t="shared" si="4"/>
        <v>238338.66339117137</v>
      </c>
      <c r="K37" s="476">
        <f t="shared" si="4"/>
        <v>248027.07543167711</v>
      </c>
      <c r="L37" s="476">
        <f t="shared" si="4"/>
        <v>254690.49543574249</v>
      </c>
      <c r="M37" s="400">
        <f t="shared" si="4"/>
        <v>252200.82457217603</v>
      </c>
      <c r="N37" s="476">
        <f t="shared" si="4"/>
        <v>272025.98400048987</v>
      </c>
      <c r="O37" s="476">
        <f t="shared" si="4"/>
        <v>268854.55419032736</v>
      </c>
      <c r="P37" s="476">
        <f t="shared" si="4"/>
        <v>278782.71408496238</v>
      </c>
      <c r="Q37" s="476">
        <f t="shared" si="4"/>
        <v>280471.41074241279</v>
      </c>
      <c r="R37" s="476">
        <f t="shared" si="4"/>
        <v>293880.7609238014</v>
      </c>
      <c r="S37" s="476">
        <f t="shared" si="4"/>
        <v>293445.59651270462</v>
      </c>
      <c r="T37" s="476">
        <f t="shared" si="4"/>
        <v>300335.28877690592</v>
      </c>
      <c r="U37" s="476">
        <f t="shared" si="4"/>
        <v>332611.45733350061</v>
      </c>
      <c r="V37" s="476">
        <f t="shared" si="4"/>
        <v>317224.21581634658</v>
      </c>
      <c r="W37" s="476">
        <f t="shared" si="4"/>
        <v>315181.57413066446</v>
      </c>
      <c r="X37" s="476">
        <f t="shared" si="4"/>
        <v>326094.42682655377</v>
      </c>
      <c r="Y37" s="476">
        <f t="shared" si="4"/>
        <v>319702.46339459461</v>
      </c>
      <c r="Z37" s="476">
        <f t="shared" si="4"/>
        <v>323621.08355374425</v>
      </c>
      <c r="AA37" s="476">
        <f t="shared" si="4"/>
        <v>338937.63883494784</v>
      </c>
      <c r="AB37" s="435">
        <f t="shared" si="4"/>
        <v>353336.5422096292</v>
      </c>
      <c r="AC37" s="435">
        <f t="shared" si="4"/>
        <v>353882.80572901608</v>
      </c>
      <c r="AD37" s="491">
        <f t="shared" si="4"/>
        <v>366083.89025436051</v>
      </c>
      <c r="AE37" s="476">
        <f t="shared" si="4"/>
        <v>370093.14308066678</v>
      </c>
      <c r="AF37" s="476">
        <f t="shared" si="4"/>
        <v>399561.7213328908</v>
      </c>
      <c r="AG37" s="476">
        <f t="shared" si="4"/>
        <v>379737.88683241926</v>
      </c>
      <c r="AH37" s="476">
        <f t="shared" si="4"/>
        <v>411194.66793957032</v>
      </c>
      <c r="AI37" s="476">
        <f t="shared" si="4"/>
        <v>397223.14289778227</v>
      </c>
      <c r="AJ37" s="476">
        <f t="shared" si="4"/>
        <v>384169.97294688132</v>
      </c>
      <c r="AK37" s="476">
        <f t="shared" si="4"/>
        <v>377174.68478434451</v>
      </c>
      <c r="AL37" s="476">
        <f t="shared" si="4"/>
        <v>410510.27517716476</v>
      </c>
      <c r="AM37" s="476">
        <f t="shared" si="4"/>
        <v>422030.17171740218</v>
      </c>
      <c r="AN37" s="476">
        <f t="shared" si="4"/>
        <v>443527.54864500556</v>
      </c>
      <c r="AO37" s="476">
        <f t="shared" si="4"/>
        <v>428875.21669784852</v>
      </c>
      <c r="AP37" s="477">
        <f t="shared" si="4"/>
        <v>417176.54811964394</v>
      </c>
      <c r="AQ37" s="476">
        <f t="shared" si="4"/>
        <v>423618.02341971477</v>
      </c>
      <c r="AR37" s="476">
        <f t="shared" si="4"/>
        <v>426464.59191861574</v>
      </c>
      <c r="AS37" s="476">
        <f t="shared" si="4"/>
        <v>424511.53807556687</v>
      </c>
      <c r="AT37" s="476">
        <f t="shared" si="4"/>
        <v>427247.51999296376</v>
      </c>
      <c r="AU37" s="476">
        <f t="shared" si="4"/>
        <v>433762.4309569624</v>
      </c>
      <c r="AV37" s="476">
        <f t="shared" si="4"/>
        <v>432392.10580331174</v>
      </c>
      <c r="AW37" s="476">
        <f t="shared" si="4"/>
        <v>436033.26220642292</v>
      </c>
      <c r="AX37" s="476">
        <f t="shared" si="4"/>
        <v>444352.23222694744</v>
      </c>
      <c r="AY37" s="476">
        <f t="shared" si="4"/>
        <v>443588.38556634827</v>
      </c>
      <c r="AZ37" s="476">
        <f t="shared" si="4"/>
        <v>445938.03909327474</v>
      </c>
      <c r="BA37" s="476">
        <f t="shared" si="4"/>
        <v>438897.14458783186</v>
      </c>
      <c r="BB37" s="476">
        <f t="shared" si="4"/>
        <v>449019.71883277124</v>
      </c>
      <c r="BC37" s="476">
        <f t="shared" si="4"/>
        <v>450118.61442587705</v>
      </c>
      <c r="BD37" s="476">
        <f t="shared" si="4"/>
        <v>458977.55439943925</v>
      </c>
      <c r="BE37" s="476">
        <f t="shared" si="4"/>
        <v>475005.09013855131</v>
      </c>
      <c r="BF37" s="476">
        <f t="shared" si="4"/>
        <v>496207.4781419682</v>
      </c>
      <c r="BG37" s="476">
        <f t="shared" si="4"/>
        <v>499650.38501589181</v>
      </c>
      <c r="BH37" s="476">
        <f t="shared" si="4"/>
        <v>506961.32125285175</v>
      </c>
      <c r="BI37" s="476">
        <f t="shared" si="4"/>
        <v>489458.60403758596</v>
      </c>
      <c r="BJ37" s="476">
        <f t="shared" si="4"/>
        <v>540403.6664803077</v>
      </c>
      <c r="BK37" s="476">
        <f t="shared" si="4"/>
        <v>539627.74108805577</v>
      </c>
      <c r="BL37" s="476">
        <f t="shared" si="4"/>
        <v>499477.13734697399</v>
      </c>
      <c r="BM37" s="476">
        <f t="shared" si="4"/>
        <v>522569.20318933739</v>
      </c>
      <c r="BN37" s="476">
        <f t="shared" si="4"/>
        <v>524735.91168733768</v>
      </c>
      <c r="BO37" s="476">
        <f t="shared" si="4"/>
        <v>527943.01764599676</v>
      </c>
      <c r="BP37" s="476">
        <f t="shared" si="4"/>
        <v>536907.13099979574</v>
      </c>
      <c r="BQ37" s="476">
        <f t="shared" ref="BQ37:CN37" si="5">BQ38+BQ39+BQ40</f>
        <v>551166.79520525085</v>
      </c>
      <c r="BR37" s="476">
        <f t="shared" si="5"/>
        <v>550701.18278368236</v>
      </c>
      <c r="BS37" s="476">
        <f t="shared" si="5"/>
        <v>545565.77315005905</v>
      </c>
      <c r="BT37" s="476">
        <f t="shared" si="5"/>
        <v>515001.21588360041</v>
      </c>
      <c r="BU37" s="476">
        <f t="shared" si="5"/>
        <v>532835.66349772399</v>
      </c>
      <c r="BV37" s="476">
        <f t="shared" si="5"/>
        <v>524226.72519518377</v>
      </c>
      <c r="BW37" s="476">
        <f t="shared" si="5"/>
        <v>554777.40849484433</v>
      </c>
      <c r="BX37" s="476">
        <f t="shared" si="5"/>
        <v>541700.17485049961</v>
      </c>
      <c r="BY37" s="476">
        <f t="shared" si="5"/>
        <v>526591.92248697625</v>
      </c>
      <c r="BZ37" s="476">
        <f t="shared" si="5"/>
        <v>531311.32376258308</v>
      </c>
      <c r="CA37" s="476">
        <f t="shared" si="5"/>
        <v>533460.52811905509</v>
      </c>
      <c r="CB37" s="476">
        <f t="shared" si="5"/>
        <v>586067.89265765238</v>
      </c>
      <c r="CC37" s="476">
        <f t="shared" si="5"/>
        <v>534238.79294144385</v>
      </c>
      <c r="CD37" s="476">
        <f t="shared" si="5"/>
        <v>507796.3275038898</v>
      </c>
      <c r="CE37" s="476">
        <f t="shared" si="5"/>
        <v>512584.53890575701</v>
      </c>
      <c r="CF37" s="476">
        <f t="shared" si="5"/>
        <v>561741.24902321748</v>
      </c>
      <c r="CG37" s="476">
        <f t="shared" si="5"/>
        <v>562306.72069987259</v>
      </c>
      <c r="CH37" s="476">
        <f t="shared" si="5"/>
        <v>584855.07110065152</v>
      </c>
      <c r="CI37" s="476">
        <f t="shared" si="5"/>
        <v>524250.73919347208</v>
      </c>
      <c r="CJ37" s="476">
        <f t="shared" si="5"/>
        <v>552672.69958258374</v>
      </c>
      <c r="CK37" s="476">
        <f t="shared" si="5"/>
        <v>513021.73634108133</v>
      </c>
      <c r="CL37" s="476">
        <f t="shared" si="5"/>
        <v>536776.43787019444</v>
      </c>
      <c r="CM37" s="476">
        <f t="shared" si="5"/>
        <v>557673.69960811757</v>
      </c>
      <c r="CN37" s="476">
        <f t="shared" si="5"/>
        <v>560643.82684219722</v>
      </c>
      <c r="CO37" s="476">
        <f>CO38+CO39+CO40</f>
        <v>569687.37195696007</v>
      </c>
      <c r="CP37" s="435">
        <f>CP38+CP39+CP40</f>
        <v>588004.29224349442</v>
      </c>
    </row>
    <row r="38" spans="1:94">
      <c r="A38" s="436" t="s">
        <v>539</v>
      </c>
      <c r="B38" s="437" t="s">
        <v>540</v>
      </c>
      <c r="C38" s="450">
        <f>([3]sheet1!$N$178+'[4]Cat 2-MUR'!$P$178)/1000000</f>
        <v>85971.344917090784</v>
      </c>
      <c r="D38" s="450">
        <f>[5]Sheet1!$C$162/1000000</f>
        <v>56233.825152112688</v>
      </c>
      <c r="E38" s="450">
        <f>[6]Sheet1!$C$162/1000000</f>
        <v>60252.107619653412</v>
      </c>
      <c r="F38" s="390">
        <f>[7]Sheet1!$C$162/1000000</f>
        <v>64917.25499278737</v>
      </c>
      <c r="G38" s="450">
        <f>[8]Sheet1!$C$162/1000000</f>
        <v>67143.919556244378</v>
      </c>
      <c r="H38" s="481">
        <f>[9]Sheet1!$C$162/1000000</f>
        <v>70429.597058082552</v>
      </c>
      <c r="I38" s="450">
        <f>[10]Sheet1!$C$162/1000000</f>
        <v>73115.848879623896</v>
      </c>
      <c r="J38" s="450">
        <f>[11]Sheet1!$C$162/1000000</f>
        <v>70584.508932084369</v>
      </c>
      <c r="K38" s="450">
        <f>[12]Sheet1!$C$162/1000000</f>
        <v>72388.476477591976</v>
      </c>
      <c r="L38" s="450">
        <f>[13]Sheet1!$C$162/1000000</f>
        <v>71006.542502962737</v>
      </c>
      <c r="M38" s="390">
        <f>[14]Sheet1!$C$162/1000000</f>
        <v>64762.956991548017</v>
      </c>
      <c r="N38" s="450">
        <f>[15]Sheet1!$C$162/1000000</f>
        <v>71376.843475018992</v>
      </c>
      <c r="O38" s="450">
        <f>[16]Sheet1!$C$162/1000000</f>
        <v>70370.849442147213</v>
      </c>
      <c r="P38" s="450">
        <f>[17]Sheet1!$C$162/1000000</f>
        <v>77834.490277323697</v>
      </c>
      <c r="Q38" s="450">
        <f>[18]Sheet1!$C$162/1000000</f>
        <v>75479.578502125776</v>
      </c>
      <c r="R38" s="450">
        <f>[19]Sheet1!$C$162/1000000</f>
        <v>75715.975696240974</v>
      </c>
      <c r="S38" s="450">
        <f>[20]Sheet1!$C$162/1000000</f>
        <v>76501.098940951473</v>
      </c>
      <c r="T38" s="450">
        <f>[21]Sheet1!$C$162/1000000</f>
        <v>83317.123458625007</v>
      </c>
      <c r="U38" s="450">
        <f>[22]Sheet1!$C$162/1000000</f>
        <v>94783.297528469324</v>
      </c>
      <c r="V38" s="450">
        <f>[23]Sheet1!$C$162/1000000</f>
        <v>97807.679188481052</v>
      </c>
      <c r="W38" s="450">
        <f>[24]Sheet1!$C$162/1000000</f>
        <v>102541.53625631204</v>
      </c>
      <c r="X38" s="450">
        <f>[25]Sheet1!$C$162/1000000</f>
        <v>104937.78384865716</v>
      </c>
      <c r="Y38" s="450">
        <f>[26]Sheet1!$C$162/1000000</f>
        <v>102759.74497819504</v>
      </c>
      <c r="Z38" s="450">
        <f>[27]Sheet1!$C$162/1000000</f>
        <v>98156.099633431339</v>
      </c>
      <c r="AA38" s="450">
        <f>[28]Sheet1!$C$162/1000000</f>
        <v>108098.47599634138</v>
      </c>
      <c r="AB38" s="439">
        <f>[29]Sheet1!$C$162/1000000</f>
        <v>113433.44803029559</v>
      </c>
      <c r="AC38" s="439">
        <f>[30]Sheet1!$C$162/1000000</f>
        <v>107036.0017067583</v>
      </c>
      <c r="AD38" s="449">
        <f>[31]Sheet1!$C$162/1000000</f>
        <v>123742.79734739376</v>
      </c>
      <c r="AE38" s="450">
        <f>[32]Sheet1!$C$162/1000000</f>
        <v>120595.07091522172</v>
      </c>
      <c r="AF38" s="450">
        <f>[33]Sheet1!$C$162/1000000</f>
        <v>136796.36000051288</v>
      </c>
      <c r="AG38" s="450">
        <f>[34]Sheet1!$C$162/1000000</f>
        <v>126670.48808545167</v>
      </c>
      <c r="AH38" s="450">
        <f>[35]Sheet1!$C$162/1000000</f>
        <v>132787.34762984278</v>
      </c>
      <c r="AI38" s="450">
        <f>[36]Sheet1!$C$162/1000000</f>
        <v>121694.13096946044</v>
      </c>
      <c r="AJ38" s="450">
        <f>[60]Sheet1!$C$162/1000000</f>
        <v>119716.94916424096</v>
      </c>
      <c r="AK38" s="450">
        <f>[61]Sheet1!$C$162/1000000</f>
        <v>115913.87573404826</v>
      </c>
      <c r="AL38" s="450">
        <f>[62]Sheet1!$C$162/1000000</f>
        <v>120037.92474904569</v>
      </c>
      <c r="AM38" s="450">
        <f>[63]Sheet1!$C$162/1000000</f>
        <v>136102.50982904684</v>
      </c>
      <c r="AN38" s="450">
        <f>[64]Sheet1!$C$162/1000000</f>
        <v>137760.12289358673</v>
      </c>
      <c r="AO38" s="450">
        <f>[65]Sheet1!$C$162/1000000</f>
        <v>132653.62250465617</v>
      </c>
      <c r="AP38" s="481">
        <f>[37]Sheet1!$C$162/1000000</f>
        <v>130313.38993089984</v>
      </c>
      <c r="AQ38" s="450">
        <f>[38]Sheet1!$C$162/1000000</f>
        <v>140758.29932319175</v>
      </c>
      <c r="AR38" s="450">
        <f>[39]Sheet1!$C$162/1000000</f>
        <v>141554.31136313253</v>
      </c>
      <c r="AS38" s="450">
        <f>[66]Sheet1!$C$162/1000000</f>
        <v>143107.30549762354</v>
      </c>
      <c r="AT38" s="450">
        <f>[67]Sheet1!$C$162/1000000</f>
        <v>150046.43147167374</v>
      </c>
      <c r="AU38" s="450">
        <f>[68]Sheet1!$C$162/1000000</f>
        <v>155851.9510543645</v>
      </c>
      <c r="AV38" s="450">
        <f>[69]Sheet1!$C$162/1000000</f>
        <v>160566.56518537708</v>
      </c>
      <c r="AW38" s="450">
        <f>[70]Sheet1!$C$162/1000000</f>
        <v>158720.16497322492</v>
      </c>
      <c r="AX38" s="450">
        <f>[71]Sheet1!$C$162/1000000</f>
        <v>164232.75667122781</v>
      </c>
      <c r="AY38" s="450">
        <f>[72]Sheet1!$C$162/1000000</f>
        <v>170748.1548239853</v>
      </c>
      <c r="AZ38" s="450">
        <f>[73]Sheet1!$C$162/1000000</f>
        <v>171344.24881251989</v>
      </c>
      <c r="BA38" s="450">
        <f>[74]Sheet1!$C$162/1000000</f>
        <v>164099.5067574085</v>
      </c>
      <c r="BB38" s="450">
        <f>[40]Sheet1!$C$162/1000000</f>
        <v>172846.76150691375</v>
      </c>
      <c r="BC38" s="450">
        <f>[75]Sheet1!$C$162/1000000</f>
        <v>172189.43734370044</v>
      </c>
      <c r="BD38" s="450">
        <f>[76]Sheet1!$C$162/1000000</f>
        <v>174265.05114018475</v>
      </c>
      <c r="BE38" s="450">
        <f>[77]Sheet1!$C$162/1000000</f>
        <v>191048.92176675834</v>
      </c>
      <c r="BF38" s="450">
        <f>[41]Sheet1!$C$162/1000000</f>
        <v>179915.97869980364</v>
      </c>
      <c r="BG38" s="450">
        <f>[42]Sheet1!$C$162/1000000</f>
        <v>192180.69027072741</v>
      </c>
      <c r="BH38" s="450">
        <f>[43]Sheet1!$C$162/1000000</f>
        <v>208788.97038426899</v>
      </c>
      <c r="BI38" s="450">
        <f>[44]Sheet1!$C$162/1000000</f>
        <v>194250.10949376694</v>
      </c>
      <c r="BJ38" s="450">
        <f>[78]Sheet1!$C$162/1000000</f>
        <v>208407.65075018074</v>
      </c>
      <c r="BK38" s="450">
        <f>[79]Sheet1!$C$162/1000000</f>
        <v>208555.91568728545</v>
      </c>
      <c r="BL38" s="450">
        <f>[80]Sheet1!$C$162/1000000</f>
        <v>182576.24376396686</v>
      </c>
      <c r="BM38" s="450">
        <f>[81]Sheet1!$C$162/1000000</f>
        <v>191037.94546439327</v>
      </c>
      <c r="BN38" s="450">
        <f>[82]Sheet1!$C$162/1000000</f>
        <v>204607.59015881389</v>
      </c>
      <c r="BO38" s="450">
        <f>[83]Sheet1!$C$162/1000000</f>
        <v>200360.84813562041</v>
      </c>
      <c r="BP38" s="450">
        <f>[84]Sheet1!$C$162/1000000</f>
        <v>209518.89747008457</v>
      </c>
      <c r="BQ38" s="450">
        <f>[85]Sheet1!$C$162/1000000</f>
        <v>209295.6548992754</v>
      </c>
      <c r="BR38" s="450">
        <f>[86]Sheet1!$C$162/1000000</f>
        <v>209637.39292402792</v>
      </c>
      <c r="BS38" s="450">
        <f>[87]Sheet1!$C$162/1000000</f>
        <v>210767.21309718012</v>
      </c>
      <c r="BT38" s="450">
        <f>[88]Sheet1!$C$162/1000000</f>
        <v>207308.49139739011</v>
      </c>
      <c r="BU38" s="450">
        <f>[89]Sheet1!$C$162/1000000</f>
        <v>192464.96509982963</v>
      </c>
      <c r="BV38" s="450">
        <f>[90]Sheet1!$C$162/1000000</f>
        <v>188726.39556423103</v>
      </c>
      <c r="BW38" s="450">
        <f>[91]Sheet1!$C$162/1000000</f>
        <v>205308.35758070156</v>
      </c>
      <c r="BX38" s="450">
        <f>[92]Sheet1!$C$162/1000000</f>
        <v>188313.19618431921</v>
      </c>
      <c r="BY38" s="450">
        <f>[93]Sheet1!$C$162/1000000</f>
        <v>200419.60044157729</v>
      </c>
      <c r="BZ38" s="450">
        <f>[94]Sheet1!$C$162/1000000</f>
        <v>198422.70198409588</v>
      </c>
      <c r="CA38" s="450">
        <f>[95]Sheet1!$C$162/1000000</f>
        <v>201743.29043449453</v>
      </c>
      <c r="CB38" s="450">
        <f>[45]Sheet1!$C$162/1000000</f>
        <v>214088.36141710865</v>
      </c>
      <c r="CC38" s="450">
        <f>[46]Sheet1!$C$162/1000000</f>
        <v>205537.91356101009</v>
      </c>
      <c r="CD38" s="450">
        <f>[47]Sheet1!$C$162/1000000</f>
        <v>205231.05536734877</v>
      </c>
      <c r="CE38" s="450">
        <f>[48]Sheet1!$C$162/1000000</f>
        <v>206772.43078668762</v>
      </c>
      <c r="CF38" s="450">
        <f>[49]Sheet1!$C$162/1000000</f>
        <v>259119.8327835619</v>
      </c>
      <c r="CG38" s="450">
        <f>[50]Sheet1!$C$162/1000000</f>
        <v>256831.62678008329</v>
      </c>
      <c r="CH38" s="450">
        <f>[51]Sheet1!$C$162/1000000</f>
        <v>266347.0832634134</v>
      </c>
      <c r="CI38" s="450">
        <f>[52]Sheet1!$C$162/1000000</f>
        <v>185562.90634465666</v>
      </c>
      <c r="CJ38" s="450">
        <f>[53]Sheet1!$C$162/1000000</f>
        <v>229789.48133857647</v>
      </c>
      <c r="CK38" s="450">
        <f>[54]Sheet1!$C$162/1000000</f>
        <v>191664.32839531542</v>
      </c>
      <c r="CL38" s="450">
        <f>[55]Sheet1!$C$162/1000000</f>
        <v>195659.65666632872</v>
      </c>
      <c r="CM38" s="450">
        <f>[56]Sheet1!$C$162/1000000</f>
        <v>206437.66452216063</v>
      </c>
      <c r="CN38" s="450">
        <f>[57]Sheet1!$C$162/1000000</f>
        <v>226858.78085671514</v>
      </c>
      <c r="CO38" s="450">
        <f>[58]Sheet1!$C$162/1000000</f>
        <v>232397.77744178093</v>
      </c>
      <c r="CP38" s="439">
        <f>[59]Sheet1!$C$162/1000000</f>
        <v>253266.41093040814</v>
      </c>
    </row>
    <row r="39" spans="1:94">
      <c r="A39" s="436" t="s">
        <v>541</v>
      </c>
      <c r="B39" s="437" t="s">
        <v>542</v>
      </c>
      <c r="C39" s="450">
        <f>([3]sheet1!$N$195+'[4]Cat 2-MUR'!$P$195)/1000000</f>
        <v>54400.528669586383</v>
      </c>
      <c r="D39" s="450">
        <f>[5]Sheet1!$C$179/1000000</f>
        <v>55364.274366902224</v>
      </c>
      <c r="E39" s="450">
        <f>[6]Sheet1!$C$179/1000000</f>
        <v>55639.341153203575</v>
      </c>
      <c r="F39" s="390">
        <f>[7]Sheet1!$C$179/1000000</f>
        <v>55400.051997011295</v>
      </c>
      <c r="G39" s="450">
        <f>[8]Sheet1!$C$179/1000000</f>
        <v>55956.954722805021</v>
      </c>
      <c r="H39" s="481">
        <f>[9]Sheet1!$C$179/1000000</f>
        <v>56840.563047609801</v>
      </c>
      <c r="I39" s="450">
        <f>[10]Sheet1!$C$179/1000000</f>
        <v>61573.888278799903</v>
      </c>
      <c r="J39" s="450">
        <f>[11]Sheet1!$C$179/1000000</f>
        <v>61944.044900555833</v>
      </c>
      <c r="K39" s="450">
        <f>[12]Sheet1!$C$179/1000000</f>
        <v>60282.061866071745</v>
      </c>
      <c r="L39" s="450">
        <f>[13]Sheet1!$C$179/1000000</f>
        <v>60001.938827791513</v>
      </c>
      <c r="M39" s="390">
        <f>[14]Sheet1!$C$179/1000000</f>
        <v>59565.267557923187</v>
      </c>
      <c r="N39" s="450">
        <f>[15]Sheet1!$C$179/1000000</f>
        <v>59878.755720878507</v>
      </c>
      <c r="O39" s="450">
        <f>[16]Sheet1!$C$179/1000000</f>
        <v>59587.053869274074</v>
      </c>
      <c r="P39" s="450">
        <f>[17]Sheet1!$C$179/1000000</f>
        <v>59891.241805268444</v>
      </c>
      <c r="Q39" s="450">
        <f>[18]Sheet1!$C$179/1000000</f>
        <v>60626.7885813256</v>
      </c>
      <c r="R39" s="450">
        <f>[19]Sheet1!$C$179/1000000</f>
        <v>60767.220737865784</v>
      </c>
      <c r="S39" s="450">
        <f>[20]Sheet1!$C$179/1000000</f>
        <v>60415.820147000821</v>
      </c>
      <c r="T39" s="450">
        <f>[21]Sheet1!$C$179/1000000</f>
        <v>61586.906304190656</v>
      </c>
      <c r="U39" s="450">
        <f>[22]Sheet1!$C$179/1000000</f>
        <v>62599.835470608399</v>
      </c>
      <c r="V39" s="450">
        <f>[23]Sheet1!$C$179/1000000</f>
        <v>62895.402994507524</v>
      </c>
      <c r="W39" s="450">
        <f>[24]Sheet1!$C$179/1000000</f>
        <v>62483.209530251705</v>
      </c>
      <c r="X39" s="450">
        <f>[25]Sheet1!$C$179/1000000</f>
        <v>64255.548407683818</v>
      </c>
      <c r="Y39" s="450">
        <f>[26]Sheet1!$C$179/1000000</f>
        <v>64146.111472228316</v>
      </c>
      <c r="Z39" s="450">
        <f>[27]Sheet1!$C$179/1000000</f>
        <v>63089.251396373067</v>
      </c>
      <c r="AA39" s="450">
        <f>[28]Sheet1!$C$179/1000000</f>
        <v>64975.695544614791</v>
      </c>
      <c r="AB39" s="439">
        <f>[29]Sheet1!$C$179/1000000</f>
        <v>64347.89121238899</v>
      </c>
      <c r="AC39" s="439">
        <f>[30]Sheet1!$C$179/1000000</f>
        <v>64375.640232194375</v>
      </c>
      <c r="AD39" s="449">
        <f>[31]Sheet1!$C$179/1000000</f>
        <v>60488.432433147507</v>
      </c>
      <c r="AE39" s="450">
        <f>[32]Sheet1!$C$179/1000000</f>
        <v>60547.323256152595</v>
      </c>
      <c r="AF39" s="450">
        <f>[33]Sheet1!$C$179/1000000</f>
        <v>61707.846358855764</v>
      </c>
      <c r="AG39" s="450">
        <f>[34]Sheet1!$C$179/1000000</f>
        <v>64378.411101923419</v>
      </c>
      <c r="AH39" s="450">
        <f>[35]Sheet1!$C$179/1000000</f>
        <v>65492.301477635163</v>
      </c>
      <c r="AI39" s="450">
        <f>[36]Sheet1!$C$179/1000000</f>
        <v>66806.924188420977</v>
      </c>
      <c r="AJ39" s="450">
        <f>[60]Sheet1!$C$179/1000000</f>
        <v>67364.613696445856</v>
      </c>
      <c r="AK39" s="450">
        <f>[61]Sheet1!$C$179/1000000</f>
        <v>68138.949241235692</v>
      </c>
      <c r="AL39" s="450">
        <f>[62]Sheet1!$C$179/1000000</f>
        <v>69474.656294007742</v>
      </c>
      <c r="AM39" s="450">
        <f>[63]Sheet1!$C$179/1000000</f>
        <v>71536.807506456826</v>
      </c>
      <c r="AN39" s="450">
        <f>[64]Sheet1!$C$179/1000000</f>
        <v>71809.005361727483</v>
      </c>
      <c r="AO39" s="450">
        <f>[65]Sheet1!$C$179/1000000</f>
        <v>71692.353631457197</v>
      </c>
      <c r="AP39" s="481">
        <f>[37]Sheet1!$C$179/1000000</f>
        <v>71737.249900530805</v>
      </c>
      <c r="AQ39" s="450">
        <f>[38]Sheet1!$C$179/1000000</f>
        <v>71634.280990498009</v>
      </c>
      <c r="AR39" s="450">
        <f>[39]Sheet1!$C$179/1000000</f>
        <v>72763.013375277253</v>
      </c>
      <c r="AS39" s="450">
        <f>[66]Sheet1!$C$179/1000000</f>
        <v>74461.475554076096</v>
      </c>
      <c r="AT39" s="450">
        <f>[67]Sheet1!$C$179/1000000</f>
        <v>75426.886915028444</v>
      </c>
      <c r="AU39" s="450">
        <f>[68]Sheet1!$C$179/1000000</f>
        <v>77231.233966992717</v>
      </c>
      <c r="AV39" s="450">
        <f>[69]Sheet1!$C$179/1000000</f>
        <v>78054.229033778131</v>
      </c>
      <c r="AW39" s="450">
        <f>[70]Sheet1!$C$179/1000000</f>
        <v>76942.839660309852</v>
      </c>
      <c r="AX39" s="450">
        <f>[71]Sheet1!$C$179/1000000</f>
        <v>77890.048011581457</v>
      </c>
      <c r="AY39" s="450">
        <f>[72]Sheet1!$C$179/1000000</f>
        <v>79850.903656925875</v>
      </c>
      <c r="AZ39" s="450">
        <f>[73]Sheet1!$C$179/1000000</f>
        <v>79165.770342182339</v>
      </c>
      <c r="BA39" s="450">
        <f>[74]Sheet1!$C$179/1000000</f>
        <v>80157.056187432972</v>
      </c>
      <c r="BB39" s="450">
        <f>[40]Sheet1!$C$179/1000000</f>
        <v>80849.701402894949</v>
      </c>
      <c r="BC39" s="450">
        <f>[75]Sheet1!$C$179/1000000</f>
        <v>81435.915950394556</v>
      </c>
      <c r="BD39" s="450">
        <f>[76]Sheet1!$C$179/1000000</f>
        <v>82172.476357644482</v>
      </c>
      <c r="BE39" s="450">
        <f>[77]Sheet1!$C$179/1000000</f>
        <v>84955.931884040008</v>
      </c>
      <c r="BF39" s="450">
        <f>[41]Sheet1!$C$179/1000000</f>
        <v>86780.895415744293</v>
      </c>
      <c r="BG39" s="450">
        <f>[42]Sheet1!$C$179/1000000</f>
        <v>86679.885774395167</v>
      </c>
      <c r="BH39" s="450">
        <f>[43]Sheet1!$C$179/1000000</f>
        <v>90095.703588188597</v>
      </c>
      <c r="BI39" s="450">
        <f>[44]Sheet1!$C$179/1000000</f>
        <v>90536.809949928269</v>
      </c>
      <c r="BJ39" s="450">
        <f>[78]Sheet1!$C$179/1000000</f>
        <v>90575.994403637</v>
      </c>
      <c r="BK39" s="450">
        <f>[79]Sheet1!$C$179/1000000</f>
        <v>91748.274416918852</v>
      </c>
      <c r="BL39" s="450">
        <f>[80]Sheet1!$C$179/1000000</f>
        <v>92060.186697136931</v>
      </c>
      <c r="BM39" s="450">
        <f>[81]Sheet1!$C$179/1000000</f>
        <v>97087.547902479142</v>
      </c>
      <c r="BN39" s="450">
        <f>[82]Sheet1!$C$179/1000000</f>
        <v>97906.103841024829</v>
      </c>
      <c r="BO39" s="450">
        <f>[83]Sheet1!$C$179/1000000</f>
        <v>101434.61169554139</v>
      </c>
      <c r="BP39" s="450">
        <f>[84]Sheet1!$C$179/1000000</f>
        <v>101123.66756027237</v>
      </c>
      <c r="BQ39" s="450">
        <f>[85]Sheet1!$C$179/1000000</f>
        <v>106092.38565132562</v>
      </c>
      <c r="BR39" s="450">
        <f>[86]Sheet1!$C$179/1000000</f>
        <v>105645.75919517616</v>
      </c>
      <c r="BS39" s="450">
        <f>[87]Sheet1!$C$179/1000000</f>
        <v>108541.91109058767</v>
      </c>
      <c r="BT39" s="450">
        <f>[88]Sheet1!$C$179/1000000</f>
        <v>109764.90313074383</v>
      </c>
      <c r="BU39" s="450">
        <f>[89]Sheet1!$C$179/1000000</f>
        <v>111109.19982382633</v>
      </c>
      <c r="BV39" s="450">
        <f>[90]Sheet1!$C$179/1000000</f>
        <v>108147.26253067369</v>
      </c>
      <c r="BW39" s="450">
        <f>[91]Sheet1!$C$179/1000000</f>
        <v>109641.49560026948</v>
      </c>
      <c r="BX39" s="450">
        <f>[92]Sheet1!$C$179/1000000</f>
        <v>109949.87924548757</v>
      </c>
      <c r="BY39" s="450">
        <f>[93]Sheet1!$C$179/1000000</f>
        <v>111791.87626614004</v>
      </c>
      <c r="BZ39" s="450">
        <f>[94]Sheet1!$C$179/1000000</f>
        <v>109474.13295116654</v>
      </c>
      <c r="CA39" s="450">
        <f>[95]Sheet1!$C$179/1000000</f>
        <v>111216.87319373609</v>
      </c>
      <c r="CB39" s="450">
        <f>[45]Sheet1!$C$179/1000000</f>
        <v>110466.43381189738</v>
      </c>
      <c r="CC39" s="450">
        <f>[46]Sheet1!$C$179/1000000</f>
        <v>114390.79918076626</v>
      </c>
      <c r="CD39" s="450">
        <f>[47]Sheet1!$C$179/1000000</f>
        <v>114256.5248765157</v>
      </c>
      <c r="CE39" s="450">
        <f>[48]Sheet1!$C$179/1000000</f>
        <v>116466.64534877401</v>
      </c>
      <c r="CF39" s="450">
        <f>[49]Sheet1!$C$179/1000000</f>
        <v>117348.12161286043</v>
      </c>
      <c r="CG39" s="450">
        <f>[50]Sheet1!$C$179/1000000</f>
        <v>116101.49212862931</v>
      </c>
      <c r="CH39" s="450">
        <f>[51]Sheet1!$C$179/1000000</f>
        <v>115942.23068925895</v>
      </c>
      <c r="CI39" s="450">
        <f>[52]Sheet1!$C$179/1000000</f>
        <v>118172.59114663849</v>
      </c>
      <c r="CJ39" s="450">
        <f>[53]Sheet1!$C$179/1000000</f>
        <v>117726.37465966129</v>
      </c>
      <c r="CK39" s="450">
        <f>[54]Sheet1!$C$179/1000000</f>
        <v>117107.00132037385</v>
      </c>
      <c r="CL39" s="450">
        <f>[55]Sheet1!$C$179/1000000</f>
        <v>119779.96587761395</v>
      </c>
      <c r="CM39" s="450">
        <f>[56]Sheet1!$C$179/1000000</f>
        <v>118344.60796049522</v>
      </c>
      <c r="CN39" s="450">
        <f>[57]Sheet1!$C$179/1000000</f>
        <v>120014.26986700304</v>
      </c>
      <c r="CO39" s="450">
        <f>[58]Sheet1!$C$179/1000000</f>
        <v>123816.0621219145</v>
      </c>
      <c r="CP39" s="439">
        <f>[59]Sheet1!$C$179/1000000</f>
        <v>126635.25233325535</v>
      </c>
    </row>
    <row r="40" spans="1:94">
      <c r="A40" s="436" t="s">
        <v>543</v>
      </c>
      <c r="B40" s="437" t="s">
        <v>544</v>
      </c>
      <c r="C40" s="450">
        <f>([3]sheet1!$N$212+'[4]Cat 2-MUR'!$P$212)/1000000</f>
        <v>94287.820452266882</v>
      </c>
      <c r="D40" s="450">
        <f>[5]Sheet1!$C$196/1000000</f>
        <v>104577.0963493598</v>
      </c>
      <c r="E40" s="450">
        <f>[6]Sheet1!$C$196/1000000</f>
        <v>95872.962340032071</v>
      </c>
      <c r="F40" s="390">
        <f>[7]Sheet1!$C$196/1000000</f>
        <v>101148.48092778733</v>
      </c>
      <c r="G40" s="450">
        <f>[8]Sheet1!$C$196/1000000</f>
        <v>101508.06137143182</v>
      </c>
      <c r="H40" s="481">
        <f>[9]Sheet1!$C$196/1000000</f>
        <v>112639.71753177252</v>
      </c>
      <c r="I40" s="450">
        <f>[10]Sheet1!$C$196/1000000</f>
        <v>104956.60354967593</v>
      </c>
      <c r="J40" s="450">
        <f>[11]Sheet1!$C$196/1000000</f>
        <v>105810.10955853116</v>
      </c>
      <c r="K40" s="450">
        <f>[12]Sheet1!$C$196/1000000</f>
        <v>115356.53708801339</v>
      </c>
      <c r="L40" s="450">
        <f>[13]Sheet1!$C$196/1000000</f>
        <v>123682.01410498825</v>
      </c>
      <c r="M40" s="390">
        <f>[14]Sheet1!$C$196/1000000</f>
        <v>127872.60002270482</v>
      </c>
      <c r="N40" s="450">
        <f>[15]Sheet1!$C$196/1000000</f>
        <v>140770.38480459238</v>
      </c>
      <c r="O40" s="450">
        <f>[16]Sheet1!$C$196/1000000</f>
        <v>138896.65087890608</v>
      </c>
      <c r="P40" s="450">
        <f>[17]Sheet1!$C$196/1000000</f>
        <v>141056.98200237026</v>
      </c>
      <c r="Q40" s="450">
        <f>[18]Sheet1!$C$196/1000000</f>
        <v>144365.04365896143</v>
      </c>
      <c r="R40" s="450">
        <f>[19]Sheet1!$C$196/1000000</f>
        <v>157397.56448969463</v>
      </c>
      <c r="S40" s="450">
        <f>[20]Sheet1!$C$196/1000000</f>
        <v>156528.6774247523</v>
      </c>
      <c r="T40" s="450">
        <f>[21]Sheet1!$C$196/1000000</f>
        <v>155431.25901409026</v>
      </c>
      <c r="U40" s="450">
        <f>[22]Sheet1!$C$196/1000000</f>
        <v>175228.32433442285</v>
      </c>
      <c r="V40" s="450">
        <f>[23]Sheet1!$C$196/1000000</f>
        <v>156521.13363335803</v>
      </c>
      <c r="W40" s="450">
        <f>[24]Sheet1!$C$196/1000000</f>
        <v>150156.82834410068</v>
      </c>
      <c r="X40" s="450">
        <f>[25]Sheet1!$C$196/1000000</f>
        <v>156901.09457021282</v>
      </c>
      <c r="Y40" s="450">
        <f>[26]Sheet1!$C$196/1000000</f>
        <v>152796.60694417122</v>
      </c>
      <c r="Z40" s="450">
        <f>[27]Sheet1!$C$196/1000000</f>
        <v>162375.73252393981</v>
      </c>
      <c r="AA40" s="450">
        <f>[28]Sheet1!$C$196/1000000</f>
        <v>165863.46729399165</v>
      </c>
      <c r="AB40" s="439">
        <f>[29]Sheet1!$C$196/1000000</f>
        <v>175555.20296694463</v>
      </c>
      <c r="AC40" s="439">
        <f>[30]Sheet1!$C$196/1000000</f>
        <v>182471.16379006344</v>
      </c>
      <c r="AD40" s="449">
        <f>[31]Sheet1!$C$196/1000000</f>
        <v>181852.66047381921</v>
      </c>
      <c r="AE40" s="450">
        <f>[32]Sheet1!$C$196/1000000</f>
        <v>188950.74890929248</v>
      </c>
      <c r="AF40" s="450">
        <f>[33]Sheet1!$C$196/1000000</f>
        <v>201057.51497352219</v>
      </c>
      <c r="AG40" s="450">
        <f>[34]Sheet1!$C$196/1000000</f>
        <v>188688.98764504417</v>
      </c>
      <c r="AH40" s="450">
        <f>[35]Sheet1!$C$196/1000000</f>
        <v>212915.01883209238</v>
      </c>
      <c r="AI40" s="450">
        <f>[36]Sheet1!$C$196/1000000</f>
        <v>208722.08773990086</v>
      </c>
      <c r="AJ40" s="450">
        <f>[60]Sheet1!$C$196/1000000</f>
        <v>197088.41008619449</v>
      </c>
      <c r="AK40" s="450">
        <f>[61]Sheet1!$C$196/1000000</f>
        <v>193121.85980906058</v>
      </c>
      <c r="AL40" s="450">
        <f>[62]Sheet1!$C$196/1000000</f>
        <v>220997.69413411134</v>
      </c>
      <c r="AM40" s="450">
        <f>[63]Sheet1!$C$196/1000000</f>
        <v>214390.85438189853</v>
      </c>
      <c r="AN40" s="450">
        <f>[64]Sheet1!$C$196/1000000</f>
        <v>233958.42038969134</v>
      </c>
      <c r="AO40" s="450">
        <f>[65]Sheet1!$C$196/1000000</f>
        <v>224529.24056173515</v>
      </c>
      <c r="AP40" s="481">
        <f>[37]Sheet1!$C$196/1000000</f>
        <v>215125.90828821334</v>
      </c>
      <c r="AQ40" s="450">
        <f>[38]Sheet1!$C$196/1000000</f>
        <v>211225.44310602502</v>
      </c>
      <c r="AR40" s="450">
        <f>[39]Sheet1!$C$196/1000000</f>
        <v>212147.26718020593</v>
      </c>
      <c r="AS40" s="450">
        <f>[66]Sheet1!$C$196/1000000</f>
        <v>206942.75702386725</v>
      </c>
      <c r="AT40" s="450">
        <f>[67]Sheet1!$C$196/1000000</f>
        <v>201774.20160626154</v>
      </c>
      <c r="AU40" s="450">
        <f>[68]Sheet1!$C$196/1000000</f>
        <v>200679.2459356052</v>
      </c>
      <c r="AV40" s="450">
        <f>[69]Sheet1!$C$196/1000000</f>
        <v>193771.31158415653</v>
      </c>
      <c r="AW40" s="450">
        <f>[70]Sheet1!$C$196/1000000</f>
        <v>200370.25757288816</v>
      </c>
      <c r="AX40" s="450">
        <f>[71]Sheet1!$C$196/1000000</f>
        <v>202229.42754413813</v>
      </c>
      <c r="AY40" s="450">
        <f>[72]Sheet1!$C$196/1000000</f>
        <v>192989.32708543708</v>
      </c>
      <c r="AZ40" s="450">
        <f>[73]Sheet1!$C$196/1000000</f>
        <v>195428.01993857251</v>
      </c>
      <c r="BA40" s="450">
        <f>[74]Sheet1!$C$196/1000000</f>
        <v>194640.58164299041</v>
      </c>
      <c r="BB40" s="450">
        <f>[40]Sheet1!$C$196/1000000</f>
        <v>195323.25592296253</v>
      </c>
      <c r="BC40" s="450">
        <f>[75]Sheet1!$C$196/1000000</f>
        <v>196493.26113178206</v>
      </c>
      <c r="BD40" s="450">
        <f>[76]Sheet1!$C$196/1000000</f>
        <v>202540.02690160999</v>
      </c>
      <c r="BE40" s="450">
        <f>[77]Sheet1!$C$196/1000000</f>
        <v>199000.23648775299</v>
      </c>
      <c r="BF40" s="450">
        <f>[41]Sheet1!$C$196/1000000</f>
        <v>229510.60402642027</v>
      </c>
      <c r="BG40" s="450">
        <f>[42]Sheet1!$C$196/1000000</f>
        <v>220789.80897076923</v>
      </c>
      <c r="BH40" s="450">
        <f>[43]Sheet1!$C$196/1000000</f>
        <v>208076.64728039413</v>
      </c>
      <c r="BI40" s="450">
        <f>[44]Sheet1!$C$196/1000000</f>
        <v>204671.68459389074</v>
      </c>
      <c r="BJ40" s="450">
        <f>[78]Sheet1!$C$196/1000000</f>
        <v>241420.02132649004</v>
      </c>
      <c r="BK40" s="450">
        <f>[79]Sheet1!$C$196/1000000</f>
        <v>239323.55098385151</v>
      </c>
      <c r="BL40" s="450">
        <f>[80]Sheet1!$C$196/1000000</f>
        <v>224840.70688587023</v>
      </c>
      <c r="BM40" s="450">
        <f>[81]Sheet1!$C$196/1000000</f>
        <v>234443.70982246494</v>
      </c>
      <c r="BN40" s="450">
        <f>[82]Sheet1!$C$196/1000000</f>
        <v>222222.21768749892</v>
      </c>
      <c r="BO40" s="450">
        <f>[83]Sheet1!$C$196/1000000</f>
        <v>226147.55781483496</v>
      </c>
      <c r="BP40" s="450">
        <f>[84]Sheet1!$C$196/1000000</f>
        <v>226264.56596943885</v>
      </c>
      <c r="BQ40" s="450">
        <f>[85]Sheet1!$C$196/1000000</f>
        <v>235778.75465464976</v>
      </c>
      <c r="BR40" s="450">
        <f>[86]Sheet1!$C$196/1000000</f>
        <v>235418.03066447837</v>
      </c>
      <c r="BS40" s="450">
        <f>[87]Sheet1!$C$196/1000000</f>
        <v>226256.64896229125</v>
      </c>
      <c r="BT40" s="450">
        <f>[88]Sheet1!$C$196/1000000</f>
        <v>197927.8213554665</v>
      </c>
      <c r="BU40" s="450">
        <f>[89]Sheet1!$C$196/1000000</f>
        <v>229261.49857406798</v>
      </c>
      <c r="BV40" s="450">
        <f>[90]Sheet1!$C$196/1000000</f>
        <v>227353.06710027903</v>
      </c>
      <c r="BW40" s="450">
        <f>[91]Sheet1!$C$196/1000000</f>
        <v>239827.55531387328</v>
      </c>
      <c r="BX40" s="450">
        <f>[92]Sheet1!$C$196/1000000</f>
        <v>243437.09942069286</v>
      </c>
      <c r="BY40" s="450">
        <f>[93]Sheet1!$C$196/1000000</f>
        <v>214380.44577925894</v>
      </c>
      <c r="BZ40" s="450">
        <f>[94]Sheet1!$C$196/1000000</f>
        <v>223414.48882732069</v>
      </c>
      <c r="CA40" s="450">
        <f>[95]Sheet1!$C$196/1000000</f>
        <v>220500.36449082446</v>
      </c>
      <c r="CB40" s="450">
        <f>[45]Sheet1!$C$196/1000000</f>
        <v>261513.09742864638</v>
      </c>
      <c r="CC40" s="450">
        <f>[46]Sheet1!$C$196/1000000</f>
        <v>214310.08019966743</v>
      </c>
      <c r="CD40" s="450">
        <f>[47]Sheet1!$C$196/1000000</f>
        <v>188308.74726002532</v>
      </c>
      <c r="CE40" s="450">
        <f>[48]Sheet1!$C$196/1000000</f>
        <v>189345.46277029542</v>
      </c>
      <c r="CF40" s="450">
        <f>[49]Sheet1!$C$196/1000000</f>
        <v>185273.29462679522</v>
      </c>
      <c r="CG40" s="450">
        <f>[50]Sheet1!$C$196/1000000</f>
        <v>189373.60179116006</v>
      </c>
      <c r="CH40" s="450">
        <f>[51]Sheet1!$C$196/1000000</f>
        <v>202565.75714797919</v>
      </c>
      <c r="CI40" s="450">
        <f>[52]Sheet1!$C$196/1000000</f>
        <v>220515.24170217689</v>
      </c>
      <c r="CJ40" s="450">
        <f>[53]Sheet1!$C$196/1000000</f>
        <v>205156.843584346</v>
      </c>
      <c r="CK40" s="450">
        <f>[54]Sheet1!$C$196/1000000</f>
        <v>204250.40662539203</v>
      </c>
      <c r="CL40" s="450">
        <f>[55]Sheet1!$C$196/1000000</f>
        <v>221336.81532625176</v>
      </c>
      <c r="CM40" s="450">
        <f>[56]Sheet1!$C$196/1000000</f>
        <v>232891.42712546178</v>
      </c>
      <c r="CN40" s="450">
        <f>[57]Sheet1!$C$196/1000000</f>
        <v>213770.77611847903</v>
      </c>
      <c r="CO40" s="450">
        <f>[58]Sheet1!$C$196/1000000</f>
        <v>213473.53239326467</v>
      </c>
      <c r="CP40" s="439">
        <f>[59]Sheet1!$C$196/1000000</f>
        <v>208102.62897983094</v>
      </c>
    </row>
    <row r="41" spans="1:94">
      <c r="A41" s="436"/>
      <c r="B41" s="437"/>
      <c r="C41" s="492"/>
      <c r="D41" s="492"/>
      <c r="E41" s="492"/>
      <c r="F41" s="493"/>
      <c r="G41" s="492"/>
      <c r="H41" s="494"/>
      <c r="I41" s="492"/>
      <c r="J41" s="492"/>
      <c r="K41" s="492"/>
      <c r="L41" s="492"/>
      <c r="M41" s="493"/>
      <c r="N41" s="492"/>
      <c r="O41" s="492"/>
      <c r="P41" s="492"/>
      <c r="Q41" s="492"/>
      <c r="R41" s="492"/>
      <c r="S41" s="492"/>
      <c r="T41" s="492"/>
      <c r="U41" s="492"/>
      <c r="V41" s="492"/>
      <c r="W41" s="492"/>
      <c r="X41" s="492"/>
      <c r="Y41" s="492"/>
      <c r="Z41" s="492"/>
      <c r="AA41" s="492"/>
      <c r="AB41" s="495"/>
      <c r="AC41" s="495"/>
      <c r="AD41" s="496"/>
      <c r="AE41" s="492"/>
      <c r="AF41" s="492"/>
      <c r="AG41" s="492"/>
      <c r="AH41" s="492"/>
      <c r="AI41" s="492"/>
      <c r="AJ41" s="492"/>
      <c r="AK41" s="492"/>
      <c r="AL41" s="492"/>
      <c r="AM41" s="492"/>
      <c r="AN41" s="492"/>
      <c r="AO41" s="492"/>
      <c r="AP41" s="494"/>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2"/>
      <c r="CG41" s="492"/>
      <c r="CH41" s="492"/>
      <c r="CI41" s="492"/>
      <c r="CJ41" s="492"/>
      <c r="CK41" s="492"/>
      <c r="CL41" s="492"/>
      <c r="CM41" s="492"/>
      <c r="CN41" s="492"/>
      <c r="CO41" s="492"/>
      <c r="CP41" s="495"/>
    </row>
    <row r="42" spans="1:94">
      <c r="A42" s="433" t="s">
        <v>545</v>
      </c>
      <c r="B42" s="434" t="s">
        <v>568</v>
      </c>
      <c r="C42" s="476">
        <f>C43+C44+C45</f>
        <v>79765.276904138809</v>
      </c>
      <c r="D42" s="476">
        <f>D43+D44+D45</f>
        <v>79967.410702004039</v>
      </c>
      <c r="E42" s="476">
        <f t="shared" ref="E42:BP42" si="6">E43+E44+E45</f>
        <v>87087.243426584799</v>
      </c>
      <c r="F42" s="400">
        <f t="shared" si="6"/>
        <v>73044.369587758076</v>
      </c>
      <c r="G42" s="476">
        <f t="shared" si="6"/>
        <v>71843.676961905177</v>
      </c>
      <c r="H42" s="477">
        <f t="shared" si="6"/>
        <v>76855.320632432165</v>
      </c>
      <c r="I42" s="476">
        <f t="shared" si="6"/>
        <v>65549.468615949008</v>
      </c>
      <c r="J42" s="476">
        <f t="shared" si="6"/>
        <v>70275.629942715372</v>
      </c>
      <c r="K42" s="476">
        <f t="shared" si="6"/>
        <v>87567.0888157554</v>
      </c>
      <c r="L42" s="476">
        <f t="shared" si="6"/>
        <v>84459.916743367197</v>
      </c>
      <c r="M42" s="400">
        <f t="shared" si="6"/>
        <v>72764.413440688426</v>
      </c>
      <c r="N42" s="476">
        <f t="shared" si="6"/>
        <v>70503.75853036005</v>
      </c>
      <c r="O42" s="476">
        <f t="shared" si="6"/>
        <v>76667.060736824948</v>
      </c>
      <c r="P42" s="476">
        <f t="shared" si="6"/>
        <v>77687.959336328538</v>
      </c>
      <c r="Q42" s="476">
        <f t="shared" si="6"/>
        <v>82385.915205344529</v>
      </c>
      <c r="R42" s="476">
        <f t="shared" si="6"/>
        <v>92749.85354358601</v>
      </c>
      <c r="S42" s="476">
        <f t="shared" si="6"/>
        <v>95816.953004968294</v>
      </c>
      <c r="T42" s="476">
        <f t="shared" si="6"/>
        <v>114289.32764905741</v>
      </c>
      <c r="U42" s="476">
        <f t="shared" si="6"/>
        <v>110903.36644446875</v>
      </c>
      <c r="V42" s="476">
        <f t="shared" si="6"/>
        <v>99207.18051620826</v>
      </c>
      <c r="W42" s="476">
        <f t="shared" si="6"/>
        <v>105754.68178356488</v>
      </c>
      <c r="X42" s="476">
        <f t="shared" si="6"/>
        <v>104827.53763616453</v>
      </c>
      <c r="Y42" s="476">
        <f t="shared" si="6"/>
        <v>110934.91226938496</v>
      </c>
      <c r="Z42" s="476">
        <f t="shared" si="6"/>
        <v>102759.79144794009</v>
      </c>
      <c r="AA42" s="476">
        <f t="shared" si="6"/>
        <v>98923.121529141485</v>
      </c>
      <c r="AB42" s="435">
        <f t="shared" si="6"/>
        <v>118714.51810307619</v>
      </c>
      <c r="AC42" s="435">
        <f t="shared" si="6"/>
        <v>126293.64632557079</v>
      </c>
      <c r="AD42" s="491">
        <f t="shared" si="6"/>
        <v>121037.76603003999</v>
      </c>
      <c r="AE42" s="476">
        <f t="shared" si="6"/>
        <v>120203.4452519273</v>
      </c>
      <c r="AF42" s="476">
        <f t="shared" si="6"/>
        <v>130917.30386894089</v>
      </c>
      <c r="AG42" s="476">
        <f t="shared" si="6"/>
        <v>128755.64373231758</v>
      </c>
      <c r="AH42" s="476">
        <f t="shared" si="6"/>
        <v>127494.17995051914</v>
      </c>
      <c r="AI42" s="476">
        <f t="shared" si="6"/>
        <v>121614.8977947208</v>
      </c>
      <c r="AJ42" s="476">
        <f t="shared" si="6"/>
        <v>121374.17272757026</v>
      </c>
      <c r="AK42" s="476">
        <f t="shared" si="6"/>
        <v>121245.55692541685</v>
      </c>
      <c r="AL42" s="476">
        <f t="shared" si="6"/>
        <v>125715.8314842267</v>
      </c>
      <c r="AM42" s="476">
        <f t="shared" si="6"/>
        <v>118244.25003298787</v>
      </c>
      <c r="AN42" s="476">
        <f t="shared" si="6"/>
        <v>117212.48076780257</v>
      </c>
      <c r="AO42" s="476">
        <f t="shared" si="6"/>
        <v>115672.75149286803</v>
      </c>
      <c r="AP42" s="477">
        <f t="shared" si="6"/>
        <v>114884.63602585379</v>
      </c>
      <c r="AQ42" s="476">
        <f t="shared" si="6"/>
        <v>132406.11192133528</v>
      </c>
      <c r="AR42" s="476">
        <f t="shared" si="6"/>
        <v>130914.48236359948</v>
      </c>
      <c r="AS42" s="476">
        <f t="shared" si="6"/>
        <v>127215.33379495694</v>
      </c>
      <c r="AT42" s="476">
        <f t="shared" si="6"/>
        <v>131031.17545787591</v>
      </c>
      <c r="AU42" s="476">
        <f t="shared" si="6"/>
        <v>130316.18179927678</v>
      </c>
      <c r="AV42" s="476">
        <f t="shared" si="6"/>
        <v>127882.30706865035</v>
      </c>
      <c r="AW42" s="476">
        <f t="shared" si="6"/>
        <v>122229.63531764597</v>
      </c>
      <c r="AX42" s="476">
        <f t="shared" si="6"/>
        <v>115642.45262289631</v>
      </c>
      <c r="AY42" s="476">
        <f t="shared" si="6"/>
        <v>107161.36249109264</v>
      </c>
      <c r="AZ42" s="476">
        <f t="shared" si="6"/>
        <v>102850.93817663024</v>
      </c>
      <c r="BA42" s="476">
        <f t="shared" si="6"/>
        <v>101241.58873449743</v>
      </c>
      <c r="BB42" s="476">
        <f t="shared" si="6"/>
        <v>100274.73091660098</v>
      </c>
      <c r="BC42" s="476">
        <f t="shared" si="6"/>
        <v>97780.963334996835</v>
      </c>
      <c r="BD42" s="476">
        <f t="shared" si="6"/>
        <v>81273.484218125493</v>
      </c>
      <c r="BE42" s="476">
        <f t="shared" si="6"/>
        <v>88621.315787191081</v>
      </c>
      <c r="BF42" s="476">
        <f t="shared" si="6"/>
        <v>77297.092702450056</v>
      </c>
      <c r="BG42" s="476">
        <f t="shared" si="6"/>
        <v>79089.253614043846</v>
      </c>
      <c r="BH42" s="476">
        <f t="shared" si="6"/>
        <v>83122.902193598362</v>
      </c>
      <c r="BI42" s="476">
        <f t="shared" si="6"/>
        <v>84052.810510052193</v>
      </c>
      <c r="BJ42" s="476">
        <f t="shared" si="6"/>
        <v>94750.238114067353</v>
      </c>
      <c r="BK42" s="476">
        <f t="shared" si="6"/>
        <v>90401.985543636343</v>
      </c>
      <c r="BL42" s="476">
        <f t="shared" si="6"/>
        <v>89466.324889127834</v>
      </c>
      <c r="BM42" s="476">
        <f t="shared" si="6"/>
        <v>91991.965473635762</v>
      </c>
      <c r="BN42" s="476">
        <f t="shared" si="6"/>
        <v>97061.119938809148</v>
      </c>
      <c r="BO42" s="476">
        <f t="shared" si="6"/>
        <v>97647.389052327489</v>
      </c>
      <c r="BP42" s="476">
        <f t="shared" si="6"/>
        <v>97170.767423416284</v>
      </c>
      <c r="BQ42" s="476">
        <f t="shared" ref="BQ42:CN42" si="7">BQ43+BQ44+BQ45</f>
        <v>93078.299111545362</v>
      </c>
      <c r="BR42" s="476">
        <f t="shared" si="7"/>
        <v>90803.647548600173</v>
      </c>
      <c r="BS42" s="476">
        <f t="shared" si="7"/>
        <v>94643.934117033234</v>
      </c>
      <c r="BT42" s="476">
        <f t="shared" si="7"/>
        <v>93368.750672365466</v>
      </c>
      <c r="BU42" s="476">
        <f t="shared" si="7"/>
        <v>106296.27607477637</v>
      </c>
      <c r="BV42" s="476">
        <f t="shared" si="7"/>
        <v>92358.264727035101</v>
      </c>
      <c r="BW42" s="476">
        <f t="shared" si="7"/>
        <v>101569.58453890198</v>
      </c>
      <c r="BX42" s="476">
        <f t="shared" si="7"/>
        <v>89719.113192073593</v>
      </c>
      <c r="BY42" s="476">
        <f t="shared" si="7"/>
        <v>95074.664889065607</v>
      </c>
      <c r="BZ42" s="476">
        <f t="shared" si="7"/>
        <v>94964.272509438859</v>
      </c>
      <c r="CA42" s="476">
        <f t="shared" si="7"/>
        <v>89698.061318250737</v>
      </c>
      <c r="CB42" s="476">
        <f t="shared" si="7"/>
        <v>91372.490921219607</v>
      </c>
      <c r="CC42" s="476">
        <f t="shared" si="7"/>
        <v>92147.623095796516</v>
      </c>
      <c r="CD42" s="476">
        <f t="shared" si="7"/>
        <v>90050.220268082776</v>
      </c>
      <c r="CE42" s="476">
        <f t="shared" si="7"/>
        <v>91075.261272679389</v>
      </c>
      <c r="CF42" s="476">
        <f t="shared" si="7"/>
        <v>101681.26298286632</v>
      </c>
      <c r="CG42" s="476">
        <f t="shared" si="7"/>
        <v>101179.48049114493</v>
      </c>
      <c r="CH42" s="476">
        <f t="shared" si="7"/>
        <v>95118.34019615539</v>
      </c>
      <c r="CI42" s="476">
        <f t="shared" si="7"/>
        <v>116017.17781168569</v>
      </c>
      <c r="CJ42" s="476">
        <f t="shared" si="7"/>
        <v>113726.71426223117</v>
      </c>
      <c r="CK42" s="476">
        <f t="shared" si="7"/>
        <v>123471.75982604103</v>
      </c>
      <c r="CL42" s="476">
        <f t="shared" si="7"/>
        <v>111975.05836369986</v>
      </c>
      <c r="CM42" s="476">
        <f t="shared" si="7"/>
        <v>116983.76417824649</v>
      </c>
      <c r="CN42" s="476">
        <f t="shared" si="7"/>
        <v>124060.95251983829</v>
      </c>
      <c r="CO42" s="476">
        <f>CO43+CO44+CO45</f>
        <v>138284.47903468707</v>
      </c>
      <c r="CP42" s="435">
        <f>CP43+CP44+CP45</f>
        <v>140803.9072916829</v>
      </c>
    </row>
    <row r="43" spans="1:94">
      <c r="A43" s="436" t="s">
        <v>547</v>
      </c>
      <c r="B43" s="437" t="s">
        <v>540</v>
      </c>
      <c r="C43" s="450">
        <f>([3]sheet1!$N$232+'[4]Cat 2-MUR'!$P$232)/1000000</f>
        <v>14022.406912736789</v>
      </c>
      <c r="D43" s="450">
        <f>[5]Sheet1!$C$215/1000000</f>
        <v>8614.9470122550247</v>
      </c>
      <c r="E43" s="450">
        <f>[6]Sheet1!$C$215/1000000</f>
        <v>9046.7667947900245</v>
      </c>
      <c r="F43" s="390">
        <f>[7]Sheet1!$C$215/1000000</f>
        <v>8253.3560588930486</v>
      </c>
      <c r="G43" s="450">
        <f>[8]Sheet1!$C$215/1000000</f>
        <v>8243.8970227649188</v>
      </c>
      <c r="H43" s="481">
        <f>[9]Sheet1!$C$215/1000000</f>
        <v>14222.774405428938</v>
      </c>
      <c r="I43" s="450">
        <f>[10]Sheet1!$C$215/1000000</f>
        <v>9773.4685437383559</v>
      </c>
      <c r="J43" s="450">
        <f>[11]Sheet1!$C$215/1000000</f>
        <v>8464.5785294334873</v>
      </c>
      <c r="K43" s="450">
        <f>[12]Sheet1!$C$215/1000000</f>
        <v>8618.9981428776773</v>
      </c>
      <c r="L43" s="450">
        <f>[13]Sheet1!$C$215/1000000</f>
        <v>9444.8388877828729</v>
      </c>
      <c r="M43" s="390">
        <f>[14]Sheet1!$C$215/1000000</f>
        <v>9352.6658480040496</v>
      </c>
      <c r="N43" s="450">
        <f>[15]Sheet1!$C$215/1000000</f>
        <v>9078.0655663321577</v>
      </c>
      <c r="O43" s="450">
        <f>[16]Sheet1!$C$215/1000000</f>
        <v>9420.9177350316659</v>
      </c>
      <c r="P43" s="450">
        <f>[17]Sheet1!$C$215/1000000</f>
        <v>10747.092222015226</v>
      </c>
      <c r="Q43" s="450">
        <f>[18]Sheet1!$C$215/1000000</f>
        <v>14520.159524510929</v>
      </c>
      <c r="R43" s="450">
        <f>[19]Sheet1!$C$215/1000000</f>
        <v>9940.9567935336254</v>
      </c>
      <c r="S43" s="450">
        <f>[20]Sheet1!$C$215/1000000</f>
        <v>9042.513792779213</v>
      </c>
      <c r="T43" s="450">
        <f>[21]Sheet1!$C$215/1000000</f>
        <v>10115.515018228756</v>
      </c>
      <c r="U43" s="450">
        <f>[22]Sheet1!$C$215/1000000</f>
        <v>12509.075686262247</v>
      </c>
      <c r="V43" s="450">
        <f>[23]Sheet1!$C$215/1000000</f>
        <v>11245.30357559086</v>
      </c>
      <c r="W43" s="450">
        <f>[24]Sheet1!$C$215/1000000</f>
        <v>14003.45279651268</v>
      </c>
      <c r="X43" s="450">
        <f>[25]Sheet1!$C$215/1000000</f>
        <v>18899.759292994506</v>
      </c>
      <c r="Y43" s="450">
        <f>[26]Sheet1!$C$215/1000000</f>
        <v>13431.485647756885</v>
      </c>
      <c r="Z43" s="450">
        <f>[27]Sheet1!$C$215/1000000</f>
        <v>15170.056879267389</v>
      </c>
      <c r="AA43" s="450">
        <f>[28]Sheet1!$C$215/1000000</f>
        <v>10903.721625545246</v>
      </c>
      <c r="AB43" s="439">
        <f>[29]Sheet1!$C$215/1000000</f>
        <v>12601.798013215197</v>
      </c>
      <c r="AC43" s="439">
        <f>[30]Sheet1!$C$215/1000000</f>
        <v>13189.485964766453</v>
      </c>
      <c r="AD43" s="449">
        <f>[31]Sheet1!$C$215/1000000</f>
        <v>12791.372044648373</v>
      </c>
      <c r="AE43" s="450">
        <f>[32]Sheet1!$C$215/1000000</f>
        <v>13848.728520148679</v>
      </c>
      <c r="AF43" s="450">
        <f>[33]Sheet1!$C$215/1000000</f>
        <v>13393.74429745303</v>
      </c>
      <c r="AG43" s="450">
        <f>[34]Sheet1!$C$215/1000000</f>
        <v>15584.490835189528</v>
      </c>
      <c r="AH43" s="450">
        <f>[35]Sheet1!$C$215/1000000</f>
        <v>15672.617301569955</v>
      </c>
      <c r="AI43" s="450">
        <f>[36]Sheet1!$C$215/1000000</f>
        <v>19535.938542123793</v>
      </c>
      <c r="AJ43" s="450">
        <f>[60]Sheet1!$C$215/1000000</f>
        <v>20531.594387396995</v>
      </c>
      <c r="AK43" s="450">
        <f>[61]Sheet1!$C$215/1000000</f>
        <v>18384.805904107274</v>
      </c>
      <c r="AL43" s="450">
        <f>[62]Sheet1!$C$215/1000000</f>
        <v>17368.271259703048</v>
      </c>
      <c r="AM43" s="450">
        <f>[63]Sheet1!$C$215/1000000</f>
        <v>19673.09198335043</v>
      </c>
      <c r="AN43" s="450">
        <f>[64]Sheet1!$C$215/1000000</f>
        <v>17490.392421126409</v>
      </c>
      <c r="AO43" s="450">
        <f>[65]Sheet1!$C$215/1000000</f>
        <v>15789.829679464565</v>
      </c>
      <c r="AP43" s="481">
        <f>[37]Sheet1!$C$215/1000000</f>
        <v>14897.063393489851</v>
      </c>
      <c r="AQ43" s="450">
        <f>[38]Sheet1!$C$215/1000000</f>
        <v>17855.386396686707</v>
      </c>
      <c r="AR43" s="450">
        <f>[39]Sheet1!$C$215/1000000</f>
        <v>19704.477664288788</v>
      </c>
      <c r="AS43" s="450">
        <f>[66]Sheet1!$C$215/1000000</f>
        <v>19322.249388112468</v>
      </c>
      <c r="AT43" s="450">
        <f>[67]Sheet1!$C$215/1000000</f>
        <v>19671.520938299513</v>
      </c>
      <c r="AU43" s="450">
        <f>[68]Sheet1!$C$215/1000000</f>
        <v>21946.174337752516</v>
      </c>
      <c r="AV43" s="450">
        <f>[69]Sheet1!$C$215/1000000</f>
        <v>22545.557014126411</v>
      </c>
      <c r="AW43" s="450">
        <f>[70]Sheet1!$C$215/1000000</f>
        <v>22877.404338369684</v>
      </c>
      <c r="AX43" s="450">
        <f>[71]Sheet1!$C$215/1000000</f>
        <v>25594.387499068926</v>
      </c>
      <c r="AY43" s="450">
        <f>[72]Sheet1!$C$215/1000000</f>
        <v>24263.926402553021</v>
      </c>
      <c r="AZ43" s="450">
        <f>[73]Sheet1!$C$215/1000000</f>
        <v>22543.248311728195</v>
      </c>
      <c r="BA43" s="450">
        <f>[74]Sheet1!$C$215/1000000</f>
        <v>21234.901128839534</v>
      </c>
      <c r="BB43" s="450">
        <f>[40]Sheet1!$C$215/1000000</f>
        <v>30290.441198478788</v>
      </c>
      <c r="BC43" s="450">
        <f>[75]Sheet1!$C$215/1000000</f>
        <v>24337.911634397216</v>
      </c>
      <c r="BD43" s="450">
        <f>[76]Sheet1!$C$215/1000000</f>
        <v>23016.085451020259</v>
      </c>
      <c r="BE43" s="450">
        <f>[77]Sheet1!$C$215/1000000</f>
        <v>26127.521209808598</v>
      </c>
      <c r="BF43" s="450">
        <f>[41]Sheet1!$C$215/1000000</f>
        <v>23921.084562984011</v>
      </c>
      <c r="BG43" s="450">
        <f>[42]Sheet1!$C$215/1000000</f>
        <v>22208.752819936391</v>
      </c>
      <c r="BH43" s="450">
        <f>[43]Sheet1!$C$215/1000000</f>
        <v>23156.253562813843</v>
      </c>
      <c r="BI43" s="450">
        <f>[44]Sheet1!$C$215/1000000</f>
        <v>23121.383518245995</v>
      </c>
      <c r="BJ43" s="450">
        <f>[78]Sheet1!$C$215/1000000</f>
        <v>24590.031698467454</v>
      </c>
      <c r="BK43" s="450">
        <f>[79]Sheet1!$C$215/1000000</f>
        <v>23916.522247080891</v>
      </c>
      <c r="BL43" s="450">
        <f>[80]Sheet1!$C$215/1000000</f>
        <v>23742.905440807965</v>
      </c>
      <c r="BM43" s="450">
        <f>[81]Sheet1!$C$215/1000000</f>
        <v>24232.956685809291</v>
      </c>
      <c r="BN43" s="450">
        <f>[82]Sheet1!$C$215/1000000</f>
        <v>26599.446508762252</v>
      </c>
      <c r="BO43" s="450">
        <f>[83]Sheet1!$C$215/1000000</f>
        <v>29024.633317296066</v>
      </c>
      <c r="BP43" s="450">
        <f>[84]Sheet1!$C$215/1000000</f>
        <v>27333.616765043411</v>
      </c>
      <c r="BQ43" s="450">
        <f>[85]Sheet1!$C$215/1000000</f>
        <v>25716.207911377434</v>
      </c>
      <c r="BR43" s="450">
        <f>[86]Sheet1!$C$215/1000000</f>
        <v>23815.733355021974</v>
      </c>
      <c r="BS43" s="450">
        <f>[87]Sheet1!$C$215/1000000</f>
        <v>32057.999938223969</v>
      </c>
      <c r="BT43" s="450">
        <f>[88]Sheet1!$C$215/1000000</f>
        <v>29087.255709827485</v>
      </c>
      <c r="BU43" s="450">
        <f>[89]Sheet1!$C$215/1000000</f>
        <v>27682.723648223953</v>
      </c>
      <c r="BV43" s="450">
        <f>[90]Sheet1!$C$215/1000000</f>
        <v>30605.533021761774</v>
      </c>
      <c r="BW43" s="450">
        <f>[91]Sheet1!$C$215/1000000</f>
        <v>36707.213049972961</v>
      </c>
      <c r="BX43" s="450">
        <f>[92]Sheet1!$C$215/1000000</f>
        <v>26209.195973646965</v>
      </c>
      <c r="BY43" s="450">
        <f>[93]Sheet1!$C$215/1000000</f>
        <v>31883.152481903373</v>
      </c>
      <c r="BZ43" s="450">
        <f>[94]Sheet1!$C$215/1000000</f>
        <v>31121.353675311264</v>
      </c>
      <c r="CA43" s="450">
        <f>[95]Sheet1!$C$215/1000000</f>
        <v>26986.049667186711</v>
      </c>
      <c r="CB43" s="450">
        <f>[45]Sheet1!$C$215/1000000</f>
        <v>27895.361200375159</v>
      </c>
      <c r="CC43" s="450">
        <f>[46]Sheet1!$C$215/1000000</f>
        <v>27362.065229344491</v>
      </c>
      <c r="CD43" s="450">
        <f>[47]Sheet1!$C$215/1000000</f>
        <v>27991.529754028328</v>
      </c>
      <c r="CE43" s="450">
        <f>[48]Sheet1!$C$215/1000000</f>
        <v>30636.40264493529</v>
      </c>
      <c r="CF43" s="450">
        <f>[49]Sheet1!$C$215/1000000</f>
        <v>32196.376471926222</v>
      </c>
      <c r="CG43" s="450">
        <f>[50]Sheet1!$C$215/1000000</f>
        <v>29295.707543649169</v>
      </c>
      <c r="CH43" s="450">
        <f>[51]Sheet1!$C$215/1000000</f>
        <v>31266.113443101447</v>
      </c>
      <c r="CI43" s="450">
        <f>[52]Sheet1!$C$215/1000000</f>
        <v>32754.518333397475</v>
      </c>
      <c r="CJ43" s="450">
        <f>[53]Sheet1!$C$215/1000000</f>
        <v>32771.984399307403</v>
      </c>
      <c r="CK43" s="450">
        <f>[54]Sheet1!$C$215/1000000</f>
        <v>36520.885242843011</v>
      </c>
      <c r="CL43" s="450">
        <f>[55]Sheet1!$C$215/1000000</f>
        <v>39405.925889257967</v>
      </c>
      <c r="CM43" s="450">
        <f>[56]Sheet1!$C$215/1000000</f>
        <v>42509.915601848712</v>
      </c>
      <c r="CN43" s="450">
        <f>[57]Sheet1!$C$215/1000000</f>
        <v>46812.632762614085</v>
      </c>
      <c r="CO43" s="450">
        <f>[58]Sheet1!$C$215/1000000</f>
        <v>60404.274066625963</v>
      </c>
      <c r="CP43" s="439">
        <f>[59]Sheet1!$C$215/1000000</f>
        <v>64176.642027490969</v>
      </c>
    </row>
    <row r="44" spans="1:94">
      <c r="A44" s="436" t="s">
        <v>548</v>
      </c>
      <c r="B44" s="437" t="s">
        <v>542</v>
      </c>
      <c r="C44" s="450">
        <f>([3]sheet1!$N$263+'[4]Cat 2-MUR'!$P$263)/1000000</f>
        <v>3495.6415684986182</v>
      </c>
      <c r="D44" s="450">
        <f>[5]Sheet1!$C$244/1000000</f>
        <v>3384.107689595849</v>
      </c>
      <c r="E44" s="450">
        <f>[6]Sheet1!$C$244/1000000</f>
        <v>3271.6331236176302</v>
      </c>
      <c r="F44" s="390">
        <f>[7]Sheet1!$C$244/1000000</f>
        <v>3272.7762917866294</v>
      </c>
      <c r="G44" s="450">
        <f>[8]Sheet1!$C$244/1000000</f>
        <v>3255.0807226595352</v>
      </c>
      <c r="H44" s="481">
        <f>[9]Sheet1!$C$244/1000000</f>
        <v>3742.6917097622304</v>
      </c>
      <c r="I44" s="450">
        <f>[10]Sheet1!$C$244/1000000</f>
        <v>3647.9320380894683</v>
      </c>
      <c r="J44" s="450">
        <f>[11]Sheet1!$C$244/1000000</f>
        <v>3230.8517671701861</v>
      </c>
      <c r="K44" s="450">
        <f>[12]Sheet1!$C$244/1000000</f>
        <v>3662.8683849574359</v>
      </c>
      <c r="L44" s="450">
        <f>[13]Sheet1!$C$244/1000000</f>
        <v>3848.8774807486584</v>
      </c>
      <c r="M44" s="390">
        <f>[14]Sheet1!$C$244/1000000</f>
        <v>4134.721223380081</v>
      </c>
      <c r="N44" s="450">
        <f>[15]Sheet1!$C$244/1000000</f>
        <v>3827.4946287044336</v>
      </c>
      <c r="O44" s="450">
        <f>[16]Sheet1!$C$244/1000000</f>
        <v>4255.0011438979927</v>
      </c>
      <c r="P44" s="450">
        <f>[17]Sheet1!$C$244/1000000</f>
        <v>4395.8558839348952</v>
      </c>
      <c r="Q44" s="450">
        <f>[18]Sheet1!$C$244/1000000</f>
        <v>4170.1062686102305</v>
      </c>
      <c r="R44" s="450">
        <f>[19]Sheet1!$C$244/1000000</f>
        <v>5002.1153473357035</v>
      </c>
      <c r="S44" s="450">
        <f>[20]Sheet1!$C$244/1000000</f>
        <v>4347.658543524788</v>
      </c>
      <c r="T44" s="450">
        <f>[21]Sheet1!$C$244/1000000</f>
        <v>4186.6316760905156</v>
      </c>
      <c r="U44" s="450">
        <f>[22]Sheet1!$C$244/1000000</f>
        <v>4344.949446737709</v>
      </c>
      <c r="V44" s="450">
        <f>[23]Sheet1!$C$244/1000000</f>
        <v>4129.9172620029522</v>
      </c>
      <c r="W44" s="450">
        <f>[24]Sheet1!$C$244/1000000</f>
        <v>4392.8096184761398</v>
      </c>
      <c r="X44" s="450">
        <f>[25]Sheet1!$C$244/1000000</f>
        <v>4095.4837599173816</v>
      </c>
      <c r="Y44" s="450">
        <f>[26]Sheet1!$C$244/1000000</f>
        <v>4256.1719938747665</v>
      </c>
      <c r="Z44" s="450">
        <f>[27]Sheet1!$C$244/1000000</f>
        <v>4183.4421946075481</v>
      </c>
      <c r="AA44" s="450">
        <f>[28]Sheet1!$C$244/1000000</f>
        <v>4617.6160151286349</v>
      </c>
      <c r="AB44" s="439">
        <f>[29]Sheet1!$C$244/1000000</f>
        <v>4614.5771849940811</v>
      </c>
      <c r="AC44" s="439">
        <f>[30]Sheet1!$C$244/1000000</f>
        <v>4710.6523175544962</v>
      </c>
      <c r="AD44" s="449">
        <f>[31]Sheet1!$C$244/1000000</f>
        <v>4157.6511166712844</v>
      </c>
      <c r="AE44" s="450">
        <f>[32]Sheet1!$C$244/1000000</f>
        <v>4019.7912762942342</v>
      </c>
      <c r="AF44" s="450">
        <f>[33]Sheet1!$C$244/1000000</f>
        <v>4161.2685977659812</v>
      </c>
      <c r="AG44" s="450">
        <f>[34]Sheet1!$C$244/1000000</f>
        <v>4160.5040427488939</v>
      </c>
      <c r="AH44" s="450">
        <f>[35]Sheet1!$C$244/1000000</f>
        <v>4837.0598256773301</v>
      </c>
      <c r="AI44" s="450">
        <f>[36]Sheet1!$C$244/1000000</f>
        <v>4985.6069986008079</v>
      </c>
      <c r="AJ44" s="450">
        <f>[60]Sheet1!$C$244/1000000</f>
        <v>5438.6799747489231</v>
      </c>
      <c r="AK44" s="450">
        <f>[61]Sheet1!$C$244/1000000</f>
        <v>5310.7663303224208</v>
      </c>
      <c r="AL44" s="450">
        <f>[62]Sheet1!$C$244/1000000</f>
        <v>5005.8586778588924</v>
      </c>
      <c r="AM44" s="450">
        <f>[63]Sheet1!$C$244/1000000</f>
        <v>5291.6350886730352</v>
      </c>
      <c r="AN44" s="450">
        <f>[64]Sheet1!$C$244/1000000</f>
        <v>4997.2479176020934</v>
      </c>
      <c r="AO44" s="450">
        <f>[65]Sheet1!$C$244/1000000</f>
        <v>5598.6997302054842</v>
      </c>
      <c r="AP44" s="481">
        <f>[37]Sheet1!$C$244/1000000</f>
        <v>4923.9416743037127</v>
      </c>
      <c r="AQ44" s="450">
        <f>[38]Sheet1!$C$244/1000000</f>
        <v>4948.6041173017156</v>
      </c>
      <c r="AR44" s="450">
        <f>[39]Sheet1!$C$244/1000000</f>
        <v>5083.326256160818</v>
      </c>
      <c r="AS44" s="450">
        <f>[66]Sheet1!$C$244/1000000</f>
        <v>5066.4971476266437</v>
      </c>
      <c r="AT44" s="450">
        <f>[67]Sheet1!$C$244/1000000</f>
        <v>5618.949444723492</v>
      </c>
      <c r="AU44" s="450">
        <f>[68]Sheet1!$C$244/1000000</f>
        <v>5602.6020136190482</v>
      </c>
      <c r="AV44" s="450">
        <f>[69]Sheet1!$C$244/1000000</f>
        <v>5770.8321336090139</v>
      </c>
      <c r="AW44" s="450">
        <f>[70]Sheet1!$C$244/1000000</f>
        <v>5857.5384242466353</v>
      </c>
      <c r="AX44" s="450">
        <f>[71]Sheet1!$C$244/1000000</f>
        <v>6028.7026773694788</v>
      </c>
      <c r="AY44" s="450">
        <f>[72]Sheet1!$C$244/1000000</f>
        <v>6878.0023383476537</v>
      </c>
      <c r="AZ44" s="450">
        <f>[73]Sheet1!$C$244/1000000</f>
        <v>7604.0455844604112</v>
      </c>
      <c r="BA44" s="450">
        <f>[74]Sheet1!$C$244/1000000</f>
        <v>7893.7426159151346</v>
      </c>
      <c r="BB44" s="450">
        <f>[40]Sheet1!$C$244/1000000</f>
        <v>7561.4192315683313</v>
      </c>
      <c r="BC44" s="450">
        <f>[75]Sheet1!$C$244/1000000</f>
        <v>7715.2243616121796</v>
      </c>
      <c r="BD44" s="450">
        <f>[76]Sheet1!$C$244/1000000</f>
        <v>7596.9742925374294</v>
      </c>
      <c r="BE44" s="450">
        <f>[77]Sheet1!$C$244/1000000</f>
        <v>7545.8616838301859</v>
      </c>
      <c r="BF44" s="450">
        <f>[41]Sheet1!$C$244/1000000</f>
        <v>7440.8625507930419</v>
      </c>
      <c r="BG44" s="450">
        <f>[42]Sheet1!$C$244/1000000</f>
        <v>7823.5347870919741</v>
      </c>
      <c r="BH44" s="450">
        <f>[43]Sheet1!$C$244/1000000</f>
        <v>7708.0265372259964</v>
      </c>
      <c r="BI44" s="450">
        <f>[44]Sheet1!$C$244/1000000</f>
        <v>8489.0008841432118</v>
      </c>
      <c r="BJ44" s="450">
        <f>[78]Sheet1!$C$244/1000000</f>
        <v>8506.3998487766876</v>
      </c>
      <c r="BK44" s="450">
        <f>[79]Sheet1!$C$244/1000000</f>
        <v>8605.045459682482</v>
      </c>
      <c r="BL44" s="450">
        <f>[80]Sheet1!$C$244/1000000</f>
        <v>8698.2606262574591</v>
      </c>
      <c r="BM44" s="450">
        <f>[81]Sheet1!$C$244/1000000</f>
        <v>9280.4259172492548</v>
      </c>
      <c r="BN44" s="450">
        <f>[82]Sheet1!$C$244/1000000</f>
        <v>9294.2342306476767</v>
      </c>
      <c r="BO44" s="450">
        <f>[83]Sheet1!$C$244/1000000</f>
        <v>9635.5659515614152</v>
      </c>
      <c r="BP44" s="450">
        <f>[84]Sheet1!$C$244/1000000</f>
        <v>9475.1206773081976</v>
      </c>
      <c r="BQ44" s="450">
        <f>[85]Sheet1!$C$244/1000000</f>
        <v>9125.2985669564332</v>
      </c>
      <c r="BR44" s="450">
        <f>[86]Sheet1!$C$244/1000000</f>
        <v>9288.7431539777772</v>
      </c>
      <c r="BS44" s="450">
        <f>[87]Sheet1!$C$244/1000000</f>
        <v>9422.6555083620933</v>
      </c>
      <c r="BT44" s="450">
        <f>[88]Sheet1!$C$244/1000000</f>
        <v>10264.134516770358</v>
      </c>
      <c r="BU44" s="450">
        <f>[89]Sheet1!$C$244/1000000</f>
        <v>10721.405525402562</v>
      </c>
      <c r="BV44" s="450">
        <f>[90]Sheet1!$C$244/1000000</f>
        <v>10046.549590326807</v>
      </c>
      <c r="BW44" s="450">
        <f>[91]Sheet1!$C$244/1000000</f>
        <v>9537.0308950808067</v>
      </c>
      <c r="BX44" s="450">
        <f>[92]Sheet1!$C$244/1000000</f>
        <v>9847.4090509647467</v>
      </c>
      <c r="BY44" s="450">
        <f>[93]Sheet1!$C$244/1000000</f>
        <v>10097.346815957313</v>
      </c>
      <c r="BZ44" s="450">
        <f>[94]Sheet1!$C$244/1000000</f>
        <v>10154.280731005787</v>
      </c>
      <c r="CA44" s="450">
        <f>[95]Sheet1!$C$244/1000000</f>
        <v>10522.355121407993</v>
      </c>
      <c r="CB44" s="450">
        <f>[45]Sheet1!$C$244/1000000</f>
        <v>10352.366136982795</v>
      </c>
      <c r="CC44" s="450">
        <f>[46]Sheet1!$C$244/1000000</f>
        <v>10037.617270339781</v>
      </c>
      <c r="CD44" s="450">
        <f>[47]Sheet1!$C$244/1000000</f>
        <v>10567.819826471554</v>
      </c>
      <c r="CE44" s="450">
        <f>[48]Sheet1!$C$244/1000000</f>
        <v>10469.568391697207</v>
      </c>
      <c r="CF44" s="450">
        <f>[49]Sheet1!$C$244/1000000</f>
        <v>10415.538359530783</v>
      </c>
      <c r="CG44" s="450">
        <f>[50]Sheet1!$C$244/1000000</f>
        <v>11376.6833224169</v>
      </c>
      <c r="CH44" s="450">
        <f>[51]Sheet1!$C$244/1000000</f>
        <v>10830.176198437317</v>
      </c>
      <c r="CI44" s="450">
        <f>[52]Sheet1!$C$244/1000000</f>
        <v>10910.724934795169</v>
      </c>
      <c r="CJ44" s="450">
        <f>[53]Sheet1!$C$244/1000000</f>
        <v>10828.158954843757</v>
      </c>
      <c r="CK44" s="450">
        <f>[54]Sheet1!$C$244/1000000</f>
        <v>10776.328819657454</v>
      </c>
      <c r="CL44" s="450">
        <f>[55]Sheet1!$C$244/1000000</f>
        <v>10680.105423668449</v>
      </c>
      <c r="CM44" s="450">
        <f>[56]Sheet1!$C$244/1000000</f>
        <v>11095.252952426592</v>
      </c>
      <c r="CN44" s="450">
        <f>[57]Sheet1!$C$244/1000000</f>
        <v>11140.947177616612</v>
      </c>
      <c r="CO44" s="450">
        <f>[58]Sheet1!$C$244/1000000</f>
        <v>11379.951547673976</v>
      </c>
      <c r="CP44" s="439">
        <f>[59]Sheet1!$C$244/1000000</f>
        <v>11595.072669347646</v>
      </c>
    </row>
    <row r="45" spans="1:94">
      <c r="A45" s="436" t="s">
        <v>549</v>
      </c>
      <c r="B45" s="437" t="s">
        <v>544</v>
      </c>
      <c r="C45" s="450">
        <f>([3]sheet1!$N$294+'[4]Cat 2-MUR'!$P$294)/1000000</f>
        <v>62247.228422903398</v>
      </c>
      <c r="D45" s="450">
        <f>[5]Sheet1!$C$273/1000000</f>
        <v>67968.356000153159</v>
      </c>
      <c r="E45" s="450">
        <f>[6]Sheet1!$C$273/1000000</f>
        <v>74768.843508177146</v>
      </c>
      <c r="F45" s="390">
        <f>[7]Sheet1!$C$273/1000000</f>
        <v>61518.2372370784</v>
      </c>
      <c r="G45" s="450">
        <f>[8]Sheet1!$C$273/1000000</f>
        <v>60344.699216480716</v>
      </c>
      <c r="H45" s="481">
        <f>[9]Sheet1!$C$273/1000000</f>
        <v>58889.854517240994</v>
      </c>
      <c r="I45" s="450">
        <f>[10]Sheet1!$C$273/1000000</f>
        <v>52128.068034121192</v>
      </c>
      <c r="J45" s="450">
        <f>[11]Sheet1!$C$273/1000000</f>
        <v>58580.199646111701</v>
      </c>
      <c r="K45" s="450">
        <f>[12]Sheet1!$C$273/1000000</f>
        <v>75285.222287920289</v>
      </c>
      <c r="L45" s="450">
        <f>[13]Sheet1!$C$273/1000000</f>
        <v>71166.200374835666</v>
      </c>
      <c r="M45" s="390">
        <f>[14]Sheet1!$C$273/1000000</f>
        <v>59277.026369304294</v>
      </c>
      <c r="N45" s="450">
        <f>[15]Sheet1!$C$273/1000000</f>
        <v>57598.198335323454</v>
      </c>
      <c r="O45" s="450">
        <f>[16]Sheet1!$C$273/1000000</f>
        <v>62991.141857895294</v>
      </c>
      <c r="P45" s="450">
        <f>[17]Sheet1!$C$273/1000000</f>
        <v>62545.011230378419</v>
      </c>
      <c r="Q45" s="450">
        <f>[18]Sheet1!$C$273/1000000</f>
        <v>63695.649412223378</v>
      </c>
      <c r="R45" s="450">
        <f>[19]Sheet1!$C$273/1000000</f>
        <v>77806.781402716675</v>
      </c>
      <c r="S45" s="450">
        <f>[20]Sheet1!$C$273/1000000</f>
        <v>82426.780668664287</v>
      </c>
      <c r="T45" s="450">
        <f>[21]Sheet1!$C$273/1000000</f>
        <v>99987.180954738142</v>
      </c>
      <c r="U45" s="450">
        <f>[22]Sheet1!$C$273/1000000</f>
        <v>94049.341311468786</v>
      </c>
      <c r="V45" s="450">
        <f>[23]Sheet1!$C$273/1000000</f>
        <v>83831.959678614439</v>
      </c>
      <c r="W45" s="450">
        <f>[24]Sheet1!$C$273/1000000</f>
        <v>87358.419368576069</v>
      </c>
      <c r="X45" s="450">
        <f>[25]Sheet1!$C$273/1000000</f>
        <v>81832.294583252646</v>
      </c>
      <c r="Y45" s="450">
        <f>[26]Sheet1!$C$273/1000000</f>
        <v>93247.254627753311</v>
      </c>
      <c r="Z45" s="450">
        <f>[27]Sheet1!$C$273/1000000</f>
        <v>83406.29237406516</v>
      </c>
      <c r="AA45" s="450">
        <f>[28]Sheet1!$C$273/1000000</f>
        <v>83401.783888467602</v>
      </c>
      <c r="AB45" s="439">
        <f>[29]Sheet1!$C$273/1000000</f>
        <v>101498.14290486691</v>
      </c>
      <c r="AC45" s="439">
        <f>[30]Sheet1!$C$273/1000000</f>
        <v>108393.50804324985</v>
      </c>
      <c r="AD45" s="449">
        <f>[31]Sheet1!$C$273/1000000</f>
        <v>104088.74286872032</v>
      </c>
      <c r="AE45" s="450">
        <f>[32]Sheet1!$C$273/1000000</f>
        <v>102334.92545548439</v>
      </c>
      <c r="AF45" s="450">
        <f>[33]Sheet1!$C$273/1000000</f>
        <v>113362.29097372187</v>
      </c>
      <c r="AG45" s="450">
        <f>[34]Sheet1!$C$273/1000000</f>
        <v>109010.64885437915</v>
      </c>
      <c r="AH45" s="450">
        <f>[35]Sheet1!$C$273/1000000</f>
        <v>106984.50282327186</v>
      </c>
      <c r="AI45" s="450">
        <f>[36]Sheet1!$C$273/1000000</f>
        <v>97093.3522539962</v>
      </c>
      <c r="AJ45" s="450">
        <f>[60]Sheet1!$C$273/1000000</f>
        <v>95403.898365424335</v>
      </c>
      <c r="AK45" s="450">
        <f>[61]Sheet1!$C$273/1000000</f>
        <v>97549.984690987156</v>
      </c>
      <c r="AL45" s="450">
        <f>[62]Sheet1!$C$273/1000000</f>
        <v>103341.70154666476</v>
      </c>
      <c r="AM45" s="450">
        <f>[63]Sheet1!$C$273/1000000</f>
        <v>93279.522960964401</v>
      </c>
      <c r="AN45" s="450">
        <f>[64]Sheet1!$C$273/1000000</f>
        <v>94724.840429074073</v>
      </c>
      <c r="AO45" s="450">
        <f>[65]Sheet1!$C$273/1000000</f>
        <v>94284.222083197979</v>
      </c>
      <c r="AP45" s="481">
        <f>[37]Sheet1!$C$273/1000000</f>
        <v>95063.630958060225</v>
      </c>
      <c r="AQ45" s="450">
        <f>[38]Sheet1!$C$273/1000000</f>
        <v>109602.12140734686</v>
      </c>
      <c r="AR45" s="450">
        <f>[39]Sheet1!$C$273/1000000</f>
        <v>106126.67844314988</v>
      </c>
      <c r="AS45" s="450">
        <f>[66]Sheet1!$C$273/1000000</f>
        <v>102826.58725921782</v>
      </c>
      <c r="AT45" s="450">
        <f>[67]Sheet1!$C$273/1000000</f>
        <v>105740.7050748529</v>
      </c>
      <c r="AU45" s="450">
        <f>[68]Sheet1!$C$273/1000000</f>
        <v>102767.40544790521</v>
      </c>
      <c r="AV45" s="450">
        <f>[69]Sheet1!$C$273/1000000</f>
        <v>99565.91792091493</v>
      </c>
      <c r="AW45" s="450">
        <f>[70]Sheet1!$C$273/1000000</f>
        <v>93494.692555029644</v>
      </c>
      <c r="AX45" s="450">
        <f>[71]Sheet1!$C$273/1000000</f>
        <v>84019.362446457904</v>
      </c>
      <c r="AY45" s="450">
        <f>[72]Sheet1!$C$273/1000000</f>
        <v>76019.433750191965</v>
      </c>
      <c r="AZ45" s="450">
        <f>[73]Sheet1!$C$273/1000000</f>
        <v>72703.644280441629</v>
      </c>
      <c r="BA45" s="450">
        <f>[74]Sheet1!$C$273/1000000</f>
        <v>72112.944989742769</v>
      </c>
      <c r="BB45" s="450">
        <f>[40]Sheet1!$C$273/1000000</f>
        <v>62422.87048655386</v>
      </c>
      <c r="BC45" s="450">
        <f>[75]Sheet1!$C$273/1000000</f>
        <v>65727.827338987438</v>
      </c>
      <c r="BD45" s="450">
        <f>[76]Sheet1!$C$273/1000000</f>
        <v>50660.424474567801</v>
      </c>
      <c r="BE45" s="450">
        <f>[77]Sheet1!$C$273/1000000</f>
        <v>54947.932893552294</v>
      </c>
      <c r="BF45" s="450">
        <f>[41]Sheet1!$C$273/1000000</f>
        <v>45935.145588673004</v>
      </c>
      <c r="BG45" s="450">
        <f>[42]Sheet1!$C$273/1000000</f>
        <v>49056.966007015486</v>
      </c>
      <c r="BH45" s="450">
        <f>[43]Sheet1!$C$273/1000000</f>
        <v>52258.62209355853</v>
      </c>
      <c r="BI45" s="450">
        <f>[44]Sheet1!$C$273/1000000</f>
        <v>52442.426107662985</v>
      </c>
      <c r="BJ45" s="450">
        <f>[78]Sheet1!$C$273/1000000</f>
        <v>61653.806566823208</v>
      </c>
      <c r="BK45" s="450">
        <f>[79]Sheet1!$C$273/1000000</f>
        <v>57880.417836872963</v>
      </c>
      <c r="BL45" s="450">
        <f>[80]Sheet1!$C$273/1000000</f>
        <v>57025.158822062411</v>
      </c>
      <c r="BM45" s="450">
        <f>[81]Sheet1!$C$273/1000000</f>
        <v>58478.582870577207</v>
      </c>
      <c r="BN45" s="450">
        <f>[82]Sheet1!$C$273/1000000</f>
        <v>61167.439199399218</v>
      </c>
      <c r="BO45" s="450">
        <f>[83]Sheet1!$C$273/1000000</f>
        <v>58987.189783469999</v>
      </c>
      <c r="BP45" s="450">
        <f>[84]Sheet1!$C$273/1000000</f>
        <v>60362.029981064683</v>
      </c>
      <c r="BQ45" s="450">
        <f>[85]Sheet1!$C$273/1000000</f>
        <v>58236.792633211495</v>
      </c>
      <c r="BR45" s="450">
        <f>[86]Sheet1!$C$273/1000000</f>
        <v>57699.17103960042</v>
      </c>
      <c r="BS45" s="450">
        <f>[87]Sheet1!$C$273/1000000</f>
        <v>53163.27867044718</v>
      </c>
      <c r="BT45" s="450">
        <f>[88]Sheet1!$C$273/1000000</f>
        <v>54017.360445767627</v>
      </c>
      <c r="BU45" s="450">
        <f>[89]Sheet1!$C$273/1000000</f>
        <v>67892.146901149856</v>
      </c>
      <c r="BV45" s="450">
        <f>[90]Sheet1!$C$273/1000000</f>
        <v>51706.182114946525</v>
      </c>
      <c r="BW45" s="450">
        <f>[91]Sheet1!$C$273/1000000</f>
        <v>55325.340593848217</v>
      </c>
      <c r="BX45" s="450">
        <f>[92]Sheet1!$C$273/1000000</f>
        <v>53662.508167461885</v>
      </c>
      <c r="BY45" s="450">
        <f>[93]Sheet1!$C$273/1000000</f>
        <v>53094.165591204917</v>
      </c>
      <c r="BZ45" s="450">
        <f>[94]Sheet1!$C$273/1000000</f>
        <v>53688.638103121797</v>
      </c>
      <c r="CA45" s="450">
        <f>[95]Sheet1!$C$273/1000000</f>
        <v>52189.656529656029</v>
      </c>
      <c r="CB45" s="450">
        <f>[45]Sheet1!$C$273/1000000</f>
        <v>53124.763583861662</v>
      </c>
      <c r="CC45" s="450">
        <f>[46]Sheet1!$C$273/1000000</f>
        <v>54747.940596112247</v>
      </c>
      <c r="CD45" s="450">
        <f>[47]Sheet1!$C$273/1000000</f>
        <v>51490.870687582887</v>
      </c>
      <c r="CE45" s="450">
        <f>[48]Sheet1!$C$273/1000000</f>
        <v>49969.290236046894</v>
      </c>
      <c r="CF45" s="450">
        <f>[49]Sheet1!$C$273/1000000</f>
        <v>59069.348151409307</v>
      </c>
      <c r="CG45" s="450">
        <f>[50]Sheet1!$C$273/1000000</f>
        <v>60507.089625078857</v>
      </c>
      <c r="CH45" s="450">
        <f>[51]Sheet1!$C$273/1000000</f>
        <v>53022.050554616624</v>
      </c>
      <c r="CI45" s="450">
        <f>[52]Sheet1!$C$273/1000000</f>
        <v>72351.934543493044</v>
      </c>
      <c r="CJ45" s="450">
        <f>[53]Sheet1!$C$273/1000000</f>
        <v>70126.570908080001</v>
      </c>
      <c r="CK45" s="450">
        <f>[54]Sheet1!$C$273/1000000</f>
        <v>76174.545763540562</v>
      </c>
      <c r="CL45" s="450">
        <f>[55]Sheet1!$C$273/1000000</f>
        <v>61889.027050773446</v>
      </c>
      <c r="CM45" s="450">
        <f>[56]Sheet1!$C$273/1000000</f>
        <v>63378.595623971189</v>
      </c>
      <c r="CN45" s="450">
        <f>[57]Sheet1!$C$273/1000000</f>
        <v>66107.372579607589</v>
      </c>
      <c r="CO45" s="450">
        <f>[58]Sheet1!$C$273/1000000</f>
        <v>66500.253420387133</v>
      </c>
      <c r="CP45" s="439">
        <f>[59]Sheet1!$C$273/1000000</f>
        <v>65032.192594844288</v>
      </c>
    </row>
    <row r="46" spans="1:94">
      <c r="A46" s="436"/>
      <c r="B46" s="437"/>
      <c r="C46" s="492"/>
      <c r="D46" s="492"/>
      <c r="E46" s="492"/>
      <c r="F46" s="493"/>
      <c r="G46" s="492"/>
      <c r="H46" s="494"/>
      <c r="I46" s="492"/>
      <c r="J46" s="492"/>
      <c r="K46" s="492"/>
      <c r="L46" s="492"/>
      <c r="M46" s="493"/>
      <c r="N46" s="492"/>
      <c r="O46" s="492"/>
      <c r="P46" s="492"/>
      <c r="Q46" s="492"/>
      <c r="R46" s="492"/>
      <c r="S46" s="492"/>
      <c r="T46" s="492"/>
      <c r="U46" s="492"/>
      <c r="V46" s="492"/>
      <c r="W46" s="492"/>
      <c r="X46" s="492"/>
      <c r="Y46" s="492"/>
      <c r="Z46" s="492"/>
      <c r="AA46" s="492"/>
      <c r="AB46" s="495"/>
      <c r="AC46" s="495"/>
      <c r="AD46" s="496"/>
      <c r="AE46" s="492"/>
      <c r="AF46" s="492"/>
      <c r="AG46" s="492"/>
      <c r="AH46" s="492"/>
      <c r="AI46" s="492"/>
      <c r="AJ46" s="492"/>
      <c r="AK46" s="492"/>
      <c r="AL46" s="492"/>
      <c r="AM46" s="492"/>
      <c r="AN46" s="492"/>
      <c r="AO46" s="492"/>
      <c r="AP46" s="494"/>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5"/>
    </row>
    <row r="47" spans="1:94">
      <c r="A47" s="433" t="s">
        <v>550</v>
      </c>
      <c r="B47" s="434" t="s">
        <v>551</v>
      </c>
      <c r="C47" s="476">
        <f>([3]sheet1!$N$327+'[4]Cat 2-MUR'!$P$327)/1000000</f>
        <v>0</v>
      </c>
      <c r="D47" s="476">
        <f>[5]Sheet1!$C$303/1000000</f>
        <v>0</v>
      </c>
      <c r="E47" s="476">
        <f>[6]Sheet1!$C$303/1000000</f>
        <v>0</v>
      </c>
      <c r="F47" s="400">
        <f>[7]Sheet1!$C$303/1000000</f>
        <v>640</v>
      </c>
      <c r="G47" s="476">
        <f>[8]Sheet1!$C$303/1000000</f>
        <v>641.45043299999998</v>
      </c>
      <c r="H47" s="477">
        <f>[9]Sheet1!$C$303/1000000</f>
        <v>645.547281</v>
      </c>
      <c r="I47" s="476">
        <f>[10]Sheet1!$C$303/1000000</f>
        <v>649.20652900000005</v>
      </c>
      <c r="J47" s="476">
        <f>[11]Sheet1!$C$303/1000000</f>
        <v>653.63230299999998</v>
      </c>
      <c r="K47" s="476">
        <f>[12]Sheet1!$C$303/1000000</f>
        <v>657.68341124999995</v>
      </c>
      <c r="L47" s="476">
        <f>[13]Sheet1!$C$303/1000000</f>
        <v>661.35194488888897</v>
      </c>
      <c r="M47" s="400">
        <f>[14]Sheet1!$C$303/1000000</f>
        <v>665.86065039111111</v>
      </c>
      <c r="N47" s="476">
        <f>[15]Sheet1!$C$303/1000000</f>
        <v>669.84978488888896</v>
      </c>
      <c r="O47" s="476">
        <f>[16]Sheet1!$C$303/1000000</f>
        <v>674.2577973333332</v>
      </c>
      <c r="P47" s="476">
        <f>[17]Sheet1!$C$303/1000000</f>
        <v>678.7132693333333</v>
      </c>
      <c r="Q47" s="476">
        <f>[18]Sheet1!$C$303/1000000</f>
        <v>682.77766222222226</v>
      </c>
      <c r="R47" s="476">
        <f>[19]Sheet1!$C$303/1000000</f>
        <v>687.27664888888887</v>
      </c>
      <c r="S47" s="476">
        <f>[20]Sheet1!$C$303/1000000</f>
        <v>691.67521777777779</v>
      </c>
      <c r="T47" s="476">
        <f>[21]Sheet1!$C$303/1000000</f>
        <v>696.04463911111111</v>
      </c>
      <c r="U47" s="476">
        <f>[22]Sheet1!$C$303/1000000</f>
        <v>700.3977608888888</v>
      </c>
      <c r="V47" s="476">
        <f>[23]Sheet1!$C$303/1000000</f>
        <v>705.16844533333324</v>
      </c>
      <c r="W47" s="476">
        <f>[24]Sheet1!$C$303/1000000</f>
        <v>709.62047199999995</v>
      </c>
      <c r="X47" s="476">
        <f>[25]Sheet1!$C$303/1000000</f>
        <v>713.57458666666673</v>
      </c>
      <c r="Y47" s="476">
        <f>[26]Sheet1!$C$303/1000000</f>
        <v>718.28701333333322</v>
      </c>
      <c r="Z47" s="476">
        <f>[27]Sheet1!$C$303/1000000</f>
        <v>722.73404000000005</v>
      </c>
      <c r="AA47" s="476">
        <f>[28]Sheet1!$C$303/1000000</f>
        <v>727.37966488888901</v>
      </c>
      <c r="AB47" s="435">
        <f>[29]Sheet1!$C$303/1000000</f>
        <v>732.07468422222223</v>
      </c>
      <c r="AC47" s="435">
        <f>[30]Sheet1!$C$303/1000000</f>
        <v>736.60560799999996</v>
      </c>
      <c r="AD47" s="491">
        <f>[31]Sheet1!$C$303/1000000</f>
        <v>741.70598488888891</v>
      </c>
      <c r="AE47" s="476">
        <f>[32]Sheet1!$C$303/1000000</f>
        <v>745.98991466666678</v>
      </c>
      <c r="AF47" s="476">
        <f>[33]Sheet1!$C$303/1000000</f>
        <v>751.37571733333323</v>
      </c>
      <c r="AG47" s="476">
        <f>[34]Sheet1!$C$303/1000000</f>
        <v>755.84376266666675</v>
      </c>
      <c r="AH47" s="476">
        <f>[35]Sheet1!$C$303/1000000</f>
        <v>760.67616143111127</v>
      </c>
      <c r="AI47" s="476">
        <f>[36]Sheet1!$C$303/1000000</f>
        <v>765.69630222222224</v>
      </c>
      <c r="AJ47" s="476">
        <f>[60]Sheet1!$C$303/1000000</f>
        <v>770.24621955555574</v>
      </c>
      <c r="AK47" s="476">
        <f>[61]Sheet1!$C$303/1000000</f>
        <v>774.85213511111112</v>
      </c>
      <c r="AL47" s="476">
        <f>[62]Sheet1!$C$303/1000000</f>
        <v>779.80511733333321</v>
      </c>
      <c r="AM47" s="476">
        <f>[63]Sheet1!$C$303/1000000</f>
        <v>784.78973333333329</v>
      </c>
      <c r="AN47" s="476">
        <f>[64]Sheet1!$C$303/1000000</f>
        <v>789.65365511111122</v>
      </c>
      <c r="AO47" s="476">
        <f>[65]Sheet1!$C$303/1000000</f>
        <v>794.70007911111111</v>
      </c>
      <c r="AP47" s="477">
        <f>[37]Sheet1!$C$303/1000000</f>
        <v>728.36991866666665</v>
      </c>
      <c r="AQ47" s="476">
        <f>[38]Sheet1!$C$303/1000000</f>
        <v>732.87450985714293</v>
      </c>
      <c r="AR47" s="476">
        <f>[39]Sheet1!$C$303/1000000</f>
        <v>737.86018647619039</v>
      </c>
      <c r="AS47" s="476">
        <f>[66]Sheet1!$C$303/1000000</f>
        <v>742.11921833333327</v>
      </c>
      <c r="AT47" s="476">
        <f>[67]Sheet1!$C$303/1000000</f>
        <v>747.47372047619046</v>
      </c>
      <c r="AU47" s="476">
        <f>[68]Sheet1!$C$303/1000000</f>
        <v>751.7882111904762</v>
      </c>
      <c r="AV47" s="476">
        <f>[69]Sheet1!$C$303/1000000</f>
        <v>756.12759071428559</v>
      </c>
      <c r="AW47" s="476">
        <f>[70]Sheet1!$C$303/1000000</f>
        <v>761.15437252380946</v>
      </c>
      <c r="AX47" s="476">
        <f>[71]Sheet1!$C$303/1000000</f>
        <v>845.79487733333326</v>
      </c>
      <c r="AY47" s="476">
        <f>[72]Sheet1!$C$303/1000000</f>
        <v>851.45723822222226</v>
      </c>
      <c r="AZ47" s="476">
        <f>[73]Sheet1!$C$303/1000000</f>
        <v>856.89538755555566</v>
      </c>
      <c r="BA47" s="476">
        <f>[74]Sheet1!$C$303/1000000</f>
        <v>862.36826933333327</v>
      </c>
      <c r="BB47" s="476">
        <f>[40]Sheet1!$C$303/1000000</f>
        <v>6.75</v>
      </c>
      <c r="BC47" s="476">
        <f>[75]Sheet1!$C$303/1000000</f>
        <v>0</v>
      </c>
      <c r="BD47" s="476">
        <f>[76]Sheet1!$C$303/1000000</f>
        <v>0</v>
      </c>
      <c r="BE47" s="476">
        <f>[77]Sheet1!$C$303/1000000</f>
        <v>0</v>
      </c>
      <c r="BF47" s="476">
        <f>[41]Sheet1!$C$303/1000000</f>
        <v>0</v>
      </c>
      <c r="BG47" s="476">
        <f>[42]Sheet1!$C$303/1000000</f>
        <v>0</v>
      </c>
      <c r="BH47" s="476">
        <f>[43]Sheet1!$C$303/1000000</f>
        <v>0</v>
      </c>
      <c r="BI47" s="476">
        <f>[44]Sheet1!$C$303/1000000</f>
        <v>0</v>
      </c>
      <c r="BJ47" s="476">
        <f>[78]Sheet1!$C$303/1000000</f>
        <v>0</v>
      </c>
      <c r="BK47" s="476">
        <f>[79]Sheet1!$C$303/1000000</f>
        <v>0</v>
      </c>
      <c r="BL47" s="476">
        <f>[80]Sheet1!$C$303/1000000</f>
        <v>0</v>
      </c>
      <c r="BM47" s="476">
        <f>[81]Sheet1!$C$303/1000000</f>
        <v>0</v>
      </c>
      <c r="BN47" s="476">
        <f>[82]Sheet1!$C$303/1000000</f>
        <v>0</v>
      </c>
      <c r="BO47" s="476">
        <f>[83]Sheet1!$C$303/1000000</f>
        <v>0</v>
      </c>
      <c r="BP47" s="476">
        <f>[84]Sheet1!$C$303/1000000</f>
        <v>0</v>
      </c>
      <c r="BQ47" s="476">
        <f>[85]Sheet1!$C$303/1000000</f>
        <v>0</v>
      </c>
      <c r="BR47" s="476">
        <f>[86]Sheet1!$C$303/1000000</f>
        <v>0</v>
      </c>
      <c r="BS47" s="476">
        <f>[87]Sheet1!$C$303/1000000</f>
        <v>0</v>
      </c>
      <c r="BT47" s="476">
        <f>[88]Sheet1!$C$303/1000000</f>
        <v>0</v>
      </c>
      <c r="BU47" s="476">
        <f>[89]Sheet1!$C$303/1000000</f>
        <v>0</v>
      </c>
      <c r="BV47" s="476">
        <f>[90]Sheet1!$C$303/1000000</f>
        <v>0</v>
      </c>
      <c r="BW47" s="476">
        <f>[91]Sheet1!$C$303/1000000</f>
        <v>0</v>
      </c>
      <c r="BX47" s="476">
        <f>[92]Sheet1!$C$303/1000000</f>
        <v>0</v>
      </c>
      <c r="BY47" s="476">
        <f>[93]Sheet1!$C$303/1000000</f>
        <v>0</v>
      </c>
      <c r="BZ47" s="476">
        <f>[94]Sheet1!$C$303/1000000</f>
        <v>0</v>
      </c>
      <c r="CA47" s="476">
        <f>[95]Sheet1!$C$303/1000000</f>
        <v>0</v>
      </c>
      <c r="CB47" s="476">
        <f>[45]Sheet1!$C$303/1000000</f>
        <v>0</v>
      </c>
      <c r="CC47" s="476">
        <f>[46]Sheet1!$C$303/1000000</f>
        <v>0</v>
      </c>
      <c r="CD47" s="476">
        <f>[47]Sheet1!$C$303/1000000</f>
        <v>0</v>
      </c>
      <c r="CE47" s="476">
        <f>[48]Sheet1!$C$303/1000000</f>
        <v>0</v>
      </c>
      <c r="CF47" s="476">
        <f>[49]Sheet1!$C$303/1000000</f>
        <v>0</v>
      </c>
      <c r="CG47" s="476">
        <f>[50]Sheet1!$C$303/1000000</f>
        <v>0</v>
      </c>
      <c r="CH47" s="476">
        <f>[51]Sheet1!$C$303/1000000</f>
        <v>0</v>
      </c>
      <c r="CI47" s="476">
        <f>[52]Sheet1!$C$303/1000000</f>
        <v>0</v>
      </c>
      <c r="CJ47" s="476">
        <f>[53]Sheet1!$C$303/1000000</f>
        <v>0</v>
      </c>
      <c r="CK47" s="476">
        <f>[54]Sheet1!$C$303/1000000</f>
        <v>0</v>
      </c>
      <c r="CL47" s="476">
        <f>[55]Sheet1!$C$303/1000000</f>
        <v>0</v>
      </c>
      <c r="CM47" s="476">
        <f>[56]Sheet1!$C$303/1000000</f>
        <v>0</v>
      </c>
      <c r="CN47" s="476">
        <f>[57]Sheet1!$C$303/1000000</f>
        <v>0</v>
      </c>
      <c r="CO47" s="476">
        <f>[58]Sheet1!$C$303/1000000</f>
        <v>0</v>
      </c>
      <c r="CP47" s="435">
        <f>[59]Sheet1!$C$303/1000000</f>
        <v>0</v>
      </c>
    </row>
    <row r="48" spans="1:94">
      <c r="A48" s="436"/>
      <c r="B48" s="437"/>
      <c r="C48" s="492"/>
      <c r="D48" s="492"/>
      <c r="E48" s="492"/>
      <c r="F48" s="493"/>
      <c r="G48" s="492"/>
      <c r="H48" s="494"/>
      <c r="I48" s="492"/>
      <c r="J48" s="492"/>
      <c r="K48" s="492"/>
      <c r="L48" s="492"/>
      <c r="M48" s="493"/>
      <c r="N48" s="492"/>
      <c r="O48" s="492"/>
      <c r="P48" s="492"/>
      <c r="Q48" s="492"/>
      <c r="R48" s="492"/>
      <c r="S48" s="492"/>
      <c r="T48" s="492"/>
      <c r="U48" s="492"/>
      <c r="V48" s="492"/>
      <c r="W48" s="492"/>
      <c r="X48" s="492"/>
      <c r="Y48" s="492"/>
      <c r="Z48" s="492"/>
      <c r="AA48" s="492"/>
      <c r="AB48" s="495"/>
      <c r="AC48" s="495"/>
      <c r="AD48" s="496"/>
      <c r="AE48" s="492"/>
      <c r="AF48" s="492"/>
      <c r="AG48" s="492"/>
      <c r="AH48" s="492"/>
      <c r="AI48" s="492"/>
      <c r="AJ48" s="492"/>
      <c r="AK48" s="492"/>
      <c r="AL48" s="492"/>
      <c r="AM48" s="492"/>
      <c r="AN48" s="492"/>
      <c r="AO48" s="492"/>
      <c r="AP48" s="494"/>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c r="CN48" s="492"/>
      <c r="CO48" s="492"/>
      <c r="CP48" s="495"/>
    </row>
    <row r="49" spans="1:94">
      <c r="A49" s="433" t="s">
        <v>552</v>
      </c>
      <c r="B49" s="434" t="s">
        <v>553</v>
      </c>
      <c r="C49" s="476">
        <f>([3]sheet1!$N$343+'[4]Cat 2-MUR'!$P$343)/1000000</f>
        <v>15045.104009906456</v>
      </c>
      <c r="D49" s="476">
        <f>[5]Sheet1!$C$319/1000000</f>
        <v>15252.978748947929</v>
      </c>
      <c r="E49" s="476">
        <f>[6]Sheet1!$C$319/1000000</f>
        <v>14711.615015608641</v>
      </c>
      <c r="F49" s="400">
        <f>[7]Sheet1!$C$319/1000000</f>
        <v>15128.616880714215</v>
      </c>
      <c r="G49" s="476">
        <f>[8]Sheet1!$C$319/1000000</f>
        <v>14891.179142584029</v>
      </c>
      <c r="H49" s="477">
        <f>[9]Sheet1!$C$319/1000000</f>
        <v>14558.258925055829</v>
      </c>
      <c r="I49" s="476">
        <f>[10]Sheet1!$C$319/1000000</f>
        <v>14563.787617767368</v>
      </c>
      <c r="J49" s="476">
        <f>[11]Sheet1!$C$319/1000000</f>
        <v>14504.884331448271</v>
      </c>
      <c r="K49" s="476">
        <f>[12]Sheet1!$C$319/1000000</f>
        <v>14425.921092075629</v>
      </c>
      <c r="L49" s="476">
        <f>[13]Sheet1!$C$319/1000000</f>
        <v>14546.105650958574</v>
      </c>
      <c r="M49" s="400">
        <f>[14]Sheet1!$C$319/1000000</f>
        <v>15015.970978897403</v>
      </c>
      <c r="N49" s="476">
        <f>[15]Sheet1!$C$319/1000000</f>
        <v>15507.595212671948</v>
      </c>
      <c r="O49" s="476">
        <f>[16]Sheet1!$C$319/1000000</f>
        <v>15298.666244432159</v>
      </c>
      <c r="P49" s="476">
        <f>[17]Sheet1!$C$319/1000000</f>
        <v>15557.857242265172</v>
      </c>
      <c r="Q49" s="476">
        <f>[18]Sheet1!$C$319/1000000</f>
        <v>16249.518714156577</v>
      </c>
      <c r="R49" s="476">
        <f>[19]Sheet1!$C$319/1000000</f>
        <v>16221.679590776088</v>
      </c>
      <c r="S49" s="476">
        <f>[20]Sheet1!$C$319/1000000</f>
        <v>16375.520447394349</v>
      </c>
      <c r="T49" s="476">
        <f>[21]Sheet1!$C$319/1000000</f>
        <v>17146.927347804998</v>
      </c>
      <c r="U49" s="476">
        <f>[22]Sheet1!$C$319/1000000</f>
        <v>16287.99025579686</v>
      </c>
      <c r="V49" s="476">
        <f>[23]Sheet1!$C$319/1000000</f>
        <v>16407.077835298907</v>
      </c>
      <c r="W49" s="476">
        <f>[24]Sheet1!$C$319/1000000</f>
        <v>16153.566005627621</v>
      </c>
      <c r="X49" s="476">
        <f>[25]Sheet1!$C$319/1000000</f>
        <v>16168.172849911318</v>
      </c>
      <c r="Y49" s="476">
        <f>[26]Sheet1!$C$319/1000000</f>
        <v>16324.499575686385</v>
      </c>
      <c r="Z49" s="476">
        <f>[27]Sheet1!$C$319/1000000</f>
        <v>16037.98887025656</v>
      </c>
      <c r="AA49" s="476">
        <f>[28]Sheet1!$C$319/1000000</f>
        <v>16109.635298681034</v>
      </c>
      <c r="AB49" s="435">
        <f>[29]Sheet1!$C$319/1000000</f>
        <v>16448.862086199537</v>
      </c>
      <c r="AC49" s="435">
        <f>[30]Sheet1!$C$319/1000000</f>
        <v>16347.284165805198</v>
      </c>
      <c r="AD49" s="491">
        <f>[31]Sheet1!$C$319/1000000</f>
        <v>16776.565731781753</v>
      </c>
      <c r="AE49" s="476">
        <f>[32]Sheet1!$C$319/1000000</f>
        <v>17030.416845457345</v>
      </c>
      <c r="AF49" s="476">
        <f>[33]Sheet1!$C$319/1000000</f>
        <v>17262.416318660165</v>
      </c>
      <c r="AG49" s="476">
        <f>[34]Sheet1!$C$319/1000000</f>
        <v>16470.308618465773</v>
      </c>
      <c r="AH49" s="476">
        <f>[35]Sheet1!$C$319/1000000</f>
        <v>16870.045072464822</v>
      </c>
      <c r="AI49" s="476">
        <f>[36]Sheet1!$C$319/1000000</f>
        <v>16513.908916179549</v>
      </c>
      <c r="AJ49" s="476">
        <f>[60]Sheet1!$C$319/1000000</f>
        <v>898.7989082405112</v>
      </c>
      <c r="AK49" s="476">
        <f>[61]Sheet1!$C$319/1000000</f>
        <v>861.77151291528889</v>
      </c>
      <c r="AL49" s="476">
        <f>[62]Sheet1!$C$319/1000000</f>
        <v>1099.5592490304</v>
      </c>
      <c r="AM49" s="476">
        <f>[63]Sheet1!$C$319/1000000</f>
        <v>1019.0865931771667</v>
      </c>
      <c r="AN49" s="476">
        <f>[64]Sheet1!$C$319/1000000</f>
        <v>976.96264977928899</v>
      </c>
      <c r="AO49" s="476">
        <f>[65]Sheet1!$C$319/1000000</f>
        <v>1040.5004410800223</v>
      </c>
      <c r="AP49" s="477">
        <f>[37]Sheet1!$C$319/1000000</f>
        <v>1081.1939011959334</v>
      </c>
      <c r="AQ49" s="476">
        <f>[38]Sheet1!$C$319/1000000</f>
        <v>1189.3598429879239</v>
      </c>
      <c r="AR49" s="476">
        <f>[39]Sheet1!$C$319/1000000</f>
        <v>1243.2708294678093</v>
      </c>
      <c r="AS49" s="476">
        <f>[66]Sheet1!$C$319/1000000</f>
        <v>1279.8613689733668</v>
      </c>
      <c r="AT49" s="476">
        <f>[67]Sheet1!$C$319/1000000</f>
        <v>1271.5996806622595</v>
      </c>
      <c r="AU49" s="476">
        <f>[68]Sheet1!$C$319/1000000</f>
        <v>1199.1619262505569</v>
      </c>
      <c r="AV49" s="476">
        <f>[69]Sheet1!$C$319/1000000</f>
        <v>1155.0305887734644</v>
      </c>
      <c r="AW49" s="476">
        <f>[70]Sheet1!$C$319/1000000</f>
        <v>1139.6961893274311</v>
      </c>
      <c r="AX49" s="476">
        <f>[71]Sheet1!$C$319/1000000</f>
        <v>1259.9482977386983</v>
      </c>
      <c r="AY49" s="476">
        <f>[72]Sheet1!$C$319/1000000</f>
        <v>1238.3272744853004</v>
      </c>
      <c r="AZ49" s="476">
        <f>[73]Sheet1!$C$319/1000000</f>
        <v>878.95489068434142</v>
      </c>
      <c r="BA49" s="476">
        <f>[74]Sheet1!$C$319/1000000</f>
        <v>956.08903745806265</v>
      </c>
      <c r="BB49" s="476">
        <f>[40]Sheet1!$C$319/1000000</f>
        <v>783.97270425570832</v>
      </c>
      <c r="BC49" s="476">
        <f>[75]Sheet1!$C$319/1000000</f>
        <v>854.14120872096305</v>
      </c>
      <c r="BD49" s="476">
        <f>[76]Sheet1!$C$319/1000000</f>
        <v>883.47022197736339</v>
      </c>
      <c r="BE49" s="476">
        <f>[77]Sheet1!$C$319/1000000</f>
        <v>918.97752635636073</v>
      </c>
      <c r="BF49" s="476">
        <f>[41]Sheet1!$C$319/1000000</f>
        <v>1006.803345868023</v>
      </c>
      <c r="BG49" s="476">
        <f>[42]Sheet1!$C$319/1000000</f>
        <v>1541.7032591520708</v>
      </c>
      <c r="BH49" s="476">
        <f>[43]Sheet1!$C$319/1000000</f>
        <v>1157.0924238882374</v>
      </c>
      <c r="BI49" s="476">
        <f>[44]Sheet1!$C$319/1000000</f>
        <v>1220.1777750274027</v>
      </c>
      <c r="BJ49" s="476">
        <f>[78]Sheet1!$C$319/1000000</f>
        <v>1247.2652278087021</v>
      </c>
      <c r="BK49" s="476">
        <f>[79]Sheet1!$C$319/1000000</f>
        <v>1237.6344496282929</v>
      </c>
      <c r="BL49" s="476">
        <f>[80]Sheet1!$C$319/1000000</f>
        <v>1219.0656411219168</v>
      </c>
      <c r="BM49" s="476">
        <f>[81]Sheet1!$C$319/1000000</f>
        <v>1157.2090045506454</v>
      </c>
      <c r="BN49" s="476">
        <f>[82]Sheet1!$C$319/1000000</f>
        <v>1256.4355875570463</v>
      </c>
      <c r="BO49" s="476">
        <f>[83]Sheet1!$C$319/1000000</f>
        <v>1254.3869285360436</v>
      </c>
      <c r="BP49" s="476">
        <f>[84]Sheet1!$C$319/1000000</f>
        <v>1302.1468264104776</v>
      </c>
      <c r="BQ49" s="476">
        <f>[85]Sheet1!$C$319/1000000</f>
        <v>1217.2545327702653</v>
      </c>
      <c r="BR49" s="476">
        <f>[86]Sheet1!$C$319/1000000</f>
        <v>1302.3310317796659</v>
      </c>
      <c r="BS49" s="476">
        <f>[87]Sheet1!$C$319/1000000</f>
        <v>1204.6501408748975</v>
      </c>
      <c r="BT49" s="476">
        <f>[88]Sheet1!$C$319/1000000</f>
        <v>1237.765141539488</v>
      </c>
      <c r="BU49" s="476">
        <f>[89]Sheet1!$C$319/1000000</f>
        <v>1313.8005488732629</v>
      </c>
      <c r="BV49" s="476">
        <f>[90]Sheet1!$C$319/1000000</f>
        <v>1182.4475531745416</v>
      </c>
      <c r="BW49" s="476">
        <f>[91]Sheet1!$C$319/1000000</f>
        <v>1119.8991953549641</v>
      </c>
      <c r="BX49" s="476">
        <f>[92]Sheet1!$C$319/1000000</f>
        <v>993.62369071162891</v>
      </c>
      <c r="BY49" s="476">
        <f>[93]Sheet1!$C$319/1000000</f>
        <v>6420.4863756678606</v>
      </c>
      <c r="BZ49" s="476">
        <f>[94]Sheet1!$C$319/1000000</f>
        <v>6486.7428962633339</v>
      </c>
      <c r="CA49" s="476">
        <f>[95]Sheet1!$C$319/1000000</f>
        <v>6651.4769204397489</v>
      </c>
      <c r="CB49" s="476">
        <f>[45]Sheet1!$C$319/1000000</f>
        <v>7714.8385189486571</v>
      </c>
      <c r="CC49" s="476">
        <f>[46]Sheet1!$C$319/1000000</f>
        <v>7528.5721509488194</v>
      </c>
      <c r="CD49" s="476">
        <f>[47]Sheet1!$C$319/1000000</f>
        <v>7609.5393174411147</v>
      </c>
      <c r="CE49" s="476">
        <f>[48]Sheet1!$C$319/1000000</f>
        <v>7647.6678899913604</v>
      </c>
      <c r="CF49" s="476">
        <f>[49]Sheet1!$C$319/1000000</f>
        <v>7764.8705142639292</v>
      </c>
      <c r="CG49" s="476">
        <f>[50]Sheet1!$C$319/1000000</f>
        <v>7612.2662415359828</v>
      </c>
      <c r="CH49" s="476">
        <f>[51]Sheet1!$C$319/1000000</f>
        <v>7669.7182570720006</v>
      </c>
      <c r="CI49" s="476">
        <f>[52]Sheet1!$C$319/1000000</f>
        <v>8095.0391335804443</v>
      </c>
      <c r="CJ49" s="476">
        <f>[53]Sheet1!$C$319/1000000</f>
        <v>7865.4789433237111</v>
      </c>
      <c r="CK49" s="476">
        <f>[54]Sheet1!$C$319/1000000</f>
        <v>7890.0037322446178</v>
      </c>
      <c r="CL49" s="476">
        <f>[55]Sheet1!$C$319/1000000</f>
        <v>8008.3467121284702</v>
      </c>
      <c r="CM49" s="476">
        <f>[56]Sheet1!$C$319/1000000</f>
        <v>8646.3296934415921</v>
      </c>
      <c r="CN49" s="476">
        <f>[57]Sheet1!$C$319/1000000</f>
        <v>7840.0146798454643</v>
      </c>
      <c r="CO49" s="476">
        <f>[58]Sheet1!$C$319/1000000</f>
        <v>7766.9697828987692</v>
      </c>
      <c r="CP49" s="435">
        <f>[59]Sheet1!$C$319/1000000</f>
        <v>8058.7182430322773</v>
      </c>
    </row>
    <row r="50" spans="1:94">
      <c r="A50" s="436"/>
      <c r="B50" s="437"/>
      <c r="C50" s="492"/>
      <c r="D50" s="492"/>
      <c r="E50" s="492"/>
      <c r="F50" s="493"/>
      <c r="G50" s="492"/>
      <c r="H50" s="494"/>
      <c r="I50" s="492"/>
      <c r="J50" s="492"/>
      <c r="K50" s="492"/>
      <c r="L50" s="492"/>
      <c r="M50" s="493"/>
      <c r="N50" s="492"/>
      <c r="O50" s="492"/>
      <c r="P50" s="492"/>
      <c r="Q50" s="492"/>
      <c r="R50" s="492"/>
      <c r="S50" s="492"/>
      <c r="T50" s="492"/>
      <c r="U50" s="492"/>
      <c r="V50" s="492"/>
      <c r="W50" s="492"/>
      <c r="X50" s="492"/>
      <c r="Y50" s="492"/>
      <c r="Z50" s="492"/>
      <c r="AA50" s="492"/>
      <c r="AB50" s="495"/>
      <c r="AC50" s="495"/>
      <c r="AD50" s="496"/>
      <c r="AE50" s="492"/>
      <c r="AF50" s="492"/>
      <c r="AG50" s="492"/>
      <c r="AH50" s="492"/>
      <c r="AI50" s="492"/>
      <c r="AJ50" s="492"/>
      <c r="AK50" s="492"/>
      <c r="AL50" s="492"/>
      <c r="AM50" s="492"/>
      <c r="AN50" s="492"/>
      <c r="AO50" s="492"/>
      <c r="AP50" s="494"/>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492"/>
      <c r="CF50" s="492"/>
      <c r="CG50" s="492"/>
      <c r="CH50" s="492"/>
      <c r="CI50" s="492"/>
      <c r="CJ50" s="492"/>
      <c r="CK50" s="492"/>
      <c r="CL50" s="492"/>
      <c r="CM50" s="492"/>
      <c r="CN50" s="492"/>
      <c r="CO50" s="492"/>
      <c r="CP50" s="495"/>
    </row>
    <row r="51" spans="1:94">
      <c r="A51" s="433" t="s">
        <v>554</v>
      </c>
      <c r="B51" s="434" t="s">
        <v>322</v>
      </c>
      <c r="C51" s="476">
        <f>([3]sheet1!$N$373+'[4]Cat 2-MUR'!$P$373)/1000000</f>
        <v>35962.566492851707</v>
      </c>
      <c r="D51" s="476">
        <f>[5]Sheet1!$C$347/1000000</f>
        <v>36047.247638540102</v>
      </c>
      <c r="E51" s="476">
        <f>[6]Sheet1!$C$347/1000000</f>
        <v>40055.369662550002</v>
      </c>
      <c r="F51" s="400">
        <f>[7]Sheet1!$C$347/1000000</f>
        <v>62545.449858789812</v>
      </c>
      <c r="G51" s="476">
        <f>[8]Sheet1!$C$347/1000000</f>
        <v>61521.622535666756</v>
      </c>
      <c r="H51" s="477">
        <f>[9]Sheet1!$C$347/1000000</f>
        <v>61688.049821202643</v>
      </c>
      <c r="I51" s="476">
        <f>[10]Sheet1!$C$347/1000000</f>
        <v>63421.862605252652</v>
      </c>
      <c r="J51" s="476">
        <f>[11]Sheet1!$C$347/1000000</f>
        <v>58046.991185005681</v>
      </c>
      <c r="K51" s="476">
        <f>[12]Sheet1!$C$347/1000000</f>
        <v>57973.69648324071</v>
      </c>
      <c r="L51" s="476">
        <f>[13]Sheet1!$C$347/1000000</f>
        <v>60203.708133559703</v>
      </c>
      <c r="M51" s="400">
        <f>[14]Sheet1!$C$347/1000000</f>
        <v>65426.4796115231</v>
      </c>
      <c r="N51" s="476">
        <f>[15]Sheet1!$C$347/1000000</f>
        <v>78673.467658129332</v>
      </c>
      <c r="O51" s="476">
        <f>[16]Sheet1!$C$347/1000000</f>
        <v>70567.197684792132</v>
      </c>
      <c r="P51" s="476">
        <f>[17]Sheet1!$C$347/1000000</f>
        <v>76711.859913460154</v>
      </c>
      <c r="Q51" s="476">
        <f>[18]Sheet1!$C$347/1000000</f>
        <v>79979.510756816089</v>
      </c>
      <c r="R51" s="476">
        <f>[19]Sheet1!$C$347/1000000</f>
        <v>79406.007274125222</v>
      </c>
      <c r="S51" s="476">
        <f>[20]Sheet1!$C$347/1000000</f>
        <v>82165.883102839463</v>
      </c>
      <c r="T51" s="476">
        <f>[21]Sheet1!$C$347/1000000</f>
        <v>80242.833787359632</v>
      </c>
      <c r="U51" s="476">
        <f>[22]Sheet1!$C$347/1000000</f>
        <v>83540.849317996428</v>
      </c>
      <c r="V51" s="476">
        <f>[23]Sheet1!$C$347/1000000</f>
        <v>79696.402888408556</v>
      </c>
      <c r="W51" s="476">
        <f>[24]Sheet1!$C$347/1000000</f>
        <v>79567.471654235444</v>
      </c>
      <c r="X51" s="476">
        <f>[25]Sheet1!$C$347/1000000</f>
        <v>85069.407294803168</v>
      </c>
      <c r="Y51" s="476">
        <f>[26]Sheet1!$C$347/1000000</f>
        <v>84447.056269586552</v>
      </c>
      <c r="Z51" s="476">
        <f>[27]Sheet1!$C$347/1000000</f>
        <v>92817.018383313305</v>
      </c>
      <c r="AA51" s="476">
        <f>[28]Sheet1!$C$347/1000000</f>
        <v>101010.93956742428</v>
      </c>
      <c r="AB51" s="435">
        <f>[29]Sheet1!$C$347/1000000</f>
        <v>88342.746327380097</v>
      </c>
      <c r="AC51" s="435">
        <f>[30]Sheet1!$C$347/1000000</f>
        <v>95186.035077020599</v>
      </c>
      <c r="AD51" s="491">
        <f>[31]Sheet1!$C$347/1000000</f>
        <v>98647.157131900211</v>
      </c>
      <c r="AE51" s="476">
        <f>[32]Sheet1!$C$347/1000000</f>
        <v>90767.511630535693</v>
      </c>
      <c r="AF51" s="476">
        <f>[33]Sheet1!$C$347/1000000</f>
        <v>94524.30180789427</v>
      </c>
      <c r="AG51" s="476">
        <f>[34]Sheet1!$C$347/1000000</f>
        <v>96353.952614318085</v>
      </c>
      <c r="AH51" s="476">
        <f>[35]Sheet1!$C$347/1000000</f>
        <v>93002.819960796507</v>
      </c>
      <c r="AI51" s="476">
        <f>[36]Sheet1!$C$347/1000000</f>
        <v>95275.208135796347</v>
      </c>
      <c r="AJ51" s="476">
        <f>[60]Sheet1!$C$347/1000000</f>
        <v>113846.18673518443</v>
      </c>
      <c r="AK51" s="476">
        <f>[61]Sheet1!$C$347/1000000</f>
        <v>107867.48619321738</v>
      </c>
      <c r="AL51" s="476">
        <f>[62]Sheet1!$C$347/1000000</f>
        <v>103883.11312931647</v>
      </c>
      <c r="AM51" s="476">
        <f>[63]Sheet1!$C$347/1000000</f>
        <v>110430.82575458733</v>
      </c>
      <c r="AN51" s="476">
        <f>[64]Sheet1!$C$347/1000000</f>
        <v>110296.63057014832</v>
      </c>
      <c r="AO51" s="476">
        <f>[65]Sheet1!$C$347/1000000</f>
        <v>113056.44000953666</v>
      </c>
      <c r="AP51" s="477">
        <f>[37]Sheet1!$C$347/1000000</f>
        <v>110144.41993119227</v>
      </c>
      <c r="AQ51" s="476">
        <f>[38]Sheet1!$C$347/1000000</f>
        <v>117621.27661261051</v>
      </c>
      <c r="AR51" s="476">
        <f>[39]Sheet1!$C$347/1000000</f>
        <v>113844.19452376643</v>
      </c>
      <c r="AS51" s="476">
        <f>[66]Sheet1!$C$347/1000000</f>
        <v>113294.07001886387</v>
      </c>
      <c r="AT51" s="476">
        <f>[67]Sheet1!$C$347/1000000</f>
        <v>111395.10706235934</v>
      </c>
      <c r="AU51" s="476">
        <f>[68]Sheet1!$C$347/1000000</f>
        <v>115308.10069647095</v>
      </c>
      <c r="AV51" s="476">
        <f>[69]Sheet1!$C$347/1000000</f>
        <v>111398.07069252883</v>
      </c>
      <c r="AW51" s="476">
        <f>[70]Sheet1!$C$347/1000000</f>
        <v>100937.22505486327</v>
      </c>
      <c r="AX51" s="476">
        <f>[71]Sheet1!$C$347/1000000</f>
        <v>93400.628797954254</v>
      </c>
      <c r="AY51" s="476">
        <f>[72]Sheet1!$C$347/1000000</f>
        <v>100043.83392820758</v>
      </c>
      <c r="AZ51" s="476">
        <f>[73]Sheet1!$C$347/1000000</f>
        <v>99134.083252809345</v>
      </c>
      <c r="BA51" s="476">
        <f>[74]Sheet1!$C$347/1000000</f>
        <v>101844.4196391663</v>
      </c>
      <c r="BB51" s="476">
        <f>[40]Sheet1!$C$347/1000000</f>
        <v>100538.68695301708</v>
      </c>
      <c r="BC51" s="476">
        <f>[75]Sheet1!$C$347/1000000</f>
        <v>98881.368748775945</v>
      </c>
      <c r="BD51" s="476">
        <f>[76]Sheet1!$C$347/1000000</f>
        <v>96802.770846622763</v>
      </c>
      <c r="BE51" s="476">
        <f>[77]Sheet1!$C$347/1000000</f>
        <v>97366.981828807155</v>
      </c>
      <c r="BF51" s="476">
        <f>[41]Sheet1!$C$347/1000000</f>
        <v>97634.780596991317</v>
      </c>
      <c r="BG51" s="476">
        <f>[42]Sheet1!$C$347/1000000</f>
        <v>98777.374928488731</v>
      </c>
      <c r="BH51" s="476">
        <f>[43]Sheet1!$C$347/1000000</f>
        <v>93544.604256837498</v>
      </c>
      <c r="BI51" s="476">
        <f>[44]Sheet1!$C$347/1000000</f>
        <v>106001.47421916109</v>
      </c>
      <c r="BJ51" s="476">
        <f>[78]Sheet1!$C$347/1000000</f>
        <v>113525.19723679972</v>
      </c>
      <c r="BK51" s="476">
        <f>[79]Sheet1!$C$347/1000000</f>
        <v>111533.84294250495</v>
      </c>
      <c r="BL51" s="476">
        <f>[80]Sheet1!$C$347/1000000</f>
        <v>107174.75919483912</v>
      </c>
      <c r="BM51" s="476">
        <f>[81]Sheet1!$C$347/1000000</f>
        <v>116501.97382611193</v>
      </c>
      <c r="BN51" s="476">
        <f>[82]Sheet1!$C$347/1000000</f>
        <v>114185.4848369986</v>
      </c>
      <c r="BO51" s="476">
        <f>[83]Sheet1!$C$347/1000000</f>
        <v>109207.38924208454</v>
      </c>
      <c r="BP51" s="476">
        <f>[84]Sheet1!$C$347/1000000</f>
        <v>107171.47727467383</v>
      </c>
      <c r="BQ51" s="476">
        <f>[85]Sheet1!$C$347/1000000</f>
        <v>104573.68900444418</v>
      </c>
      <c r="BR51" s="476">
        <f>[86]Sheet1!$C$347/1000000</f>
        <v>96957.262221144178</v>
      </c>
      <c r="BS51" s="476">
        <f>[87]Sheet1!$C$347/1000000</f>
        <v>99549.681186230169</v>
      </c>
      <c r="BT51" s="476">
        <f>[88]Sheet1!$C$347/1000000</f>
        <v>95201.744867472356</v>
      </c>
      <c r="BU51" s="476">
        <f>[89]Sheet1!$C$347/1000000</f>
        <v>108202.79067884848</v>
      </c>
      <c r="BV51" s="476">
        <f>[90]Sheet1!$C$347/1000000</f>
        <v>88347.719657662921</v>
      </c>
      <c r="BW51" s="476">
        <f>[91]Sheet1!$C$347/1000000</f>
        <v>97589.187535341931</v>
      </c>
      <c r="BX51" s="476">
        <f>[92]Sheet1!$C$347/1000000</f>
        <v>106610.16797599531</v>
      </c>
      <c r="BY51" s="476">
        <f>[93]Sheet1!$C$347/1000000</f>
        <v>107471.00272447885</v>
      </c>
      <c r="BZ51" s="476">
        <f>[94]Sheet1!$C$347/1000000</f>
        <v>120269.41229128296</v>
      </c>
      <c r="CA51" s="476">
        <f>[95]Sheet1!$C$347/1000000</f>
        <v>124812.08406462213</v>
      </c>
      <c r="CB51" s="476">
        <f>[45]Sheet1!$C$347/1000000</f>
        <v>115376.34357163229</v>
      </c>
      <c r="CC51" s="476">
        <f>[46]Sheet1!$C$347/1000000</f>
        <v>126547.22138109068</v>
      </c>
      <c r="CD51" s="476">
        <f>[47]Sheet1!$C$347/1000000</f>
        <v>129726.98171063828</v>
      </c>
      <c r="CE51" s="476">
        <f>[48]Sheet1!$C$347/1000000</f>
        <v>126810.45317664245</v>
      </c>
      <c r="CF51" s="476">
        <f>[49]Sheet1!$C$347/1000000</f>
        <v>118944.61823429578</v>
      </c>
      <c r="CG51" s="476">
        <f>[50]Sheet1!$C$347/1000000</f>
        <v>120933.5126386109</v>
      </c>
      <c r="CH51" s="476">
        <f>[51]Sheet1!$C$347/1000000</f>
        <v>115321.43736625831</v>
      </c>
      <c r="CI51" s="476">
        <f>[52]Sheet1!$C$347/1000000</f>
        <v>123967.17674122185</v>
      </c>
      <c r="CJ51" s="476">
        <f>[53]Sheet1!$C$347/1000000</f>
        <v>125589.61681330105</v>
      </c>
      <c r="CK51" s="476">
        <f>[54]Sheet1!$C$347/1000000</f>
        <v>120505.41746863989</v>
      </c>
      <c r="CL51" s="476">
        <f>[55]Sheet1!$C$347/1000000</f>
        <v>124545.01312996067</v>
      </c>
      <c r="CM51" s="476">
        <f>[56]Sheet1!$C$347/1000000</f>
        <v>121155.52296169617</v>
      </c>
      <c r="CN51" s="476">
        <f>[57]Sheet1!$C$347/1000000</f>
        <v>126459.0658912825</v>
      </c>
      <c r="CO51" s="476">
        <f>[58]Sheet1!$C$347/1000000</f>
        <v>107001.17720612646</v>
      </c>
      <c r="CP51" s="435">
        <f>[59]Sheet1!$C$347/1000000</f>
        <v>97603.806936848632</v>
      </c>
    </row>
    <row r="52" spans="1:94">
      <c r="A52" s="436"/>
      <c r="B52" s="452"/>
      <c r="C52" s="492"/>
      <c r="D52" s="492"/>
      <c r="E52" s="492"/>
      <c r="F52" s="493"/>
      <c r="G52" s="492"/>
      <c r="H52" s="494"/>
      <c r="I52" s="492"/>
      <c r="J52" s="492"/>
      <c r="K52" s="492"/>
      <c r="L52" s="492"/>
      <c r="M52" s="493"/>
      <c r="N52" s="492"/>
      <c r="O52" s="492"/>
      <c r="P52" s="492"/>
      <c r="Q52" s="492"/>
      <c r="R52" s="492"/>
      <c r="S52" s="492"/>
      <c r="T52" s="492"/>
      <c r="U52" s="492"/>
      <c r="V52" s="492"/>
      <c r="W52" s="492"/>
      <c r="X52" s="492"/>
      <c r="Y52" s="492"/>
      <c r="Z52" s="492"/>
      <c r="AA52" s="492"/>
      <c r="AB52" s="495"/>
      <c r="AC52" s="495"/>
      <c r="AD52" s="496"/>
      <c r="AE52" s="492"/>
      <c r="AF52" s="492"/>
      <c r="AG52" s="492"/>
      <c r="AH52" s="492"/>
      <c r="AI52" s="492"/>
      <c r="AJ52" s="492"/>
      <c r="AK52" s="492"/>
      <c r="AL52" s="492"/>
      <c r="AM52" s="492"/>
      <c r="AN52" s="492"/>
      <c r="AO52" s="492"/>
      <c r="AP52" s="494"/>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c r="BZ52" s="492"/>
      <c r="CA52" s="492"/>
      <c r="CB52" s="492"/>
      <c r="CC52" s="492"/>
      <c r="CD52" s="492"/>
      <c r="CE52" s="492"/>
      <c r="CF52" s="492"/>
      <c r="CG52" s="492"/>
      <c r="CH52" s="492"/>
      <c r="CI52" s="492"/>
      <c r="CJ52" s="492"/>
      <c r="CK52" s="492"/>
      <c r="CL52" s="492"/>
      <c r="CM52" s="492"/>
      <c r="CN52" s="492"/>
      <c r="CO52" s="492"/>
      <c r="CP52" s="495"/>
    </row>
    <row r="53" spans="1:94">
      <c r="A53" s="433" t="s">
        <v>555</v>
      </c>
      <c r="B53" s="434" t="s">
        <v>526</v>
      </c>
      <c r="C53" s="476">
        <f>([3]sheet1!$N$390+'[4]Cat 2-MUR'!$P$390)/1000000</f>
        <v>0</v>
      </c>
      <c r="D53" s="476">
        <f>[5]Sheet1!$C$362/1000000</f>
        <v>0</v>
      </c>
      <c r="E53" s="476">
        <f>[6]Sheet1!$C$362/1000000</f>
        <v>0</v>
      </c>
      <c r="F53" s="400">
        <f>[7]Sheet1!$C$362/1000000</f>
        <v>0</v>
      </c>
      <c r="G53" s="476">
        <f>[8]Sheet1!$C$362/1000000</f>
        <v>0</v>
      </c>
      <c r="H53" s="477">
        <f>[9]Sheet1!$C$362/1000000</f>
        <v>0</v>
      </c>
      <c r="I53" s="476">
        <f>[10]Sheet1!$C$362/1000000</f>
        <v>0</v>
      </c>
      <c r="J53" s="476">
        <f>[11]Sheet1!$C$362/1000000</f>
        <v>0</v>
      </c>
      <c r="K53" s="476">
        <f>[12]Sheet1!$C$362/1000000</f>
        <v>0</v>
      </c>
      <c r="L53" s="476">
        <f>[13]Sheet1!$C$362/1000000</f>
        <v>0</v>
      </c>
      <c r="M53" s="400">
        <f>[14]Sheet1!$C$362/1000000</f>
        <v>0</v>
      </c>
      <c r="N53" s="476">
        <f>[15]Sheet1!$C$362/1000000</f>
        <v>0</v>
      </c>
      <c r="O53" s="476">
        <f>[16]Sheet1!$C$362/1000000</f>
        <v>0</v>
      </c>
      <c r="P53" s="476">
        <f>[17]Sheet1!$C$362/1000000</f>
        <v>0</v>
      </c>
      <c r="Q53" s="476">
        <f>[18]Sheet1!$C$362/1000000</f>
        <v>0</v>
      </c>
      <c r="R53" s="476">
        <f>[19]Sheet1!$C$362/1000000</f>
        <v>0</v>
      </c>
      <c r="S53" s="476">
        <f>[20]Sheet1!$C$362/1000000</f>
        <v>0</v>
      </c>
      <c r="T53" s="476">
        <f>[21]Sheet1!$C$362/1000000</f>
        <v>0</v>
      </c>
      <c r="U53" s="476">
        <f>[22]Sheet1!$C$362/1000000</f>
        <v>0</v>
      </c>
      <c r="V53" s="476">
        <f>[23]Sheet1!$C$362/1000000</f>
        <v>0</v>
      </c>
      <c r="W53" s="476">
        <f>[24]Sheet1!$C$362/1000000</f>
        <v>0</v>
      </c>
      <c r="X53" s="476">
        <f>[25]Sheet1!$C$362/1000000</f>
        <v>0</v>
      </c>
      <c r="Y53" s="476">
        <f>[26]Sheet1!$C$362/1000000</f>
        <v>0</v>
      </c>
      <c r="Z53" s="476">
        <f>[27]Sheet1!$C$362/1000000</f>
        <v>0</v>
      </c>
      <c r="AA53" s="476">
        <f>[28]Sheet1!$C$362/1000000</f>
        <v>0</v>
      </c>
      <c r="AB53" s="435">
        <f>[29]Sheet1!$C$362/1000000</f>
        <v>0</v>
      </c>
      <c r="AC53" s="435">
        <f>[30]Sheet1!$C$362/1000000</f>
        <v>0</v>
      </c>
      <c r="AD53" s="491">
        <f>[31]Sheet1!$C$362/1000000</f>
        <v>0</v>
      </c>
      <c r="AE53" s="476">
        <f>[32]Sheet1!$C$362/1000000</f>
        <v>0</v>
      </c>
      <c r="AF53" s="476">
        <f>[33]Sheet1!$C$362/1000000</f>
        <v>0</v>
      </c>
      <c r="AG53" s="476">
        <f>[34]Sheet1!$C$362/1000000</f>
        <v>0</v>
      </c>
      <c r="AH53" s="476">
        <f>[35]Sheet1!$C$362/1000000</f>
        <v>0</v>
      </c>
      <c r="AI53" s="476">
        <f>[36]Sheet1!$C$362/1000000</f>
        <v>0</v>
      </c>
      <c r="AJ53" s="476">
        <f>[60]Sheet1!$C$362/1000000</f>
        <v>0</v>
      </c>
      <c r="AK53" s="476">
        <f>[61]Sheet1!$C$362/1000000</f>
        <v>0</v>
      </c>
      <c r="AL53" s="476">
        <f>[62]Sheet1!$C$362/1000000</f>
        <v>0</v>
      </c>
      <c r="AM53" s="476">
        <f>[63]Sheet1!$C$362/1000000</f>
        <v>0</v>
      </c>
      <c r="AN53" s="476">
        <f>[64]Sheet1!$C$362/1000000</f>
        <v>0</v>
      </c>
      <c r="AO53" s="476">
        <f>[65]Sheet1!$C$362/1000000</f>
        <v>0</v>
      </c>
      <c r="AP53" s="477">
        <f>[37]Sheet1!$C$362/1000000</f>
        <v>0</v>
      </c>
      <c r="AQ53" s="476">
        <f>[38]Sheet1!$C$362/1000000</f>
        <v>0</v>
      </c>
      <c r="AR53" s="476">
        <f>[39]Sheet1!$C$362/1000000</f>
        <v>0</v>
      </c>
      <c r="AS53" s="476">
        <f>[66]Sheet1!$C$362/1000000</f>
        <v>0</v>
      </c>
      <c r="AT53" s="476">
        <f>[67]Sheet1!$C$362/1000000</f>
        <v>0</v>
      </c>
      <c r="AU53" s="476">
        <f>[68]Sheet1!$C$362/1000000</f>
        <v>0</v>
      </c>
      <c r="AV53" s="476">
        <f>[69]Sheet1!$C$362/1000000</f>
        <v>0</v>
      </c>
      <c r="AW53" s="476">
        <f>[70]Sheet1!$C$362/1000000</f>
        <v>0</v>
      </c>
      <c r="AX53" s="476">
        <f>[71]Sheet1!$C$362/1000000</f>
        <v>0</v>
      </c>
      <c r="AY53" s="476">
        <f>[72]Sheet1!$C$362/1000000</f>
        <v>0</v>
      </c>
      <c r="AZ53" s="476">
        <f>[73]Sheet1!$C$362/1000000</f>
        <v>0</v>
      </c>
      <c r="BA53" s="476">
        <f>[74]Sheet1!$C$362/1000000</f>
        <v>0</v>
      </c>
      <c r="BB53" s="476">
        <f>[40]Sheet1!$C$362/1000000</f>
        <v>0</v>
      </c>
      <c r="BC53" s="476">
        <f>[75]Sheet1!$C$362/1000000</f>
        <v>0</v>
      </c>
      <c r="BD53" s="476">
        <f>[76]Sheet1!$C$362/1000000</f>
        <v>0</v>
      </c>
      <c r="BE53" s="476">
        <f>[77]Sheet1!$C$362/1000000</f>
        <v>0</v>
      </c>
      <c r="BF53" s="476">
        <f>[41]Sheet1!$C$362/1000000</f>
        <v>0</v>
      </c>
      <c r="BG53" s="476">
        <f>[42]Sheet1!$C$362/1000000</f>
        <v>0</v>
      </c>
      <c r="BH53" s="476">
        <f>[43]Sheet1!$C$362/1000000</f>
        <v>0</v>
      </c>
      <c r="BI53" s="476">
        <f>[44]Sheet1!$C$362/1000000</f>
        <v>0</v>
      </c>
      <c r="BJ53" s="476">
        <f>[78]Sheet1!$C$362/1000000</f>
        <v>0</v>
      </c>
      <c r="BK53" s="476">
        <f>[79]Sheet1!$C$362/1000000</f>
        <v>0</v>
      </c>
      <c r="BL53" s="476">
        <f>[80]Sheet1!$C$362/1000000</f>
        <v>0</v>
      </c>
      <c r="BM53" s="476">
        <f>[81]Sheet1!$C$362/1000000</f>
        <v>0</v>
      </c>
      <c r="BN53" s="476">
        <f>[82]Sheet1!$C$362/1000000</f>
        <v>0</v>
      </c>
      <c r="BO53" s="476">
        <f>[83]Sheet1!$C$362/1000000</f>
        <v>0</v>
      </c>
      <c r="BP53" s="476">
        <f>[84]Sheet1!$C$362/1000000</f>
        <v>0</v>
      </c>
      <c r="BQ53" s="476">
        <f>[85]Sheet1!$C$362/1000000</f>
        <v>0</v>
      </c>
      <c r="BR53" s="476">
        <f>[86]Sheet1!$C$362/1000000</f>
        <v>0</v>
      </c>
      <c r="BS53" s="476">
        <f>[87]Sheet1!$C$362/1000000</f>
        <v>0</v>
      </c>
      <c r="BT53" s="476">
        <f>[88]Sheet1!$C$362/1000000</f>
        <v>0</v>
      </c>
      <c r="BU53" s="476">
        <f>[89]Sheet1!$C$362/1000000</f>
        <v>0</v>
      </c>
      <c r="BV53" s="476">
        <f>[90]Sheet1!$C$362/1000000</f>
        <v>0</v>
      </c>
      <c r="BW53" s="476">
        <f>[91]Sheet1!$C$362/1000000</f>
        <v>0</v>
      </c>
      <c r="BX53" s="476">
        <f>[92]Sheet1!$C$362/1000000</f>
        <v>0</v>
      </c>
      <c r="BY53" s="476">
        <f>[93]Sheet1!$C$362/1000000</f>
        <v>0</v>
      </c>
      <c r="BZ53" s="476">
        <f>[94]Sheet1!$C$362/1000000</f>
        <v>0</v>
      </c>
      <c r="CA53" s="476">
        <f>[95]Sheet1!$C$362/1000000</f>
        <v>0</v>
      </c>
      <c r="CB53" s="476">
        <f>[45]Sheet1!$C$362/1000000</f>
        <v>0</v>
      </c>
      <c r="CC53" s="476">
        <f>[46]Sheet1!$C$362/1000000</f>
        <v>0</v>
      </c>
      <c r="CD53" s="476">
        <f>[47]Sheet1!$C$362/1000000</f>
        <v>0</v>
      </c>
      <c r="CE53" s="476">
        <f>[48]Sheet1!$C$362/1000000</f>
        <v>0</v>
      </c>
      <c r="CF53" s="476">
        <f>[49]Sheet1!$C$362/1000000</f>
        <v>0</v>
      </c>
      <c r="CG53" s="476">
        <f>[50]Sheet1!$C$362/1000000</f>
        <v>0</v>
      </c>
      <c r="CH53" s="476">
        <f>[51]Sheet1!$C$362/1000000</f>
        <v>0</v>
      </c>
      <c r="CI53" s="476">
        <f>[52]Sheet1!$C$362/1000000</f>
        <v>0</v>
      </c>
      <c r="CJ53" s="476">
        <f>[53]Sheet1!$C$362/1000000</f>
        <v>0</v>
      </c>
      <c r="CK53" s="476">
        <f>[54]Sheet1!$C$362/1000000</f>
        <v>0</v>
      </c>
      <c r="CL53" s="476">
        <f>[55]Sheet1!$C$362/1000000</f>
        <v>0</v>
      </c>
      <c r="CM53" s="476">
        <f>[56]Sheet1!$C$362/1000000</f>
        <v>0</v>
      </c>
      <c r="CN53" s="476">
        <f>[57]Sheet1!$C$362/1000000</f>
        <v>0</v>
      </c>
      <c r="CO53" s="476">
        <f>[58]Sheet1!$C$362/1000000</f>
        <v>0</v>
      </c>
      <c r="CP53" s="435">
        <f>[59]Sheet1!$C$362/1000000</f>
        <v>0</v>
      </c>
    </row>
    <row r="54" spans="1:94">
      <c r="A54" s="436"/>
      <c r="B54" s="437"/>
      <c r="C54" s="492"/>
      <c r="D54" s="492"/>
      <c r="E54" s="492"/>
      <c r="F54" s="493"/>
      <c r="G54" s="492"/>
      <c r="H54" s="494"/>
      <c r="I54" s="492"/>
      <c r="J54" s="492"/>
      <c r="K54" s="492"/>
      <c r="L54" s="492"/>
      <c r="M54" s="493"/>
      <c r="N54" s="492"/>
      <c r="O54" s="492"/>
      <c r="P54" s="492"/>
      <c r="Q54" s="492"/>
      <c r="R54" s="492"/>
      <c r="S54" s="492"/>
      <c r="T54" s="492"/>
      <c r="U54" s="492"/>
      <c r="V54" s="492"/>
      <c r="W54" s="492"/>
      <c r="X54" s="492"/>
      <c r="Y54" s="492"/>
      <c r="Z54" s="492"/>
      <c r="AA54" s="492"/>
      <c r="AB54" s="495"/>
      <c r="AC54" s="495"/>
      <c r="AD54" s="496"/>
      <c r="AE54" s="492"/>
      <c r="AF54" s="492"/>
      <c r="AG54" s="492"/>
      <c r="AH54" s="492"/>
      <c r="AI54" s="492"/>
      <c r="AJ54" s="492"/>
      <c r="AK54" s="492"/>
      <c r="AL54" s="492"/>
      <c r="AM54" s="492"/>
      <c r="AN54" s="492"/>
      <c r="AO54" s="492"/>
      <c r="AP54" s="494"/>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c r="BZ54" s="492"/>
      <c r="CA54" s="492"/>
      <c r="CB54" s="492"/>
      <c r="CC54" s="492"/>
      <c r="CD54" s="492"/>
      <c r="CE54" s="492"/>
      <c r="CF54" s="492"/>
      <c r="CG54" s="492"/>
      <c r="CH54" s="492"/>
      <c r="CI54" s="492"/>
      <c r="CJ54" s="492"/>
      <c r="CK54" s="492"/>
      <c r="CL54" s="492"/>
      <c r="CM54" s="492"/>
      <c r="CN54" s="492"/>
      <c r="CO54" s="492"/>
      <c r="CP54" s="495"/>
    </row>
    <row r="55" spans="1:94">
      <c r="A55" s="433" t="s">
        <v>556</v>
      </c>
      <c r="B55" s="434" t="s">
        <v>528</v>
      </c>
      <c r="C55" s="476">
        <f>([3]sheet1!$N$409+'[4]Cat 2-MUR'!$P$409)/1000000</f>
        <v>29432.767018766863</v>
      </c>
      <c r="D55" s="476">
        <f>[5]Sheet1!$C$381/1000000</f>
        <v>34260.080803627447</v>
      </c>
      <c r="E55" s="476">
        <f>[6]Sheet1!$C$381/1000000</f>
        <v>33736.445753137697</v>
      </c>
      <c r="F55" s="400">
        <f>[7]Sheet1!$C$381/1000000</f>
        <v>30869.665977368513</v>
      </c>
      <c r="G55" s="476">
        <f>[8]Sheet1!$C$381/1000000</f>
        <v>33148.508443650164</v>
      </c>
      <c r="H55" s="477">
        <f>[9]Sheet1!$C$381/1000000</f>
        <v>32103.114393552522</v>
      </c>
      <c r="I55" s="476">
        <f>[10]Sheet1!$C$381/1000000</f>
        <v>30169.13539053157</v>
      </c>
      <c r="J55" s="476">
        <f>[11]Sheet1!$C$381/1000000</f>
        <v>39529.378811924573</v>
      </c>
      <c r="K55" s="476">
        <f>[12]Sheet1!$C$381/1000000</f>
        <v>40813.964159177995</v>
      </c>
      <c r="L55" s="476">
        <f>[13]Sheet1!$C$381/1000000</f>
        <v>38298.472398335762</v>
      </c>
      <c r="M55" s="400">
        <f>[14]Sheet1!$C$381/1000000</f>
        <v>42561.914226997869</v>
      </c>
      <c r="N55" s="476">
        <f>[15]Sheet1!$C$381/1000000</f>
        <v>39547.513947527019</v>
      </c>
      <c r="O55" s="476">
        <f>[16]Sheet1!$C$381/1000000</f>
        <v>34322.485455183065</v>
      </c>
      <c r="P55" s="476">
        <f>[17]Sheet1!$C$381/1000000</f>
        <v>23458.447846964125</v>
      </c>
      <c r="Q55" s="476">
        <f>[18]Sheet1!$C$381/1000000</f>
        <v>22783.893341378978</v>
      </c>
      <c r="R55" s="476">
        <f>[19]Sheet1!$C$381/1000000</f>
        <v>28642.687883647355</v>
      </c>
      <c r="S55" s="476">
        <f>[20]Sheet1!$C$381/1000000</f>
        <v>25554.180948222551</v>
      </c>
      <c r="T55" s="476">
        <f>[21]Sheet1!$C$381/1000000</f>
        <v>28986.653275119956</v>
      </c>
      <c r="U55" s="476">
        <f>[22]Sheet1!$C$381/1000000</f>
        <v>23144.521802052503</v>
      </c>
      <c r="V55" s="476">
        <f>[23]Sheet1!$C$381/1000000</f>
        <v>24778.631760438147</v>
      </c>
      <c r="W55" s="476">
        <f>[24]Sheet1!$C$381/1000000</f>
        <v>25578.83426078095</v>
      </c>
      <c r="X55" s="476">
        <f>[25]Sheet1!$C$381/1000000</f>
        <v>28469.195348005636</v>
      </c>
      <c r="Y55" s="476">
        <f>[26]Sheet1!$C$381/1000000</f>
        <v>35207.911461794189</v>
      </c>
      <c r="Z55" s="476">
        <f>[27]Sheet1!$C$381/1000000</f>
        <v>29022.884805908736</v>
      </c>
      <c r="AA55" s="476">
        <f>[28]Sheet1!$C$381/1000000</f>
        <v>39967.940543216449</v>
      </c>
      <c r="AB55" s="435">
        <f>[29]Sheet1!$C$381/1000000</f>
        <v>38952.669907664116</v>
      </c>
      <c r="AC55" s="435">
        <f>[30]Sheet1!$C$381/1000000</f>
        <v>35611.417045563867</v>
      </c>
      <c r="AD55" s="491">
        <f>[31]Sheet1!$C$381/1000000</f>
        <v>33834.882104414784</v>
      </c>
      <c r="AE55" s="476">
        <f>[32]Sheet1!$C$381/1000000</f>
        <v>39070.798615132757</v>
      </c>
      <c r="AF55" s="476">
        <f>[33]Sheet1!$C$381/1000000</f>
        <v>34309.875560910383</v>
      </c>
      <c r="AG55" s="476">
        <f>[34]Sheet1!$C$381/1000000</f>
        <v>30761.533252157133</v>
      </c>
      <c r="AH55" s="476">
        <f>[35]Sheet1!$C$381/1000000</f>
        <v>30209.616689337126</v>
      </c>
      <c r="AI55" s="476">
        <f>[36]Sheet1!$C$381/1000000</f>
        <v>44387.928754471606</v>
      </c>
      <c r="AJ55" s="476">
        <f>[60]Sheet1!$C$381/1000000</f>
        <v>40145.866677087492</v>
      </c>
      <c r="AK55" s="476">
        <f>[61]Sheet1!$C$381/1000000</f>
        <v>37941.127663167666</v>
      </c>
      <c r="AL55" s="476">
        <f>[62]Sheet1!$C$381/1000000</f>
        <v>40551.299268888004</v>
      </c>
      <c r="AM55" s="476">
        <f>[63]Sheet1!$C$381/1000000</f>
        <v>43238.137322506242</v>
      </c>
      <c r="AN55" s="476">
        <f>[64]Sheet1!$C$381/1000000</f>
        <v>42618.980175564284</v>
      </c>
      <c r="AO55" s="476">
        <f>[65]Sheet1!$C$381/1000000</f>
        <v>44457.242976324567</v>
      </c>
      <c r="AP55" s="477">
        <f>[37]Sheet1!$C$381/1000000</f>
        <v>39691.1360705482</v>
      </c>
      <c r="AQ55" s="476">
        <f>[38]Sheet1!$C$381/1000000</f>
        <v>59777.699357459212</v>
      </c>
      <c r="AR55" s="476">
        <f>[39]Sheet1!$C$381/1000000</f>
        <v>44315.485858984328</v>
      </c>
      <c r="AS55" s="476">
        <f>[66]Sheet1!$C$381/1000000</f>
        <v>50022.483865121387</v>
      </c>
      <c r="AT55" s="476">
        <f>[67]Sheet1!$C$381/1000000</f>
        <v>45071.427850664673</v>
      </c>
      <c r="AU55" s="476">
        <f>[68]Sheet1!$C$381/1000000</f>
        <v>44825.023681978993</v>
      </c>
      <c r="AV55" s="476">
        <f>[69]Sheet1!$C$381/1000000</f>
        <v>45723.11009277204</v>
      </c>
      <c r="AW55" s="476">
        <f>[70]Sheet1!$C$381/1000000</f>
        <v>56623.470659186809</v>
      </c>
      <c r="AX55" s="476">
        <f>[71]Sheet1!$C$381/1000000</f>
        <v>58954.183824958382</v>
      </c>
      <c r="AY55" s="476">
        <f>[72]Sheet1!$C$381/1000000</f>
        <v>71511.057699533572</v>
      </c>
      <c r="AZ55" s="476">
        <f>[73]Sheet1!$C$381/1000000</f>
        <v>90538.775278142028</v>
      </c>
      <c r="BA55" s="476">
        <f>[74]Sheet1!$C$381/1000000</f>
        <v>96306.272537237586</v>
      </c>
      <c r="BB55" s="476">
        <f>[40]Sheet1!$C$381/1000000</f>
        <v>77032.912200377803</v>
      </c>
      <c r="BC55" s="476">
        <f>[75]Sheet1!$C$381/1000000</f>
        <v>81370.840048575323</v>
      </c>
      <c r="BD55" s="476">
        <f>[76]Sheet1!$C$381/1000000</f>
        <v>78336.510964634406</v>
      </c>
      <c r="BE55" s="476">
        <f>[77]Sheet1!$C$381/1000000</f>
        <v>99663.735643111504</v>
      </c>
      <c r="BF55" s="476">
        <f>[41]Sheet1!$C$381/1000000</f>
        <v>111707.05893216262</v>
      </c>
      <c r="BG55" s="476">
        <f>[42]Sheet1!$C$381/1000000</f>
        <v>123272.0779647421</v>
      </c>
      <c r="BH55" s="476">
        <f>[43]Sheet1!$C$381/1000000</f>
        <v>137833.12623258727</v>
      </c>
      <c r="BI55" s="476">
        <f>[44]Sheet1!$C$381/1000000</f>
        <v>143953.15384429533</v>
      </c>
      <c r="BJ55" s="476">
        <f>[78]Sheet1!$C$381/1000000</f>
        <v>178862.29597032876</v>
      </c>
      <c r="BK55" s="476">
        <f>[79]Sheet1!$C$381/1000000</f>
        <v>169154.96589423789</v>
      </c>
      <c r="BL55" s="476">
        <f>[80]Sheet1!$C$381/1000000</f>
        <v>160607.1231365795</v>
      </c>
      <c r="BM55" s="476">
        <f>[81]Sheet1!$C$381/1000000</f>
        <v>164575.23255486466</v>
      </c>
      <c r="BN55" s="476">
        <f>[82]Sheet1!$C$381/1000000</f>
        <v>179484.48929827844</v>
      </c>
      <c r="BO55" s="476">
        <f>[83]Sheet1!$C$381/1000000</f>
        <v>196442.74826099002</v>
      </c>
      <c r="BP55" s="476">
        <f>[84]Sheet1!$C$381/1000000</f>
        <v>164531.17855713627</v>
      </c>
      <c r="BQ55" s="476">
        <f>[85]Sheet1!$C$381/1000000</f>
        <v>204934.24004247849</v>
      </c>
      <c r="BR55" s="476">
        <f>[86]Sheet1!$C$381/1000000</f>
        <v>232314.69118893062</v>
      </c>
      <c r="BS55" s="476">
        <f>[87]Sheet1!$C$381/1000000</f>
        <v>236566.50196854505</v>
      </c>
      <c r="BT55" s="476">
        <f>[88]Sheet1!$C$381/1000000</f>
        <v>228442.52946675199</v>
      </c>
      <c r="BU55" s="476">
        <f>[89]Sheet1!$C$381/1000000</f>
        <v>262787.18552714447</v>
      </c>
      <c r="BV55" s="476">
        <f>[90]Sheet1!$C$381/1000000</f>
        <v>225701.43862436843</v>
      </c>
      <c r="BW55" s="476">
        <f>[91]Sheet1!$C$381/1000000</f>
        <v>242684.51972220954</v>
      </c>
      <c r="BX55" s="476">
        <f>[92]Sheet1!$C$381/1000000</f>
        <v>233419.56582643723</v>
      </c>
      <c r="BY55" s="476">
        <f>[93]Sheet1!$C$381/1000000</f>
        <v>222553.99565980441</v>
      </c>
      <c r="BZ55" s="476">
        <f>[94]Sheet1!$C$381/1000000</f>
        <v>280216.22471588483</v>
      </c>
      <c r="CA55" s="476">
        <f>[95]Sheet1!$C$381/1000000</f>
        <v>258504.49647729652</v>
      </c>
      <c r="CB55" s="476">
        <f>[45]Sheet1!$C$381/1000000</f>
        <v>238443.67931575485</v>
      </c>
      <c r="CC55" s="476">
        <f>[46]Sheet1!$C$381/1000000</f>
        <v>291258.19929144433</v>
      </c>
      <c r="CD55" s="476">
        <f>[47]Sheet1!$C$381/1000000</f>
        <v>331551.52239167277</v>
      </c>
      <c r="CE55" s="476">
        <f>[48]Sheet1!$C$381/1000000</f>
        <v>365150.9206607173</v>
      </c>
      <c r="CF55" s="476">
        <f>[49]Sheet1!$C$381/1000000</f>
        <v>331744.64526177425</v>
      </c>
      <c r="CG55" s="476">
        <f>[50]Sheet1!$C$381/1000000</f>
        <v>306206.7874403724</v>
      </c>
      <c r="CH55" s="476">
        <f>[51]Sheet1!$C$381/1000000</f>
        <v>326287.14330588136</v>
      </c>
      <c r="CI55" s="476">
        <f>[52]Sheet1!$C$381/1000000</f>
        <v>345566.76871943782</v>
      </c>
      <c r="CJ55" s="476">
        <f>[53]Sheet1!$C$381/1000000</f>
        <v>355620.70449500385</v>
      </c>
      <c r="CK55" s="476">
        <f>[54]Sheet1!$C$381/1000000</f>
        <v>344224.6446809328</v>
      </c>
      <c r="CL55" s="476">
        <f>[55]Sheet1!$C$381/1000000</f>
        <v>351250.84561238473</v>
      </c>
      <c r="CM55" s="476">
        <f>[56]Sheet1!$C$381/1000000</f>
        <v>330178.31108843983</v>
      </c>
      <c r="CN55" s="476">
        <f>[57]Sheet1!$C$381/1000000</f>
        <v>287721.32492861018</v>
      </c>
      <c r="CO55" s="476">
        <f>[58]Sheet1!$C$381/1000000</f>
        <v>279939.08250933321</v>
      </c>
      <c r="CP55" s="435">
        <f>[59]Sheet1!$C$381/1000000</f>
        <v>296836.98913296411</v>
      </c>
    </row>
    <row r="56" spans="1:94">
      <c r="A56" s="436"/>
      <c r="B56" s="437"/>
      <c r="C56" s="492"/>
      <c r="D56" s="492"/>
      <c r="E56" s="492"/>
      <c r="F56" s="493"/>
      <c r="G56" s="492"/>
      <c r="H56" s="494"/>
      <c r="I56" s="492"/>
      <c r="J56" s="492"/>
      <c r="K56" s="492"/>
      <c r="L56" s="492"/>
      <c r="M56" s="493"/>
      <c r="N56" s="492"/>
      <c r="O56" s="492"/>
      <c r="P56" s="492"/>
      <c r="Q56" s="492"/>
      <c r="R56" s="492"/>
      <c r="S56" s="492"/>
      <c r="T56" s="492"/>
      <c r="U56" s="492"/>
      <c r="V56" s="492"/>
      <c r="W56" s="492"/>
      <c r="X56" s="492"/>
      <c r="Y56" s="492"/>
      <c r="Z56" s="492"/>
      <c r="AA56" s="492"/>
      <c r="AB56" s="495"/>
      <c r="AC56" s="495"/>
      <c r="AD56" s="496"/>
      <c r="AE56" s="492"/>
      <c r="AF56" s="492"/>
      <c r="AG56" s="492"/>
      <c r="AH56" s="492"/>
      <c r="AI56" s="492"/>
      <c r="AJ56" s="492"/>
      <c r="AK56" s="492"/>
      <c r="AL56" s="492"/>
      <c r="AM56" s="492"/>
      <c r="AN56" s="492"/>
      <c r="AO56" s="492"/>
      <c r="AP56" s="494"/>
      <c r="AQ56" s="492"/>
      <c r="AR56" s="492"/>
      <c r="AS56" s="492"/>
      <c r="AT56" s="492"/>
      <c r="AU56" s="492"/>
      <c r="AV56" s="492"/>
      <c r="AW56" s="492"/>
      <c r="AX56" s="492"/>
      <c r="AY56" s="492"/>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2"/>
      <c r="CN56" s="492"/>
      <c r="CO56" s="492"/>
      <c r="CP56" s="495"/>
    </row>
    <row r="57" spans="1:94">
      <c r="A57" s="433" t="s">
        <v>557</v>
      </c>
      <c r="B57" s="434" t="s">
        <v>558</v>
      </c>
      <c r="C57" s="476">
        <f>([3]sheet1!$N$424+'[4]Cat 2-MUR'!$P$424)/1000000</f>
        <v>15267.319428778475</v>
      </c>
      <c r="D57" s="476">
        <f>[5]Sheet1!$C$395/1000000</f>
        <v>14343.021972617598</v>
      </c>
      <c r="E57" s="476">
        <f>[6]Sheet1!$C$395/1000000</f>
        <v>20872.677782157156</v>
      </c>
      <c r="F57" s="400">
        <f>[7]Sheet1!$C$395/1000000</f>
        <v>20389.014050729656</v>
      </c>
      <c r="G57" s="476">
        <f>[8]Sheet1!$C$395/1000000</f>
        <v>19640.499325109929</v>
      </c>
      <c r="H57" s="477">
        <f>[9]Sheet1!$C$395/1000000</f>
        <v>18089.973323858543</v>
      </c>
      <c r="I57" s="476">
        <f>[10]Sheet1!$C$395/1000000</f>
        <v>16669.010885876269</v>
      </c>
      <c r="J57" s="476">
        <f>[11]Sheet1!$C$395/1000000</f>
        <v>18124.824061199026</v>
      </c>
      <c r="K57" s="476">
        <f>[12]Sheet1!$C$395/1000000</f>
        <v>18873.044963116732</v>
      </c>
      <c r="L57" s="476">
        <f>[13]Sheet1!$C$395/1000000</f>
        <v>19124.219224243214</v>
      </c>
      <c r="M57" s="400">
        <f>[14]Sheet1!$C$395/1000000</f>
        <v>18837.016835935974</v>
      </c>
      <c r="N57" s="476">
        <f>[15]Sheet1!$C$395/1000000</f>
        <v>19325.915542433235</v>
      </c>
      <c r="O57" s="476">
        <f>[16]Sheet1!$C$395/1000000</f>
        <v>18575.986356368594</v>
      </c>
      <c r="P57" s="476">
        <f>[17]Sheet1!$C$395/1000000</f>
        <v>20152.628623151741</v>
      </c>
      <c r="Q57" s="476">
        <f>[18]Sheet1!$C$395/1000000</f>
        <v>20305.578140484475</v>
      </c>
      <c r="R57" s="476">
        <f>[19]Sheet1!$C$395/1000000</f>
        <v>21596.825310943765</v>
      </c>
      <c r="S57" s="476">
        <f>[20]Sheet1!$C$395/1000000</f>
        <v>20532.267003248064</v>
      </c>
      <c r="T57" s="476">
        <f>[21]Sheet1!$C$395/1000000</f>
        <v>20268.062098349725</v>
      </c>
      <c r="U57" s="476">
        <f>[22]Sheet1!$C$395/1000000</f>
        <v>19288.396582400928</v>
      </c>
      <c r="V57" s="476">
        <f>[23]Sheet1!$C$395/1000000</f>
        <v>18976.86221272808</v>
      </c>
      <c r="W57" s="476">
        <f>[24]Sheet1!$C$395/1000000</f>
        <v>20689.007931866116</v>
      </c>
      <c r="X57" s="476">
        <f>[25]Sheet1!$C$395/1000000</f>
        <v>20645.295218005682</v>
      </c>
      <c r="Y57" s="476">
        <f>[26]Sheet1!$C$395/1000000</f>
        <v>20352.962638096036</v>
      </c>
      <c r="Z57" s="476">
        <f>[27]Sheet1!$C$395/1000000</f>
        <v>23643.29471844207</v>
      </c>
      <c r="AA57" s="476">
        <f>[28]Sheet1!$C$395/1000000</f>
        <v>22905.951523263288</v>
      </c>
      <c r="AB57" s="435">
        <f>[29]Sheet1!$C$395/1000000</f>
        <v>20249.59155576069</v>
      </c>
      <c r="AC57" s="435">
        <f>[30]Sheet1!$C$395/1000000</f>
        <v>23040.174051936956</v>
      </c>
      <c r="AD57" s="491">
        <f>[31]Sheet1!$C$395/1000000</f>
        <v>21357.550504467519</v>
      </c>
      <c r="AE57" s="476">
        <f>[32]Sheet1!$C$395/1000000</f>
        <v>22385.664081063565</v>
      </c>
      <c r="AF57" s="476">
        <f>[33]Sheet1!$C$395/1000000</f>
        <v>21857.97138406842</v>
      </c>
      <c r="AG57" s="476">
        <f>[34]Sheet1!$C$395/1000000</f>
        <v>24401.977950487693</v>
      </c>
      <c r="AH57" s="476">
        <f>[35]Sheet1!$C$395/1000000</f>
        <v>24450.432137882355</v>
      </c>
      <c r="AI57" s="476">
        <f>[36]Sheet1!$C$395/1000000</f>
        <v>23828.829155827618</v>
      </c>
      <c r="AJ57" s="476">
        <f>[60]Sheet1!$C$395/1000000</f>
        <v>22864.456987456208</v>
      </c>
      <c r="AK57" s="476">
        <f>[61]Sheet1!$C$395/1000000</f>
        <v>22982.403122046027</v>
      </c>
      <c r="AL57" s="476">
        <f>[62]Sheet1!$C$395/1000000</f>
        <v>24510.855743288423</v>
      </c>
      <c r="AM57" s="476">
        <f>[63]Sheet1!$C$395/1000000</f>
        <v>23136.423495206152</v>
      </c>
      <c r="AN57" s="476">
        <f>[64]Sheet1!$C$395/1000000</f>
        <v>22819.278932513374</v>
      </c>
      <c r="AO57" s="476">
        <f>[65]Sheet1!$C$395/1000000</f>
        <v>21572.182807726083</v>
      </c>
      <c r="AP57" s="477">
        <f>[37]Sheet1!$C$395/1000000</f>
        <v>25307.976553561417</v>
      </c>
      <c r="AQ57" s="476">
        <f>[38]Sheet1!$C$395/1000000</f>
        <v>25873.819248272492</v>
      </c>
      <c r="AR57" s="476">
        <f>[39]Sheet1!$C$395/1000000</f>
        <v>26306.642876667771</v>
      </c>
      <c r="AS57" s="476">
        <f>[66]Sheet1!$C$395/1000000</f>
        <v>28065.589145305854</v>
      </c>
      <c r="AT57" s="476">
        <f>[67]Sheet1!$C$395/1000000</f>
        <v>26478.844533658801</v>
      </c>
      <c r="AU57" s="476">
        <f>[68]Sheet1!$C$395/1000000</f>
        <v>24949.469385341887</v>
      </c>
      <c r="AV57" s="476">
        <f>[69]Sheet1!$C$395/1000000</f>
        <v>23883.709469500889</v>
      </c>
      <c r="AW57" s="476">
        <f>[70]Sheet1!$C$395/1000000</f>
        <v>26353.788022679335</v>
      </c>
      <c r="AX57" s="476">
        <f>[71]Sheet1!$C$395/1000000</f>
        <v>24206.169627596111</v>
      </c>
      <c r="AY57" s="476">
        <f>[72]Sheet1!$C$395/1000000</f>
        <v>26071.671281241695</v>
      </c>
      <c r="AZ57" s="476">
        <f>[73]Sheet1!$C$395/1000000</f>
        <v>24794.608585212714</v>
      </c>
      <c r="BA57" s="476">
        <f>[74]Sheet1!$C$395/1000000</f>
        <v>27897.600262071908</v>
      </c>
      <c r="BB57" s="476">
        <f>[40]Sheet1!$C$395/1000000</f>
        <v>24899.482809756439</v>
      </c>
      <c r="BC57" s="476">
        <f>[75]Sheet1!$C$395/1000000</f>
        <v>23202.232431801625</v>
      </c>
      <c r="BD57" s="476">
        <f>[76]Sheet1!$C$395/1000000</f>
        <v>24492.972622940262</v>
      </c>
      <c r="BE57" s="476">
        <f>[77]Sheet1!$C$395/1000000</f>
        <v>23948.498158967559</v>
      </c>
      <c r="BF57" s="476">
        <f>[41]Sheet1!$C$395/1000000</f>
        <v>22741.12025448737</v>
      </c>
      <c r="BG57" s="476">
        <f>[42]Sheet1!$C$395/1000000</f>
        <v>24214.409577413047</v>
      </c>
      <c r="BH57" s="476">
        <f>[43]Sheet1!$C$395/1000000</f>
        <v>24052.947747934111</v>
      </c>
      <c r="BI57" s="476">
        <f>[44]Sheet1!$C$395/1000000</f>
        <v>22537.491184867667</v>
      </c>
      <c r="BJ57" s="476">
        <f>[78]Sheet1!$C$395/1000000</f>
        <v>27194.724778050237</v>
      </c>
      <c r="BK57" s="476">
        <f>[79]Sheet1!$C$395/1000000</f>
        <v>28096.352777361084</v>
      </c>
      <c r="BL57" s="476">
        <f>[80]Sheet1!$C$395/1000000</f>
        <v>26073.995821931683</v>
      </c>
      <c r="BM57" s="476">
        <f>[81]Sheet1!$C$395/1000000</f>
        <v>24270.177303191751</v>
      </c>
      <c r="BN57" s="476">
        <f>[82]Sheet1!$C$395/1000000</f>
        <v>24691.797324641815</v>
      </c>
      <c r="BO57" s="476">
        <f>[83]Sheet1!$C$395/1000000</f>
        <v>28859.221784267142</v>
      </c>
      <c r="BP57" s="476">
        <f>[84]Sheet1!$C$395/1000000</f>
        <v>29867.963037637437</v>
      </c>
      <c r="BQ57" s="476">
        <f>[85]Sheet1!$C$395/1000000</f>
        <v>29721.935154606908</v>
      </c>
      <c r="BR57" s="476">
        <f>[86]Sheet1!$C$395/1000000</f>
        <v>27731.858226046617</v>
      </c>
      <c r="BS57" s="476">
        <f>[87]Sheet1!$C$395/1000000</f>
        <v>29872.922732982748</v>
      </c>
      <c r="BT57" s="476">
        <f>[88]Sheet1!$C$395/1000000</f>
        <v>40877.051391227593</v>
      </c>
      <c r="BU57" s="476">
        <f>[89]Sheet1!$C$395/1000000</f>
        <v>28719.587202759521</v>
      </c>
      <c r="BV57" s="476">
        <f>[90]Sheet1!$C$395/1000000</f>
        <v>35701.788247716657</v>
      </c>
      <c r="BW57" s="476">
        <f>[91]Sheet1!$C$395/1000000</f>
        <v>33590.921945418268</v>
      </c>
      <c r="BX57" s="476">
        <f>[92]Sheet1!$C$395/1000000</f>
        <v>33042.181637707392</v>
      </c>
      <c r="BY57" s="476">
        <f>[93]Sheet1!$C$395/1000000</f>
        <v>25415.818564687404</v>
      </c>
      <c r="BZ57" s="476">
        <f>[94]Sheet1!$C$395/1000000</f>
        <v>32703.884118982125</v>
      </c>
      <c r="CA57" s="476">
        <f>[95]Sheet1!$C$395/1000000</f>
        <v>34310.203890731515</v>
      </c>
      <c r="CB57" s="476">
        <f>[45]Sheet1!$C$395/1000000</f>
        <v>36113.679310384672</v>
      </c>
      <c r="CC57" s="476">
        <f>[46]Sheet1!$C$395/1000000</f>
        <v>36668.381342116809</v>
      </c>
      <c r="CD57" s="476">
        <f>[47]Sheet1!$C$395/1000000</f>
        <v>35134.658194978365</v>
      </c>
      <c r="CE57" s="476">
        <f>[48]Sheet1!$C$395/1000000</f>
        <v>35733.680333697637</v>
      </c>
      <c r="CF57" s="476">
        <f>[49]Sheet1!$C$395/1000000</f>
        <v>35975.883321555055</v>
      </c>
      <c r="CG57" s="476">
        <f>[50]Sheet1!$C$395/1000000</f>
        <v>36790.584043890194</v>
      </c>
      <c r="CH57" s="476">
        <f>[51]Sheet1!$C$395/1000000</f>
        <v>43492.621522104775</v>
      </c>
      <c r="CI57" s="476">
        <f>[52]Sheet1!$C$395/1000000</f>
        <v>43118.030359693512</v>
      </c>
      <c r="CJ57" s="476">
        <f>[53]Sheet1!$C$395/1000000</f>
        <v>38381.407417294249</v>
      </c>
      <c r="CK57" s="476">
        <f>[54]Sheet1!$C$395/1000000</f>
        <v>38719.490625863407</v>
      </c>
      <c r="CL57" s="476">
        <f>[55]Sheet1!$C$395/1000000</f>
        <v>37651.54298678926</v>
      </c>
      <c r="CM57" s="476">
        <f>[56]Sheet1!$C$395/1000000</f>
        <v>37293.391317548041</v>
      </c>
      <c r="CN57" s="476">
        <f>[57]Sheet1!$C$395/1000000</f>
        <v>38053.030994902947</v>
      </c>
      <c r="CO57" s="476">
        <f>[58]Sheet1!$C$395/1000000</f>
        <v>43996.639292102496</v>
      </c>
      <c r="CP57" s="435">
        <f>[59]Sheet1!$C$395/1000000</f>
        <v>44179.369376595627</v>
      </c>
    </row>
    <row r="58" spans="1:94">
      <c r="A58" s="436"/>
      <c r="B58" s="437"/>
      <c r="C58" s="492"/>
      <c r="D58" s="492"/>
      <c r="E58" s="492"/>
      <c r="F58" s="493"/>
      <c r="G58" s="492"/>
      <c r="H58" s="494"/>
      <c r="I58" s="492"/>
      <c r="J58" s="492"/>
      <c r="K58" s="492"/>
      <c r="L58" s="492"/>
      <c r="M58" s="493"/>
      <c r="N58" s="492"/>
      <c r="O58" s="492"/>
      <c r="P58" s="492"/>
      <c r="Q58" s="492"/>
      <c r="R58" s="492"/>
      <c r="S58" s="492"/>
      <c r="T58" s="492"/>
      <c r="U58" s="492"/>
      <c r="V58" s="492"/>
      <c r="W58" s="492"/>
      <c r="X58" s="492"/>
      <c r="Y58" s="492"/>
      <c r="Z58" s="492"/>
      <c r="AA58" s="492"/>
      <c r="AB58" s="495"/>
      <c r="AC58" s="495"/>
      <c r="AD58" s="496"/>
      <c r="AE58" s="492"/>
      <c r="AF58" s="492"/>
      <c r="AG58" s="492"/>
      <c r="AH58" s="492"/>
      <c r="AI58" s="492"/>
      <c r="AJ58" s="492"/>
      <c r="AK58" s="492"/>
      <c r="AL58" s="492"/>
      <c r="AM58" s="492"/>
      <c r="AN58" s="492"/>
      <c r="AO58" s="492"/>
      <c r="AP58" s="494"/>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2"/>
      <c r="BU58" s="492"/>
      <c r="BV58" s="492"/>
      <c r="BW58" s="492"/>
      <c r="BX58" s="492"/>
      <c r="BY58" s="492"/>
      <c r="BZ58" s="492"/>
      <c r="CA58" s="492"/>
      <c r="CB58" s="492"/>
      <c r="CC58" s="492"/>
      <c r="CD58" s="492"/>
      <c r="CE58" s="492"/>
      <c r="CF58" s="492"/>
      <c r="CG58" s="492"/>
      <c r="CH58" s="492"/>
      <c r="CI58" s="492"/>
      <c r="CJ58" s="492"/>
      <c r="CK58" s="492"/>
      <c r="CL58" s="492"/>
      <c r="CM58" s="492"/>
      <c r="CN58" s="492"/>
      <c r="CO58" s="492"/>
      <c r="CP58" s="495"/>
    </row>
    <row r="59" spans="1:94">
      <c r="A59" s="433" t="s">
        <v>559</v>
      </c>
      <c r="B59" s="434" t="s">
        <v>524</v>
      </c>
      <c r="C59" s="476">
        <f>([3]sheet1!$N$444+'[4]Cat 2-MUR'!$P$444)/1000000</f>
        <v>35704.368588081408</v>
      </c>
      <c r="D59" s="476">
        <f>[5]Sheet1!$C$414/1000000</f>
        <v>36287.800051772996</v>
      </c>
      <c r="E59" s="476">
        <f>[6]Sheet1!$C$414/1000000</f>
        <v>36725.258952753698</v>
      </c>
      <c r="F59" s="400">
        <f>[7]Sheet1!$C$414/1000000</f>
        <v>36657.892827389129</v>
      </c>
      <c r="G59" s="476">
        <f>[8]Sheet1!$C$414/1000000</f>
        <v>36908.697205162935</v>
      </c>
      <c r="H59" s="477">
        <f>[9]Sheet1!$C$414/1000000</f>
        <v>37615.963469114278</v>
      </c>
      <c r="I59" s="476">
        <f>[10]Sheet1!$C$414/1000000</f>
        <v>37927.272479138337</v>
      </c>
      <c r="J59" s="476">
        <f>[11]Sheet1!$C$414/1000000</f>
        <v>39020.193709404259</v>
      </c>
      <c r="K59" s="476">
        <f>[12]Sheet1!$C$414/1000000</f>
        <v>39287.485610740951</v>
      </c>
      <c r="L59" s="476">
        <f>[13]Sheet1!$C$414/1000000</f>
        <v>39222.085061498794</v>
      </c>
      <c r="M59" s="400">
        <f>[14]Sheet1!$C$414/1000000</f>
        <v>40022.516192943491</v>
      </c>
      <c r="N59" s="476">
        <f>[15]Sheet1!$C$414/1000000</f>
        <v>39408.792052137745</v>
      </c>
      <c r="O59" s="476">
        <f>[16]Sheet1!$C$414/1000000</f>
        <v>38890.06262347773</v>
      </c>
      <c r="P59" s="476">
        <f>[17]Sheet1!$C$414/1000000</f>
        <v>40396.104372089401</v>
      </c>
      <c r="Q59" s="476">
        <f>[18]Sheet1!$C$414/1000000</f>
        <v>42000.886786275398</v>
      </c>
      <c r="R59" s="476">
        <f>[19]Sheet1!$C$414/1000000</f>
        <v>41428.663869112483</v>
      </c>
      <c r="S59" s="476">
        <f>[20]Sheet1!$C$414/1000000</f>
        <v>43134.84105007779</v>
      </c>
      <c r="T59" s="476">
        <f>[21]Sheet1!$C$414/1000000</f>
        <v>44548.826372607225</v>
      </c>
      <c r="U59" s="476">
        <f>[22]Sheet1!$C$414/1000000</f>
        <v>43642.858748323037</v>
      </c>
      <c r="V59" s="476">
        <f>[23]Sheet1!$C$414/1000000</f>
        <v>44958.679943900897</v>
      </c>
      <c r="W59" s="476">
        <f>[24]Sheet1!$C$414/1000000</f>
        <v>41876.236271404952</v>
      </c>
      <c r="X59" s="476">
        <f>[25]Sheet1!$C$414/1000000</f>
        <v>42090.23316457498</v>
      </c>
      <c r="Y59" s="476">
        <f>[26]Sheet1!$C$414/1000000</f>
        <v>42873.108794222033</v>
      </c>
      <c r="Z59" s="476">
        <f>[27]Sheet1!$C$414/1000000</f>
        <v>43622.034313129567</v>
      </c>
      <c r="AA59" s="476">
        <f>[28]Sheet1!$C$414/1000000</f>
        <v>44511.827521145366</v>
      </c>
      <c r="AB59" s="435">
        <f>[29]Sheet1!$C$414/1000000</f>
        <v>44976.158320210845</v>
      </c>
      <c r="AC59" s="435">
        <f>[30]Sheet1!$C$414/1000000</f>
        <v>44979.939315974334</v>
      </c>
      <c r="AD59" s="491">
        <f>[31]Sheet1!$C$414/1000000</f>
        <v>45130.157990354543</v>
      </c>
      <c r="AE59" s="476">
        <f>[32]Sheet1!$C$414/1000000</f>
        <v>46526.507524889159</v>
      </c>
      <c r="AF59" s="476">
        <f>[33]Sheet1!$C$414/1000000</f>
        <v>46953.111096502696</v>
      </c>
      <c r="AG59" s="476">
        <f>[34]Sheet1!$C$414/1000000</f>
        <v>46498.099178341705</v>
      </c>
      <c r="AH59" s="476">
        <f>[35]Sheet1!$C$414/1000000</f>
        <v>48776.229552209828</v>
      </c>
      <c r="AI59" s="476">
        <f>[36]Sheet1!$C$414/1000000</f>
        <v>49049.519554837862</v>
      </c>
      <c r="AJ59" s="476">
        <f>[60]Sheet1!$C$414/1000000</f>
        <v>49284.479405728474</v>
      </c>
      <c r="AK59" s="476">
        <f>[61]Sheet1!$C$414/1000000</f>
        <v>50811.602709146318</v>
      </c>
      <c r="AL59" s="476">
        <f>[62]Sheet1!$C$414/1000000</f>
        <v>53448.718884642585</v>
      </c>
      <c r="AM59" s="476">
        <f>[63]Sheet1!$C$414/1000000</f>
        <v>54368.75815095412</v>
      </c>
      <c r="AN59" s="476">
        <f>[64]Sheet1!$C$414/1000000</f>
        <v>52373.989824135751</v>
      </c>
      <c r="AO59" s="476">
        <f>[65]Sheet1!$C$414/1000000</f>
        <v>55517.245403996363</v>
      </c>
      <c r="AP59" s="477">
        <f>[37]Sheet1!$C$414/1000000</f>
        <v>54841.719482057546</v>
      </c>
      <c r="AQ59" s="476">
        <f>[38]Sheet1!$C$414/1000000</f>
        <v>58103.367507876319</v>
      </c>
      <c r="AR59" s="476">
        <f>[39]Sheet1!$C$414/1000000</f>
        <v>59298.19183667707</v>
      </c>
      <c r="AS59" s="476">
        <f>[66]Sheet1!$C$414/1000000</f>
        <v>60859.082741518061</v>
      </c>
      <c r="AT59" s="476">
        <f>[67]Sheet1!$C$414/1000000</f>
        <v>62079.972771916138</v>
      </c>
      <c r="AU59" s="476">
        <f>[68]Sheet1!$C$414/1000000</f>
        <v>63786.655804845657</v>
      </c>
      <c r="AV59" s="476">
        <f>[69]Sheet1!$C$414/1000000</f>
        <v>64543.161864375077</v>
      </c>
      <c r="AW59" s="476">
        <f>[70]Sheet1!$C$414/1000000</f>
        <v>64402.199319373285</v>
      </c>
      <c r="AX59" s="476">
        <f>[71]Sheet1!$C$414/1000000</f>
        <v>64264.316030189861</v>
      </c>
      <c r="AY59" s="476">
        <f>[72]Sheet1!$C$414/1000000</f>
        <v>64583.402034013052</v>
      </c>
      <c r="AZ59" s="476">
        <f>[73]Sheet1!$C$414/1000000</f>
        <v>65138.420256611011</v>
      </c>
      <c r="BA59" s="476">
        <f>[74]Sheet1!$C$414/1000000</f>
        <v>65446.011451277212</v>
      </c>
      <c r="BB59" s="476">
        <f>[40]Sheet1!$C$414/1000000</f>
        <v>63276.09750421303</v>
      </c>
      <c r="BC59" s="476">
        <f>[75]Sheet1!$C$414/1000000</f>
        <v>63131.134601172125</v>
      </c>
      <c r="BD59" s="476">
        <f>[76]Sheet1!$C$414/1000000</f>
        <v>63117.099459523968</v>
      </c>
      <c r="BE59" s="476">
        <f>[77]Sheet1!$C$414/1000000</f>
        <v>64818.144578716056</v>
      </c>
      <c r="BF59" s="476">
        <f>[41]Sheet1!$C$414/1000000</f>
        <v>64698.29265435753</v>
      </c>
      <c r="BG59" s="476">
        <f>[42]Sheet1!$C$414/1000000</f>
        <v>66175.975521146291</v>
      </c>
      <c r="BH59" s="476">
        <f>[43]Sheet1!$C$414/1000000</f>
        <v>66816.400958400569</v>
      </c>
      <c r="BI59" s="476">
        <f>[44]Sheet1!$C$414/1000000</f>
        <v>66609.379543792747</v>
      </c>
      <c r="BJ59" s="476">
        <f>[78]Sheet1!$C$414/1000000</f>
        <v>69696.148691288792</v>
      </c>
      <c r="BK59" s="476">
        <f>[79]Sheet1!$C$414/1000000</f>
        <v>71982.810638501833</v>
      </c>
      <c r="BL59" s="476">
        <f>[80]Sheet1!$C$414/1000000</f>
        <v>70103.464201367489</v>
      </c>
      <c r="BM59" s="476">
        <f>[81]Sheet1!$C$414/1000000</f>
        <v>71230.865413964173</v>
      </c>
      <c r="BN59" s="476">
        <f>[82]Sheet1!$C$414/1000000</f>
        <v>70988.97564783541</v>
      </c>
      <c r="BO59" s="476">
        <f>[83]Sheet1!$C$414/1000000</f>
        <v>71944.823911859654</v>
      </c>
      <c r="BP59" s="476">
        <f>[84]Sheet1!$C$414/1000000</f>
        <v>77034.530996147063</v>
      </c>
      <c r="BQ59" s="476">
        <f>[85]Sheet1!$C$414/1000000</f>
        <v>77535.22335300289</v>
      </c>
      <c r="BR59" s="476">
        <f>[86]Sheet1!$C$414/1000000</f>
        <v>78370.908091345031</v>
      </c>
      <c r="BS59" s="476">
        <f>[87]Sheet1!$C$414/1000000</f>
        <v>79038.128808233989</v>
      </c>
      <c r="BT59" s="476">
        <f>[88]Sheet1!$C$414/1000000</f>
        <v>79449.325672152947</v>
      </c>
      <c r="BU59" s="476">
        <f>[89]Sheet1!$C$414/1000000</f>
        <v>79375.966339647115</v>
      </c>
      <c r="BV59" s="476">
        <f>[90]Sheet1!$C$414/1000000</f>
        <v>79523.476564492594</v>
      </c>
      <c r="BW59" s="476">
        <f>[91]Sheet1!$C$414/1000000</f>
        <v>81131.453879475695</v>
      </c>
      <c r="BX59" s="476">
        <f>[92]Sheet1!$C$414/1000000</f>
        <v>81157.308384578166</v>
      </c>
      <c r="BY59" s="476">
        <f>[93]Sheet1!$C$414/1000000</f>
        <v>81056.07656261354</v>
      </c>
      <c r="BZ59" s="476">
        <f>[94]Sheet1!$C$414/1000000</f>
        <v>83806.116391159376</v>
      </c>
      <c r="CA59" s="476">
        <f>[95]Sheet1!$C$414/1000000</f>
        <v>84531.302411197583</v>
      </c>
      <c r="CB59" s="476">
        <f>[45]Sheet1!$C$414/1000000</f>
        <v>86545.066758556524</v>
      </c>
      <c r="CC59" s="476">
        <f>[46]Sheet1!$C$414/1000000</f>
        <v>84624.221826456313</v>
      </c>
      <c r="CD59" s="476">
        <f>[47]Sheet1!$C$414/1000000</f>
        <v>85272.706527704955</v>
      </c>
      <c r="CE59" s="476">
        <f>[48]Sheet1!$C$414/1000000</f>
        <v>86158.795431287654</v>
      </c>
      <c r="CF59" s="476">
        <f>[49]Sheet1!$C$414/1000000</f>
        <v>88154.262349991273</v>
      </c>
      <c r="CG59" s="476">
        <f>[50]Sheet1!$C$414/1000000</f>
        <v>88873.865580902799</v>
      </c>
      <c r="CH59" s="476">
        <f>[51]Sheet1!$C$414/1000000</f>
        <v>92336.108194888089</v>
      </c>
      <c r="CI59" s="476">
        <f>[52]Sheet1!$C$414/1000000</f>
        <v>94375.209812524903</v>
      </c>
      <c r="CJ59" s="476">
        <f>[53]Sheet1!$C$414/1000000</f>
        <v>94977.025688010966</v>
      </c>
      <c r="CK59" s="476">
        <f>[54]Sheet1!$C$414/1000000</f>
        <v>95737.200241493716</v>
      </c>
      <c r="CL59" s="476">
        <f>[55]Sheet1!$C$414/1000000</f>
        <v>95955.688272962987</v>
      </c>
      <c r="CM59" s="476">
        <f>[56]Sheet1!$C$414/1000000</f>
        <v>96887.39846463174</v>
      </c>
      <c r="CN59" s="476">
        <f>[57]Sheet1!$C$414/1000000</f>
        <v>97708.07730387176</v>
      </c>
      <c r="CO59" s="476">
        <f>[58]Sheet1!$C$414/1000000</f>
        <v>100592.68447032165</v>
      </c>
      <c r="CP59" s="435">
        <f>[59]Sheet1!$C$414/1000000</f>
        <v>101422.9763965329</v>
      </c>
    </row>
    <row r="60" spans="1:94">
      <c r="A60" s="436"/>
      <c r="B60" s="437"/>
      <c r="C60" s="450"/>
      <c r="D60" s="450"/>
      <c r="E60" s="450"/>
      <c r="F60" s="390"/>
      <c r="G60" s="450"/>
      <c r="H60" s="481"/>
      <c r="I60" s="450"/>
      <c r="J60" s="450"/>
      <c r="K60" s="450"/>
      <c r="L60" s="450"/>
      <c r="M60" s="390"/>
      <c r="N60" s="450"/>
      <c r="O60" s="450"/>
      <c r="P60" s="450"/>
      <c r="Q60" s="450"/>
      <c r="R60" s="450"/>
      <c r="S60" s="450"/>
      <c r="T60" s="450"/>
      <c r="U60" s="450"/>
      <c r="V60" s="450"/>
      <c r="W60" s="450"/>
      <c r="X60" s="450"/>
      <c r="Y60" s="450"/>
      <c r="Z60" s="450"/>
      <c r="AA60" s="450"/>
      <c r="AB60" s="439"/>
      <c r="AC60" s="439"/>
      <c r="AD60" s="449"/>
      <c r="AE60" s="450"/>
      <c r="AF60" s="450"/>
      <c r="AG60" s="450"/>
      <c r="AH60" s="450"/>
      <c r="AI60" s="450"/>
      <c r="AJ60" s="450"/>
      <c r="AK60" s="450"/>
      <c r="AL60" s="450"/>
      <c r="AM60" s="450"/>
      <c r="AN60" s="450"/>
      <c r="AO60" s="450"/>
      <c r="AP60" s="481"/>
      <c r="AQ60" s="450"/>
      <c r="AR60" s="450"/>
      <c r="AS60" s="450"/>
      <c r="AT60" s="450"/>
      <c r="AU60" s="450"/>
      <c r="AV60" s="450"/>
      <c r="AW60" s="450"/>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E60" s="450"/>
      <c r="CF60" s="450"/>
      <c r="CG60" s="450"/>
      <c r="CH60" s="450"/>
      <c r="CI60" s="450"/>
      <c r="CJ60" s="450"/>
      <c r="CK60" s="450"/>
      <c r="CL60" s="450"/>
      <c r="CM60" s="450"/>
      <c r="CN60" s="450"/>
      <c r="CO60" s="450"/>
      <c r="CP60" s="439"/>
    </row>
    <row r="61" spans="1:94">
      <c r="A61" s="433"/>
      <c r="B61" s="434" t="s">
        <v>560</v>
      </c>
      <c r="C61" s="476">
        <f>C35+C37+C42+C47+C49+C51+C53+C55+C57+C59</f>
        <v>445837.09648146771</v>
      </c>
      <c r="D61" s="476">
        <f>D35+D37+D42+D47+D49+D51+D53+D55+D57+D59</f>
        <v>432333.73578588478</v>
      </c>
      <c r="E61" s="476">
        <f t="shared" ref="E61:BP61" si="8">E35+E37+E42+E47+E49+E51+E53+E55+E57+E59</f>
        <v>444953.02170568105</v>
      </c>
      <c r="F61" s="400">
        <f t="shared" si="8"/>
        <v>460740.79710033536</v>
      </c>
      <c r="G61" s="476">
        <f t="shared" si="8"/>
        <v>463204.56969756016</v>
      </c>
      <c r="H61" s="477">
        <f t="shared" si="8"/>
        <v>481466.10548368085</v>
      </c>
      <c r="I61" s="476">
        <f t="shared" si="8"/>
        <v>468596.08483161492</v>
      </c>
      <c r="J61" s="476">
        <f t="shared" si="8"/>
        <v>478494.19773586863</v>
      </c>
      <c r="K61" s="476">
        <f t="shared" si="8"/>
        <v>507625.95996703452</v>
      </c>
      <c r="L61" s="476">
        <f t="shared" si="8"/>
        <v>511206.35459259461</v>
      </c>
      <c r="M61" s="400">
        <f t="shared" si="8"/>
        <v>507494.99650955346</v>
      </c>
      <c r="N61" s="476">
        <f t="shared" si="8"/>
        <v>535662.87672863819</v>
      </c>
      <c r="O61" s="476">
        <f t="shared" si="8"/>
        <v>523850.27108873928</v>
      </c>
      <c r="P61" s="476">
        <f t="shared" si="8"/>
        <v>533426.28468855494</v>
      </c>
      <c r="Q61" s="476">
        <f t="shared" si="8"/>
        <v>544859.49134909105</v>
      </c>
      <c r="R61" s="476">
        <f t="shared" si="8"/>
        <v>574613.75504488125</v>
      </c>
      <c r="S61" s="476">
        <f t="shared" si="8"/>
        <v>577716.91728723294</v>
      </c>
      <c r="T61" s="476">
        <f t="shared" si="8"/>
        <v>606513.96394631604</v>
      </c>
      <c r="U61" s="476">
        <f t="shared" si="8"/>
        <v>630119.83824542805</v>
      </c>
      <c r="V61" s="476">
        <f t="shared" si="8"/>
        <v>601954.21941866283</v>
      </c>
      <c r="W61" s="476">
        <f t="shared" si="8"/>
        <v>605510.99251014437</v>
      </c>
      <c r="X61" s="476">
        <f t="shared" si="8"/>
        <v>624077.84292468568</v>
      </c>
      <c r="Y61" s="476">
        <f t="shared" si="8"/>
        <v>630561.20141669817</v>
      </c>
      <c r="Z61" s="476">
        <f t="shared" si="8"/>
        <v>632246.83013273461</v>
      </c>
      <c r="AA61" s="476">
        <f t="shared" si="8"/>
        <v>663094.43448270857</v>
      </c>
      <c r="AB61" s="435">
        <f t="shared" si="8"/>
        <v>681753.16319414286</v>
      </c>
      <c r="AC61" s="435">
        <f t="shared" si="8"/>
        <v>696077.90731888788</v>
      </c>
      <c r="AD61" s="491">
        <f t="shared" si="8"/>
        <v>703609.6757322083</v>
      </c>
      <c r="AE61" s="476">
        <f t="shared" si="8"/>
        <v>706823.47694433935</v>
      </c>
      <c r="AF61" s="476">
        <f t="shared" si="8"/>
        <v>746138.07708720083</v>
      </c>
      <c r="AG61" s="476">
        <f t="shared" si="8"/>
        <v>723735.24594117398</v>
      </c>
      <c r="AH61" s="476">
        <f t="shared" si="8"/>
        <v>752758.66746421135</v>
      </c>
      <c r="AI61" s="476">
        <f t="shared" si="8"/>
        <v>748659.13151183829</v>
      </c>
      <c r="AJ61" s="476">
        <f t="shared" si="8"/>
        <v>733354.18060770433</v>
      </c>
      <c r="AK61" s="476">
        <f t="shared" si="8"/>
        <v>719659.48504536517</v>
      </c>
      <c r="AL61" s="476">
        <f t="shared" si="8"/>
        <v>760499.45805389062</v>
      </c>
      <c r="AM61" s="476">
        <f t="shared" si="8"/>
        <v>773252.44280015444</v>
      </c>
      <c r="AN61" s="476">
        <f t="shared" si="8"/>
        <v>790615.52522006026</v>
      </c>
      <c r="AO61" s="476">
        <f t="shared" si="8"/>
        <v>780986.27990849141</v>
      </c>
      <c r="AP61" s="477">
        <f t="shared" si="8"/>
        <v>763856.00000271969</v>
      </c>
      <c r="AQ61" s="476">
        <f t="shared" si="8"/>
        <v>819322.5324201138</v>
      </c>
      <c r="AR61" s="476">
        <f t="shared" si="8"/>
        <v>803124.72039425466</v>
      </c>
      <c r="AS61" s="476">
        <f t="shared" si="8"/>
        <v>805990.07822863967</v>
      </c>
      <c r="AT61" s="476">
        <f t="shared" si="8"/>
        <v>805323.12107057718</v>
      </c>
      <c r="AU61" s="476">
        <f t="shared" si="8"/>
        <v>814898.81246231764</v>
      </c>
      <c r="AV61" s="476">
        <f t="shared" si="8"/>
        <v>807733.6231706267</v>
      </c>
      <c r="AW61" s="476">
        <f t="shared" si="8"/>
        <v>808480.43114202272</v>
      </c>
      <c r="AX61" s="476">
        <f t="shared" si="8"/>
        <v>802925.72630561446</v>
      </c>
      <c r="AY61" s="476">
        <f t="shared" si="8"/>
        <v>815049.49751314428</v>
      </c>
      <c r="AZ61" s="476">
        <f t="shared" si="8"/>
        <v>830130.71492091997</v>
      </c>
      <c r="BA61" s="476">
        <f t="shared" si="8"/>
        <v>833451.49451887386</v>
      </c>
      <c r="BB61" s="476">
        <f t="shared" si="8"/>
        <v>815832.35192099214</v>
      </c>
      <c r="BC61" s="476">
        <f t="shared" si="8"/>
        <v>815339.29479991982</v>
      </c>
      <c r="BD61" s="476">
        <f t="shared" si="8"/>
        <v>803883.86273326341</v>
      </c>
      <c r="BE61" s="476">
        <f t="shared" si="8"/>
        <v>850342.74366170098</v>
      </c>
      <c r="BF61" s="476">
        <f t="shared" si="8"/>
        <v>871292.62662828504</v>
      </c>
      <c r="BG61" s="476">
        <f t="shared" si="8"/>
        <v>892721.17988087796</v>
      </c>
      <c r="BH61" s="476">
        <f t="shared" si="8"/>
        <v>913488.39506609784</v>
      </c>
      <c r="BI61" s="476">
        <f t="shared" si="8"/>
        <v>913833.09111478226</v>
      </c>
      <c r="BJ61" s="476">
        <f t="shared" si="8"/>
        <v>1025679.5364986513</v>
      </c>
      <c r="BK61" s="476">
        <f t="shared" si="8"/>
        <v>1012035.333333926</v>
      </c>
      <c r="BL61" s="476">
        <f t="shared" si="8"/>
        <v>954121.87023194158</v>
      </c>
      <c r="BM61" s="476">
        <f t="shared" si="8"/>
        <v>992296.62676565617</v>
      </c>
      <c r="BN61" s="476">
        <f t="shared" si="8"/>
        <v>1012404.2143214582</v>
      </c>
      <c r="BO61" s="476">
        <f t="shared" si="8"/>
        <v>1033298.9768260616</v>
      </c>
      <c r="BP61" s="476">
        <f t="shared" si="8"/>
        <v>1013985.1951152171</v>
      </c>
      <c r="BQ61" s="476">
        <f t="shared" ref="BQ61:CP61" si="9">BQ35+BQ37+BQ42+BQ47+BQ49+BQ51+BQ53+BQ55+BQ57+BQ59</f>
        <v>1062227.4364040988</v>
      </c>
      <c r="BR61" s="476">
        <f t="shared" si="9"/>
        <v>1078181.8810915288</v>
      </c>
      <c r="BS61" s="476">
        <f t="shared" si="9"/>
        <v>1086441.5921039591</v>
      </c>
      <c r="BT61" s="476">
        <f t="shared" si="9"/>
        <v>1053578.3830951103</v>
      </c>
      <c r="BU61" s="476">
        <f t="shared" si="9"/>
        <v>1119531.2698697732</v>
      </c>
      <c r="BV61" s="476">
        <f t="shared" si="9"/>
        <v>1047041.8605696339</v>
      </c>
      <c r="BW61" s="476">
        <f t="shared" si="9"/>
        <v>1112462.9753115466</v>
      </c>
      <c r="BX61" s="476">
        <f t="shared" si="9"/>
        <v>1086642.1355580031</v>
      </c>
      <c r="BY61" s="476">
        <f t="shared" si="9"/>
        <v>1064583.9672632939</v>
      </c>
      <c r="BZ61" s="476">
        <f t="shared" si="9"/>
        <v>1149757.9766855945</v>
      </c>
      <c r="CA61" s="476">
        <f t="shared" si="9"/>
        <v>1131968.1532015936</v>
      </c>
      <c r="CB61" s="476">
        <f t="shared" si="9"/>
        <v>1161633.9910541489</v>
      </c>
      <c r="CC61" s="476">
        <f t="shared" si="9"/>
        <v>1173013.0120292972</v>
      </c>
      <c r="CD61" s="476">
        <f t="shared" si="9"/>
        <v>1187141.955914408</v>
      </c>
      <c r="CE61" s="476">
        <f t="shared" si="9"/>
        <v>1225161.317670773</v>
      </c>
      <c r="CF61" s="476">
        <f t="shared" si="9"/>
        <v>1246006.7916879642</v>
      </c>
      <c r="CG61" s="476">
        <f t="shared" si="9"/>
        <v>1223903.21713633</v>
      </c>
      <c r="CH61" s="476">
        <f t="shared" si="9"/>
        <v>1265080.4399430116</v>
      </c>
      <c r="CI61" s="476">
        <f t="shared" si="9"/>
        <v>1255390.1417716164</v>
      </c>
      <c r="CJ61" s="476">
        <f t="shared" si="9"/>
        <v>1288833.6472017488</v>
      </c>
      <c r="CK61" s="476">
        <f t="shared" si="9"/>
        <v>1243570.2529162969</v>
      </c>
      <c r="CL61" s="476">
        <f t="shared" si="9"/>
        <v>1266162.9329481204</v>
      </c>
      <c r="CM61" s="476">
        <f t="shared" si="9"/>
        <v>1268818.4173121215</v>
      </c>
      <c r="CN61" s="476">
        <f t="shared" si="9"/>
        <v>1242486.2931605482</v>
      </c>
      <c r="CO61" s="476">
        <f t="shared" si="9"/>
        <v>1247268.40425243</v>
      </c>
      <c r="CP61" s="435">
        <f t="shared" si="9"/>
        <v>1276910.0596211508</v>
      </c>
    </row>
    <row r="62" spans="1:94" ht="13.5" thickBot="1">
      <c r="A62" s="453"/>
      <c r="B62" s="454"/>
      <c r="C62" s="457"/>
      <c r="D62" s="457"/>
      <c r="E62" s="457"/>
      <c r="F62" s="497"/>
      <c r="G62" s="457"/>
      <c r="H62" s="498"/>
      <c r="I62" s="457"/>
      <c r="J62" s="457"/>
      <c r="K62" s="457"/>
      <c r="L62" s="457"/>
      <c r="M62" s="497"/>
      <c r="N62" s="457"/>
      <c r="O62" s="457"/>
      <c r="P62" s="457"/>
      <c r="Q62" s="457"/>
      <c r="R62" s="457"/>
      <c r="S62" s="457"/>
      <c r="T62" s="457"/>
      <c r="U62" s="457"/>
      <c r="V62" s="457"/>
      <c r="W62" s="457"/>
      <c r="X62" s="457"/>
      <c r="Y62" s="457"/>
      <c r="Z62" s="457"/>
      <c r="AA62" s="457"/>
      <c r="AB62" s="455"/>
      <c r="AC62" s="455"/>
      <c r="AD62" s="456"/>
      <c r="AE62" s="457"/>
      <c r="AF62" s="457"/>
      <c r="AG62" s="457"/>
      <c r="AH62" s="457"/>
      <c r="AI62" s="457"/>
      <c r="AJ62" s="457"/>
      <c r="AK62" s="457"/>
      <c r="AL62" s="457"/>
      <c r="AM62" s="457"/>
      <c r="AN62" s="455"/>
      <c r="AO62" s="455"/>
      <c r="AP62" s="498"/>
      <c r="AQ62" s="457"/>
      <c r="AR62" s="457"/>
      <c r="AS62" s="457"/>
      <c r="AT62" s="457"/>
      <c r="AU62" s="457"/>
      <c r="AV62" s="457"/>
      <c r="AW62" s="457"/>
      <c r="AX62" s="457"/>
      <c r="AY62" s="457"/>
      <c r="AZ62" s="457"/>
      <c r="BA62" s="457"/>
      <c r="BB62" s="457"/>
      <c r="BC62" s="457"/>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7"/>
      <c r="BZ62" s="457"/>
      <c r="CA62" s="457"/>
      <c r="CB62" s="457"/>
      <c r="CC62" s="457"/>
      <c r="CD62" s="457"/>
      <c r="CE62" s="457"/>
      <c r="CF62" s="457"/>
      <c r="CG62" s="457"/>
      <c r="CH62" s="457"/>
      <c r="CI62" s="457"/>
      <c r="CJ62" s="457"/>
      <c r="CK62" s="457"/>
      <c r="CL62" s="457"/>
      <c r="CM62" s="457"/>
      <c r="CN62" s="457"/>
      <c r="CO62" s="457"/>
      <c r="CP62" s="455"/>
    </row>
    <row r="63" spans="1:94" ht="13.5" thickTop="1">
      <c r="A63" s="237" t="s">
        <v>361</v>
      </c>
      <c r="B63" s="135"/>
      <c r="C63" s="135"/>
      <c r="D63" s="135"/>
      <c r="E63" s="135"/>
      <c r="F63" s="135"/>
      <c r="G63" s="135"/>
      <c r="H63" s="135"/>
      <c r="I63" s="135"/>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462"/>
      <c r="AL63" s="462"/>
      <c r="AM63" s="462"/>
      <c r="AN63" s="462"/>
      <c r="AO63" s="462"/>
      <c r="AP63" s="462"/>
      <c r="AQ63" s="462"/>
      <c r="AR63" s="462"/>
      <c r="AS63" s="462"/>
      <c r="AT63" s="462"/>
      <c r="AU63" s="462"/>
      <c r="AV63" s="462"/>
      <c r="AW63" s="462"/>
      <c r="AX63" s="462"/>
      <c r="AY63" s="462"/>
      <c r="AZ63" s="462"/>
      <c r="BA63" s="462"/>
      <c r="BB63" s="462"/>
      <c r="BC63" s="462"/>
      <c r="BD63" s="462"/>
      <c r="BE63" s="462"/>
      <c r="BF63" s="462"/>
      <c r="BG63" s="462"/>
      <c r="BH63" s="462"/>
      <c r="BI63" s="462"/>
      <c r="BJ63" s="462"/>
      <c r="BK63" s="462"/>
      <c r="BL63" s="462"/>
      <c r="BM63" s="462"/>
      <c r="BN63" s="462"/>
      <c r="BO63" s="462"/>
      <c r="BP63" s="462"/>
      <c r="BQ63" s="462"/>
      <c r="BR63" s="462"/>
      <c r="BS63" s="462"/>
      <c r="BT63" s="462"/>
      <c r="BU63" s="462"/>
      <c r="BV63" s="462"/>
      <c r="BW63" s="462"/>
      <c r="BX63" s="462"/>
      <c r="BY63" s="462"/>
      <c r="BZ63" s="462"/>
      <c r="CA63" s="462"/>
      <c r="CB63" s="462"/>
      <c r="CC63" s="462"/>
      <c r="CD63" s="462"/>
      <c r="CE63" s="462"/>
      <c r="CF63" s="462"/>
      <c r="CG63" s="462"/>
      <c r="CH63" s="462"/>
      <c r="CI63" s="462"/>
      <c r="CJ63" s="462"/>
      <c r="CK63" s="462"/>
      <c r="CL63" s="462"/>
      <c r="CM63" s="462"/>
      <c r="CN63" s="462"/>
      <c r="CO63" s="462"/>
      <c r="CP63" s="462"/>
    </row>
    <row r="64" spans="1:94">
      <c r="A64" s="237" t="s">
        <v>569</v>
      </c>
      <c r="B64" s="135"/>
      <c r="C64" s="135"/>
      <c r="D64" s="135"/>
      <c r="E64" s="135"/>
      <c r="F64" s="135"/>
      <c r="G64" s="135"/>
      <c r="H64" s="135"/>
      <c r="I64" s="135"/>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462"/>
      <c r="AL64" s="462"/>
      <c r="AM64" s="462"/>
      <c r="AN64" s="462"/>
      <c r="AO64" s="462"/>
      <c r="AP64" s="462"/>
      <c r="AQ64" s="462"/>
      <c r="AR64" s="462"/>
      <c r="AS64" s="462"/>
      <c r="AT64" s="462"/>
      <c r="AU64" s="462"/>
      <c r="AV64" s="462"/>
      <c r="AW64" s="462"/>
      <c r="AX64" s="462"/>
      <c r="AY64" s="462"/>
      <c r="AZ64" s="462"/>
      <c r="BA64" s="462"/>
      <c r="BB64" s="462"/>
      <c r="BC64" s="462"/>
      <c r="BD64" s="462"/>
      <c r="BE64" s="462"/>
      <c r="BF64" s="462"/>
      <c r="BG64" s="462"/>
      <c r="BH64" s="462"/>
      <c r="BI64" s="462"/>
      <c r="BJ64" s="462"/>
      <c r="BK64" s="462"/>
      <c r="BL64" s="462"/>
      <c r="BM64" s="462"/>
      <c r="BN64" s="462"/>
      <c r="BO64" s="462"/>
      <c r="BP64" s="462"/>
      <c r="BQ64" s="462"/>
      <c r="BR64" s="462"/>
      <c r="BS64" s="462"/>
      <c r="BT64" s="462"/>
      <c r="BU64" s="462"/>
      <c r="BV64" s="462"/>
      <c r="BW64" s="462"/>
      <c r="BX64" s="462"/>
      <c r="BY64" s="462"/>
      <c r="BZ64" s="462"/>
      <c r="CA64" s="462"/>
      <c r="CB64" s="462"/>
      <c r="CC64" s="462"/>
      <c r="CD64" s="462"/>
      <c r="CE64" s="462"/>
      <c r="CF64" s="462"/>
      <c r="CG64" s="462"/>
      <c r="CH64" s="462"/>
      <c r="CI64" s="462"/>
      <c r="CJ64" s="462"/>
      <c r="CK64" s="462"/>
      <c r="CL64" s="462"/>
      <c r="CM64" s="462"/>
      <c r="CN64" s="462"/>
      <c r="CO64" s="462"/>
      <c r="CP64" s="462"/>
    </row>
    <row r="65" spans="1:94">
      <c r="A65" s="237" t="s">
        <v>303</v>
      </c>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2"/>
      <c r="BB65" s="462"/>
      <c r="BC65" s="462"/>
      <c r="BD65" s="462"/>
      <c r="BE65" s="462"/>
      <c r="BF65" s="462"/>
      <c r="BG65" s="462"/>
      <c r="BH65" s="462"/>
      <c r="BI65" s="462"/>
      <c r="BJ65" s="462"/>
      <c r="BK65" s="462"/>
      <c r="BL65" s="462"/>
      <c r="BM65" s="462"/>
      <c r="BN65" s="462"/>
      <c r="BO65" s="462"/>
      <c r="BP65" s="462"/>
      <c r="BQ65" s="462"/>
      <c r="BR65" s="462"/>
      <c r="BS65" s="462"/>
      <c r="BT65" s="462"/>
      <c r="BU65" s="462"/>
      <c r="BV65" s="462"/>
      <c r="BW65" s="462"/>
      <c r="BX65" s="462"/>
      <c r="BY65" s="462"/>
      <c r="BZ65" s="462"/>
      <c r="CA65" s="462"/>
      <c r="CB65" s="462"/>
      <c r="CC65" s="462"/>
      <c r="CD65" s="462"/>
      <c r="CE65" s="462"/>
      <c r="CF65" s="462"/>
      <c r="CG65" s="462"/>
      <c r="CH65" s="462"/>
      <c r="CI65" s="462"/>
      <c r="CJ65" s="462"/>
      <c r="CK65" s="462"/>
      <c r="CL65" s="462"/>
      <c r="CM65" s="462"/>
      <c r="CN65" s="462"/>
      <c r="CO65" s="462"/>
      <c r="CP65" s="462"/>
    </row>
    <row r="66" spans="1:94" hidden="1">
      <c r="C66" s="499">
        <f>([3]sheet1!$N$463+'[4]Cat 2-MUR'!$P$463)/1000000</f>
        <v>445837.09648146777</v>
      </c>
      <c r="D66" s="499">
        <f>[5]Sheet1!$C$433/1000000</f>
        <v>432333.73578588484</v>
      </c>
      <c r="E66" s="499">
        <f>[6]Sheet1!$C$433/1000000</f>
        <v>444953.02170568111</v>
      </c>
      <c r="F66" s="499">
        <f>[7]Sheet1!$C$433/1000000</f>
        <v>460740.79710033548</v>
      </c>
      <c r="G66" s="499">
        <f>[8]Sheet1!$C$433/1000000</f>
        <v>463204.56969756016</v>
      </c>
      <c r="H66" s="499">
        <f>[9]Sheet1!$C$433/1000000</f>
        <v>481466.10548368079</v>
      </c>
      <c r="I66" s="499">
        <f>[10]Sheet1!$C$433/1000000</f>
        <v>468596.08483161498</v>
      </c>
      <c r="J66" s="499">
        <f>[11]Sheet1!$C$433/1000000</f>
        <v>478494.19773586845</v>
      </c>
      <c r="K66" s="499">
        <f>[12]Sheet1!$C$433/1000000</f>
        <v>507625.95996703452</v>
      </c>
      <c r="L66" s="499">
        <f>[13]Sheet1!$C$433/1000000</f>
        <v>511206.35459259461</v>
      </c>
      <c r="M66" s="499">
        <f>[14]Sheet1!$C$433/1000000</f>
        <v>507494.99650955334</v>
      </c>
      <c r="N66" s="499">
        <f>[15]Sheet1!$C$433/1000000</f>
        <v>535662.87672863808</v>
      </c>
      <c r="O66" s="499">
        <f>[16]Sheet1!$C$433/1000000</f>
        <v>523850.27108873933</v>
      </c>
      <c r="P66" s="499">
        <f>[17]Sheet1!$C$433/1000000</f>
        <v>533426.28468855482</v>
      </c>
      <c r="Q66" s="499">
        <f>[18]Sheet1!$C$433/1000000</f>
        <v>544859.49134909117</v>
      </c>
      <c r="R66" s="499">
        <f>[19]Sheet1!$C$433/1000000</f>
        <v>574613.75504488125</v>
      </c>
      <c r="S66" s="499">
        <f>[20]Sheet1!$C$433/1000000</f>
        <v>577716.91728723282</v>
      </c>
      <c r="T66" s="499">
        <f>[21]Sheet1!$C$433/1000000</f>
        <v>606513.96394631593</v>
      </c>
      <c r="U66" s="499">
        <f>[22]Sheet1!$C$433/1000000</f>
        <v>630119.83824542793</v>
      </c>
      <c r="V66" s="499">
        <f>[23]Sheet1!$C$433/1000000</f>
        <v>601954.21941866272</v>
      </c>
      <c r="W66" s="499">
        <f>[24]Sheet1!$C$433/1000000</f>
        <v>605510.99251014437</v>
      </c>
      <c r="X66" s="499">
        <f>[25]Sheet1!$C$433/1000000</f>
        <v>624077.84292468592</v>
      </c>
      <c r="Y66" s="499">
        <f>[26]Sheet1!$C$433/1000000</f>
        <v>630561.20141669805</v>
      </c>
      <c r="Z66" s="499">
        <f>[27]Sheet1!$C$433/1000000</f>
        <v>632246.8301327345</v>
      </c>
      <c r="AA66" s="499">
        <f>[96]Sheet1!$C$433/1000000</f>
        <v>663094.43448270857</v>
      </c>
      <c r="AB66" s="499">
        <f>[97]Sheet1!$C$433/1000000</f>
        <v>681753.16319414286</v>
      </c>
      <c r="AC66" s="499">
        <f>[98]Sheet1!$C$433/1000000</f>
        <v>696077.90731888788</v>
      </c>
      <c r="AD66" s="499">
        <f>[99]Sheet1!$C$433/1000000</f>
        <v>703609.67573220818</v>
      </c>
      <c r="AE66" s="499">
        <f>[100]Sheet1!$C$433/1000000</f>
        <v>706823.47694433935</v>
      </c>
      <c r="AF66" s="499">
        <f>[101]Sheet1!$C$433/1000000</f>
        <v>746138.07708720095</v>
      </c>
      <c r="AG66" s="499">
        <f>[102]Sheet1!$C$433/1000000</f>
        <v>723735.24594117375</v>
      </c>
      <c r="AH66" s="499">
        <f>[103]Sheet1!$C$433/1000000</f>
        <v>752758.66746476921</v>
      </c>
      <c r="AI66" s="499">
        <f>[104]Sheet1!$C$433/1000000</f>
        <v>748659.13151183829</v>
      </c>
      <c r="AV66" s="500"/>
    </row>
    <row r="67" spans="1:94">
      <c r="AV67" s="500"/>
    </row>
    <row r="68" spans="1:94">
      <c r="C68" s="499">
        <f t="shared" ref="C68:BN68" si="10">C61-C28</f>
        <v>7.691036444157362E-6</v>
      </c>
      <c r="D68" s="499">
        <f t="shared" si="10"/>
        <v>7.2157068643718958E-5</v>
      </c>
      <c r="E68" s="499">
        <f t="shared" si="10"/>
        <v>-1.3936951290816069E-5</v>
      </c>
      <c r="F68" s="499">
        <f t="shared" si="10"/>
        <v>1.2735836207866669E-7</v>
      </c>
      <c r="G68" s="499">
        <f t="shared" si="10"/>
        <v>4.7089066356420517E-5</v>
      </c>
      <c r="H68" s="499">
        <f t="shared" si="10"/>
        <v>9.3560083769261837E-6</v>
      </c>
      <c r="I68" s="499">
        <f t="shared" si="10"/>
        <v>-1.9650906324386597E-7</v>
      </c>
      <c r="J68" s="499">
        <f t="shared" si="10"/>
        <v>-4.2904866859316826E-7</v>
      </c>
      <c r="K68" s="499">
        <f t="shared" si="10"/>
        <v>3.7840800359845161E-7</v>
      </c>
      <c r="L68" s="499">
        <f t="shared" si="10"/>
        <v>-5.8789737522602081E-7</v>
      </c>
      <c r="M68" s="499">
        <f t="shared" si="10"/>
        <v>-1.84424570761621E-5</v>
      </c>
      <c r="N68" s="499">
        <f t="shared" si="10"/>
        <v>-3.535436699166894E-4</v>
      </c>
      <c r="O68" s="499">
        <f t="shared" si="10"/>
        <v>-5.2216346375644207E-6</v>
      </c>
      <c r="P68" s="499">
        <f t="shared" si="10"/>
        <v>-6.2298611737787724E-5</v>
      </c>
      <c r="Q68" s="499">
        <f t="shared" si="10"/>
        <v>-1.3456062879413366E-4</v>
      </c>
      <c r="R68" s="499">
        <f t="shared" si="10"/>
        <v>-3.0886032618582249E-5</v>
      </c>
      <c r="S68" s="499">
        <f t="shared" si="10"/>
        <v>-5.0763250328600407E-5</v>
      </c>
      <c r="T68" s="499">
        <f t="shared" si="10"/>
        <v>4.1913008317351341E-5</v>
      </c>
      <c r="U68" s="499">
        <f t="shared" si="10"/>
        <v>-1.1322903446853161E-5</v>
      </c>
      <c r="V68" s="499">
        <f t="shared" si="10"/>
        <v>-7.4238749220967293E-5</v>
      </c>
      <c r="W68" s="499">
        <f t="shared" si="10"/>
        <v>-6.7624496296048164E-5</v>
      </c>
      <c r="X68" s="499">
        <f t="shared" si="10"/>
        <v>-6.8733119405806065E-5</v>
      </c>
      <c r="Y68" s="499">
        <f t="shared" si="10"/>
        <v>-6.8150809966027737E-5</v>
      </c>
      <c r="Z68" s="499">
        <f t="shared" si="10"/>
        <v>-7.3958653956651688E-7</v>
      </c>
      <c r="AA68" s="499">
        <f t="shared" si="10"/>
        <v>4.2072497308254242E-7</v>
      </c>
      <c r="AB68" s="499">
        <f t="shared" si="10"/>
        <v>-4.8408983275294304E-6</v>
      </c>
      <c r="AC68" s="499">
        <f t="shared" si="10"/>
        <v>-4.2119063436985016E-7</v>
      </c>
      <c r="AD68" s="499">
        <f t="shared" si="10"/>
        <v>8.6147338151931763E-9</v>
      </c>
      <c r="AE68" s="499">
        <f t="shared" si="10"/>
        <v>4.7264620661735535E-8</v>
      </c>
      <c r="AF68" s="499">
        <f t="shared" si="10"/>
        <v>-2.3993197828531265E-7</v>
      </c>
      <c r="AG68" s="499">
        <f t="shared" si="10"/>
        <v>2.4319160729646683E-7</v>
      </c>
      <c r="AH68" s="499">
        <f t="shared" si="10"/>
        <v>-6.3586048781871796E-7</v>
      </c>
      <c r="AI68" s="499">
        <f t="shared" si="10"/>
        <v>-1.2246891856193542E-7</v>
      </c>
      <c r="AJ68" s="499">
        <f t="shared" si="10"/>
        <v>-1.0454095900058746E-7</v>
      </c>
      <c r="AK68" s="499">
        <f t="shared" si="10"/>
        <v>-1.4493707567453384E-7</v>
      </c>
      <c r="AL68" s="499">
        <f t="shared" si="10"/>
        <v>-6.8172812461853027E-7</v>
      </c>
      <c r="AM68" s="499">
        <f t="shared" si="10"/>
        <v>3.5099219530820847E-7</v>
      </c>
      <c r="AN68" s="499">
        <f t="shared" si="10"/>
        <v>-5.1257666200399399E-7</v>
      </c>
      <c r="AO68" s="499">
        <f t="shared" si="10"/>
        <v>9.4913411885499954E-7</v>
      </c>
      <c r="AP68" s="499">
        <f t="shared" si="10"/>
        <v>-2.7260975912213326E-6</v>
      </c>
      <c r="AQ68" s="499">
        <f t="shared" si="10"/>
        <v>-1.1589145287871361E-6</v>
      </c>
      <c r="AR68" s="499">
        <f t="shared" si="10"/>
        <v>-3.6030542105436325E-7</v>
      </c>
      <c r="AS68" s="499">
        <f t="shared" si="10"/>
        <v>8.3178747445344925E-7</v>
      </c>
      <c r="AT68" s="499">
        <f t="shared" si="10"/>
        <v>-7.7532604336738586E-8</v>
      </c>
      <c r="AU68" s="499">
        <f t="shared" si="10"/>
        <v>1.1521624401211739E-6</v>
      </c>
      <c r="AV68" s="499">
        <f t="shared" si="10"/>
        <v>-3.3443677239120007E-5</v>
      </c>
      <c r="AW68" s="499">
        <f t="shared" si="10"/>
        <v>-9.5495488494634628E-7</v>
      </c>
      <c r="AX68" s="499">
        <f t="shared" si="10"/>
        <v>2.0791776478290558E-6</v>
      </c>
      <c r="AY68" s="499">
        <f t="shared" si="10"/>
        <v>-2.1583400666713715E-7</v>
      </c>
      <c r="AZ68" s="499">
        <f t="shared" si="10"/>
        <v>9.4878487288951874E-8</v>
      </c>
      <c r="BA68" s="499">
        <f t="shared" si="10"/>
        <v>-4.6822242438793182E-7</v>
      </c>
      <c r="BB68" s="499">
        <f t="shared" si="10"/>
        <v>-1.5331897884607315E-7</v>
      </c>
      <c r="BC68" s="499">
        <f t="shared" si="10"/>
        <v>-2.0394916646182537E-5</v>
      </c>
      <c r="BD68" s="499">
        <f t="shared" si="10"/>
        <v>-1.5110708773136139E-7</v>
      </c>
      <c r="BE68" s="499">
        <f t="shared" si="10"/>
        <v>3.2340176403522491E-7</v>
      </c>
      <c r="BF68" s="499">
        <f t="shared" si="10"/>
        <v>-2.8568319976329803E-7</v>
      </c>
      <c r="BG68" s="499">
        <f t="shared" si="10"/>
        <v>-8.2189217209815979E-7</v>
      </c>
      <c r="BH68" s="499">
        <f t="shared" si="10"/>
        <v>1.1478550732135773E-6</v>
      </c>
      <c r="BI68" s="499">
        <f t="shared" si="10"/>
        <v>7.2643160820007324E-7</v>
      </c>
      <c r="BJ68" s="499">
        <f t="shared" si="10"/>
        <v>2.5262124836444855E-8</v>
      </c>
      <c r="BK68" s="499">
        <f t="shared" si="10"/>
        <v>-1.9842642359435558E-5</v>
      </c>
      <c r="BL68" s="499">
        <f t="shared" si="10"/>
        <v>-2.1160929463803768E-5</v>
      </c>
      <c r="BM68" s="499">
        <f t="shared" si="10"/>
        <v>-1.9839615561068058E-5</v>
      </c>
      <c r="BN68" s="499">
        <f t="shared" si="10"/>
        <v>-2.0204461179673672E-5</v>
      </c>
      <c r="BO68" s="499">
        <f t="shared" ref="BO68:CL68" si="11">BO61-BO28</f>
        <v>-1.9651488400995731E-5</v>
      </c>
      <c r="BP68" s="499">
        <f t="shared" si="11"/>
        <v>-2.1539046429097652E-5</v>
      </c>
      <c r="BQ68" s="499">
        <f t="shared" si="11"/>
        <v>-2.0567560568451881E-5</v>
      </c>
      <c r="BR68" s="499">
        <f t="shared" si="11"/>
        <v>-1.920526847243309E-5</v>
      </c>
      <c r="BS68" s="499">
        <f t="shared" si="11"/>
        <v>-2.0696315914392471E-5</v>
      </c>
      <c r="BT68" s="499">
        <f t="shared" si="11"/>
        <v>-1.863064244389534E-5</v>
      </c>
      <c r="BU68" s="499">
        <f t="shared" si="11"/>
        <v>-2.2605527192354202E-5</v>
      </c>
      <c r="BV68" s="499">
        <f t="shared" si="11"/>
        <v>-1.960177905857563E-5</v>
      </c>
      <c r="BW68" s="499">
        <f t="shared" si="11"/>
        <v>-5.2760588005185127E-5</v>
      </c>
      <c r="BX68" s="499">
        <f t="shared" si="11"/>
        <v>-2.1268380805850029E-5</v>
      </c>
      <c r="BY68" s="499">
        <f t="shared" si="11"/>
        <v>-2.0362669602036476E-5</v>
      </c>
      <c r="BZ68" s="499">
        <f t="shared" si="11"/>
        <v>-2.0428560674190521E-5</v>
      </c>
      <c r="CA68" s="499">
        <f t="shared" si="11"/>
        <v>-2.1701212972402573E-5</v>
      </c>
      <c r="CB68" s="499">
        <f t="shared" si="11"/>
        <v>-2.0670704543590546E-5</v>
      </c>
      <c r="CC68" s="499">
        <f t="shared" si="11"/>
        <v>-2.1010171622037888E-5</v>
      </c>
      <c r="CD68" s="499">
        <f t="shared" si="11"/>
        <v>-2.0581530407071114E-5</v>
      </c>
      <c r="CE68" s="499">
        <f t="shared" si="11"/>
        <v>-2.0582228899002075E-5</v>
      </c>
      <c r="CF68" s="499">
        <f t="shared" si="11"/>
        <v>-2.3123109713196754E-5</v>
      </c>
      <c r="CG68" s="499">
        <f t="shared" si="11"/>
        <v>-2.0289327949285507E-5</v>
      </c>
      <c r="CH68" s="499">
        <f t="shared" si="11"/>
        <v>-2.1471874788403511E-5</v>
      </c>
      <c r="CI68" s="499">
        <f t="shared" si="11"/>
        <v>1.3401731848716736E-6</v>
      </c>
      <c r="CJ68" s="499">
        <f t="shared" si="11"/>
        <v>-1.062639057636261E-6</v>
      </c>
      <c r="CK68" s="499">
        <f t="shared" si="11"/>
        <v>4.116445779800415E-7</v>
      </c>
      <c r="CL68" s="499">
        <f t="shared" si="11"/>
        <v>-6.3958577811717987E-7</v>
      </c>
      <c r="CM68" s="499">
        <f>CM61-CM28</f>
        <v>-1.3418029993772507E-6</v>
      </c>
      <c r="CN68" s="499">
        <f>CN61-CN28</f>
        <v>-1.0021030902862549E-6</v>
      </c>
      <c r="CO68" s="499">
        <f>CO61-CO28</f>
        <v>-3.9837323129177094E-7</v>
      </c>
      <c r="CP68" s="499">
        <f>CP61-CP28</f>
        <v>9.0058892965316772E-7</v>
      </c>
    </row>
    <row r="69" spans="1:94">
      <c r="AV69" s="500"/>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33"/>
  <sheetViews>
    <sheetView zoomScaleNormal="100" workbookViewId="0">
      <pane xSplit="2" ySplit="4" topLeftCell="CH5" activePane="bottomRight" state="frozen"/>
      <selection pane="topRight" activeCell="C1" sqref="C1"/>
      <selection pane="bottomLeft" activeCell="A4" sqref="A4"/>
      <selection pane="bottomRight" activeCell="B11" sqref="B11"/>
    </sheetView>
  </sheetViews>
  <sheetFormatPr defaultRowHeight="12.75"/>
  <cols>
    <col min="1" max="1" width="5.85546875" style="462" customWidth="1"/>
    <col min="2" max="2" width="55.42578125" style="462" bestFit="1" customWidth="1"/>
    <col min="3" max="26" width="8.140625" style="462" hidden="1" customWidth="1"/>
    <col min="27" max="27" width="8.28515625" style="462" hidden="1" customWidth="1"/>
    <col min="28" max="43" width="8.140625" style="462" hidden="1" customWidth="1"/>
    <col min="44" max="44" width="8" style="462" hidden="1" customWidth="1"/>
    <col min="45" max="53" width="8.140625" style="462" hidden="1" customWidth="1"/>
    <col min="54" max="54" width="8.28515625" style="462" hidden="1" customWidth="1"/>
    <col min="55" max="58" width="8.140625" style="462" hidden="1" customWidth="1"/>
    <col min="59" max="60" width="8" style="462" hidden="1" customWidth="1"/>
    <col min="61" max="62" width="7.85546875" style="462" hidden="1" customWidth="1"/>
    <col min="63" max="65" width="10.7109375" style="462" hidden="1" customWidth="1"/>
    <col min="66" max="66" width="10.42578125" style="462" hidden="1" customWidth="1"/>
    <col min="67" max="81" width="10.7109375" style="462" hidden="1" customWidth="1"/>
    <col min="82" max="94" width="10.7109375" style="462" customWidth="1"/>
    <col min="95" max="256" width="9.140625" style="462"/>
    <col min="257" max="257" width="5.85546875" style="462" customWidth="1"/>
    <col min="258" max="258" width="55.42578125" style="462" bestFit="1" customWidth="1"/>
    <col min="259" max="337" width="0" style="462" hidden="1" customWidth="1"/>
    <col min="338" max="350" width="10.7109375" style="462" customWidth="1"/>
    <col min="351" max="512" width="9.140625" style="462"/>
    <col min="513" max="513" width="5.85546875" style="462" customWidth="1"/>
    <col min="514" max="514" width="55.42578125" style="462" bestFit="1" customWidth="1"/>
    <col min="515" max="593" width="0" style="462" hidden="1" customWidth="1"/>
    <col min="594" max="606" width="10.7109375" style="462" customWidth="1"/>
    <col min="607" max="768" width="9.140625" style="462"/>
    <col min="769" max="769" width="5.85546875" style="462" customWidth="1"/>
    <col min="770" max="770" width="55.42578125" style="462" bestFit="1" customWidth="1"/>
    <col min="771" max="849" width="0" style="462" hidden="1" customWidth="1"/>
    <col min="850" max="862" width="10.7109375" style="462" customWidth="1"/>
    <col min="863" max="1024" width="9.140625" style="462"/>
    <col min="1025" max="1025" width="5.85546875" style="462" customWidth="1"/>
    <col min="1026" max="1026" width="55.42578125" style="462" bestFit="1" customWidth="1"/>
    <col min="1027" max="1105" width="0" style="462" hidden="1" customWidth="1"/>
    <col min="1106" max="1118" width="10.7109375" style="462" customWidth="1"/>
    <col min="1119" max="1280" width="9.140625" style="462"/>
    <col min="1281" max="1281" width="5.85546875" style="462" customWidth="1"/>
    <col min="1282" max="1282" width="55.42578125" style="462" bestFit="1" customWidth="1"/>
    <col min="1283" max="1361" width="0" style="462" hidden="1" customWidth="1"/>
    <col min="1362" max="1374" width="10.7109375" style="462" customWidth="1"/>
    <col min="1375" max="1536" width="9.140625" style="462"/>
    <col min="1537" max="1537" width="5.85546875" style="462" customWidth="1"/>
    <col min="1538" max="1538" width="55.42578125" style="462" bestFit="1" customWidth="1"/>
    <col min="1539" max="1617" width="0" style="462" hidden="1" customWidth="1"/>
    <col min="1618" max="1630" width="10.7109375" style="462" customWidth="1"/>
    <col min="1631" max="1792" width="9.140625" style="462"/>
    <col min="1793" max="1793" width="5.85546875" style="462" customWidth="1"/>
    <col min="1794" max="1794" width="55.42578125" style="462" bestFit="1" customWidth="1"/>
    <col min="1795" max="1873" width="0" style="462" hidden="1" customWidth="1"/>
    <col min="1874" max="1886" width="10.7109375" style="462" customWidth="1"/>
    <col min="1887" max="2048" width="9.140625" style="462"/>
    <col min="2049" max="2049" width="5.85546875" style="462" customWidth="1"/>
    <col min="2050" max="2050" width="55.42578125" style="462" bestFit="1" customWidth="1"/>
    <col min="2051" max="2129" width="0" style="462" hidden="1" customWidth="1"/>
    <col min="2130" max="2142" width="10.7109375" style="462" customWidth="1"/>
    <col min="2143" max="2304" width="9.140625" style="462"/>
    <col min="2305" max="2305" width="5.85546875" style="462" customWidth="1"/>
    <col min="2306" max="2306" width="55.42578125" style="462" bestFit="1" customWidth="1"/>
    <col min="2307" max="2385" width="0" style="462" hidden="1" customWidth="1"/>
    <col min="2386" max="2398" width="10.7109375" style="462" customWidth="1"/>
    <col min="2399" max="2560" width="9.140625" style="462"/>
    <col min="2561" max="2561" width="5.85546875" style="462" customWidth="1"/>
    <col min="2562" max="2562" width="55.42578125" style="462" bestFit="1" customWidth="1"/>
    <col min="2563" max="2641" width="0" style="462" hidden="1" customWidth="1"/>
    <col min="2642" max="2654" width="10.7109375" style="462" customWidth="1"/>
    <col min="2655" max="2816" width="9.140625" style="462"/>
    <col min="2817" max="2817" width="5.85546875" style="462" customWidth="1"/>
    <col min="2818" max="2818" width="55.42578125" style="462" bestFit="1" customWidth="1"/>
    <col min="2819" max="2897" width="0" style="462" hidden="1" customWidth="1"/>
    <col min="2898" max="2910" width="10.7109375" style="462" customWidth="1"/>
    <col min="2911" max="3072" width="9.140625" style="462"/>
    <col min="3073" max="3073" width="5.85546875" style="462" customWidth="1"/>
    <col min="3074" max="3074" width="55.42578125" style="462" bestFit="1" customWidth="1"/>
    <col min="3075" max="3153" width="0" style="462" hidden="1" customWidth="1"/>
    <col min="3154" max="3166" width="10.7109375" style="462" customWidth="1"/>
    <col min="3167" max="3328" width="9.140625" style="462"/>
    <col min="3329" max="3329" width="5.85546875" style="462" customWidth="1"/>
    <col min="3330" max="3330" width="55.42578125" style="462" bestFit="1" customWidth="1"/>
    <col min="3331" max="3409" width="0" style="462" hidden="1" customWidth="1"/>
    <col min="3410" max="3422" width="10.7109375" style="462" customWidth="1"/>
    <col min="3423" max="3584" width="9.140625" style="462"/>
    <col min="3585" max="3585" width="5.85546875" style="462" customWidth="1"/>
    <col min="3586" max="3586" width="55.42578125" style="462" bestFit="1" customWidth="1"/>
    <col min="3587" max="3665" width="0" style="462" hidden="1" customWidth="1"/>
    <col min="3666" max="3678" width="10.7109375" style="462" customWidth="1"/>
    <col min="3679" max="3840" width="9.140625" style="462"/>
    <col min="3841" max="3841" width="5.85546875" style="462" customWidth="1"/>
    <col min="3842" max="3842" width="55.42578125" style="462" bestFit="1" customWidth="1"/>
    <col min="3843" max="3921" width="0" style="462" hidden="1" customWidth="1"/>
    <col min="3922" max="3934" width="10.7109375" style="462" customWidth="1"/>
    <col min="3935" max="4096" width="9.140625" style="462"/>
    <col min="4097" max="4097" width="5.85546875" style="462" customWidth="1"/>
    <col min="4098" max="4098" width="55.42578125" style="462" bestFit="1" customWidth="1"/>
    <col min="4099" max="4177" width="0" style="462" hidden="1" customWidth="1"/>
    <col min="4178" max="4190" width="10.7109375" style="462" customWidth="1"/>
    <col min="4191" max="4352" width="9.140625" style="462"/>
    <col min="4353" max="4353" width="5.85546875" style="462" customWidth="1"/>
    <col min="4354" max="4354" width="55.42578125" style="462" bestFit="1" customWidth="1"/>
    <col min="4355" max="4433" width="0" style="462" hidden="1" customWidth="1"/>
    <col min="4434" max="4446" width="10.7109375" style="462" customWidth="1"/>
    <col min="4447" max="4608" width="9.140625" style="462"/>
    <col min="4609" max="4609" width="5.85546875" style="462" customWidth="1"/>
    <col min="4610" max="4610" width="55.42578125" style="462" bestFit="1" customWidth="1"/>
    <col min="4611" max="4689" width="0" style="462" hidden="1" customWidth="1"/>
    <col min="4690" max="4702" width="10.7109375" style="462" customWidth="1"/>
    <col min="4703" max="4864" width="9.140625" style="462"/>
    <col min="4865" max="4865" width="5.85546875" style="462" customWidth="1"/>
    <col min="4866" max="4866" width="55.42578125" style="462" bestFit="1" customWidth="1"/>
    <col min="4867" max="4945" width="0" style="462" hidden="1" customWidth="1"/>
    <col min="4946" max="4958" width="10.7109375" style="462" customWidth="1"/>
    <col min="4959" max="5120" width="9.140625" style="462"/>
    <col min="5121" max="5121" width="5.85546875" style="462" customWidth="1"/>
    <col min="5122" max="5122" width="55.42578125" style="462" bestFit="1" customWidth="1"/>
    <col min="5123" max="5201" width="0" style="462" hidden="1" customWidth="1"/>
    <col min="5202" max="5214" width="10.7109375" style="462" customWidth="1"/>
    <col min="5215" max="5376" width="9.140625" style="462"/>
    <col min="5377" max="5377" width="5.85546875" style="462" customWidth="1"/>
    <col min="5378" max="5378" width="55.42578125" style="462" bestFit="1" customWidth="1"/>
    <col min="5379" max="5457" width="0" style="462" hidden="1" customWidth="1"/>
    <col min="5458" max="5470" width="10.7109375" style="462" customWidth="1"/>
    <col min="5471" max="5632" width="9.140625" style="462"/>
    <col min="5633" max="5633" width="5.85546875" style="462" customWidth="1"/>
    <col min="5634" max="5634" width="55.42578125" style="462" bestFit="1" customWidth="1"/>
    <col min="5635" max="5713" width="0" style="462" hidden="1" customWidth="1"/>
    <col min="5714" max="5726" width="10.7109375" style="462" customWidth="1"/>
    <col min="5727" max="5888" width="9.140625" style="462"/>
    <col min="5889" max="5889" width="5.85546875" style="462" customWidth="1"/>
    <col min="5890" max="5890" width="55.42578125" style="462" bestFit="1" customWidth="1"/>
    <col min="5891" max="5969" width="0" style="462" hidden="1" customWidth="1"/>
    <col min="5970" max="5982" width="10.7109375" style="462" customWidth="1"/>
    <col min="5983" max="6144" width="9.140625" style="462"/>
    <col min="6145" max="6145" width="5.85546875" style="462" customWidth="1"/>
    <col min="6146" max="6146" width="55.42578125" style="462" bestFit="1" customWidth="1"/>
    <col min="6147" max="6225" width="0" style="462" hidden="1" customWidth="1"/>
    <col min="6226" max="6238" width="10.7109375" style="462" customWidth="1"/>
    <col min="6239" max="6400" width="9.140625" style="462"/>
    <col min="6401" max="6401" width="5.85546875" style="462" customWidth="1"/>
    <col min="6402" max="6402" width="55.42578125" style="462" bestFit="1" customWidth="1"/>
    <col min="6403" max="6481" width="0" style="462" hidden="1" customWidth="1"/>
    <col min="6482" max="6494" width="10.7109375" style="462" customWidth="1"/>
    <col min="6495" max="6656" width="9.140625" style="462"/>
    <col min="6657" max="6657" width="5.85546875" style="462" customWidth="1"/>
    <col min="6658" max="6658" width="55.42578125" style="462" bestFit="1" customWidth="1"/>
    <col min="6659" max="6737" width="0" style="462" hidden="1" customWidth="1"/>
    <col min="6738" max="6750" width="10.7109375" style="462" customWidth="1"/>
    <col min="6751" max="6912" width="9.140625" style="462"/>
    <col min="6913" max="6913" width="5.85546875" style="462" customWidth="1"/>
    <col min="6914" max="6914" width="55.42578125" style="462" bestFit="1" customWidth="1"/>
    <col min="6915" max="6993" width="0" style="462" hidden="1" customWidth="1"/>
    <col min="6994" max="7006" width="10.7109375" style="462" customWidth="1"/>
    <col min="7007" max="7168" width="9.140625" style="462"/>
    <col min="7169" max="7169" width="5.85546875" style="462" customWidth="1"/>
    <col min="7170" max="7170" width="55.42578125" style="462" bestFit="1" customWidth="1"/>
    <col min="7171" max="7249" width="0" style="462" hidden="1" customWidth="1"/>
    <col min="7250" max="7262" width="10.7109375" style="462" customWidth="1"/>
    <col min="7263" max="7424" width="9.140625" style="462"/>
    <col min="7425" max="7425" width="5.85546875" style="462" customWidth="1"/>
    <col min="7426" max="7426" width="55.42578125" style="462" bestFit="1" customWidth="1"/>
    <col min="7427" max="7505" width="0" style="462" hidden="1" customWidth="1"/>
    <col min="7506" max="7518" width="10.7109375" style="462" customWidth="1"/>
    <col min="7519" max="7680" width="9.140625" style="462"/>
    <col min="7681" max="7681" width="5.85546875" style="462" customWidth="1"/>
    <col min="7682" max="7682" width="55.42578125" style="462" bestFit="1" customWidth="1"/>
    <col min="7683" max="7761" width="0" style="462" hidden="1" customWidth="1"/>
    <col min="7762" max="7774" width="10.7109375" style="462" customWidth="1"/>
    <col min="7775" max="7936" width="9.140625" style="462"/>
    <col min="7937" max="7937" width="5.85546875" style="462" customWidth="1"/>
    <col min="7938" max="7938" width="55.42578125" style="462" bestFit="1" customWidth="1"/>
    <col min="7939" max="8017" width="0" style="462" hidden="1" customWidth="1"/>
    <col min="8018" max="8030" width="10.7109375" style="462" customWidth="1"/>
    <col min="8031" max="8192" width="9.140625" style="462"/>
    <col min="8193" max="8193" width="5.85546875" style="462" customWidth="1"/>
    <col min="8194" max="8194" width="55.42578125" style="462" bestFit="1" customWidth="1"/>
    <col min="8195" max="8273" width="0" style="462" hidden="1" customWidth="1"/>
    <col min="8274" max="8286" width="10.7109375" style="462" customWidth="1"/>
    <col min="8287" max="8448" width="9.140625" style="462"/>
    <col min="8449" max="8449" width="5.85546875" style="462" customWidth="1"/>
    <col min="8450" max="8450" width="55.42578125" style="462" bestFit="1" customWidth="1"/>
    <col min="8451" max="8529" width="0" style="462" hidden="1" customWidth="1"/>
    <col min="8530" max="8542" width="10.7109375" style="462" customWidth="1"/>
    <col min="8543" max="8704" width="9.140625" style="462"/>
    <col min="8705" max="8705" width="5.85546875" style="462" customWidth="1"/>
    <col min="8706" max="8706" width="55.42578125" style="462" bestFit="1" customWidth="1"/>
    <col min="8707" max="8785" width="0" style="462" hidden="1" customWidth="1"/>
    <col min="8786" max="8798" width="10.7109375" style="462" customWidth="1"/>
    <col min="8799" max="8960" width="9.140625" style="462"/>
    <col min="8961" max="8961" width="5.85546875" style="462" customWidth="1"/>
    <col min="8962" max="8962" width="55.42578125" style="462" bestFit="1" customWidth="1"/>
    <col min="8963" max="9041" width="0" style="462" hidden="1" customWidth="1"/>
    <col min="9042" max="9054" width="10.7109375" style="462" customWidth="1"/>
    <col min="9055" max="9216" width="9.140625" style="462"/>
    <col min="9217" max="9217" width="5.85546875" style="462" customWidth="1"/>
    <col min="9218" max="9218" width="55.42578125" style="462" bestFit="1" customWidth="1"/>
    <col min="9219" max="9297" width="0" style="462" hidden="1" customWidth="1"/>
    <col min="9298" max="9310" width="10.7109375" style="462" customWidth="1"/>
    <col min="9311" max="9472" width="9.140625" style="462"/>
    <col min="9473" max="9473" width="5.85546875" style="462" customWidth="1"/>
    <col min="9474" max="9474" width="55.42578125" style="462" bestFit="1" customWidth="1"/>
    <col min="9475" max="9553" width="0" style="462" hidden="1" customWidth="1"/>
    <col min="9554" max="9566" width="10.7109375" style="462" customWidth="1"/>
    <col min="9567" max="9728" width="9.140625" style="462"/>
    <col min="9729" max="9729" width="5.85546875" style="462" customWidth="1"/>
    <col min="9730" max="9730" width="55.42578125" style="462" bestFit="1" customWidth="1"/>
    <col min="9731" max="9809" width="0" style="462" hidden="1" customWidth="1"/>
    <col min="9810" max="9822" width="10.7109375" style="462" customWidth="1"/>
    <col min="9823" max="9984" width="9.140625" style="462"/>
    <col min="9985" max="9985" width="5.85546875" style="462" customWidth="1"/>
    <col min="9986" max="9986" width="55.42578125" style="462" bestFit="1" customWidth="1"/>
    <col min="9987" max="10065" width="0" style="462" hidden="1" customWidth="1"/>
    <col min="10066" max="10078" width="10.7109375" style="462" customWidth="1"/>
    <col min="10079" max="10240" width="9.140625" style="462"/>
    <col min="10241" max="10241" width="5.85546875" style="462" customWidth="1"/>
    <col min="10242" max="10242" width="55.42578125" style="462" bestFit="1" customWidth="1"/>
    <col min="10243" max="10321" width="0" style="462" hidden="1" customWidth="1"/>
    <col min="10322" max="10334" width="10.7109375" style="462" customWidth="1"/>
    <col min="10335" max="10496" width="9.140625" style="462"/>
    <col min="10497" max="10497" width="5.85546875" style="462" customWidth="1"/>
    <col min="10498" max="10498" width="55.42578125" style="462" bestFit="1" customWidth="1"/>
    <col min="10499" max="10577" width="0" style="462" hidden="1" customWidth="1"/>
    <col min="10578" max="10590" width="10.7109375" style="462" customWidth="1"/>
    <col min="10591" max="10752" width="9.140625" style="462"/>
    <col min="10753" max="10753" width="5.85546875" style="462" customWidth="1"/>
    <col min="10754" max="10754" width="55.42578125" style="462" bestFit="1" customWidth="1"/>
    <col min="10755" max="10833" width="0" style="462" hidden="1" customWidth="1"/>
    <col min="10834" max="10846" width="10.7109375" style="462" customWidth="1"/>
    <col min="10847" max="11008" width="9.140625" style="462"/>
    <col min="11009" max="11009" width="5.85546875" style="462" customWidth="1"/>
    <col min="11010" max="11010" width="55.42578125" style="462" bestFit="1" customWidth="1"/>
    <col min="11011" max="11089" width="0" style="462" hidden="1" customWidth="1"/>
    <col min="11090" max="11102" width="10.7109375" style="462" customWidth="1"/>
    <col min="11103" max="11264" width="9.140625" style="462"/>
    <col min="11265" max="11265" width="5.85546875" style="462" customWidth="1"/>
    <col min="11266" max="11266" width="55.42578125" style="462" bestFit="1" customWidth="1"/>
    <col min="11267" max="11345" width="0" style="462" hidden="1" customWidth="1"/>
    <col min="11346" max="11358" width="10.7109375" style="462" customWidth="1"/>
    <col min="11359" max="11520" width="9.140625" style="462"/>
    <col min="11521" max="11521" width="5.85546875" style="462" customWidth="1"/>
    <col min="11522" max="11522" width="55.42578125" style="462" bestFit="1" customWidth="1"/>
    <col min="11523" max="11601" width="0" style="462" hidden="1" customWidth="1"/>
    <col min="11602" max="11614" width="10.7109375" style="462" customWidth="1"/>
    <col min="11615" max="11776" width="9.140625" style="462"/>
    <col min="11777" max="11777" width="5.85546875" style="462" customWidth="1"/>
    <col min="11778" max="11778" width="55.42578125" style="462" bestFit="1" customWidth="1"/>
    <col min="11779" max="11857" width="0" style="462" hidden="1" customWidth="1"/>
    <col min="11858" max="11870" width="10.7109375" style="462" customWidth="1"/>
    <col min="11871" max="12032" width="9.140625" style="462"/>
    <col min="12033" max="12033" width="5.85546875" style="462" customWidth="1"/>
    <col min="12034" max="12034" width="55.42578125" style="462" bestFit="1" customWidth="1"/>
    <col min="12035" max="12113" width="0" style="462" hidden="1" customWidth="1"/>
    <col min="12114" max="12126" width="10.7109375" style="462" customWidth="1"/>
    <col min="12127" max="12288" width="9.140625" style="462"/>
    <col min="12289" max="12289" width="5.85546875" style="462" customWidth="1"/>
    <col min="12290" max="12290" width="55.42578125" style="462" bestFit="1" customWidth="1"/>
    <col min="12291" max="12369" width="0" style="462" hidden="1" customWidth="1"/>
    <col min="12370" max="12382" width="10.7109375" style="462" customWidth="1"/>
    <col min="12383" max="12544" width="9.140625" style="462"/>
    <col min="12545" max="12545" width="5.85546875" style="462" customWidth="1"/>
    <col min="12546" max="12546" width="55.42578125" style="462" bestFit="1" customWidth="1"/>
    <col min="12547" max="12625" width="0" style="462" hidden="1" customWidth="1"/>
    <col min="12626" max="12638" width="10.7109375" style="462" customWidth="1"/>
    <col min="12639" max="12800" width="9.140625" style="462"/>
    <col min="12801" max="12801" width="5.85546875" style="462" customWidth="1"/>
    <col min="12802" max="12802" width="55.42578125" style="462" bestFit="1" customWidth="1"/>
    <col min="12803" max="12881" width="0" style="462" hidden="1" customWidth="1"/>
    <col min="12882" max="12894" width="10.7109375" style="462" customWidth="1"/>
    <col min="12895" max="13056" width="9.140625" style="462"/>
    <col min="13057" max="13057" width="5.85546875" style="462" customWidth="1"/>
    <col min="13058" max="13058" width="55.42578125" style="462" bestFit="1" customWidth="1"/>
    <col min="13059" max="13137" width="0" style="462" hidden="1" customWidth="1"/>
    <col min="13138" max="13150" width="10.7109375" style="462" customWidth="1"/>
    <col min="13151" max="13312" width="9.140625" style="462"/>
    <col min="13313" max="13313" width="5.85546875" style="462" customWidth="1"/>
    <col min="13314" max="13314" width="55.42578125" style="462" bestFit="1" customWidth="1"/>
    <col min="13315" max="13393" width="0" style="462" hidden="1" customWidth="1"/>
    <col min="13394" max="13406" width="10.7109375" style="462" customWidth="1"/>
    <col min="13407" max="13568" width="9.140625" style="462"/>
    <col min="13569" max="13569" width="5.85546875" style="462" customWidth="1"/>
    <col min="13570" max="13570" width="55.42578125" style="462" bestFit="1" customWidth="1"/>
    <col min="13571" max="13649" width="0" style="462" hidden="1" customWidth="1"/>
    <col min="13650" max="13662" width="10.7109375" style="462" customWidth="1"/>
    <col min="13663" max="13824" width="9.140625" style="462"/>
    <col min="13825" max="13825" width="5.85546875" style="462" customWidth="1"/>
    <col min="13826" max="13826" width="55.42578125" style="462" bestFit="1" customWidth="1"/>
    <col min="13827" max="13905" width="0" style="462" hidden="1" customWidth="1"/>
    <col min="13906" max="13918" width="10.7109375" style="462" customWidth="1"/>
    <col min="13919" max="14080" width="9.140625" style="462"/>
    <col min="14081" max="14081" width="5.85546875" style="462" customWidth="1"/>
    <col min="14082" max="14082" width="55.42578125" style="462" bestFit="1" customWidth="1"/>
    <col min="14083" max="14161" width="0" style="462" hidden="1" customWidth="1"/>
    <col min="14162" max="14174" width="10.7109375" style="462" customWidth="1"/>
    <col min="14175" max="14336" width="9.140625" style="462"/>
    <col min="14337" max="14337" width="5.85546875" style="462" customWidth="1"/>
    <col min="14338" max="14338" width="55.42578125" style="462" bestFit="1" customWidth="1"/>
    <col min="14339" max="14417" width="0" style="462" hidden="1" customWidth="1"/>
    <col min="14418" max="14430" width="10.7109375" style="462" customWidth="1"/>
    <col min="14431" max="14592" width="9.140625" style="462"/>
    <col min="14593" max="14593" width="5.85546875" style="462" customWidth="1"/>
    <col min="14594" max="14594" width="55.42578125" style="462" bestFit="1" customWidth="1"/>
    <col min="14595" max="14673" width="0" style="462" hidden="1" customWidth="1"/>
    <col min="14674" max="14686" width="10.7109375" style="462" customWidth="1"/>
    <col min="14687" max="14848" width="9.140625" style="462"/>
    <col min="14849" max="14849" width="5.85546875" style="462" customWidth="1"/>
    <col min="14850" max="14850" width="55.42578125" style="462" bestFit="1" customWidth="1"/>
    <col min="14851" max="14929" width="0" style="462" hidden="1" customWidth="1"/>
    <col min="14930" max="14942" width="10.7109375" style="462" customWidth="1"/>
    <col min="14943" max="15104" width="9.140625" style="462"/>
    <col min="15105" max="15105" width="5.85546875" style="462" customWidth="1"/>
    <col min="15106" max="15106" width="55.42578125" style="462" bestFit="1" customWidth="1"/>
    <col min="15107" max="15185" width="0" style="462" hidden="1" customWidth="1"/>
    <col min="15186" max="15198" width="10.7109375" style="462" customWidth="1"/>
    <col min="15199" max="15360" width="9.140625" style="462"/>
    <col min="15361" max="15361" width="5.85546875" style="462" customWidth="1"/>
    <col min="15362" max="15362" width="55.42578125" style="462" bestFit="1" customWidth="1"/>
    <col min="15363" max="15441" width="0" style="462" hidden="1" customWidth="1"/>
    <col min="15442" max="15454" width="10.7109375" style="462" customWidth="1"/>
    <col min="15455" max="15616" width="9.140625" style="462"/>
    <col min="15617" max="15617" width="5.85546875" style="462" customWidth="1"/>
    <col min="15618" max="15618" width="55.42578125" style="462" bestFit="1" customWidth="1"/>
    <col min="15619" max="15697" width="0" style="462" hidden="1" customWidth="1"/>
    <col min="15698" max="15710" width="10.7109375" style="462" customWidth="1"/>
    <col min="15711" max="15872" width="9.140625" style="462"/>
    <col min="15873" max="15873" width="5.85546875" style="462" customWidth="1"/>
    <col min="15874" max="15874" width="55.42578125" style="462" bestFit="1" customWidth="1"/>
    <col min="15875" max="15953" width="0" style="462" hidden="1" customWidth="1"/>
    <col min="15954" max="15966" width="10.7109375" style="462" customWidth="1"/>
    <col min="15967" max="16128" width="9.140625" style="462"/>
    <col min="16129" max="16129" width="5.85546875" style="462" customWidth="1"/>
    <col min="16130" max="16130" width="55.42578125" style="462" bestFit="1" customWidth="1"/>
    <col min="16131" max="16209" width="0" style="462" hidden="1" customWidth="1"/>
    <col min="16210" max="16222" width="10.7109375" style="462" customWidth="1"/>
    <col min="16223" max="16384" width="9.140625" style="462"/>
  </cols>
  <sheetData>
    <row r="1" spans="1:94" ht="16.5">
      <c r="A1" s="418" t="s">
        <v>570</v>
      </c>
      <c r="B1" s="419"/>
      <c r="C1" s="461"/>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row>
    <row r="2" spans="1:94" ht="15.75" hidden="1">
      <c r="A2" s="464"/>
      <c r="B2" s="465"/>
      <c r="C2" s="466"/>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94" ht="13.5" thickBot="1">
      <c r="A3" s="420"/>
      <c r="B3" s="420"/>
      <c r="C3" s="129"/>
      <c r="D3" s="129"/>
      <c r="E3" s="129"/>
      <c r="F3" s="129"/>
      <c r="G3" s="129"/>
      <c r="H3" s="129"/>
      <c r="I3" s="129"/>
      <c r="J3" s="129"/>
      <c r="K3" s="129"/>
      <c r="L3" s="129"/>
      <c r="M3" s="129"/>
      <c r="N3" s="129"/>
      <c r="O3" s="129"/>
      <c r="P3" s="129"/>
      <c r="Q3" s="129"/>
      <c r="R3" s="129"/>
      <c r="S3" s="129"/>
      <c r="T3" s="129"/>
      <c r="V3" s="129"/>
      <c r="W3" s="129"/>
      <c r="X3" s="129"/>
      <c r="Y3" s="129"/>
      <c r="Z3" s="129"/>
      <c r="AA3" s="129"/>
      <c r="AB3" s="129"/>
      <c r="AC3" s="129"/>
      <c r="AG3" s="141"/>
      <c r="AN3" s="3262"/>
      <c r="AO3" s="3262"/>
      <c r="AQ3" s="3262"/>
      <c r="AR3" s="3262"/>
      <c r="AS3" s="3262"/>
      <c r="AT3" s="3262"/>
      <c r="AU3" s="3262"/>
      <c r="AV3" s="3262"/>
      <c r="AZ3" s="3262"/>
      <c r="BA3" s="3262"/>
      <c r="BB3" s="3262"/>
      <c r="BC3" s="3262"/>
      <c r="BI3" s="3262"/>
      <c r="BJ3" s="3262"/>
      <c r="BM3" s="469"/>
      <c r="BN3" s="469"/>
      <c r="BO3" s="469"/>
      <c r="BP3" s="3262"/>
      <c r="BQ3" s="3262"/>
      <c r="BR3" s="469"/>
      <c r="BV3" s="167"/>
      <c r="BW3" s="501"/>
      <c r="BX3" s="501"/>
      <c r="BY3" s="501"/>
      <c r="BZ3" s="501"/>
      <c r="CA3" s="501"/>
      <c r="CB3" s="501"/>
      <c r="CC3" s="501"/>
      <c r="CD3" s="501"/>
      <c r="CE3" s="501"/>
      <c r="CF3" s="501"/>
      <c r="CG3" s="501"/>
      <c r="CH3" s="501"/>
      <c r="CI3" s="501"/>
      <c r="CJ3" s="501"/>
      <c r="CK3" s="501"/>
      <c r="CL3" s="501"/>
      <c r="CM3" s="501"/>
      <c r="CN3" s="501"/>
      <c r="CO3" s="501"/>
      <c r="CP3" s="501" t="s">
        <v>12</v>
      </c>
    </row>
    <row r="4" spans="1:94" ht="14.25" thickTop="1" thickBot="1">
      <c r="A4" s="421" t="s">
        <v>506</v>
      </c>
      <c r="B4" s="422" t="s">
        <v>507</v>
      </c>
      <c r="C4" s="425">
        <v>38504</v>
      </c>
      <c r="D4" s="425">
        <v>38534</v>
      </c>
      <c r="E4" s="425">
        <v>38565</v>
      </c>
      <c r="F4" s="470">
        <v>38596</v>
      </c>
      <c r="G4" s="425">
        <v>38626</v>
      </c>
      <c r="H4" s="471">
        <v>38657</v>
      </c>
      <c r="I4" s="425">
        <v>38687</v>
      </c>
      <c r="J4" s="425">
        <v>38718</v>
      </c>
      <c r="K4" s="425">
        <v>38749</v>
      </c>
      <c r="L4" s="425">
        <v>38777</v>
      </c>
      <c r="M4" s="470">
        <v>38808</v>
      </c>
      <c r="N4" s="425">
        <v>38838</v>
      </c>
      <c r="O4" s="425">
        <v>38869</v>
      </c>
      <c r="P4" s="425">
        <v>38899</v>
      </c>
      <c r="Q4" s="425">
        <v>38930</v>
      </c>
      <c r="R4" s="425">
        <v>38961</v>
      </c>
      <c r="S4" s="425">
        <v>38991</v>
      </c>
      <c r="T4" s="425">
        <v>39022</v>
      </c>
      <c r="U4" s="425">
        <v>39052</v>
      </c>
      <c r="V4" s="425">
        <v>39083</v>
      </c>
      <c r="W4" s="425">
        <v>39114</v>
      </c>
      <c r="X4" s="425">
        <v>39142</v>
      </c>
      <c r="Y4" s="425">
        <v>39173</v>
      </c>
      <c r="Z4" s="425">
        <v>39203</v>
      </c>
      <c r="AA4" s="425">
        <v>39234</v>
      </c>
      <c r="AB4" s="425">
        <v>39264</v>
      </c>
      <c r="AC4" s="425">
        <v>39295</v>
      </c>
      <c r="AD4" s="471">
        <v>39326</v>
      </c>
      <c r="AE4" s="425">
        <v>39356</v>
      </c>
      <c r="AF4" s="425">
        <v>39387</v>
      </c>
      <c r="AG4" s="425">
        <v>39417</v>
      </c>
      <c r="AH4" s="425">
        <v>39448</v>
      </c>
      <c r="AI4" s="425">
        <v>39479</v>
      </c>
      <c r="AJ4" s="425">
        <v>39508</v>
      </c>
      <c r="AK4" s="425">
        <v>39539</v>
      </c>
      <c r="AL4" s="425">
        <v>39569</v>
      </c>
      <c r="AM4" s="425">
        <v>39600</v>
      </c>
      <c r="AN4" s="425">
        <v>39630</v>
      </c>
      <c r="AO4" s="471">
        <v>39661</v>
      </c>
      <c r="AP4" s="425">
        <v>39692</v>
      </c>
      <c r="AQ4" s="425">
        <v>39722</v>
      </c>
      <c r="AR4" s="425">
        <v>39753</v>
      </c>
      <c r="AS4" s="425">
        <v>39783</v>
      </c>
      <c r="AT4" s="425">
        <v>39814</v>
      </c>
      <c r="AU4" s="425">
        <v>39845</v>
      </c>
      <c r="AV4" s="425">
        <v>39873</v>
      </c>
      <c r="AW4" s="425">
        <v>39904</v>
      </c>
      <c r="AX4" s="425">
        <v>39934</v>
      </c>
      <c r="AY4" s="425">
        <v>39965</v>
      </c>
      <c r="AZ4" s="425">
        <v>39995</v>
      </c>
      <c r="BA4" s="425">
        <v>40026</v>
      </c>
      <c r="BB4" s="425">
        <v>40057</v>
      </c>
      <c r="BC4" s="425">
        <v>40087</v>
      </c>
      <c r="BD4" s="425">
        <v>40118</v>
      </c>
      <c r="BE4" s="425">
        <v>40148</v>
      </c>
      <c r="BF4" s="425">
        <v>40179</v>
      </c>
      <c r="BG4" s="425">
        <v>40210</v>
      </c>
      <c r="BH4" s="425">
        <v>40238</v>
      </c>
      <c r="BI4" s="425">
        <v>40269</v>
      </c>
      <c r="BJ4" s="425">
        <v>40299</v>
      </c>
      <c r="BK4" s="425">
        <v>40330</v>
      </c>
      <c r="BL4" s="425">
        <v>40360</v>
      </c>
      <c r="BM4" s="425">
        <v>40391</v>
      </c>
      <c r="BN4" s="425">
        <v>40422</v>
      </c>
      <c r="BO4" s="425">
        <v>40452</v>
      </c>
      <c r="BP4" s="425">
        <v>40483</v>
      </c>
      <c r="BQ4" s="425">
        <v>40513</v>
      </c>
      <c r="BR4" s="425">
        <v>40544</v>
      </c>
      <c r="BS4" s="425">
        <v>40575</v>
      </c>
      <c r="BT4" s="425">
        <v>40603</v>
      </c>
      <c r="BU4" s="425">
        <v>40634</v>
      </c>
      <c r="BV4" s="425">
        <v>40664</v>
      </c>
      <c r="BW4" s="425">
        <v>40695</v>
      </c>
      <c r="BX4" s="425">
        <v>40725</v>
      </c>
      <c r="BY4" s="425">
        <v>40756</v>
      </c>
      <c r="BZ4" s="425">
        <v>40787</v>
      </c>
      <c r="CA4" s="425">
        <v>40817</v>
      </c>
      <c r="CB4" s="425">
        <v>40848</v>
      </c>
      <c r="CC4" s="425">
        <v>40878</v>
      </c>
      <c r="CD4" s="425">
        <v>40909</v>
      </c>
      <c r="CE4" s="425">
        <v>40940</v>
      </c>
      <c r="CF4" s="425">
        <v>40969</v>
      </c>
      <c r="CG4" s="425">
        <v>41000</v>
      </c>
      <c r="CH4" s="425">
        <v>41030</v>
      </c>
      <c r="CI4" s="425">
        <v>41061</v>
      </c>
      <c r="CJ4" s="425">
        <v>41091</v>
      </c>
      <c r="CK4" s="425">
        <v>41122</v>
      </c>
      <c r="CL4" s="425">
        <v>41153</v>
      </c>
      <c r="CM4" s="425">
        <v>41183</v>
      </c>
      <c r="CN4" s="425">
        <v>41214</v>
      </c>
      <c r="CO4" s="425">
        <v>41244</v>
      </c>
      <c r="CP4" s="423">
        <v>41275</v>
      </c>
    </row>
    <row r="5" spans="1:94" ht="13.5" thickTop="1">
      <c r="A5" s="427"/>
      <c r="B5" s="428"/>
      <c r="C5" s="472"/>
      <c r="D5" s="472"/>
      <c r="E5" s="472"/>
      <c r="F5" s="135"/>
      <c r="G5" s="472"/>
      <c r="H5" s="473"/>
      <c r="I5" s="472"/>
      <c r="J5" s="472"/>
      <c r="K5" s="472"/>
      <c r="L5" s="472"/>
      <c r="M5" s="135"/>
      <c r="N5" s="472"/>
      <c r="O5" s="472"/>
      <c r="P5" s="472"/>
      <c r="Q5" s="472"/>
      <c r="R5" s="472"/>
      <c r="S5" s="472"/>
      <c r="T5" s="472"/>
      <c r="U5" s="472"/>
      <c r="V5" s="472"/>
      <c r="W5" s="472"/>
      <c r="X5" s="472"/>
      <c r="Y5" s="472"/>
      <c r="Z5" s="472"/>
      <c r="AA5" s="472"/>
      <c r="AB5" s="472"/>
      <c r="AC5" s="472"/>
      <c r="AD5" s="473"/>
      <c r="AE5" s="472"/>
      <c r="AF5" s="472"/>
      <c r="AG5" s="472"/>
      <c r="AH5" s="472"/>
      <c r="AI5" s="472"/>
      <c r="AJ5" s="472"/>
      <c r="AK5" s="472"/>
      <c r="AL5" s="472"/>
      <c r="AM5" s="472"/>
      <c r="AN5" s="472"/>
      <c r="AO5" s="473"/>
      <c r="AP5" s="502"/>
      <c r="AQ5" s="502"/>
      <c r="AR5" s="472"/>
      <c r="AS5" s="472"/>
      <c r="AT5" s="472"/>
      <c r="AU5" s="472"/>
      <c r="AV5" s="472"/>
      <c r="AW5" s="472"/>
      <c r="AX5" s="472"/>
      <c r="AY5" s="472"/>
      <c r="AZ5" s="472"/>
      <c r="BA5" s="472"/>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4"/>
    </row>
    <row r="6" spans="1:94">
      <c r="A6" s="433" t="s">
        <v>508</v>
      </c>
      <c r="B6" s="434" t="s">
        <v>509</v>
      </c>
      <c r="C6" s="476">
        <f>[105]Sheet1!$S$8/1000000</f>
        <v>0</v>
      </c>
      <c r="D6" s="476">
        <f>[5]Sheet2!$C$5/1000000</f>
        <v>0</v>
      </c>
      <c r="E6" s="476">
        <f>[6]Sheet2!$C$5/1000000</f>
        <v>0</v>
      </c>
      <c r="F6" s="400">
        <f>[7]Sheet2!$C$5/1000000</f>
        <v>0</v>
      </c>
      <c r="G6" s="476">
        <f>[8]Sheet2!$C$5/1000000</f>
        <v>0</v>
      </c>
      <c r="H6" s="477">
        <f>[9]Sheet2!$C$5/1000000</f>
        <v>0</v>
      </c>
      <c r="I6" s="476">
        <f>[10]Sheet2!$C$5/1000000</f>
        <v>0</v>
      </c>
      <c r="J6" s="476">
        <f>[11]Sheet2!$C$5/1000000</f>
        <v>0</v>
      </c>
      <c r="K6" s="476">
        <f>[12]Sheet2!$C$5/1000000</f>
        <v>0</v>
      </c>
      <c r="L6" s="476">
        <f>[13]Sheet2!$C$5/1000000</f>
        <v>0</v>
      </c>
      <c r="M6" s="400">
        <f>[14]Sheet2!$C$5/1000000</f>
        <v>0</v>
      </c>
      <c r="N6" s="476">
        <f>[15]Sheet2!$C$5/1000000</f>
        <v>0</v>
      </c>
      <c r="O6" s="476">
        <f>[16]Sheet2!$C$5/1000000</f>
        <v>0</v>
      </c>
      <c r="P6" s="476">
        <f>[17]Sheet2!$C$5/1000000</f>
        <v>0</v>
      </c>
      <c r="Q6" s="476">
        <f>[18]Sheet2!$C$5/1000000</f>
        <v>0</v>
      </c>
      <c r="R6" s="476">
        <f>[19]Sheet2!$C$5/1000000</f>
        <v>0</v>
      </c>
      <c r="S6" s="476">
        <f>[20]Sheet2!$C$5/1000000</f>
        <v>0</v>
      </c>
      <c r="T6" s="476">
        <f>[21]Sheet2!$C$5/1000000</f>
        <v>0</v>
      </c>
      <c r="U6" s="476">
        <f>[22]Sheet2!$C$5/1000000</f>
        <v>0</v>
      </c>
      <c r="V6" s="476">
        <f>[23]Sheet2!$C$5/1000000</f>
        <v>0</v>
      </c>
      <c r="W6" s="476">
        <f>[24]Sheet2!$C$5/1000000</f>
        <v>0</v>
      </c>
      <c r="X6" s="476">
        <f>[25]Sheet2!$C$5/1000000</f>
        <v>0</v>
      </c>
      <c r="Y6" s="476">
        <f>[26]Sheet2!$C$5/1000000</f>
        <v>0</v>
      </c>
      <c r="Z6" s="476">
        <f>[27]Sheet2!$C$5/1000000</f>
        <v>0</v>
      </c>
      <c r="AA6" s="476">
        <f>[28]Sheet2!$C$5/1000000</f>
        <v>0</v>
      </c>
      <c r="AB6" s="476">
        <f>[29]Sheet2!$C$5/1000000</f>
        <v>0</v>
      </c>
      <c r="AC6" s="476">
        <f>[30]Sheet2!$C$5/1000000</f>
        <v>0</v>
      </c>
      <c r="AD6" s="477">
        <f>[31]Sheet2!$C$5/1000000</f>
        <v>0</v>
      </c>
      <c r="AE6" s="476">
        <f>[32]Sheet2!$C$5/1000000</f>
        <v>0</v>
      </c>
      <c r="AF6" s="476">
        <f>[33]Sheet2!$C$5/1000000</f>
        <v>0</v>
      </c>
      <c r="AG6" s="476">
        <f>[34]Sheet2!$C$5/1000000</f>
        <v>0</v>
      </c>
      <c r="AH6" s="476">
        <f>[35]Sheet2!$C$5/1000000</f>
        <v>0</v>
      </c>
      <c r="AI6" s="476">
        <f>[36]Sheet2!$C$5/1000000</f>
        <v>0</v>
      </c>
      <c r="AJ6" s="476">
        <f>[36]Sheet2!$C$5/1000000</f>
        <v>0</v>
      </c>
      <c r="AK6" s="476">
        <f>[36]Sheet2!$C$5/1000000</f>
        <v>0</v>
      </c>
      <c r="AL6" s="476">
        <f>[36]Sheet2!$C$5/1000000</f>
        <v>0</v>
      </c>
      <c r="AM6" s="476">
        <f>[63]Sheet2!$C$5/1000000</f>
        <v>0</v>
      </c>
      <c r="AN6" s="476">
        <f>[63]Sheet2!$C$5/1000000</f>
        <v>0</v>
      </c>
      <c r="AO6" s="477">
        <f>[63]Sheet2!$C$5/1000000</f>
        <v>0</v>
      </c>
      <c r="AP6" s="476">
        <f>[37]Sheet2!$C$5/1000000</f>
        <v>0</v>
      </c>
      <c r="AQ6" s="476">
        <f>[38]Sheet2!$C$5/1000000</f>
        <v>0</v>
      </c>
      <c r="AR6" s="476">
        <f>[39]Sheet2!$C$5/1000000</f>
        <v>0</v>
      </c>
      <c r="AS6" s="476">
        <f>[66]Sheet2!$C$5/1000000</f>
        <v>0</v>
      </c>
      <c r="AT6" s="476">
        <f>[67]Sheet2!$C$5/1000000</f>
        <v>0</v>
      </c>
      <c r="AU6" s="476">
        <f>[68]Sheet2!$C$5/1000000</f>
        <v>0</v>
      </c>
      <c r="AV6" s="476">
        <f>[68]Sheet2!$C$5/1000000</f>
        <v>0</v>
      </c>
      <c r="AW6" s="476">
        <f>[68]Sheet2!$C$5/1000000</f>
        <v>0</v>
      </c>
      <c r="AX6" s="476">
        <f>[68]Sheet2!$C$5/1000000</f>
        <v>0</v>
      </c>
      <c r="AY6" s="476">
        <f>[68]Sheet2!$C$5/1000000</f>
        <v>0</v>
      </c>
      <c r="AZ6" s="476">
        <f>[68]Sheet2!$C$5/1000000</f>
        <v>0</v>
      </c>
      <c r="BA6" s="476">
        <f>[74]Sheet2!$C$5/1000000</f>
        <v>0</v>
      </c>
      <c r="BB6" s="476">
        <f>[40]Sheet2!$C$5/1000000</f>
        <v>0</v>
      </c>
      <c r="BC6" s="476">
        <f>[75]Sheet2!$C$5/1000000</f>
        <v>0</v>
      </c>
      <c r="BD6" s="476">
        <f>[76]Sheet2!$C$5/1000000</f>
        <v>0</v>
      </c>
      <c r="BE6" s="476">
        <f>[77]Sheet2!$C$5/1000000</f>
        <v>0</v>
      </c>
      <c r="BF6" s="476">
        <f>[41]Sheet2!$C$5/1000000</f>
        <v>0</v>
      </c>
      <c r="BG6" s="476">
        <f>[42]Sheet2!$C$5/1000000</f>
        <v>0</v>
      </c>
      <c r="BH6" s="476">
        <f>[43]Sheet2!$C$5/1000000</f>
        <v>0</v>
      </c>
      <c r="BI6" s="476">
        <f>[44]Sheet2!$C$5/1000000</f>
        <v>0</v>
      </c>
      <c r="BJ6" s="476">
        <f>[78]Sheet2!$C$5/1000000</f>
        <v>0</v>
      </c>
      <c r="BK6" s="476">
        <f>[79]Sheet2!$C$5/1000000</f>
        <v>0</v>
      </c>
      <c r="BL6" s="476">
        <f>[80]Sheet2!$C$5/1000000</f>
        <v>0</v>
      </c>
      <c r="BM6" s="476">
        <f>[81]Sheet2!$C$5/1000000</f>
        <v>0</v>
      </c>
      <c r="BN6" s="476">
        <f>[82]Sheet2!$C$5/1000000</f>
        <v>0</v>
      </c>
      <c r="BO6" s="476">
        <f>[83]Sheet2!$C$5/1000000</f>
        <v>0</v>
      </c>
      <c r="BP6" s="476">
        <f>[84]Sheet2!$C$5/1000000</f>
        <v>0</v>
      </c>
      <c r="BQ6" s="476">
        <f>[85]Sheet2!$C$5/1000000</f>
        <v>0</v>
      </c>
      <c r="BR6" s="476">
        <f>[86]Sheet2!$C$5/1000000</f>
        <v>0</v>
      </c>
      <c r="BS6" s="476">
        <f>[87]Sheet2!$C$5/1000000</f>
        <v>0</v>
      </c>
      <c r="BT6" s="476">
        <f>[88]Sheet2!$C$5/1000000</f>
        <v>0</v>
      </c>
      <c r="BU6" s="476">
        <f>[89]Sheet2!$C$5/1000000</f>
        <v>0</v>
      </c>
      <c r="BV6" s="476">
        <f>[90]Sheet2!$C$5/1000000</f>
        <v>0</v>
      </c>
      <c r="BW6" s="476">
        <f>[90]Sheet2!$C$5/1000000</f>
        <v>0</v>
      </c>
      <c r="BX6" s="476">
        <f>[90]Sheet2!$C$5/1000000</f>
        <v>0</v>
      </c>
      <c r="BY6" s="476">
        <f>[90]Sheet2!$C$5/1000000</f>
        <v>0</v>
      </c>
      <c r="BZ6" s="476">
        <f>[94]Sheet2!$C$5/1000000</f>
        <v>0</v>
      </c>
      <c r="CA6" s="476">
        <f>[95]Sheet2!$C$5/1000000</f>
        <v>0</v>
      </c>
      <c r="CB6" s="476">
        <f>[45]Sheet2!$C$5/1000000</f>
        <v>0</v>
      </c>
      <c r="CC6" s="476">
        <f>[46]Sheet2!$C$5/1000000</f>
        <v>0</v>
      </c>
      <c r="CD6" s="476">
        <f>[47]Sheet2!$C$5/1000000</f>
        <v>0</v>
      </c>
      <c r="CE6" s="476">
        <f>[48]Sheet2!$C$5/1000000</f>
        <v>0</v>
      </c>
      <c r="CF6" s="476">
        <f>[49]Sheet2!$C$5/1000000</f>
        <v>0</v>
      </c>
      <c r="CG6" s="476">
        <f>[50]Sheet2!$C$5/1000000</f>
        <v>0</v>
      </c>
      <c r="CH6" s="476">
        <f>[51]Sheet2!$C$5/1000000</f>
        <v>0</v>
      </c>
      <c r="CI6" s="476">
        <f>[52]Sheet2!$C$5/1000000</f>
        <v>0</v>
      </c>
      <c r="CJ6" s="476">
        <f>[53]Sheet2!$C$5/1000000</f>
        <v>0</v>
      </c>
      <c r="CK6" s="476">
        <f>[54]Sheet2!$C$5/1000000</f>
        <v>0</v>
      </c>
      <c r="CL6" s="476">
        <f>[55]Sheet2!$C$5/1000000</f>
        <v>0</v>
      </c>
      <c r="CM6" s="476">
        <f>[56]Sheet2!$C$5/1000000</f>
        <v>0</v>
      </c>
      <c r="CN6" s="476">
        <f>[57]Sheet2!$C$5/1000000</f>
        <v>0</v>
      </c>
      <c r="CO6" s="476">
        <f>[58]Sheet2!$C$5/1000000</f>
        <v>0</v>
      </c>
      <c r="CP6" s="435">
        <f>[59]Sheet2!$C$5/1000000</f>
        <v>0</v>
      </c>
    </row>
    <row r="7" spans="1:94">
      <c r="A7" s="436"/>
      <c r="B7" s="437"/>
      <c r="C7" s="478"/>
      <c r="D7" s="478"/>
      <c r="E7" s="478"/>
      <c r="F7" s="479"/>
      <c r="G7" s="478"/>
      <c r="H7" s="480"/>
      <c r="I7" s="478"/>
      <c r="J7" s="478"/>
      <c r="K7" s="478"/>
      <c r="L7" s="478"/>
      <c r="M7" s="479"/>
      <c r="N7" s="478"/>
      <c r="O7" s="478"/>
      <c r="P7" s="478"/>
      <c r="Q7" s="478"/>
      <c r="R7" s="478"/>
      <c r="S7" s="478"/>
      <c r="T7" s="478"/>
      <c r="U7" s="478"/>
      <c r="V7" s="478"/>
      <c r="W7" s="478"/>
      <c r="X7" s="478"/>
      <c r="Y7" s="478"/>
      <c r="Z7" s="478"/>
      <c r="AA7" s="478"/>
      <c r="AB7" s="478"/>
      <c r="AC7" s="478"/>
      <c r="AD7" s="480"/>
      <c r="AE7" s="478"/>
      <c r="AF7" s="478"/>
      <c r="AG7" s="478"/>
      <c r="AH7" s="478"/>
      <c r="AI7" s="478"/>
      <c r="AJ7" s="478"/>
      <c r="AK7" s="478"/>
      <c r="AL7" s="478"/>
      <c r="AM7" s="478"/>
      <c r="AN7" s="478"/>
      <c r="AO7" s="480"/>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38"/>
    </row>
    <row r="8" spans="1:94">
      <c r="A8" s="433" t="s">
        <v>510</v>
      </c>
      <c r="B8" s="434" t="s">
        <v>511</v>
      </c>
      <c r="C8" s="476">
        <f>C9+C10+C11+C12</f>
        <v>1207.5941332191794</v>
      </c>
      <c r="D8" s="476">
        <f>D9+D10+D11+D12</f>
        <v>1169.3140098843271</v>
      </c>
      <c r="E8" s="476">
        <f t="shared" ref="E8:BP8" si="0">E9+E10+E11+E12</f>
        <v>992.91258254432705</v>
      </c>
      <c r="F8" s="400">
        <f t="shared" si="0"/>
        <v>1198.609898054327</v>
      </c>
      <c r="G8" s="476">
        <f t="shared" si="0"/>
        <v>1644.2891013443273</v>
      </c>
      <c r="H8" s="477">
        <f t="shared" si="0"/>
        <v>1734.824023805671</v>
      </c>
      <c r="I8" s="476">
        <f t="shared" si="0"/>
        <v>1834.5720484756712</v>
      </c>
      <c r="J8" s="476">
        <f t="shared" si="0"/>
        <v>1961.88872173246</v>
      </c>
      <c r="K8" s="476">
        <f t="shared" si="0"/>
        <v>2341.3958519126513</v>
      </c>
      <c r="L8" s="476">
        <f t="shared" si="0"/>
        <v>2128.8771590397255</v>
      </c>
      <c r="M8" s="400">
        <f t="shared" si="0"/>
        <v>2105.2880649290082</v>
      </c>
      <c r="N8" s="476">
        <f t="shared" si="0"/>
        <v>2054.0058321224997</v>
      </c>
      <c r="O8" s="476">
        <f t="shared" si="0"/>
        <v>2234.3593438034395</v>
      </c>
      <c r="P8" s="476">
        <f t="shared" si="0"/>
        <v>2207.0196231888999</v>
      </c>
      <c r="Q8" s="476">
        <f t="shared" si="0"/>
        <v>2178.5085163901749</v>
      </c>
      <c r="R8" s="476">
        <f t="shared" si="0"/>
        <v>2028.3305845411151</v>
      </c>
      <c r="S8" s="476">
        <f t="shared" si="0"/>
        <v>2143.4420798757255</v>
      </c>
      <c r="T8" s="476">
        <f t="shared" si="0"/>
        <v>2071.4782679852269</v>
      </c>
      <c r="U8" s="476">
        <f t="shared" si="0"/>
        <v>2070.5044693114196</v>
      </c>
      <c r="V8" s="476">
        <f t="shared" si="0"/>
        <v>2116.932351689426</v>
      </c>
      <c r="W8" s="476">
        <f t="shared" si="0"/>
        <v>2025.9462067436184</v>
      </c>
      <c r="X8" s="476">
        <f t="shared" si="0"/>
        <v>2220.6206529704268</v>
      </c>
      <c r="Y8" s="476">
        <f t="shared" si="0"/>
        <v>2165.4956665696654</v>
      </c>
      <c r="Z8" s="476">
        <f t="shared" si="0"/>
        <v>2168.2080023572453</v>
      </c>
      <c r="AA8" s="476">
        <f t="shared" si="0"/>
        <v>2315.7004667044071</v>
      </c>
      <c r="AB8" s="476">
        <f t="shared" si="0"/>
        <v>2451.9068899611289</v>
      </c>
      <c r="AC8" s="476">
        <f t="shared" si="0"/>
        <v>2908.8353703098255</v>
      </c>
      <c r="AD8" s="477">
        <f t="shared" si="0"/>
        <v>2851.4056544009604</v>
      </c>
      <c r="AE8" s="476">
        <f t="shared" si="0"/>
        <v>2799.5777638437412</v>
      </c>
      <c r="AF8" s="476">
        <f t="shared" si="0"/>
        <v>3075.457067543789</v>
      </c>
      <c r="AG8" s="476">
        <f t="shared" si="0"/>
        <v>3404.4025624615028</v>
      </c>
      <c r="AH8" s="476">
        <f t="shared" si="0"/>
        <v>4140.4894746187583</v>
      </c>
      <c r="AI8" s="476">
        <f t="shared" si="0"/>
        <v>4143.1476186510372</v>
      </c>
      <c r="AJ8" s="476">
        <f t="shared" si="0"/>
        <v>4992.5430241069389</v>
      </c>
      <c r="AK8" s="476">
        <f t="shared" si="0"/>
        <v>4662.0759049025146</v>
      </c>
      <c r="AL8" s="476">
        <f t="shared" si="0"/>
        <v>4645.2477973798577</v>
      </c>
      <c r="AM8" s="476">
        <f t="shared" si="0"/>
        <v>4763.067357440872</v>
      </c>
      <c r="AN8" s="476">
        <f t="shared" si="0"/>
        <v>5078.0112470027007</v>
      </c>
      <c r="AO8" s="477">
        <f t="shared" si="0"/>
        <v>5097.4471863669023</v>
      </c>
      <c r="AP8" s="476">
        <f t="shared" si="0"/>
        <v>4744.6221060068447</v>
      </c>
      <c r="AQ8" s="476">
        <f t="shared" si="0"/>
        <v>4572.8296630475006</v>
      </c>
      <c r="AR8" s="476">
        <f t="shared" si="0"/>
        <v>4409.0259711448789</v>
      </c>
      <c r="AS8" s="476">
        <f t="shared" si="0"/>
        <v>4346.3346976313705</v>
      </c>
      <c r="AT8" s="476">
        <f t="shared" si="0"/>
        <v>4221.6819360652316</v>
      </c>
      <c r="AU8" s="476">
        <f t="shared" si="0"/>
        <v>4114.911983316937</v>
      </c>
      <c r="AV8" s="476">
        <f t="shared" si="0"/>
        <v>4526.0890101948889</v>
      </c>
      <c r="AW8" s="476">
        <f t="shared" si="0"/>
        <v>4739.5692683599991</v>
      </c>
      <c r="AX8" s="476">
        <f t="shared" si="0"/>
        <v>4933.8751206899997</v>
      </c>
      <c r="AY8" s="476">
        <f t="shared" si="0"/>
        <v>5148.3490968012047</v>
      </c>
      <c r="AZ8" s="476">
        <f t="shared" si="0"/>
        <v>5925.9618539430003</v>
      </c>
      <c r="BA8" s="476">
        <f t="shared" si="0"/>
        <v>6603.2744083842153</v>
      </c>
      <c r="BB8" s="476">
        <f t="shared" si="0"/>
        <v>6371.8904146083787</v>
      </c>
      <c r="BC8" s="476">
        <f t="shared" si="0"/>
        <v>6510.9091048880691</v>
      </c>
      <c r="BD8" s="476">
        <f t="shared" si="0"/>
        <v>6441.2311635090273</v>
      </c>
      <c r="BE8" s="476">
        <f t="shared" si="0"/>
        <v>6414.364242695</v>
      </c>
      <c r="BF8" s="476">
        <f t="shared" si="0"/>
        <v>6277.95380572667</v>
      </c>
      <c r="BG8" s="476">
        <f t="shared" si="0"/>
        <v>6538.7854937177653</v>
      </c>
      <c r="BH8" s="476">
        <f t="shared" si="0"/>
        <v>6695.2168719289721</v>
      </c>
      <c r="BI8" s="476">
        <f t="shared" si="0"/>
        <v>6964.7055060365892</v>
      </c>
      <c r="BJ8" s="476">
        <f t="shared" si="0"/>
        <v>7160.9680286951134</v>
      </c>
      <c r="BK8" s="476">
        <f t="shared" si="0"/>
        <v>7159.2679581132779</v>
      </c>
      <c r="BL8" s="476">
        <f t="shared" si="0"/>
        <v>6743.1424956017418</v>
      </c>
      <c r="BM8" s="476">
        <f t="shared" si="0"/>
        <v>6669.584891773141</v>
      </c>
      <c r="BN8" s="476">
        <f t="shared" si="0"/>
        <v>6868.7494596974011</v>
      </c>
      <c r="BO8" s="476">
        <f t="shared" si="0"/>
        <v>6674.5396071422092</v>
      </c>
      <c r="BP8" s="476">
        <f t="shared" si="0"/>
        <v>6504.2656434804157</v>
      </c>
      <c r="BQ8" s="476">
        <f t="shared" ref="BQ8:CO8" si="1">BQ9+BQ10+BQ11+BQ12</f>
        <v>6306.4675671872719</v>
      </c>
      <c r="BR8" s="476">
        <f t="shared" si="1"/>
        <v>6865.8521646270055</v>
      </c>
      <c r="BS8" s="476">
        <f t="shared" si="1"/>
        <v>6982.4244499202923</v>
      </c>
      <c r="BT8" s="476">
        <f t="shared" si="1"/>
        <v>7014.2318001042349</v>
      </c>
      <c r="BU8" s="476">
        <f t="shared" si="1"/>
        <v>6730.9543862314986</v>
      </c>
      <c r="BV8" s="476">
        <f t="shared" si="1"/>
        <v>7131.5675773788207</v>
      </c>
      <c r="BW8" s="476">
        <f t="shared" si="1"/>
        <v>7755.6404121184996</v>
      </c>
      <c r="BX8" s="476">
        <f t="shared" si="1"/>
        <v>7475.3726773763146</v>
      </c>
      <c r="BY8" s="476">
        <f t="shared" si="1"/>
        <v>7694.6521771541284</v>
      </c>
      <c r="BZ8" s="476">
        <f t="shared" si="1"/>
        <v>7899.4116672389991</v>
      </c>
      <c r="CA8" s="476">
        <f t="shared" si="1"/>
        <v>7450.2529309299989</v>
      </c>
      <c r="CB8" s="476">
        <f t="shared" si="1"/>
        <v>7450.9943186599994</v>
      </c>
      <c r="CC8" s="476">
        <f t="shared" si="1"/>
        <v>7486.398109669999</v>
      </c>
      <c r="CD8" s="476">
        <f t="shared" si="1"/>
        <v>7545.9346201299995</v>
      </c>
      <c r="CE8" s="476">
        <f t="shared" si="1"/>
        <v>7572.0952121888358</v>
      </c>
      <c r="CF8" s="476">
        <f t="shared" si="1"/>
        <v>7859.0611242675595</v>
      </c>
      <c r="CG8" s="476">
        <f t="shared" si="1"/>
        <v>7834.6147919393825</v>
      </c>
      <c r="CH8" s="476">
        <f t="shared" si="1"/>
        <v>7374.5078700393842</v>
      </c>
      <c r="CI8" s="476">
        <f t="shared" si="1"/>
        <v>7309.1368180799991</v>
      </c>
      <c r="CJ8" s="476">
        <f t="shared" si="1"/>
        <v>7493.8330639744245</v>
      </c>
      <c r="CK8" s="476">
        <f t="shared" si="1"/>
        <v>7716.931297341006</v>
      </c>
      <c r="CL8" s="476">
        <f t="shared" si="1"/>
        <v>7973.9142444551371</v>
      </c>
      <c r="CM8" s="476">
        <f t="shared" si="1"/>
        <v>8370.4267425410071</v>
      </c>
      <c r="CN8" s="476">
        <f t="shared" si="1"/>
        <v>8220.5994920110061</v>
      </c>
      <c r="CO8" s="476">
        <f t="shared" si="1"/>
        <v>8604.0737390434715</v>
      </c>
      <c r="CP8" s="435">
        <f>CP9+CP10+CP11+CP12</f>
        <v>9103.2459471044313</v>
      </c>
    </row>
    <row r="9" spans="1:94">
      <c r="A9" s="436" t="s">
        <v>512</v>
      </c>
      <c r="B9" s="437" t="s">
        <v>381</v>
      </c>
      <c r="C9" s="450">
        <f>[105]Sheet1!$S$13/1000000</f>
        <v>0.136798</v>
      </c>
      <c r="D9" s="450">
        <f>[5]Sheet2!$C$10/1000000</f>
        <v>0.13377839999999999</v>
      </c>
      <c r="E9" s="450">
        <f>[6]Sheet2!$C$10/1000000</f>
        <v>0.1290866</v>
      </c>
      <c r="F9" s="390">
        <f>[7]Sheet2!$C$10/1000000</f>
        <v>0.14135320000000001</v>
      </c>
      <c r="G9" s="450">
        <f>[8]Sheet2!$C$10/1000000</f>
        <v>0.14374520000000002</v>
      </c>
      <c r="H9" s="481">
        <f>[9]Sheet2!$C$10/1000000</f>
        <v>0.14154120000000001</v>
      </c>
      <c r="I9" s="450">
        <f>[10]Sheet2!$C$10/1000000</f>
        <v>0.13423236</v>
      </c>
      <c r="J9" s="450">
        <f>[11]Sheet2!$C$10/1000000</f>
        <v>0.13775066</v>
      </c>
      <c r="K9" s="450">
        <f>[12]Sheet2!$C$10/1000000</f>
        <v>0.13323370000000001</v>
      </c>
      <c r="L9" s="450">
        <f>[13]Sheet2!$C$10/1000000</f>
        <v>0.13779868000000001</v>
      </c>
      <c r="M9" s="390">
        <f>[14]Sheet2!$C$10/1000000</f>
        <v>0.13608776</v>
      </c>
      <c r="N9" s="450">
        <f>[15]Sheet2!$C$10/1000000</f>
        <v>0.13424576000000002</v>
      </c>
      <c r="O9" s="450">
        <f>[16]Sheet2!$C$10/1000000</f>
        <v>0.14117195999999999</v>
      </c>
      <c r="P9" s="450">
        <f>[17]Sheet2!$C$10/1000000</f>
        <v>0.13529314000000001</v>
      </c>
      <c r="Q9" s="450">
        <f>[18]Sheet2!$C$10/1000000</f>
        <v>0.13767499999999999</v>
      </c>
      <c r="R9" s="450">
        <f>[19]Sheet2!$C$10/1000000</f>
        <v>0.13331179999999998</v>
      </c>
      <c r="S9" s="450">
        <f>[20]Sheet2!$C$10/1000000</f>
        <v>0.13081680000000001</v>
      </c>
      <c r="T9" s="450">
        <f>[21]Sheet2!$C$10/1000000</f>
        <v>0.16068175000000001</v>
      </c>
      <c r="U9" s="450">
        <f>[22]Sheet2!$C$10/1000000</f>
        <v>0.13693776000000002</v>
      </c>
      <c r="V9" s="450">
        <f>[23]Sheet2!$C$10/1000000</f>
        <v>0.13876416999999999</v>
      </c>
      <c r="W9" s="450">
        <f>[24]Sheet2!$C$10/1000000</f>
        <v>0.13994671</v>
      </c>
      <c r="X9" s="450">
        <f>[25]Sheet2!$C$10/1000000</f>
        <v>0.14068666999999999</v>
      </c>
      <c r="Y9" s="450">
        <f>[26]Sheet2!$C$10/1000000</f>
        <v>0.14070187000000001</v>
      </c>
      <c r="Z9" s="450">
        <f>[27]Sheet2!$C$10/1000000</f>
        <v>0.13231327000000001</v>
      </c>
      <c r="AA9" s="450">
        <f>[28]Sheet2!$C$10/1000000</f>
        <v>0.13099569</v>
      </c>
      <c r="AB9" s="450">
        <f>[29]Sheet2!$C$10/1000000</f>
        <v>0.13989024999999999</v>
      </c>
      <c r="AC9" s="450">
        <f>[30]Sheet2!$C$10/1000000</f>
        <v>0.14362048000000002</v>
      </c>
      <c r="AD9" s="481">
        <f>[31]Sheet2!$C$10/1000000</f>
        <v>0.13761479999999998</v>
      </c>
      <c r="AE9" s="450">
        <f>[32]Sheet2!$C$10/1000000</f>
        <v>0.13965229999999998</v>
      </c>
      <c r="AF9" s="450">
        <f>[33]Sheet2!$C$10/1000000</f>
        <v>0.13140895000000002</v>
      </c>
      <c r="AG9" s="450">
        <f>[34]Sheet2!$C$10/1000000</f>
        <v>0.13067265</v>
      </c>
      <c r="AH9" s="450">
        <f>[35]Sheet2!$C$10/1000000</f>
        <v>0.12752050000000001</v>
      </c>
      <c r="AI9" s="450">
        <f>[36]Sheet2!$C$10/1000000</f>
        <v>0.12940771000000001</v>
      </c>
      <c r="AJ9" s="450">
        <f>[60]Sheet2!$C$10/1000000</f>
        <v>0.13104557999999999</v>
      </c>
      <c r="AK9" s="450">
        <f>[61]Sheet2!$C$10/1000000</f>
        <v>0.13242966999999997</v>
      </c>
      <c r="AL9" s="450">
        <f>[62]Sheet2!$C$10/1000000</f>
        <v>0.13351503000000001</v>
      </c>
      <c r="AM9" s="450">
        <f>[63]Sheet2!$C$10/1000000</f>
        <v>0.13456847</v>
      </c>
      <c r="AN9" s="450">
        <f>[64]Sheet2!$C$10/1000000</f>
        <v>0.24863014999999999</v>
      </c>
      <c r="AO9" s="481">
        <f>[65]Sheet2!$C$10/1000000</f>
        <v>0.60041800000000001</v>
      </c>
      <c r="AP9" s="450">
        <f>[37]Sheet2!$C$10/1000000</f>
        <v>0.18663107000000001</v>
      </c>
      <c r="AQ9" s="450">
        <f>[38]Sheet2!$C$10/1000000</f>
        <v>1.2458031899999999</v>
      </c>
      <c r="AR9" s="450">
        <f>[39]Sheet2!$C$10/1000000</f>
        <v>7.9225805500000002</v>
      </c>
      <c r="AS9" s="450">
        <f>[66]Sheet2!$C$10/1000000</f>
        <v>4.3852080000000004</v>
      </c>
      <c r="AT9" s="450">
        <f>[67]Sheet2!$C$10/1000000</f>
        <v>1.92856217</v>
      </c>
      <c r="AU9" s="450">
        <f>[68]Sheet2!$C$10/1000000</f>
        <v>0.58993375999999997</v>
      </c>
      <c r="AV9" s="450">
        <f>[69]Sheet2!$C$10/1000000</f>
        <v>0.99077411000000004</v>
      </c>
      <c r="AW9" s="450">
        <f>[70]Sheet2!$C$10/1000000</f>
        <v>0.64135385999999994</v>
      </c>
      <c r="AX9" s="450">
        <f>[71]Sheet2!$C$10/1000000</f>
        <v>0.82659742999999997</v>
      </c>
      <c r="AY9" s="450">
        <f>[72]Sheet2!$C$10/1000000</f>
        <v>0.74386967999999998</v>
      </c>
      <c r="AZ9" s="450">
        <f>[73]Sheet2!$C$10/1000000</f>
        <v>4.2991701200000003</v>
      </c>
      <c r="BA9" s="450">
        <f>[74]Sheet2!$C$10/1000000</f>
        <v>0.53958837000000004</v>
      </c>
      <c r="BB9" s="450">
        <f>[40]Sheet2!$C$10/1000000</f>
        <v>0.44831434000000003</v>
      </c>
      <c r="BC9" s="450">
        <f>[75]Sheet2!$C$10/1000000</f>
        <v>0.43327086999999997</v>
      </c>
      <c r="BD9" s="450">
        <f>[76]Sheet2!$C$10/1000000</f>
        <v>0.49215487000000002</v>
      </c>
      <c r="BE9" s="450">
        <f>[77]Sheet2!$C$10/1000000</f>
        <v>0.44504549999999998</v>
      </c>
      <c r="BF9" s="450">
        <f>[41]Sheet2!$C$10/1000000</f>
        <v>0.45835286999999997</v>
      </c>
      <c r="BG9" s="450">
        <f>[42]Sheet2!$C$10/1000000</f>
        <v>0.47558250000000002</v>
      </c>
      <c r="BH9" s="450">
        <f>[43]Sheet2!$C$10/1000000</f>
        <v>0.51804998000000002</v>
      </c>
      <c r="BI9" s="450">
        <f>[44]Sheet2!$C$10/1000000</f>
        <v>0.48696898</v>
      </c>
      <c r="BJ9" s="450">
        <f>[78]Sheet2!$C$10/1000000</f>
        <v>0.53973290000000007</v>
      </c>
      <c r="BK9" s="450">
        <f>[79]Sheet2!$C$10/1000000</f>
        <v>0.47216130000000001</v>
      </c>
      <c r="BL9" s="450">
        <f>[80]Sheet2!$C$10/1000000</f>
        <v>0.48760900000000001</v>
      </c>
      <c r="BM9" s="450">
        <f>[81]Sheet2!$C$10/1000000</f>
        <v>0.46953503999999996</v>
      </c>
      <c r="BN9" s="450">
        <f>[82]Sheet2!$C$10/1000000</f>
        <v>0.51091067999999995</v>
      </c>
      <c r="BO9" s="450">
        <f>[83]Sheet2!$C$10/1000000</f>
        <v>0.48699755</v>
      </c>
      <c r="BP9" s="450">
        <f>[84]Sheet2!$C$10/1000000</f>
        <v>0.47057603000000003</v>
      </c>
      <c r="BQ9" s="450">
        <f>[85]Sheet2!$C$10/1000000</f>
        <v>0.49740463000000001</v>
      </c>
      <c r="BR9" s="450">
        <f>[86]Sheet2!$C$10/1000000</f>
        <v>0.48092333000000004</v>
      </c>
      <c r="BS9" s="450">
        <f>[87]Sheet2!$C$10/1000000</f>
        <v>0.53937548000000002</v>
      </c>
      <c r="BT9" s="450">
        <f>[88]Sheet2!$C$10/1000000</f>
        <v>0.52450744999999999</v>
      </c>
      <c r="BU9" s="450">
        <f>[89]Sheet2!$C$10/1000000</f>
        <v>0.52026499000000004</v>
      </c>
      <c r="BV9" s="450">
        <f>[90]Sheet2!$C$10/1000000</f>
        <v>0.47035330000000003</v>
      </c>
      <c r="BW9" s="450">
        <f>[91]Sheet2!$C$10/1000000</f>
        <v>0.55148105000000003</v>
      </c>
      <c r="BX9" s="450">
        <f>[92]Sheet2!$C$10/1000000</f>
        <v>0.53301871999999995</v>
      </c>
      <c r="BY9" s="450">
        <f>[93]Sheet2!$C$10/1000000</f>
        <v>0.59360968999999997</v>
      </c>
      <c r="BZ9" s="450">
        <f>[94]Sheet2!$C$10/1000000</f>
        <v>0.60386452000000002</v>
      </c>
      <c r="CA9" s="450">
        <f>[95]Sheet2!$C$10/1000000</f>
        <v>0.62539370999999999</v>
      </c>
      <c r="CB9" s="450">
        <f>[45]Sheet2!$C$10/1000000</f>
        <v>0.58118192999999996</v>
      </c>
      <c r="CC9" s="450">
        <f>[46]Sheet2!$C$10/1000000</f>
        <v>0.66350315000000004</v>
      </c>
      <c r="CD9" s="450">
        <f>[47]Sheet2!$C$10/1000000</f>
        <v>0.62708301</v>
      </c>
      <c r="CE9" s="450">
        <f>[48]Sheet2!$C$10/1000000</f>
        <v>0.68965433000000009</v>
      </c>
      <c r="CF9" s="450">
        <f>[49]Sheet2!$C$10/1000000</f>
        <v>0.61038177000000005</v>
      </c>
      <c r="CG9" s="450">
        <f>[50]Sheet2!$C$10/1000000</f>
        <v>0.64981306000000005</v>
      </c>
      <c r="CH9" s="450">
        <f>[51]Sheet2!$C$10/1000000</f>
        <v>0.67600545000000001</v>
      </c>
      <c r="CI9" s="450">
        <f>[52]Sheet2!$C$10/1000000</f>
        <v>0.74728974000000004</v>
      </c>
      <c r="CJ9" s="450">
        <f>[53]Sheet2!$C$10/1000000</f>
        <v>0.67823204000000004</v>
      </c>
      <c r="CK9" s="450">
        <f>[54]Sheet2!$C$10/1000000</f>
        <v>0.78455043999999996</v>
      </c>
      <c r="CL9" s="450">
        <f>[55]Sheet2!$C$10/1000000</f>
        <v>0.74912519</v>
      </c>
      <c r="CM9" s="450">
        <f>[56]Sheet2!$C$10/1000000</f>
        <v>0.75282227000000002</v>
      </c>
      <c r="CN9" s="450">
        <f>[57]Sheet2!$C$10/1000000</f>
        <v>0.81664368999999992</v>
      </c>
      <c r="CO9" s="450">
        <f>[58]Sheet2!$C$10/1000000</f>
        <v>0.91252921999999992</v>
      </c>
      <c r="CP9" s="439">
        <f>[59]Sheet2!$C$10/1000000</f>
        <v>0.85935381999999993</v>
      </c>
    </row>
    <row r="10" spans="1:94">
      <c r="A10" s="436" t="s">
        <v>514</v>
      </c>
      <c r="B10" s="437" t="s">
        <v>564</v>
      </c>
      <c r="C10" s="450">
        <f>[105]Sheet1!$S$16/1000000</f>
        <v>602.5831153691795</v>
      </c>
      <c r="D10" s="450">
        <f>[5]Sheet2!$C$13/1000000</f>
        <v>535.44971606432716</v>
      </c>
      <c r="E10" s="450">
        <f>[6]Sheet2!$C$13/1000000</f>
        <v>335.88269305432709</v>
      </c>
      <c r="F10" s="390">
        <f>[7]Sheet2!$C$13/1000000</f>
        <v>377.39918996432709</v>
      </c>
      <c r="G10" s="450">
        <f>[8]Sheet2!$C$13/1000000</f>
        <v>756.21661557432708</v>
      </c>
      <c r="H10" s="481">
        <f>[9]Sheet2!$C$13/1000000</f>
        <v>799.78411217567088</v>
      </c>
      <c r="I10" s="450">
        <f>[10]Sheet2!$C$13/1000000</f>
        <v>952.44549318567101</v>
      </c>
      <c r="J10" s="450">
        <f>[11]Sheet2!$C$13/1000000</f>
        <v>849.03084875245986</v>
      </c>
      <c r="K10" s="450">
        <f>[12]Sheet2!$C$13/1000000</f>
        <v>1041.2642462425736</v>
      </c>
      <c r="L10" s="450">
        <f>[13]Sheet2!$C$13/1000000</f>
        <v>535.11257146725177</v>
      </c>
      <c r="M10" s="390">
        <f>[14]Sheet2!$C$13/1000000</f>
        <v>373.29821518025176</v>
      </c>
      <c r="N10" s="450">
        <f>[15]Sheet2!$C$13/1000000</f>
        <v>319.35145348025173</v>
      </c>
      <c r="O10" s="450">
        <f>[16]Sheet2!$C$13/1000000</f>
        <v>381.37694892093668</v>
      </c>
      <c r="P10" s="450">
        <f>[17]Sheet2!$C$13/1000000</f>
        <v>326.26637740093673</v>
      </c>
      <c r="Q10" s="450">
        <f>[18]Sheet2!$C$13/1000000</f>
        <v>324.81329154118612</v>
      </c>
      <c r="R10" s="450">
        <f>[19]Sheet2!$C$13/1000000</f>
        <v>171.73779741118611</v>
      </c>
      <c r="S10" s="450">
        <f>[20]Sheet2!$C$13/1000000</f>
        <v>251.64649767493668</v>
      </c>
      <c r="T10" s="450">
        <f>[21]Sheet2!$C$13/1000000</f>
        <v>149.7201244811861</v>
      </c>
      <c r="U10" s="450">
        <f>[22]Sheet2!$C$13/1000000</f>
        <v>237.45449411593665</v>
      </c>
      <c r="V10" s="450">
        <f>[23]Sheet2!$C$13/1000000</f>
        <v>400.38913668999999</v>
      </c>
      <c r="W10" s="450">
        <f>[24]Sheet2!$C$13/1000000</f>
        <v>262.19748087000005</v>
      </c>
      <c r="X10" s="450">
        <f>[25]Sheet2!$C$13/1000000</f>
        <v>305.01808734118606</v>
      </c>
      <c r="Y10" s="450">
        <f>[26]Sheet2!$C$13/1000000</f>
        <v>282.89005056893666</v>
      </c>
      <c r="Z10" s="450">
        <f>[27]Sheet2!$C$13/1000000</f>
        <v>288.47058529675058</v>
      </c>
      <c r="AA10" s="450">
        <f>[28]Sheet2!$C$13/1000000</f>
        <v>341.93267334899997</v>
      </c>
      <c r="AB10" s="450">
        <f>[29]Sheet2!$C$13/1000000</f>
        <v>395.38881842675056</v>
      </c>
      <c r="AC10" s="450">
        <f>[30]Sheet2!$C$13/1000000</f>
        <v>630.78627846675056</v>
      </c>
      <c r="AD10" s="481">
        <f>[31]Sheet2!$C$13/1000000</f>
        <v>521.60702317598611</v>
      </c>
      <c r="AE10" s="450">
        <f>[32]Sheet2!$C$13/1000000</f>
        <v>286.57811782876701</v>
      </c>
      <c r="AF10" s="450">
        <f>[33]Sheet2!$C$13/1000000</f>
        <v>416.10564258684917</v>
      </c>
      <c r="AG10" s="450">
        <f>[34]Sheet2!$C$13/1000000</f>
        <v>616.30119900684917</v>
      </c>
      <c r="AH10" s="450">
        <f>[35]Sheet2!$C$13/1000000</f>
        <v>927.75296842584908</v>
      </c>
      <c r="AI10" s="450">
        <f>[36]Sheet2!$C$13/1000000</f>
        <v>1008.6797707300957</v>
      </c>
      <c r="AJ10" s="450">
        <f>[60]Sheet2!$C$13/1000000</f>
        <v>1342.4605875583961</v>
      </c>
      <c r="AK10" s="450">
        <f>[61]Sheet2!$C$13/1000000</f>
        <v>1018.6712297208943</v>
      </c>
      <c r="AL10" s="450">
        <f>[62]Sheet2!$C$13/1000000</f>
        <v>1090.0411010983962</v>
      </c>
      <c r="AM10" s="450">
        <f>[63]Sheet2!$C$13/1000000</f>
        <v>1015.3031527793963</v>
      </c>
      <c r="AN10" s="450">
        <f>[64]Sheet2!$C$13/1000000</f>
        <v>1088.1355009148565</v>
      </c>
      <c r="AO10" s="481">
        <f>[65]Sheet2!$C$13/1000000</f>
        <v>994.7121213074015</v>
      </c>
      <c r="AP10" s="450">
        <f>[37]Sheet2!$C$13/1000000</f>
        <v>798.0093193790002</v>
      </c>
      <c r="AQ10" s="450">
        <f>[38]Sheet2!$C$13/1000000</f>
        <v>644.94183145</v>
      </c>
      <c r="AR10" s="450">
        <f>[39]Sheet2!$C$13/1000000</f>
        <v>439.66720171000003</v>
      </c>
      <c r="AS10" s="450">
        <f>[66]Sheet2!$C$13/1000000</f>
        <v>515.69360505299994</v>
      </c>
      <c r="AT10" s="450">
        <f>[67]Sheet2!$C$13/1000000</f>
        <v>395.27437466199996</v>
      </c>
      <c r="AU10" s="450">
        <f>[68]Sheet2!$C$13/1000000</f>
        <v>359.40538953679999</v>
      </c>
      <c r="AV10" s="450">
        <f>[69]Sheet2!$C$13/1000000</f>
        <v>576.62277908000021</v>
      </c>
      <c r="AW10" s="450">
        <f>[70]Sheet2!$C$13/1000000</f>
        <v>1450.5630528299998</v>
      </c>
      <c r="AX10" s="450">
        <f>[71]Sheet2!$C$13/1000000</f>
        <v>858.51732602999994</v>
      </c>
      <c r="AY10" s="450">
        <f>[72]Sheet2!$C$13/1000000</f>
        <v>933.79281333000006</v>
      </c>
      <c r="AZ10" s="450">
        <f>[73]Sheet2!$C$13/1000000</f>
        <v>807.57585788300003</v>
      </c>
      <c r="BA10" s="450">
        <f>[74]Sheet2!$C$13/1000000</f>
        <v>1418.3349737829999</v>
      </c>
      <c r="BB10" s="450">
        <f>[40]Sheet2!$C$13/1000000</f>
        <v>1141.3919988129999</v>
      </c>
      <c r="BC10" s="450">
        <f>[75]Sheet2!$C$13/1000000</f>
        <v>1102.8045247129999</v>
      </c>
      <c r="BD10" s="450">
        <f>[76]Sheet2!$C$13/1000000</f>
        <v>993.61120435299983</v>
      </c>
      <c r="BE10" s="450">
        <f>[77]Sheet2!$C$13/1000000</f>
        <v>987.94501984199985</v>
      </c>
      <c r="BF10" s="450">
        <f>[41]Sheet2!$C$13/1000000</f>
        <v>831.29559185199969</v>
      </c>
      <c r="BG10" s="450">
        <f>[42]Sheet2!$C$13/1000000</f>
        <v>580.16398265199973</v>
      </c>
      <c r="BH10" s="450">
        <f>[43]Sheet2!$C$13/1000000</f>
        <v>855.04543547199944</v>
      </c>
      <c r="BI10" s="450">
        <f>[44]Sheet2!$C$13/1000000</f>
        <v>981.78352783199932</v>
      </c>
      <c r="BJ10" s="450">
        <f>[78]Sheet2!$C$13/1000000</f>
        <v>956.74111568064814</v>
      </c>
      <c r="BK10" s="450">
        <f>[79]Sheet2!$C$13/1000000</f>
        <v>1317.4926197586478</v>
      </c>
      <c r="BL10" s="450">
        <f>[80]Sheet2!$C$13/1000000</f>
        <v>867.96021520864792</v>
      </c>
      <c r="BM10" s="450">
        <f>[81]Sheet2!$C$13/1000000</f>
        <v>991.64572975864769</v>
      </c>
      <c r="BN10" s="450">
        <f>[82]Sheet2!$C$13/1000000</f>
        <v>1091.7730966156478</v>
      </c>
      <c r="BO10" s="450">
        <f>[83]Sheet2!$C$13/1000000</f>
        <v>1011.8523868956479</v>
      </c>
      <c r="BP10" s="450">
        <f>[84]Sheet2!$C$13/1000000</f>
        <v>1069.1402223798464</v>
      </c>
      <c r="BQ10" s="450">
        <f>[85]Sheet2!$C$13/1000000</f>
        <v>734.35416765564764</v>
      </c>
      <c r="BR10" s="450">
        <f>[86]Sheet2!$C$13/1000000</f>
        <v>973.38263891894189</v>
      </c>
      <c r="BS10" s="450">
        <f>[87]Sheet2!$C$13/1000000</f>
        <v>889.81715641894198</v>
      </c>
      <c r="BT10" s="450">
        <f>[88]Sheet2!$C$13/1000000</f>
        <v>800.93572807081671</v>
      </c>
      <c r="BU10" s="450">
        <f>[89]Sheet2!$C$13/1000000</f>
        <v>697.51102734794199</v>
      </c>
      <c r="BV10" s="450">
        <f>[90]Sheet2!$C$13/1000000</f>
        <v>672.42356670526476</v>
      </c>
      <c r="BW10" s="450">
        <f>[91]Sheet2!$C$13/1000000</f>
        <v>1152.4903325779412</v>
      </c>
      <c r="BX10" s="450">
        <f>[92]Sheet2!$C$13/1000000</f>
        <v>767.06861123794124</v>
      </c>
      <c r="BY10" s="450">
        <f>[93]Sheet2!$C$13/1000000</f>
        <v>1014.261118427941</v>
      </c>
      <c r="BZ10" s="450">
        <f>[94]Sheet2!$C$13/1000000</f>
        <v>1242.413149969</v>
      </c>
      <c r="CA10" s="450">
        <f>[95]Sheet2!$C$13/1000000</f>
        <v>742.18282027999999</v>
      </c>
      <c r="CB10" s="450">
        <f>[45]Sheet2!$C$13/1000000</f>
        <v>707.13198963000002</v>
      </c>
      <c r="CC10" s="450">
        <f>[46]Sheet2!$C$13/1000000</f>
        <v>1035.2208082100001</v>
      </c>
      <c r="CD10" s="450">
        <f>[47]Sheet2!$C$13/1000000</f>
        <v>844.28711847999989</v>
      </c>
      <c r="CE10" s="450">
        <f>[48]Sheet2!$C$13/1000000</f>
        <v>715.69862252500002</v>
      </c>
      <c r="CF10" s="450">
        <f>[49]Sheet2!$C$13/1000000</f>
        <v>825.14680075499996</v>
      </c>
      <c r="CG10" s="450">
        <f>[50]Sheet2!$C$13/1000000</f>
        <v>794.53933980500005</v>
      </c>
      <c r="CH10" s="450">
        <f>[51]Sheet2!$C$13/1000000</f>
        <v>769.00867489500024</v>
      </c>
      <c r="CI10" s="450">
        <f>[52]Sheet2!$C$13/1000000</f>
        <v>823.08528254999999</v>
      </c>
      <c r="CJ10" s="450">
        <f>[53]Sheet2!$C$13/1000000</f>
        <v>778.43748957100001</v>
      </c>
      <c r="CK10" s="450">
        <f>[54]Sheet2!$C$13/1000000</f>
        <v>737.05626528100595</v>
      </c>
      <c r="CL10" s="450">
        <f>[55]Sheet2!$C$13/1000000</f>
        <v>883.49283740100611</v>
      </c>
      <c r="CM10" s="450">
        <f>[56]Sheet2!$C$13/1000000</f>
        <v>991.45785896100608</v>
      </c>
      <c r="CN10" s="450">
        <f>[57]Sheet2!$C$13/1000000</f>
        <v>1029.787382989454</v>
      </c>
      <c r="CO10" s="450">
        <f>[58]Sheet2!$C$13/1000000</f>
        <v>1285.3095852010063</v>
      </c>
      <c r="CP10" s="439">
        <f>[59]Sheet2!$C$13/1000000</f>
        <v>1513.5141562410058</v>
      </c>
    </row>
    <row r="11" spans="1:94">
      <c r="A11" s="436" t="s">
        <v>516</v>
      </c>
      <c r="B11" s="437" t="s">
        <v>571</v>
      </c>
      <c r="C11" s="450">
        <f>[105]Sheet1!$S$35/1000000</f>
        <v>147.85975862999999</v>
      </c>
      <c r="D11" s="450">
        <f>[5]Sheet2!$C$30/1000000</f>
        <v>118.27296021000001</v>
      </c>
      <c r="E11" s="450">
        <f>[6]Sheet2!$C$30/1000000</f>
        <v>126.05374291</v>
      </c>
      <c r="F11" s="390">
        <f>[7]Sheet2!$C$30/1000000</f>
        <v>139.43077625000001</v>
      </c>
      <c r="G11" s="450">
        <f>[8]Sheet2!$C$30/1000000</f>
        <v>143.7236029</v>
      </c>
      <c r="H11" s="481">
        <f>[9]Sheet2!$C$30/1000000</f>
        <v>181.86861393000001</v>
      </c>
      <c r="I11" s="450">
        <f>[10]Sheet2!$C$30/1000000</f>
        <v>128.33290374000001</v>
      </c>
      <c r="J11" s="450">
        <f>[11]Sheet2!$C$30/1000000</f>
        <v>276.87750923000004</v>
      </c>
      <c r="K11" s="450">
        <f>[12]Sheet2!$C$30/1000000</f>
        <v>212.91996096999998</v>
      </c>
      <c r="L11" s="450">
        <f>[13]Sheet2!$C$30/1000000</f>
        <v>171.96835718</v>
      </c>
      <c r="M11" s="390">
        <f>[14]Sheet2!$C$30/1000000</f>
        <v>177.63391278</v>
      </c>
      <c r="N11" s="450">
        <f>[15]Sheet2!$C$30/1000000</f>
        <v>207.78508337000002</v>
      </c>
      <c r="O11" s="450">
        <f>[16]Sheet2!$C$30/1000000</f>
        <v>299.85714434999994</v>
      </c>
      <c r="P11" s="450">
        <f>[17]Sheet2!$C$30/1000000</f>
        <v>335.55330135999975</v>
      </c>
      <c r="Q11" s="450">
        <f>[18]Sheet2!$C$30/1000000</f>
        <v>286.32163782999976</v>
      </c>
      <c r="R11" s="450">
        <f>[19]Sheet2!$C$30/1000000</f>
        <v>288.94357381999976</v>
      </c>
      <c r="S11" s="450">
        <f>[20]Sheet2!$C$30/1000000</f>
        <v>357.29351283999978</v>
      </c>
      <c r="T11" s="450">
        <f>[21]Sheet2!$C$30/1000000</f>
        <v>311.58080574999974</v>
      </c>
      <c r="U11" s="450">
        <f>[22]Sheet2!$C$30/1000000</f>
        <v>155.68019319999985</v>
      </c>
      <c r="V11" s="450">
        <f>[23]Sheet2!$C$30/1000000</f>
        <v>247.21087684</v>
      </c>
      <c r="W11" s="450">
        <f>[24]Sheet2!$C$30/1000000</f>
        <v>283.97970787000003</v>
      </c>
      <c r="X11" s="450">
        <f>[25]Sheet2!$C$30/1000000</f>
        <v>265.68570657949982</v>
      </c>
      <c r="Y11" s="450">
        <f>[26]Sheet2!$C$30/1000000</f>
        <v>261.37781761949987</v>
      </c>
      <c r="Z11" s="450">
        <f>[27]Sheet2!$C$30/1000000</f>
        <v>281.88948801549981</v>
      </c>
      <c r="AA11" s="450">
        <f>[28]Sheet2!$C$30/1000000</f>
        <v>337.89291353549987</v>
      </c>
      <c r="AB11" s="450">
        <f>[29]Sheet2!$C$30/1000000</f>
        <v>267.28963810549988</v>
      </c>
      <c r="AC11" s="450">
        <f>[30]Sheet2!$C$30/1000000</f>
        <v>296.66929348549985</v>
      </c>
      <c r="AD11" s="481">
        <f>[31]Sheet2!$C$30/1000000</f>
        <v>288.96005666549991</v>
      </c>
      <c r="AE11" s="450">
        <f>[32]Sheet2!$C$30/1000000</f>
        <v>360.49034149549988</v>
      </c>
      <c r="AF11" s="450">
        <f>[33]Sheet2!$C$30/1000000</f>
        <v>431.71562858549981</v>
      </c>
      <c r="AG11" s="450">
        <f>[34]Sheet2!$C$30/1000000</f>
        <v>382.28732294749989</v>
      </c>
      <c r="AH11" s="450">
        <f>[35]Sheet2!$C$30/1000000</f>
        <v>781.44031197749996</v>
      </c>
      <c r="AI11" s="450">
        <f>[36]Sheet2!$C$30/1000000</f>
        <v>774.52023403549981</v>
      </c>
      <c r="AJ11" s="450">
        <f>[60]Sheet2!$C$30/1000000</f>
        <v>1107.1689004554999</v>
      </c>
      <c r="AK11" s="450">
        <f>[61]Sheet2!$C$30/1000000</f>
        <v>856.28326820749976</v>
      </c>
      <c r="AL11" s="450">
        <f>[62]Sheet2!$C$30/1000000</f>
        <v>760.49558163949985</v>
      </c>
      <c r="AM11" s="450">
        <f>[63]Sheet2!$C$30/1000000</f>
        <v>901.8402582294998</v>
      </c>
      <c r="AN11" s="450">
        <f>[64]Sheet2!$C$30/1000000</f>
        <v>792.74774708949997</v>
      </c>
      <c r="AO11" s="481">
        <f>[65]Sheet2!$C$30/1000000</f>
        <v>817.3962234695</v>
      </c>
      <c r="AP11" s="450">
        <f>[37]Sheet2!$C$30/1000000</f>
        <v>575.8489090700001</v>
      </c>
      <c r="AQ11" s="450">
        <f>[38]Sheet2!$C$30/1000000</f>
        <v>564.10851364999996</v>
      </c>
      <c r="AR11" s="450">
        <f>[39]Sheet2!$C$30/1000000</f>
        <v>718.90112993000002</v>
      </c>
      <c r="AS11" s="450">
        <f>[66]Sheet2!$C$30/1000000</f>
        <v>582.67890176000003</v>
      </c>
      <c r="AT11" s="450">
        <f>[67]Sheet2!$C$30/1000000</f>
        <v>612.37702178999996</v>
      </c>
      <c r="AU11" s="450">
        <f>[68]Sheet2!$C$30/1000000</f>
        <v>226.77217009999998</v>
      </c>
      <c r="AV11" s="450">
        <f>[69]Sheet2!$C$30/1000000</f>
        <v>280.36112960000003</v>
      </c>
      <c r="AW11" s="450">
        <f>[70]Sheet2!$C$30/1000000</f>
        <v>247.67850559999999</v>
      </c>
      <c r="AX11" s="450">
        <f>[71]Sheet2!$C$30/1000000</f>
        <v>182.18343411000001</v>
      </c>
      <c r="AY11" s="450">
        <f>[72]Sheet2!$C$30/1000000</f>
        <v>400.89687820120446</v>
      </c>
      <c r="AZ11" s="450">
        <f>[73]Sheet2!$C$30/1000000</f>
        <v>470.99189879999994</v>
      </c>
      <c r="BA11" s="450">
        <f>[74]Sheet2!$C$30/1000000</f>
        <v>528.57329583000001</v>
      </c>
      <c r="BB11" s="450">
        <f>[40]Sheet2!$C$30/1000000</f>
        <v>432.51449483000005</v>
      </c>
      <c r="BC11" s="450">
        <f>[75]Sheet2!$C$30/1000000</f>
        <v>549.22732209999992</v>
      </c>
      <c r="BD11" s="450">
        <f>[76]Sheet2!$C$30/1000000</f>
        <v>428.13262670000006</v>
      </c>
      <c r="BE11" s="450">
        <f>[77]Sheet2!$C$30/1000000</f>
        <v>317.42161484299999</v>
      </c>
      <c r="BF11" s="450">
        <f>[41]Sheet2!$C$30/1000000</f>
        <v>310.18084548299998</v>
      </c>
      <c r="BG11" s="450">
        <f>[42]Sheet2!$C$30/1000000</f>
        <v>582.88419610299991</v>
      </c>
      <c r="BH11" s="450">
        <f>[43]Sheet2!$C$30/1000000</f>
        <v>635.25021299299999</v>
      </c>
      <c r="BI11" s="450">
        <f>[44]Sheet2!$C$30/1000000</f>
        <v>687.69342827600008</v>
      </c>
      <c r="BJ11" s="450">
        <f>[78]Sheet2!$C$30/1000000</f>
        <v>814.12875540775235</v>
      </c>
      <c r="BK11" s="450">
        <f>[79]Sheet2!$C$30/1000000</f>
        <v>334.47204617599999</v>
      </c>
      <c r="BL11" s="450">
        <f>[80]Sheet2!$C$30/1000000</f>
        <v>340.78409806775238</v>
      </c>
      <c r="BM11" s="450">
        <f>[81]Sheet2!$C$30/1000000</f>
        <v>457.40605834599995</v>
      </c>
      <c r="BN11" s="450">
        <f>[82]Sheet2!$C$30/1000000</f>
        <v>523.21195728599992</v>
      </c>
      <c r="BO11" s="450">
        <f>[83]Sheet2!$C$30/1000000</f>
        <v>606.38622986299993</v>
      </c>
      <c r="BP11" s="450">
        <f>[84]Sheet2!$C$30/1000000</f>
        <v>362.84371618299997</v>
      </c>
      <c r="BQ11" s="450">
        <f>[85]Sheet2!$C$30/1000000</f>
        <v>384.54459495299994</v>
      </c>
      <c r="BR11" s="450">
        <f>[86]Sheet2!$C$30/1000000</f>
        <v>518.77405243299995</v>
      </c>
      <c r="BS11" s="450">
        <f>[87]Sheet2!$C$30/1000000</f>
        <v>595.65707920299997</v>
      </c>
      <c r="BT11" s="450">
        <f>[88]Sheet2!$C$30/1000000</f>
        <v>710.61603026</v>
      </c>
      <c r="BU11" s="450">
        <f>[89]Sheet2!$C$30/1000000</f>
        <v>750.00098806999995</v>
      </c>
      <c r="BV11" s="450">
        <f>[90]Sheet2!$C$30/1000000</f>
        <v>881.12443212000005</v>
      </c>
      <c r="BW11" s="450">
        <f>[91]Sheet2!$C$30/1000000</f>
        <v>704.36448890999998</v>
      </c>
      <c r="BX11" s="450">
        <f>[92]Sheet2!$C$30/1000000</f>
        <v>741.86453553000001</v>
      </c>
      <c r="BY11" s="450">
        <f>[93]Sheet2!$C$30/1000000</f>
        <v>838.03370045278677</v>
      </c>
      <c r="BZ11" s="450">
        <f>[94]Sheet2!$C$30/1000000</f>
        <v>785.75288425999997</v>
      </c>
      <c r="CA11" s="450">
        <f>[95]Sheet2!$C$30/1000000</f>
        <v>739.52244490999999</v>
      </c>
      <c r="CB11" s="450">
        <f>[45]Sheet2!$C$30/1000000</f>
        <v>681.90087348999998</v>
      </c>
      <c r="CC11" s="450">
        <f>[46]Sheet2!$C$30/1000000</f>
        <v>606.79243150000013</v>
      </c>
      <c r="CD11" s="450">
        <f>[47]Sheet2!$C$30/1000000</f>
        <v>670.90542106999999</v>
      </c>
      <c r="CE11" s="450">
        <f>[48]Sheet2!$C$30/1000000</f>
        <v>611.94721517999994</v>
      </c>
      <c r="CF11" s="450">
        <f>[49]Sheet2!$C$30/1000000</f>
        <v>737.10745859000008</v>
      </c>
      <c r="CG11" s="450">
        <f>[50]Sheet2!$C$30/1000000</f>
        <v>904.27344923999999</v>
      </c>
      <c r="CH11" s="450">
        <f>[51]Sheet2!$C$30/1000000</f>
        <v>435.92119885</v>
      </c>
      <c r="CI11" s="450">
        <f>[52]Sheet2!$C$30/1000000</f>
        <v>396.46943016000006</v>
      </c>
      <c r="CJ11" s="450">
        <f>[53]Sheet2!$C$30/1000000</f>
        <v>342.44433203000006</v>
      </c>
      <c r="CK11" s="450">
        <f>[54]Sheet2!$C$30/1000000</f>
        <v>407.73355939000004</v>
      </c>
      <c r="CL11" s="450">
        <f>[55]Sheet2!$C$30/1000000</f>
        <v>410.49309282000007</v>
      </c>
      <c r="CM11" s="450">
        <f>[56]Sheet2!$C$30/1000000</f>
        <v>477.16841971000002</v>
      </c>
      <c r="CN11" s="450">
        <f>[57]Sheet2!$C$30/1000000</f>
        <v>384.15260738155212</v>
      </c>
      <c r="CO11" s="450">
        <f>[58]Sheet2!$C$30/1000000</f>
        <v>417.18328244000008</v>
      </c>
      <c r="CP11" s="439">
        <f>[59]Sheet2!$C$30/1000000</f>
        <v>298.00961064000006</v>
      </c>
    </row>
    <row r="12" spans="1:94">
      <c r="A12" s="436" t="s">
        <v>518</v>
      </c>
      <c r="B12" s="437" t="s">
        <v>572</v>
      </c>
      <c r="C12" s="450">
        <f>[105]Sheet1!$S$54/1000000</f>
        <v>457.01446121999999</v>
      </c>
      <c r="D12" s="450">
        <f>[5]Sheet2!$C$47/1000000</f>
        <v>515.45755521000001</v>
      </c>
      <c r="E12" s="450">
        <f>[6]Sheet2!$C$47/1000000</f>
        <v>530.84705997999993</v>
      </c>
      <c r="F12" s="390">
        <f>[7]Sheet2!$C$47/1000000</f>
        <v>681.63857863999999</v>
      </c>
      <c r="G12" s="450">
        <f>[8]Sheet2!$C$47/1000000</f>
        <v>744.20513767</v>
      </c>
      <c r="H12" s="481">
        <f>[9]Sheet2!$C$47/1000000</f>
        <v>753.02975649999996</v>
      </c>
      <c r="I12" s="450">
        <f>[10]Sheet2!$C$47/1000000</f>
        <v>753.65941918999999</v>
      </c>
      <c r="J12" s="450">
        <f>[11]Sheet2!$C$47/1000000</f>
        <v>835.84261308999987</v>
      </c>
      <c r="K12" s="450">
        <f>[12]Sheet2!$C$47/1000000</f>
        <v>1087.0784110000779</v>
      </c>
      <c r="L12" s="450">
        <f>[13]Sheet2!$C$47/1000000</f>
        <v>1421.6584317124737</v>
      </c>
      <c r="M12" s="390">
        <f>[14]Sheet2!$C$47/1000000</f>
        <v>1554.2198492087562</v>
      </c>
      <c r="N12" s="450">
        <f>[15]Sheet2!$C$47/1000000</f>
        <v>1526.7350495122478</v>
      </c>
      <c r="O12" s="450">
        <f>[16]Sheet2!$C$47/1000000</f>
        <v>1552.9840785725028</v>
      </c>
      <c r="P12" s="450">
        <f>[17]Sheet2!$C$47/1000000</f>
        <v>1545.0646512879634</v>
      </c>
      <c r="Q12" s="450">
        <f>[18]Sheet2!$C$47/1000000</f>
        <v>1567.2359120189892</v>
      </c>
      <c r="R12" s="450">
        <f>[19]Sheet2!$C$47/1000000</f>
        <v>1567.5159015099291</v>
      </c>
      <c r="S12" s="450">
        <f>[20]Sheet2!$C$47/1000000</f>
        <v>1534.3712525607889</v>
      </c>
      <c r="T12" s="450">
        <f>[21]Sheet2!$C$47/1000000</f>
        <v>1610.0166560040411</v>
      </c>
      <c r="U12" s="450">
        <f>[22]Sheet2!$C$47/1000000</f>
        <v>1677.2328442354831</v>
      </c>
      <c r="V12" s="450">
        <f>[23]Sheet2!$C$47/1000000</f>
        <v>1469.1935739894261</v>
      </c>
      <c r="W12" s="450">
        <f>[24]Sheet2!$C$47/1000000</f>
        <v>1479.6290712936184</v>
      </c>
      <c r="X12" s="450">
        <f>[25]Sheet2!$C$47/1000000</f>
        <v>1649.7761723797412</v>
      </c>
      <c r="Y12" s="450">
        <f>[26]Sheet2!$C$47/1000000</f>
        <v>1621.087096511229</v>
      </c>
      <c r="Z12" s="450">
        <f>[27]Sheet2!$C$47/1000000</f>
        <v>1597.7156157749948</v>
      </c>
      <c r="AA12" s="450">
        <f>[28]Sheet2!$C$47/1000000</f>
        <v>1635.7438841299072</v>
      </c>
      <c r="AB12" s="450">
        <f>[29]Sheet2!$C$47/1000000</f>
        <v>1789.0885431788784</v>
      </c>
      <c r="AC12" s="450">
        <f>[30]Sheet2!$C$47/1000000</f>
        <v>1981.2361778775753</v>
      </c>
      <c r="AD12" s="481">
        <f>[31]Sheet2!$C$47/1000000</f>
        <v>2040.7009597594742</v>
      </c>
      <c r="AE12" s="450">
        <f>[32]Sheet2!$C$47/1000000</f>
        <v>2152.3696522194741</v>
      </c>
      <c r="AF12" s="450">
        <f>[33]Sheet2!$C$47/1000000</f>
        <v>2227.5043874214402</v>
      </c>
      <c r="AG12" s="450">
        <f>[34]Sheet2!$C$47/1000000</f>
        <v>2405.6833678571538</v>
      </c>
      <c r="AH12" s="450">
        <f>[35]Sheet2!$C$47/1000000</f>
        <v>2431.1686737154096</v>
      </c>
      <c r="AI12" s="450">
        <f>[36]Sheet2!$C$47/1000000</f>
        <v>2359.8182061754419</v>
      </c>
      <c r="AJ12" s="450">
        <f>[60]Sheet2!$C$47/1000000</f>
        <v>2542.7824905130428</v>
      </c>
      <c r="AK12" s="450">
        <f>[61]Sheet2!$C$47/1000000</f>
        <v>2786.98897730412</v>
      </c>
      <c r="AL12" s="450">
        <f>[62]Sheet2!$C$47/1000000</f>
        <v>2794.5775996119623</v>
      </c>
      <c r="AM12" s="450">
        <f>[63]Sheet2!$C$47/1000000</f>
        <v>2845.7893779619762</v>
      </c>
      <c r="AN12" s="450">
        <f>[64]Sheet2!$C$47/1000000</f>
        <v>3196.8793688483443</v>
      </c>
      <c r="AO12" s="481">
        <f>[65]Sheet2!$C$47/1000000</f>
        <v>3284.7384235900004</v>
      </c>
      <c r="AP12" s="450">
        <f>[37]Sheet2!$C$47/1000000</f>
        <v>3370.5772464878446</v>
      </c>
      <c r="AQ12" s="450">
        <f>[38]Sheet2!$C$47/1000000</f>
        <v>3362.5335147575006</v>
      </c>
      <c r="AR12" s="450">
        <f>[39]Sheet2!$C$47/1000000</f>
        <v>3242.5350589548789</v>
      </c>
      <c r="AS12" s="450">
        <f>[66]Sheet2!$C$47/1000000</f>
        <v>3243.5769828183707</v>
      </c>
      <c r="AT12" s="450">
        <f>[67]Sheet2!$C$47/1000000</f>
        <v>3212.101977443232</v>
      </c>
      <c r="AU12" s="450">
        <f>[68]Sheet2!$C$47/1000000</f>
        <v>3528.1444899201374</v>
      </c>
      <c r="AV12" s="450">
        <f>[69]Sheet2!$C$47/1000000</f>
        <v>3668.1143274048891</v>
      </c>
      <c r="AW12" s="450">
        <f>[70]Sheet2!$C$47/1000000</f>
        <v>3040.6863560699999</v>
      </c>
      <c r="AX12" s="450">
        <f>[71]Sheet2!$C$47/1000000</f>
        <v>3892.3477631199999</v>
      </c>
      <c r="AY12" s="450">
        <f>[72]Sheet2!$C$47/1000000</f>
        <v>3812.9155355900002</v>
      </c>
      <c r="AZ12" s="450">
        <f>[73]Sheet2!$C$47/1000000</f>
        <v>4643.0949271400004</v>
      </c>
      <c r="BA12" s="450">
        <f>[74]Sheet2!$C$47/1000000</f>
        <v>4655.8265504012152</v>
      </c>
      <c r="BB12" s="450">
        <f>[40]Sheet2!$C$47/1000000</f>
        <v>4797.5356066253789</v>
      </c>
      <c r="BC12" s="450">
        <f>[75]Sheet2!$C$47/1000000</f>
        <v>4858.4439872050689</v>
      </c>
      <c r="BD12" s="450">
        <f>[76]Sheet2!$C$47/1000000</f>
        <v>5018.9951775860272</v>
      </c>
      <c r="BE12" s="450">
        <f>[77]Sheet2!$C$47/1000000</f>
        <v>5108.5525625099999</v>
      </c>
      <c r="BF12" s="450">
        <f>[41]Sheet2!$C$47/1000000</f>
        <v>5136.0190155216706</v>
      </c>
      <c r="BG12" s="450">
        <f>[42]Sheet2!$C$47/1000000</f>
        <v>5375.2617324627663</v>
      </c>
      <c r="BH12" s="450">
        <f>[43]Sheet2!$C$47/1000000</f>
        <v>5204.4031734839728</v>
      </c>
      <c r="BI12" s="450">
        <f>[44]Sheet2!$C$47/1000000</f>
        <v>5294.7415809485901</v>
      </c>
      <c r="BJ12" s="450">
        <f>[78]Sheet2!$C$47/1000000</f>
        <v>5389.5584247067127</v>
      </c>
      <c r="BK12" s="450">
        <f>[79]Sheet2!$C$47/1000000</f>
        <v>5506.8311308786306</v>
      </c>
      <c r="BL12" s="450">
        <f>[80]Sheet2!$C$47/1000000</f>
        <v>5533.9105733253418</v>
      </c>
      <c r="BM12" s="450">
        <f>[81]Sheet2!$C$47/1000000</f>
        <v>5220.0635686284932</v>
      </c>
      <c r="BN12" s="450">
        <f>[82]Sheet2!$C$47/1000000</f>
        <v>5253.2534951157531</v>
      </c>
      <c r="BO12" s="450">
        <f>[83]Sheet2!$C$47/1000000</f>
        <v>5055.8139928335613</v>
      </c>
      <c r="BP12" s="450">
        <f>[84]Sheet2!$C$47/1000000</f>
        <v>5071.8111288875698</v>
      </c>
      <c r="BQ12" s="450">
        <f>[85]Sheet2!$C$47/1000000</f>
        <v>5187.0713999486243</v>
      </c>
      <c r="BR12" s="450">
        <f>[86]Sheet2!$C$47/1000000</f>
        <v>5373.2145499450635</v>
      </c>
      <c r="BS12" s="450">
        <f>[87]Sheet2!$C$47/1000000</f>
        <v>5496.4108388183504</v>
      </c>
      <c r="BT12" s="450">
        <f>[88]Sheet2!$C$47/1000000</f>
        <v>5502.1555343234186</v>
      </c>
      <c r="BU12" s="450">
        <f>[89]Sheet2!$C$47/1000000</f>
        <v>5282.9221058235562</v>
      </c>
      <c r="BV12" s="450">
        <f>[90]Sheet2!$C$47/1000000</f>
        <v>5577.549225253556</v>
      </c>
      <c r="BW12" s="450">
        <f>[91]Sheet2!$C$47/1000000</f>
        <v>5898.2341095805587</v>
      </c>
      <c r="BX12" s="450">
        <f>[92]Sheet2!$C$47/1000000</f>
        <v>5965.9065118883736</v>
      </c>
      <c r="BY12" s="450">
        <f>[93]Sheet2!$C$47/1000000</f>
        <v>5841.7637485834011</v>
      </c>
      <c r="BZ12" s="450">
        <f>[94]Sheet2!$C$47/1000000</f>
        <v>5870.6417684899998</v>
      </c>
      <c r="CA12" s="450">
        <f>[95]Sheet2!$C$47/1000000</f>
        <v>5967.9222720299986</v>
      </c>
      <c r="CB12" s="450">
        <f>[45]Sheet2!$C$47/1000000</f>
        <v>6061.3802736099997</v>
      </c>
      <c r="CC12" s="450">
        <f>[46]Sheet2!$C$47/1000000</f>
        <v>5843.7213668099994</v>
      </c>
      <c r="CD12" s="450">
        <f>[47]Sheet2!$C$47/1000000</f>
        <v>6030.11499757</v>
      </c>
      <c r="CE12" s="450">
        <f>[48]Sheet2!$C$47/1000000</f>
        <v>6243.7597201538356</v>
      </c>
      <c r="CF12" s="450">
        <f>[49]Sheet2!$C$47/1000000</f>
        <v>6296.1964831525593</v>
      </c>
      <c r="CG12" s="450">
        <f>[50]Sheet2!$C$47/1000000</f>
        <v>6135.1521898343826</v>
      </c>
      <c r="CH12" s="450">
        <f>[51]Sheet2!$C$47/1000000</f>
        <v>6168.9019908443834</v>
      </c>
      <c r="CI12" s="450">
        <f>[52]Sheet2!$C$47/1000000</f>
        <v>6088.834815629999</v>
      </c>
      <c r="CJ12" s="450">
        <f>[53]Sheet2!$C$47/1000000</f>
        <v>6372.2730103334243</v>
      </c>
      <c r="CK12" s="450">
        <f>[54]Sheet2!$C$47/1000000</f>
        <v>6571.3569222300002</v>
      </c>
      <c r="CL12" s="450">
        <f>[55]Sheet2!$C$47/1000000</f>
        <v>6679.1791890441309</v>
      </c>
      <c r="CM12" s="450">
        <f>[56]Sheet2!$C$47/1000000</f>
        <v>6901.047641600001</v>
      </c>
      <c r="CN12" s="450">
        <f>[57]Sheet2!$C$47/1000000</f>
        <v>6805.8428579500005</v>
      </c>
      <c r="CO12" s="450">
        <f>[58]Sheet2!$C$47/1000000</f>
        <v>6900.6683421824655</v>
      </c>
      <c r="CP12" s="439">
        <f>[59]Sheet2!$C$47/1000000</f>
        <v>7290.8628264034251</v>
      </c>
    </row>
    <row r="13" spans="1:94">
      <c r="A13" s="436"/>
      <c r="B13" s="437"/>
      <c r="C13" s="478"/>
      <c r="D13" s="478"/>
      <c r="E13" s="478"/>
      <c r="F13" s="479"/>
      <c r="G13" s="478"/>
      <c r="H13" s="480"/>
      <c r="I13" s="478"/>
      <c r="J13" s="478"/>
      <c r="K13" s="478"/>
      <c r="L13" s="478"/>
      <c r="M13" s="479"/>
      <c r="N13" s="478"/>
      <c r="O13" s="478"/>
      <c r="P13" s="478"/>
      <c r="Q13" s="478"/>
      <c r="R13" s="478"/>
      <c r="S13" s="478"/>
      <c r="T13" s="478"/>
      <c r="U13" s="478"/>
      <c r="V13" s="478"/>
      <c r="W13" s="478"/>
      <c r="X13" s="478"/>
      <c r="Y13" s="478"/>
      <c r="Z13" s="478"/>
      <c r="AA13" s="478"/>
      <c r="AB13" s="478"/>
      <c r="AC13" s="478"/>
      <c r="AD13" s="480"/>
      <c r="AE13" s="478"/>
      <c r="AF13" s="478"/>
      <c r="AG13" s="478"/>
      <c r="AH13" s="478"/>
      <c r="AI13" s="478"/>
      <c r="AJ13" s="478"/>
      <c r="AK13" s="478"/>
      <c r="AL13" s="478"/>
      <c r="AM13" s="478"/>
      <c r="AN13" s="478"/>
      <c r="AO13" s="480"/>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38"/>
    </row>
    <row r="14" spans="1:94">
      <c r="A14" s="433" t="s">
        <v>520</v>
      </c>
      <c r="B14" s="434" t="s">
        <v>521</v>
      </c>
      <c r="C14" s="476">
        <f>[105]Sheet1!$S$75/1000000</f>
        <v>3141.7412288734417</v>
      </c>
      <c r="D14" s="476">
        <f>[5]Sheet2!$C$65/1000000</f>
        <v>3158.4869030572645</v>
      </c>
      <c r="E14" s="476">
        <f>[6]Sheet2!$C$65/1000000</f>
        <v>3198.7408681926768</v>
      </c>
      <c r="F14" s="400">
        <f>[7]Sheet2!$C$65/1000000</f>
        <v>3019.9938490326763</v>
      </c>
      <c r="G14" s="476">
        <f>[8]Sheet2!$C$65/1000000</f>
        <v>2826.5538611226757</v>
      </c>
      <c r="H14" s="477">
        <f>[9]Sheet2!$C$65/1000000</f>
        <v>2799.7486643388174</v>
      </c>
      <c r="I14" s="476">
        <f>[10]Sheet2!$C$65/1000000</f>
        <v>2749.5444257012132</v>
      </c>
      <c r="J14" s="476">
        <f>[11]Sheet2!$C$65/1000000</f>
        <v>2575.7187005012133</v>
      </c>
      <c r="K14" s="476">
        <f>[12]Sheet2!$C$65/1000000</f>
        <v>2041.4957546528001</v>
      </c>
      <c r="L14" s="476">
        <f>[13]Sheet2!$C$65/1000000</f>
        <v>2094.8271464709474</v>
      </c>
      <c r="M14" s="400">
        <f>[14]Sheet2!$C$65/1000000</f>
        <v>2225.6804032560376</v>
      </c>
      <c r="N14" s="476">
        <f>[15]Sheet2!$C$65/1000000</f>
        <v>2350.3789442984998</v>
      </c>
      <c r="O14" s="476">
        <f>[16]Sheet2!$C$65/1000000</f>
        <v>2221.7086997548354</v>
      </c>
      <c r="P14" s="476">
        <f>[17]Sheet2!$C$65/1000000</f>
        <v>2225.8757117201462</v>
      </c>
      <c r="Q14" s="476">
        <f>[18]Sheet2!$C$65/1000000</f>
        <v>2301.1639691281403</v>
      </c>
      <c r="R14" s="476">
        <f>[19]Sheet2!$C$65/1000000</f>
        <v>2346.7748384911879</v>
      </c>
      <c r="S14" s="476">
        <f>[20]Sheet2!$C$65/1000000</f>
        <v>2244.0625431743097</v>
      </c>
      <c r="T14" s="476">
        <f>[21]Sheet2!$C$65/1000000</f>
        <v>2131.419913247481</v>
      </c>
      <c r="U14" s="476">
        <f>[22]Sheet2!$C$65/1000000</f>
        <v>2143.713592826371</v>
      </c>
      <c r="V14" s="476">
        <f>[23]Sheet2!$C$65/1000000</f>
        <v>2186.1390085502549</v>
      </c>
      <c r="W14" s="476">
        <f>[24]Sheet2!$C$65/1000000</f>
        <v>2301.9831274509706</v>
      </c>
      <c r="X14" s="476">
        <f>[25]Sheet2!$C$65/1000000</f>
        <v>2321.86058746246</v>
      </c>
      <c r="Y14" s="476">
        <f>[26]Sheet2!$C$65/1000000</f>
        <v>2471.76681323808</v>
      </c>
      <c r="Z14" s="476">
        <f>[27]Sheet2!$C$65/1000000</f>
        <v>2536.299899499299</v>
      </c>
      <c r="AA14" s="476">
        <f>[28]Sheet2!$C$65/1000000</f>
        <v>2516.8508154133183</v>
      </c>
      <c r="AB14" s="476">
        <f>[29]Sheet2!$C$65/1000000</f>
        <v>2427.2330756263427</v>
      </c>
      <c r="AC14" s="476">
        <f>[30]Sheet2!$C$65/1000000</f>
        <v>2270.0078690333789</v>
      </c>
      <c r="AD14" s="477">
        <f>[31]Sheet2!$C$65/1000000</f>
        <v>2365.1709751035214</v>
      </c>
      <c r="AE14" s="476">
        <f>[32]Sheet2!$C$65/1000000</f>
        <v>2334.9689097226233</v>
      </c>
      <c r="AF14" s="476">
        <f>[33]Sheet2!$C$65/1000000</f>
        <v>2310.6937722622688</v>
      </c>
      <c r="AG14" s="476">
        <f>[34]Sheet2!$C$65/1000000</f>
        <v>2139.971821948056</v>
      </c>
      <c r="AH14" s="476">
        <f>[35]Sheet2!$C$65/1000000</f>
        <v>1976.2289690552557</v>
      </c>
      <c r="AI14" s="476">
        <f>[36]Sheet2!$C$65/1000000</f>
        <v>1965.6124717309676</v>
      </c>
      <c r="AJ14" s="476">
        <f>[60]Sheet2!$C$65/1000000</f>
        <v>1745.7364813708782</v>
      </c>
      <c r="AK14" s="476">
        <f>[61]Sheet2!$C$65/1000000</f>
        <v>1616.5023866291365</v>
      </c>
      <c r="AL14" s="476">
        <f>[62]Sheet2!$C$65/1000000</f>
        <v>1637.1462251732382</v>
      </c>
      <c r="AM14" s="476">
        <f>[63]Sheet2!$C$65/1000000</f>
        <v>1628.8841910976505</v>
      </c>
      <c r="AN14" s="476">
        <f>[64]Sheet2!$C$65/1000000</f>
        <v>1658.2967303723017</v>
      </c>
      <c r="AO14" s="477">
        <f>[65]Sheet2!$C$65/1000000</f>
        <v>1692.3171174499998</v>
      </c>
      <c r="AP14" s="476">
        <f>[37]Sheet2!$C$65/1000000</f>
        <v>1994.5838696299363</v>
      </c>
      <c r="AQ14" s="476">
        <f>[38]Sheet2!$C$65/1000000</f>
        <v>2017.4659075461332</v>
      </c>
      <c r="AR14" s="476">
        <f>[39]Sheet2!$C$65/1000000</f>
        <v>2038.9810114042459</v>
      </c>
      <c r="AS14" s="476">
        <f>[66]Sheet2!$C$65/1000000</f>
        <v>1744.6942894492549</v>
      </c>
      <c r="AT14" s="476">
        <f>[67]Sheet2!$C$65/1000000</f>
        <v>1836.0300834528859</v>
      </c>
      <c r="AU14" s="476">
        <f>[68]Sheet2!$C$65/1000000</f>
        <v>1890.04722036</v>
      </c>
      <c r="AV14" s="476">
        <f>[69]Sheet2!$C$65/1000000</f>
        <v>1805.6448480298918</v>
      </c>
      <c r="AW14" s="476">
        <f>[70]Sheet2!$C$65/1000000</f>
        <v>1777.091374311319</v>
      </c>
      <c r="AX14" s="476">
        <f>[71]Sheet2!$C$65/1000000</f>
        <v>1748.1520837916485</v>
      </c>
      <c r="AY14" s="476">
        <f>[72]Sheet2!$C$65/1000000</f>
        <v>1648.7069554700001</v>
      </c>
      <c r="AZ14" s="476">
        <f>[73]Sheet2!$C$65/1000000</f>
        <v>1597.3564816750697</v>
      </c>
      <c r="BA14" s="476">
        <f>[74]Sheet2!$C$65/1000000</f>
        <v>1602.2370017178173</v>
      </c>
      <c r="BB14" s="476">
        <f>[40]Sheet2!$C$65/1000000</f>
        <v>1616.0677548951646</v>
      </c>
      <c r="BC14" s="476">
        <f>[75]Sheet2!$C$65/1000000</f>
        <v>1589.4390290758242</v>
      </c>
      <c r="BD14" s="476">
        <f>[76]Sheet2!$C$65/1000000</f>
        <v>1593.1882786071428</v>
      </c>
      <c r="BE14" s="476">
        <f>[77]Sheet2!$C$65/1000000</f>
        <v>1544.1289795604396</v>
      </c>
      <c r="BF14" s="476">
        <f>[41]Sheet2!$C$65/1000000</f>
        <v>1534.7776348191451</v>
      </c>
      <c r="BG14" s="476">
        <f>[42]Sheet2!$C$65/1000000</f>
        <v>1550.6753865483333</v>
      </c>
      <c r="BH14" s="476">
        <f>[43]Sheet2!$C$65/1000000</f>
        <v>1388.9837204238659</v>
      </c>
      <c r="BI14" s="476">
        <f>[44]Sheet2!$C$65/1000000</f>
        <v>1382.9648998331868</v>
      </c>
      <c r="BJ14" s="476">
        <f>[78]Sheet2!$C$65/1000000</f>
        <v>1357.56706467546</v>
      </c>
      <c r="BK14" s="476">
        <f>[79]Sheet2!$C$65/1000000</f>
        <v>1311.6844934912328</v>
      </c>
      <c r="BL14" s="476">
        <f>[80]Sheet2!$C$65/1000000</f>
        <v>1309.3671006326374</v>
      </c>
      <c r="BM14" s="476">
        <f>[81]Sheet2!$C$65/1000000</f>
        <v>1306.9037394030634</v>
      </c>
      <c r="BN14" s="476">
        <f>[82]Sheet2!$C$65/1000000</f>
        <v>1309.1511247393</v>
      </c>
      <c r="BO14" s="476">
        <f>[83]Sheet2!$C$65/1000000</f>
        <v>1494.8586652332981</v>
      </c>
      <c r="BP14" s="476">
        <f>[84]Sheet2!$C$65/1000000</f>
        <v>1717.6923635299593</v>
      </c>
      <c r="BQ14" s="476">
        <f>[85]Sheet2!$C$65/1000000</f>
        <v>1706.6328342610359</v>
      </c>
      <c r="BR14" s="476">
        <f>[86]Sheet2!$C$65/1000000</f>
        <v>1428.1947687079648</v>
      </c>
      <c r="BS14" s="476">
        <f>[87]Sheet2!$C$65/1000000</f>
        <v>1422.240900619875</v>
      </c>
      <c r="BT14" s="476">
        <f>[88]Sheet2!$C$65/1000000</f>
        <v>1424.9215065481003</v>
      </c>
      <c r="BU14" s="476">
        <f>[89]Sheet2!$C$65/1000000</f>
        <v>1689.8318971611109</v>
      </c>
      <c r="BV14" s="476">
        <f>[90]Sheet2!$C$65/1000000</f>
        <v>1536.3879081813907</v>
      </c>
      <c r="BW14" s="476">
        <f>[91]Sheet2!$C$65/1000000</f>
        <v>1497.3001113685109</v>
      </c>
      <c r="BX14" s="476">
        <f>[92]Sheet2!$C$65/1000000</f>
        <v>1496.2893116786543</v>
      </c>
      <c r="BY14" s="476">
        <f>[93]Sheet2!$C$65/1000000</f>
        <v>1497.8713312785776</v>
      </c>
      <c r="BZ14" s="476">
        <f>[94]Sheet2!$C$65/1000000</f>
        <v>1492.2001580841759</v>
      </c>
      <c r="CA14" s="476">
        <f>[95]Sheet2!$C$65/1000000</f>
        <v>1491.1442447524175</v>
      </c>
      <c r="CB14" s="476">
        <f>[45]Sheet2!$C$65/1000000</f>
        <v>1494.0817110507694</v>
      </c>
      <c r="CC14" s="476">
        <f>[46]Sheet2!$C$65/1000000</f>
        <v>983.03197204417575</v>
      </c>
      <c r="CD14" s="476">
        <f>[47]Sheet2!$C$65/1000000</f>
        <v>899.83751579747252</v>
      </c>
      <c r="CE14" s="476">
        <f>[48]Sheet2!$C$65/1000000</f>
        <v>901.09174694087915</v>
      </c>
      <c r="CF14" s="476">
        <f>[49]Sheet2!$C$65/1000000</f>
        <v>856.63633345417566</v>
      </c>
      <c r="CG14" s="476">
        <f>[50]Sheet2!$C$65/1000000</f>
        <v>835.12837561252741</v>
      </c>
      <c r="CH14" s="476">
        <f>[51]Sheet2!$C$65/1000000</f>
        <v>762.25248887582404</v>
      </c>
      <c r="CI14" s="476">
        <f>[52]Sheet2!$C$65/1000000</f>
        <v>597.45794412999999</v>
      </c>
      <c r="CJ14" s="476">
        <f>[53]Sheet2!$C$65/1000000</f>
        <v>577.03089347747255</v>
      </c>
      <c r="CK14" s="476">
        <f>[54]Sheet2!$C$65/1000000</f>
        <v>576.93882955076924</v>
      </c>
      <c r="CL14" s="476">
        <f>[55]Sheet2!$C$65/1000000</f>
        <v>544.39697262483514</v>
      </c>
      <c r="CM14" s="476">
        <f>[56]Sheet2!$C$65/1000000</f>
        <v>320.38611489813184</v>
      </c>
      <c r="CN14" s="476">
        <f>[57]Sheet2!$C$65/1000000</f>
        <v>322.69040618648353</v>
      </c>
      <c r="CO14" s="476">
        <f>[58]Sheet2!$C$65/1000000</f>
        <v>270.52531707999998</v>
      </c>
      <c r="CP14" s="435">
        <f>[59]Sheet2!$C$65/1000000</f>
        <v>346.89328178</v>
      </c>
    </row>
    <row r="15" spans="1:94">
      <c r="A15" s="436"/>
      <c r="B15" s="437"/>
      <c r="C15" s="478"/>
      <c r="D15" s="478"/>
      <c r="E15" s="478"/>
      <c r="F15" s="479"/>
      <c r="G15" s="478"/>
      <c r="H15" s="480"/>
      <c r="I15" s="478"/>
      <c r="J15" s="478"/>
      <c r="K15" s="478"/>
      <c r="L15" s="478"/>
      <c r="M15" s="479"/>
      <c r="N15" s="478"/>
      <c r="O15" s="478"/>
      <c r="P15" s="478"/>
      <c r="Q15" s="478"/>
      <c r="R15" s="478"/>
      <c r="S15" s="478"/>
      <c r="T15" s="478"/>
      <c r="U15" s="478"/>
      <c r="V15" s="478"/>
      <c r="W15" s="478"/>
      <c r="X15" s="478"/>
      <c r="Y15" s="478"/>
      <c r="Z15" s="478"/>
      <c r="AA15" s="478"/>
      <c r="AB15" s="478"/>
      <c r="AC15" s="478"/>
      <c r="AD15" s="480"/>
      <c r="AE15" s="478"/>
      <c r="AF15" s="478"/>
      <c r="AG15" s="478"/>
      <c r="AH15" s="478"/>
      <c r="AI15" s="478"/>
      <c r="AJ15" s="478"/>
      <c r="AK15" s="478"/>
      <c r="AL15" s="478"/>
      <c r="AM15" s="478"/>
      <c r="AN15" s="478"/>
      <c r="AO15" s="480"/>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8"/>
      <c r="CM15" s="478"/>
      <c r="CN15" s="478"/>
      <c r="CO15" s="478"/>
      <c r="CP15" s="438"/>
    </row>
    <row r="16" spans="1:94">
      <c r="A16" s="433" t="s">
        <v>522</v>
      </c>
      <c r="B16" s="434" t="s">
        <v>322</v>
      </c>
      <c r="C16" s="476">
        <f>[105]Sheet1!$S$95/1000000</f>
        <v>19280.686609455002</v>
      </c>
      <c r="D16" s="476">
        <f>[5]Sheet2!$C$84/1000000</f>
        <v>19682.263737385001</v>
      </c>
      <c r="E16" s="476">
        <f>[6]Sheet2!$C$84/1000000</f>
        <v>20095.335074604998</v>
      </c>
      <c r="F16" s="400">
        <f>[7]Sheet2!$C$84/1000000</f>
        <v>20441.747822915</v>
      </c>
      <c r="G16" s="476">
        <f>[8]Sheet2!$C$84/1000000</f>
        <v>20780.148270494999</v>
      </c>
      <c r="H16" s="477">
        <f>[9]Sheet2!$C$84/1000000</f>
        <v>21427.871552655</v>
      </c>
      <c r="I16" s="476">
        <f>[10]Sheet2!$C$84/1000000</f>
        <v>21669.938592495004</v>
      </c>
      <c r="J16" s="476">
        <f>[11]Sheet2!$C$84/1000000</f>
        <v>21829.047462724899</v>
      </c>
      <c r="K16" s="476">
        <f>[12]Sheet2!$C$84/1000000</f>
        <v>22185.69245881835</v>
      </c>
      <c r="L16" s="476">
        <f>[13]Sheet2!$C$84/1000000</f>
        <v>22558.82191060828</v>
      </c>
      <c r="M16" s="400">
        <f>[14]Sheet2!$C$84/1000000</f>
        <v>22766.005455108334</v>
      </c>
      <c r="N16" s="476">
        <f>[15]Sheet2!$C$84/1000000</f>
        <v>23074.362108668334</v>
      </c>
      <c r="O16" s="476">
        <f>[16]Sheet2!$C$84/1000000</f>
        <v>23573.191331509999</v>
      </c>
      <c r="P16" s="476">
        <f>[17]Sheet2!$C$84/1000000</f>
        <v>23838.098927788335</v>
      </c>
      <c r="Q16" s="476">
        <f>[18]Sheet2!$C$84/1000000</f>
        <v>24177.23605715482</v>
      </c>
      <c r="R16" s="476">
        <f>[19]Sheet2!$C$84/1000000</f>
        <v>24260.79051913966</v>
      </c>
      <c r="S16" s="476">
        <f>[20]Sheet2!$C$84/1000000</f>
        <v>24437.149945565579</v>
      </c>
      <c r="T16" s="476">
        <f>[21]Sheet2!$C$84/1000000</f>
        <v>24416.239853871451</v>
      </c>
      <c r="U16" s="476">
        <f>[22]Sheet2!$C$84/1000000</f>
        <v>24775.490089183892</v>
      </c>
      <c r="V16" s="476">
        <f>[23]Sheet2!$C$84/1000000</f>
        <v>24877.945276231261</v>
      </c>
      <c r="W16" s="476">
        <f>[24]Sheet2!$C$84/1000000</f>
        <v>25120.538099127254</v>
      </c>
      <c r="X16" s="476">
        <f>[25]Sheet2!$C$84/1000000</f>
        <v>25114.490238064249</v>
      </c>
      <c r="Y16" s="476">
        <f>[26]Sheet2!$C$84/1000000</f>
        <v>25256.256243402084</v>
      </c>
      <c r="Z16" s="476">
        <f>[27]Sheet2!$C$84/1000000</f>
        <v>25481.765030134087</v>
      </c>
      <c r="AA16" s="476">
        <f>[28]Sheet2!$C$84/1000000</f>
        <v>25667.983855303781</v>
      </c>
      <c r="AB16" s="476">
        <f>[29]Sheet2!$C$84/1000000</f>
        <v>25792.365500695756</v>
      </c>
      <c r="AC16" s="476">
        <f>[30]Sheet2!$C$84/1000000</f>
        <v>26040.12614954347</v>
      </c>
      <c r="AD16" s="477">
        <f>[31]Sheet2!$C$84/1000000</f>
        <v>25663.439008322261</v>
      </c>
      <c r="AE16" s="476">
        <f>[32]Sheet2!$C$84/1000000</f>
        <v>25770.759532202264</v>
      </c>
      <c r="AF16" s="476">
        <f>[33]Sheet2!$C$84/1000000</f>
        <v>25937.977353974002</v>
      </c>
      <c r="AG16" s="476">
        <f>[34]Sheet2!$C$84/1000000</f>
        <v>26169.60233799852</v>
      </c>
      <c r="AH16" s="476">
        <f>[35]Sheet2!$C$84/1000000</f>
        <v>26405.511088405387</v>
      </c>
      <c r="AI16" s="476">
        <f>[36]Sheet2!$C$84/1000000</f>
        <v>26563.529757496541</v>
      </c>
      <c r="AJ16" s="476">
        <f>[60]Sheet2!$C$84/1000000</f>
        <v>27228.746922904633</v>
      </c>
      <c r="AK16" s="476">
        <f>[61]Sheet2!$C$84/1000000</f>
        <v>27167.981810980313</v>
      </c>
      <c r="AL16" s="476">
        <f>[62]Sheet2!$C$84/1000000</f>
        <v>27368.44370091848</v>
      </c>
      <c r="AM16" s="476">
        <f>[63]Sheet2!$C$84/1000000</f>
        <v>27554.190427132624</v>
      </c>
      <c r="AN16" s="476">
        <f>[64]Sheet2!$C$84/1000000</f>
        <v>27922.958616314037</v>
      </c>
      <c r="AO16" s="477">
        <f>[65]Sheet2!$C$84/1000000</f>
        <v>28976.56596627878</v>
      </c>
      <c r="AP16" s="476">
        <f>[37]Sheet2!$C$84/1000000</f>
        <v>28536.239430975584</v>
      </c>
      <c r="AQ16" s="476">
        <f>[38]Sheet2!$C$84/1000000</f>
        <v>30690.461290447347</v>
      </c>
      <c r="AR16" s="476">
        <f>[39]Sheet2!$C$84/1000000</f>
        <v>31053.694298561571</v>
      </c>
      <c r="AS16" s="476">
        <f>[66]Sheet2!$C$84/1000000</f>
        <v>31650.981623799351</v>
      </c>
      <c r="AT16" s="476">
        <f>[67]Sheet2!$C$84/1000000</f>
        <v>31588.001687477969</v>
      </c>
      <c r="AU16" s="476">
        <f>[68]Sheet2!$C$84/1000000</f>
        <v>31747.432400730002</v>
      </c>
      <c r="AV16" s="476">
        <f>[69]Sheet2!$C$84/1000000</f>
        <v>31710.719602555924</v>
      </c>
      <c r="AW16" s="476">
        <f>[70]Sheet2!$C$84/1000000</f>
        <v>31833.034198610003</v>
      </c>
      <c r="AX16" s="476">
        <f>[71]Sheet2!$C$84/1000000</f>
        <v>31904.786749660001</v>
      </c>
      <c r="AY16" s="476">
        <f>[72]Sheet2!$C$84/1000000</f>
        <v>31840.432635949997</v>
      </c>
      <c r="AZ16" s="476">
        <f>[73]Sheet2!$C$84/1000000</f>
        <v>31938.005386186665</v>
      </c>
      <c r="BA16" s="476">
        <f>[74]Sheet2!$C$84/1000000</f>
        <v>31970.764195243606</v>
      </c>
      <c r="BB16" s="476">
        <f>[40]Sheet2!$C$84/1000000</f>
        <v>32229.28689672667</v>
      </c>
      <c r="BC16" s="476">
        <f>[75]Sheet2!$C$84/1000000</f>
        <v>32917.23159522756</v>
      </c>
      <c r="BD16" s="476">
        <f>[76]Sheet2!$C$84/1000000</f>
        <v>32957.186442291677</v>
      </c>
      <c r="BE16" s="476">
        <f>[77]Sheet2!$C$84/1000000</f>
        <v>32142.775760440079</v>
      </c>
      <c r="BF16" s="476">
        <f>[41]Sheet2!$C$84/1000000</f>
        <v>32238.896928697581</v>
      </c>
      <c r="BG16" s="476">
        <f>[42]Sheet2!$C$84/1000000</f>
        <v>32141.241751251986</v>
      </c>
      <c r="BH16" s="476">
        <f>[43]Sheet2!$C$84/1000000</f>
        <v>32310.131745688977</v>
      </c>
      <c r="BI16" s="476">
        <f>[44]Sheet2!$C$84/1000000</f>
        <v>32446.340152611516</v>
      </c>
      <c r="BJ16" s="476">
        <f>[78]Sheet2!$C$84/1000000</f>
        <v>32538.128343344084</v>
      </c>
      <c r="BK16" s="476">
        <f>[79]Sheet2!$C$84/1000000</f>
        <v>30674.473151837272</v>
      </c>
      <c r="BL16" s="476">
        <f>[80]Sheet2!$C$84/1000000</f>
        <v>31011.421933601414</v>
      </c>
      <c r="BM16" s="476">
        <f>[81]Sheet2!$C$84/1000000</f>
        <v>31198.389450033043</v>
      </c>
      <c r="BN16" s="476">
        <f>[82]Sheet2!$C$84/1000000</f>
        <v>31306.999086148087</v>
      </c>
      <c r="BO16" s="476">
        <f>[83]Sheet2!$C$84/1000000</f>
        <v>31542.615906547366</v>
      </c>
      <c r="BP16" s="476">
        <f>[84]Sheet2!$C$84/1000000</f>
        <v>31782.78837332538</v>
      </c>
      <c r="BQ16" s="476">
        <f>[85]Sheet2!$C$84/1000000</f>
        <v>32132.173073309463</v>
      </c>
      <c r="BR16" s="476">
        <f>[86]Sheet2!$C$84/1000000</f>
        <v>32422.938862338746</v>
      </c>
      <c r="BS16" s="476">
        <f>[87]Sheet2!$C$84/1000000</f>
        <v>32558.177056714216</v>
      </c>
      <c r="BT16" s="476">
        <f>[88]Sheet2!$C$84/1000000</f>
        <v>33466.647589161446</v>
      </c>
      <c r="BU16" s="476">
        <f>[89]Sheet2!$C$84/1000000</f>
        <v>34115.828833809268</v>
      </c>
      <c r="BV16" s="476">
        <f>[90]Sheet2!$C$84/1000000</f>
        <v>34487.366723820065</v>
      </c>
      <c r="BW16" s="476">
        <f>[91]Sheet2!$C$84/1000000</f>
        <v>34728.556922494121</v>
      </c>
      <c r="BX16" s="476">
        <f>[92]Sheet2!$C$84/1000000</f>
        <v>35027.178391814639</v>
      </c>
      <c r="BY16" s="476">
        <f>[93]Sheet2!$C$84/1000000</f>
        <v>35226.666012681577</v>
      </c>
      <c r="BZ16" s="476">
        <f>[94]Sheet2!$C$84/1000000</f>
        <v>35566.117407309997</v>
      </c>
      <c r="CA16" s="476">
        <f>[95]Sheet2!$C$84/1000000</f>
        <v>36266.410718365492</v>
      </c>
      <c r="CB16" s="476">
        <f>[45]Sheet2!$C$84/1000000</f>
        <v>36656.435974315507</v>
      </c>
      <c r="CC16" s="476">
        <f>[46]Sheet2!$C$84/1000000</f>
        <v>36231.389484940497</v>
      </c>
      <c r="CD16" s="476">
        <f>[47]Sheet2!$C$84/1000000</f>
        <v>36259.015244370501</v>
      </c>
      <c r="CE16" s="476">
        <f>[48]Sheet2!$C$84/1000000</f>
        <v>36690.646576840503</v>
      </c>
      <c r="CF16" s="476">
        <f>[49]Sheet2!$C$84/1000000</f>
        <v>36901.119479850502</v>
      </c>
      <c r="CG16" s="476">
        <f>[50]Sheet2!$C$84/1000000</f>
        <v>37287.475629000495</v>
      </c>
      <c r="CH16" s="476">
        <f>[51]Sheet2!$C$84/1000000</f>
        <v>35797.569851870496</v>
      </c>
      <c r="CI16" s="476">
        <f>[52]Sheet2!$C$84/1000000</f>
        <v>36258.0757674345</v>
      </c>
      <c r="CJ16" s="476">
        <f>[53]Sheet2!$C$84/1000000</f>
        <v>36665.628977974506</v>
      </c>
      <c r="CK16" s="476">
        <f>[54]Sheet2!$C$84/1000000</f>
        <v>36902.350835028687</v>
      </c>
      <c r="CL16" s="476">
        <f>[55]Sheet2!$C$84/1000000</f>
        <v>37232.396207974496</v>
      </c>
      <c r="CM16" s="476">
        <f>[56]Sheet2!$C$84/1000000</f>
        <v>37573.278528558367</v>
      </c>
      <c r="CN16" s="476">
        <f>[57]Sheet2!$C$84/1000000</f>
        <v>37873.332235133777</v>
      </c>
      <c r="CO16" s="476">
        <f>[58]Sheet2!$C$84/1000000</f>
        <v>38393.795160858266</v>
      </c>
      <c r="CP16" s="435">
        <f>[59]Sheet2!$C$84/1000000</f>
        <v>38456.460590937633</v>
      </c>
    </row>
    <row r="17" spans="1:94">
      <c r="A17" s="436"/>
      <c r="B17" s="437"/>
      <c r="C17" s="478"/>
      <c r="D17" s="478"/>
      <c r="E17" s="478"/>
      <c r="F17" s="479"/>
      <c r="G17" s="478"/>
      <c r="H17" s="480"/>
      <c r="I17" s="478"/>
      <c r="J17" s="478"/>
      <c r="K17" s="478"/>
      <c r="L17" s="478"/>
      <c r="M17" s="479"/>
      <c r="N17" s="478"/>
      <c r="O17" s="478"/>
      <c r="P17" s="478"/>
      <c r="Q17" s="478"/>
      <c r="R17" s="478"/>
      <c r="S17" s="478"/>
      <c r="T17" s="478"/>
      <c r="U17" s="478"/>
      <c r="V17" s="478"/>
      <c r="W17" s="478"/>
      <c r="X17" s="478"/>
      <c r="Y17" s="478"/>
      <c r="Z17" s="478"/>
      <c r="AA17" s="478"/>
      <c r="AB17" s="478"/>
      <c r="AC17" s="478"/>
      <c r="AD17" s="480"/>
      <c r="AE17" s="478"/>
      <c r="AF17" s="478"/>
      <c r="AG17" s="478"/>
      <c r="AH17" s="478"/>
      <c r="AI17" s="478"/>
      <c r="AJ17" s="478"/>
      <c r="AK17" s="478"/>
      <c r="AL17" s="478"/>
      <c r="AM17" s="478"/>
      <c r="AN17" s="478"/>
      <c r="AO17" s="480"/>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38"/>
    </row>
    <row r="18" spans="1:94">
      <c r="A18" s="433" t="s">
        <v>523</v>
      </c>
      <c r="B18" s="434" t="s">
        <v>524</v>
      </c>
      <c r="C18" s="476">
        <f>[105]Sheet1!$S$110/1000000</f>
        <v>249.33754500999999</v>
      </c>
      <c r="D18" s="476">
        <f>[5]Sheet2!$C$98/1000000</f>
        <v>264.05557626000001</v>
      </c>
      <c r="E18" s="476">
        <f>[6]Sheet2!$C$98/1000000</f>
        <v>282.63213625999998</v>
      </c>
      <c r="F18" s="400">
        <f>[7]Sheet2!$C$98/1000000</f>
        <v>295.31597005999998</v>
      </c>
      <c r="G18" s="476">
        <f>[8]Sheet2!$C$98/1000000</f>
        <v>268.50543526000001</v>
      </c>
      <c r="H18" s="477">
        <f>[9]Sheet2!$C$98/1000000</f>
        <v>236.63516826</v>
      </c>
      <c r="I18" s="476">
        <f>[10]Sheet2!$C$98/1000000</f>
        <v>219.25531925999999</v>
      </c>
      <c r="J18" s="476">
        <f>[11]Sheet2!$C$98/1000000</f>
        <v>87.311757260000007</v>
      </c>
      <c r="K18" s="476">
        <f>[12]Sheet2!$C$98/1000000</f>
        <v>115.57686126</v>
      </c>
      <c r="L18" s="476">
        <f>[13]Sheet2!$C$98/1000000</f>
        <v>115.65866626</v>
      </c>
      <c r="M18" s="400">
        <f>[14]Sheet2!$C$98/1000000</f>
        <v>115.72814726</v>
      </c>
      <c r="N18" s="476">
        <f>[15]Sheet2!$C$98/1000000</f>
        <v>115.71674726000001</v>
      </c>
      <c r="O18" s="476">
        <f>[16]Sheet2!$C$98/1000000</f>
        <v>98.185628260000001</v>
      </c>
      <c r="P18" s="476">
        <f>[17]Sheet2!$C$98/1000000</f>
        <v>97.894697260000001</v>
      </c>
      <c r="Q18" s="476">
        <f>[18]Sheet2!$C$98/1000000</f>
        <v>99.396492260000002</v>
      </c>
      <c r="R18" s="476">
        <f>[19]Sheet2!$C$98/1000000</f>
        <v>99.915569260000012</v>
      </c>
      <c r="S18" s="476">
        <f>[20]Sheet2!$C$98/1000000</f>
        <v>101.43657702103678</v>
      </c>
      <c r="T18" s="476">
        <f>[21]Sheet2!$C$98/1000000</f>
        <v>103.10802426000001</v>
      </c>
      <c r="U18" s="476">
        <f>[22]Sheet2!$C$98/1000000</f>
        <v>114.30672826</v>
      </c>
      <c r="V18" s="476">
        <f>[23]Sheet2!$C$98/1000000</f>
        <v>114.7917113</v>
      </c>
      <c r="W18" s="476">
        <f>[24]Sheet2!$C$98/1000000</f>
        <v>112.68156833157674</v>
      </c>
      <c r="X18" s="476">
        <f>[25]Sheet2!$C$98/1000000</f>
        <v>116.20933165546708</v>
      </c>
      <c r="Y18" s="476">
        <f>[26]Sheet2!$C$98/1000000</f>
        <v>115.14950657999999</v>
      </c>
      <c r="Z18" s="476">
        <f>[27]Sheet2!$C$98/1000000</f>
        <v>114.80572158</v>
      </c>
      <c r="AA18" s="476">
        <f>[28]Sheet2!$C$98/1000000</f>
        <v>116.01910428000001</v>
      </c>
      <c r="AB18" s="476">
        <f>[29]Sheet2!$C$98/1000000</f>
        <v>117.12312128000001</v>
      </c>
      <c r="AC18" s="476">
        <f>[30]Sheet2!$C$98/1000000</f>
        <v>118.72713528</v>
      </c>
      <c r="AD18" s="477">
        <f>[31]Sheet2!$C$98/1000000</f>
        <v>119.80985028000001</v>
      </c>
      <c r="AE18" s="476">
        <f>[32]Sheet2!$C$98/1000000</f>
        <v>122.54243328</v>
      </c>
      <c r="AF18" s="476">
        <f>[33]Sheet2!$C$98/1000000</f>
        <v>149.63137528000001</v>
      </c>
      <c r="AG18" s="476">
        <f>[34]Sheet2!$C$98/1000000</f>
        <v>161.49389927999999</v>
      </c>
      <c r="AH18" s="476">
        <f>[35]Sheet2!$C$98/1000000</f>
        <v>160.12539828000001</v>
      </c>
      <c r="AI18" s="476">
        <f>[36]Sheet2!$C$98/1000000</f>
        <v>144.78691628000001</v>
      </c>
      <c r="AJ18" s="476">
        <f>[60]Sheet2!$C$98/1000000</f>
        <v>143.44226227999999</v>
      </c>
      <c r="AK18" s="476">
        <f>[61]Sheet2!$C$98/1000000</f>
        <v>278.87764827999996</v>
      </c>
      <c r="AL18" s="476">
        <f>[62]Sheet2!$C$98/1000000</f>
        <v>284.88362527999999</v>
      </c>
      <c r="AM18" s="476">
        <f>[63]Sheet2!$C$98/1000000</f>
        <v>292.43977027999995</v>
      </c>
      <c r="AN18" s="476">
        <f>[64]Sheet2!$C$98/1000000</f>
        <v>292.31112622964417</v>
      </c>
      <c r="AO18" s="477">
        <f>[65]Sheet2!$C$98/1000000</f>
        <v>162.08623628000001</v>
      </c>
      <c r="AP18" s="476">
        <f>[37]Sheet2!$C$98/1000000</f>
        <v>160.46530868000002</v>
      </c>
      <c r="AQ18" s="476">
        <f>[38]Sheet2!$C$98/1000000</f>
        <v>160.37438928</v>
      </c>
      <c r="AR18" s="476">
        <f>[39]Sheet2!$C$98/1000000</f>
        <v>158.96110628</v>
      </c>
      <c r="AS18" s="476">
        <f>[66]Sheet2!$C$98/1000000</f>
        <v>170.63793128</v>
      </c>
      <c r="AT18" s="476">
        <f>[67]Sheet2!$C$98/1000000</f>
        <v>200.33315328</v>
      </c>
      <c r="AU18" s="476">
        <f>[68]Sheet2!$C$98/1000000</f>
        <v>196.35077527999999</v>
      </c>
      <c r="AV18" s="476">
        <f>[69]Sheet2!$C$98/1000000</f>
        <v>199.52542027999999</v>
      </c>
      <c r="AW18" s="476">
        <f>[70]Sheet2!$C$98/1000000</f>
        <v>201.61337728000001</v>
      </c>
      <c r="AX18" s="476">
        <f>[71]Sheet2!$C$98/1000000</f>
        <v>203.72184128000001</v>
      </c>
      <c r="AY18" s="476">
        <f>[72]Sheet2!$C$98/1000000</f>
        <v>195.21189828000001</v>
      </c>
      <c r="AZ18" s="476">
        <f>[73]Sheet2!$C$98/1000000</f>
        <v>195.68911628000001</v>
      </c>
      <c r="BA18" s="476">
        <f>[74]Sheet2!$C$98/1000000</f>
        <v>195.87071578000001</v>
      </c>
      <c r="BB18" s="476">
        <f>[40]Sheet2!$C$98/1000000</f>
        <v>198.48957028000001</v>
      </c>
      <c r="BC18" s="476">
        <f>[75]Sheet2!$C$98/1000000</f>
        <v>198.51568327999999</v>
      </c>
      <c r="BD18" s="476">
        <f>[76]Sheet2!$C$98/1000000</f>
        <v>198.79167228</v>
      </c>
      <c r="BE18" s="476">
        <f>[77]Sheet2!$C$98/1000000</f>
        <v>200.21129628</v>
      </c>
      <c r="BF18" s="476">
        <f>[41]Sheet2!$C$98/1000000</f>
        <v>200.20880728</v>
      </c>
      <c r="BG18" s="476">
        <f>[42]Sheet2!$C$98/1000000</f>
        <v>199.87773028000001</v>
      </c>
      <c r="BH18" s="476">
        <f>[43]Sheet2!$C$98/1000000</f>
        <v>197.62053528000001</v>
      </c>
      <c r="BI18" s="476">
        <f>[44]Sheet2!$C$98/1000000</f>
        <v>198.08945528000001</v>
      </c>
      <c r="BJ18" s="476">
        <f>[78]Sheet2!$C$98/1000000</f>
        <v>197.67891327999999</v>
      </c>
      <c r="BK18" s="476">
        <f>[79]Sheet2!$C$98/1000000</f>
        <v>186.66825628000001</v>
      </c>
      <c r="BL18" s="476">
        <f>[80]Sheet2!$C$98/1000000</f>
        <v>186.62867428000001</v>
      </c>
      <c r="BM18" s="476">
        <f>[81]Sheet2!$C$98/1000000</f>
        <v>186.76575928</v>
      </c>
      <c r="BN18" s="476">
        <f>[82]Sheet2!$C$98/1000000</f>
        <v>157.23791027999999</v>
      </c>
      <c r="BO18" s="476">
        <f>[83]Sheet2!$C$98/1000000</f>
        <v>160.66269428000001</v>
      </c>
      <c r="BP18" s="476">
        <f>[84]Sheet2!$C$98/1000000</f>
        <v>160.59662028</v>
      </c>
      <c r="BQ18" s="476">
        <f>[85]Sheet2!$C$98/1000000</f>
        <v>161.74217028000001</v>
      </c>
      <c r="BR18" s="476">
        <f>[86]Sheet2!$C$98/1000000</f>
        <v>161.77023828</v>
      </c>
      <c r="BS18" s="476">
        <f>[87]Sheet2!$C$98/1000000</f>
        <v>156.77844927999999</v>
      </c>
      <c r="BT18" s="476">
        <f>[88]Sheet2!$C$98/1000000</f>
        <v>153.57595050788547</v>
      </c>
      <c r="BU18" s="476">
        <f>[89]Sheet2!$C$98/1000000</f>
        <v>153.66006150788544</v>
      </c>
      <c r="BV18" s="476">
        <f>[90]Sheet2!$C$98/1000000</f>
        <v>153.54583050788546</v>
      </c>
      <c r="BW18" s="476">
        <f>[91]Sheet2!$C$98/1000000</f>
        <v>153.17732850788545</v>
      </c>
      <c r="BX18" s="476">
        <f>[92]Sheet2!$C$98/1000000</f>
        <v>152.55508650788545</v>
      </c>
      <c r="BY18" s="476">
        <f>[93]Sheet2!$C$98/1000000</f>
        <v>152.51616350788547</v>
      </c>
      <c r="BZ18" s="476">
        <f>[94]Sheet2!$C$98/1000000</f>
        <v>151.20087450788546</v>
      </c>
      <c r="CA18" s="476">
        <f>[95]Sheet2!$C$98/1000000</f>
        <v>152.45278150788545</v>
      </c>
      <c r="CB18" s="476">
        <f>[45]Sheet2!$C$98/1000000</f>
        <v>152.02979650788546</v>
      </c>
      <c r="CC18" s="476">
        <f>[46]Sheet2!$C$98/1000000</f>
        <v>142.46591828000001</v>
      </c>
      <c r="CD18" s="476">
        <f>[47]Sheet2!$C$98/1000000</f>
        <v>143.37853128</v>
      </c>
      <c r="CE18" s="476">
        <f>[48]Sheet2!$C$98/1000000</f>
        <v>147.06950028</v>
      </c>
      <c r="CF18" s="476">
        <f>[49]Sheet2!$C$98/1000000</f>
        <v>129.44820827999999</v>
      </c>
      <c r="CG18" s="476">
        <f>[50]Sheet2!$C$98/1000000</f>
        <v>129.41604328</v>
      </c>
      <c r="CH18" s="476">
        <f>[51]Sheet2!$C$98/1000000</f>
        <v>29.07319</v>
      </c>
      <c r="CI18" s="476">
        <f>[52]Sheet2!$C$98/1000000</f>
        <v>29.432873000000001</v>
      </c>
      <c r="CJ18" s="476">
        <f>[53]Sheet2!$C$98/1000000</f>
        <v>29.306000999999998</v>
      </c>
      <c r="CK18" s="476">
        <f>[54]Sheet2!$C$98/1000000</f>
        <v>29.147027999999999</v>
      </c>
      <c r="CL18" s="476">
        <f>[55]Sheet2!$C$98/1000000</f>
        <v>29.707805</v>
      </c>
      <c r="CM18" s="476">
        <f>[56]Sheet2!$C$98/1000000</f>
        <v>30.178381999999999</v>
      </c>
      <c r="CN18" s="476">
        <f>[57]Sheet2!$C$98/1000000</f>
        <v>30.147749000000001</v>
      </c>
      <c r="CO18" s="476">
        <f>[58]Sheet2!$C$98/1000000</f>
        <v>31.180561999999998</v>
      </c>
      <c r="CP18" s="435">
        <f>[59]Sheet2!$C$98/1000000</f>
        <v>31.965938000000001</v>
      </c>
    </row>
    <row r="19" spans="1:94">
      <c r="A19" s="436"/>
      <c r="B19" s="440"/>
      <c r="C19" s="478"/>
      <c r="D19" s="478"/>
      <c r="E19" s="478"/>
      <c r="F19" s="479"/>
      <c r="G19" s="478"/>
      <c r="H19" s="480"/>
      <c r="I19" s="478"/>
      <c r="J19" s="478"/>
      <c r="K19" s="478"/>
      <c r="L19" s="478"/>
      <c r="M19" s="479"/>
      <c r="N19" s="478"/>
      <c r="O19" s="478"/>
      <c r="P19" s="478"/>
      <c r="Q19" s="478"/>
      <c r="R19" s="478"/>
      <c r="S19" s="478"/>
      <c r="T19" s="478"/>
      <c r="U19" s="478"/>
      <c r="V19" s="478"/>
      <c r="W19" s="478"/>
      <c r="X19" s="478"/>
      <c r="Y19" s="478"/>
      <c r="Z19" s="478"/>
      <c r="AA19" s="478"/>
      <c r="AB19" s="478"/>
      <c r="AC19" s="478"/>
      <c r="AD19" s="480"/>
      <c r="AE19" s="478"/>
      <c r="AF19" s="478"/>
      <c r="AG19" s="478"/>
      <c r="AH19" s="478"/>
      <c r="AI19" s="478"/>
      <c r="AJ19" s="478"/>
      <c r="AK19" s="478"/>
      <c r="AL19" s="478"/>
      <c r="AM19" s="478"/>
      <c r="AN19" s="478"/>
      <c r="AO19" s="480"/>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38"/>
    </row>
    <row r="20" spans="1:94">
      <c r="A20" s="433" t="s">
        <v>525</v>
      </c>
      <c r="B20" s="434" t="s">
        <v>526</v>
      </c>
      <c r="C20" s="476">
        <f>[105]Sheet1!$S$123/1000000</f>
        <v>0</v>
      </c>
      <c r="D20" s="476">
        <f>[5]Sheet2!$C$110/1000000</f>
        <v>0</v>
      </c>
      <c r="E20" s="476">
        <f>[6]Sheet2!$C$110/1000000</f>
        <v>0</v>
      </c>
      <c r="F20" s="400">
        <f>[7]Sheet2!$C$110/1000000</f>
        <v>0</v>
      </c>
      <c r="G20" s="476">
        <f>[8]Sheet2!$C$110/1000000</f>
        <v>0</v>
      </c>
      <c r="H20" s="477">
        <f>[9]Sheet2!$C$110/1000000</f>
        <v>0</v>
      </c>
      <c r="I20" s="476">
        <f>[10]Sheet2!$C$110/1000000</f>
        <v>0</v>
      </c>
      <c r="J20" s="476">
        <f>[11]Sheet2!$C$110/1000000</f>
        <v>0</v>
      </c>
      <c r="K20" s="476">
        <f>[12]Sheet2!$C$110/1000000</f>
        <v>0</v>
      </c>
      <c r="L20" s="476">
        <f>[13]Sheet2!$C$110/1000000</f>
        <v>0</v>
      </c>
      <c r="M20" s="400">
        <f>[14]Sheet2!$C$110/1000000</f>
        <v>0</v>
      </c>
      <c r="N20" s="476">
        <f>[15]Sheet2!$C$110/1000000</f>
        <v>0</v>
      </c>
      <c r="O20" s="476">
        <f>[16]Sheet2!$C$110/1000000</f>
        <v>0</v>
      </c>
      <c r="P20" s="476">
        <f>[17]Sheet2!$C$110/1000000</f>
        <v>0</v>
      </c>
      <c r="Q20" s="476">
        <f>[18]Sheet2!$C$110/1000000</f>
        <v>0</v>
      </c>
      <c r="R20" s="476">
        <f>[19]Sheet2!$C$110/1000000</f>
        <v>0</v>
      </c>
      <c r="S20" s="476">
        <f>[20]Sheet2!$C$110/1000000</f>
        <v>0</v>
      </c>
      <c r="T20" s="476">
        <f>[21]Sheet2!$C$110/1000000</f>
        <v>0</v>
      </c>
      <c r="U20" s="476">
        <f>[22]Sheet2!$C$110/1000000</f>
        <v>0</v>
      </c>
      <c r="V20" s="476">
        <f>[23]Sheet2!$C$110/1000000</f>
        <v>0</v>
      </c>
      <c r="W20" s="476">
        <f>[24]Sheet2!$C$110/1000000</f>
        <v>0</v>
      </c>
      <c r="X20" s="476">
        <f>[25]Sheet2!$C$110/1000000</f>
        <v>0</v>
      </c>
      <c r="Y20" s="476">
        <f>[26]Sheet2!$C$110/1000000</f>
        <v>0</v>
      </c>
      <c r="Z20" s="476">
        <f>[27]Sheet2!$C$110/1000000</f>
        <v>0</v>
      </c>
      <c r="AA20" s="476">
        <f>[28]Sheet2!$C$110/1000000</f>
        <v>0</v>
      </c>
      <c r="AB20" s="476">
        <f>[29]Sheet2!$C$110/1000000</f>
        <v>0</v>
      </c>
      <c r="AC20" s="476">
        <f>[30]Sheet2!$C$110/1000000</f>
        <v>0</v>
      </c>
      <c r="AD20" s="477">
        <f>[31]Sheet2!$C$110/1000000</f>
        <v>0</v>
      </c>
      <c r="AE20" s="476">
        <f>[32]Sheet2!$C$110/1000000</f>
        <v>0</v>
      </c>
      <c r="AF20" s="476">
        <f>[33]Sheet2!$C$110/1000000</f>
        <v>0</v>
      </c>
      <c r="AG20" s="476">
        <f>[34]Sheet2!$C$110/1000000</f>
        <v>0</v>
      </c>
      <c r="AH20" s="476">
        <f>[35]Sheet2!$C$110/1000000</f>
        <v>0</v>
      </c>
      <c r="AI20" s="476">
        <f>[36]Sheet2!$C$110/1000000</f>
        <v>0</v>
      </c>
      <c r="AJ20" s="476">
        <f>[60]Sheet2!$C$110/1000000</f>
        <v>0</v>
      </c>
      <c r="AK20" s="476">
        <f>[61]Sheet2!$C$110/1000000</f>
        <v>0</v>
      </c>
      <c r="AL20" s="476">
        <f>[62]Sheet2!$C$110/1000000</f>
        <v>0</v>
      </c>
      <c r="AM20" s="476">
        <f>[63]Sheet2!$C$110/1000000</f>
        <v>0</v>
      </c>
      <c r="AN20" s="476">
        <f>[64]Sheet2!$C$110/1000000</f>
        <v>0</v>
      </c>
      <c r="AO20" s="477">
        <f>[65]Sheet2!$C$110/1000000</f>
        <v>0</v>
      </c>
      <c r="AP20" s="476">
        <f>[37]Sheet2!$C$110/1000000</f>
        <v>0</v>
      </c>
      <c r="AQ20" s="476">
        <f>[38]Sheet2!$C$110/1000000</f>
        <v>0</v>
      </c>
      <c r="AR20" s="476">
        <f>[39]Sheet2!$C$110/1000000</f>
        <v>0</v>
      </c>
      <c r="AS20" s="476">
        <f>[66]Sheet2!$C$110/1000000</f>
        <v>0</v>
      </c>
      <c r="AT20" s="476">
        <f>[67]Sheet2!$C$110/1000000</f>
        <v>0</v>
      </c>
      <c r="AU20" s="476">
        <f>[68]Sheet2!$C$110/1000000</f>
        <v>0</v>
      </c>
      <c r="AV20" s="476">
        <f>[69]Sheet2!$C$110/1000000</f>
        <v>0</v>
      </c>
      <c r="AW20" s="476">
        <f>[70]Sheet2!$C$110/1000000</f>
        <v>0</v>
      </c>
      <c r="AX20" s="476">
        <f>[71]Sheet2!$C$110/1000000</f>
        <v>0</v>
      </c>
      <c r="AY20" s="476">
        <f>[72]Sheet2!$C$110/1000000</f>
        <v>0</v>
      </c>
      <c r="AZ20" s="476">
        <f>[73]Sheet2!$C$110/1000000</f>
        <v>0</v>
      </c>
      <c r="BA20" s="476">
        <f>[74]Sheet2!$C$110/1000000</f>
        <v>0</v>
      </c>
      <c r="BB20" s="476">
        <f>[40]Sheet2!$C$110/1000000</f>
        <v>0</v>
      </c>
      <c r="BC20" s="476">
        <f>[75]Sheet2!$C$110/1000000</f>
        <v>0</v>
      </c>
      <c r="BD20" s="476">
        <f>[76]Sheet2!$C$110/1000000</f>
        <v>0</v>
      </c>
      <c r="BE20" s="476">
        <f>[77]Sheet2!$C$110/1000000</f>
        <v>0</v>
      </c>
      <c r="BF20" s="476">
        <f>[41]Sheet2!$C$110/1000000</f>
        <v>0</v>
      </c>
      <c r="BG20" s="476">
        <f>[42]Sheet2!$C$110/1000000</f>
        <v>0</v>
      </c>
      <c r="BH20" s="476">
        <f>[43]Sheet2!$C$110/1000000</f>
        <v>0</v>
      </c>
      <c r="BI20" s="476">
        <f>[44]Sheet2!$C$110/1000000</f>
        <v>0</v>
      </c>
      <c r="BJ20" s="476">
        <f>[78]Sheet2!$C$110/1000000</f>
        <v>0</v>
      </c>
      <c r="BK20" s="476">
        <f>[79]Sheet2!$C$110/1000000</f>
        <v>0</v>
      </c>
      <c r="BL20" s="476">
        <f>[80]Sheet2!$C$110/1000000</f>
        <v>0</v>
      </c>
      <c r="BM20" s="476">
        <f>[81]Sheet2!$C$110/1000000</f>
        <v>0</v>
      </c>
      <c r="BN20" s="476">
        <f>[82]Sheet2!$C$110/1000000</f>
        <v>0</v>
      </c>
      <c r="BO20" s="476">
        <f>[83]Sheet2!$C$110/1000000</f>
        <v>0</v>
      </c>
      <c r="BP20" s="476">
        <f>[84]Sheet2!$C$110/1000000</f>
        <v>0</v>
      </c>
      <c r="BQ20" s="476">
        <f>[85]Sheet2!$C$110/1000000</f>
        <v>0</v>
      </c>
      <c r="BR20" s="476">
        <f>[86]Sheet2!$C$110/1000000</f>
        <v>0</v>
      </c>
      <c r="BS20" s="476">
        <f>[87]Sheet2!$C$110/1000000</f>
        <v>0</v>
      </c>
      <c r="BT20" s="476">
        <f>[88]Sheet2!$C$110/1000000</f>
        <v>0</v>
      </c>
      <c r="BU20" s="476">
        <f>[89]Sheet2!$C$110/1000000</f>
        <v>0</v>
      </c>
      <c r="BV20" s="476">
        <f>[90]Sheet2!$C$110/1000000</f>
        <v>0</v>
      </c>
      <c r="BW20" s="476">
        <f>[91]Sheet2!$C$110/1000000</f>
        <v>0</v>
      </c>
      <c r="BX20" s="476">
        <f>[92]Sheet2!$C$110/1000000</f>
        <v>0</v>
      </c>
      <c r="BY20" s="476">
        <f>[93]Sheet2!$C$110/1000000</f>
        <v>0</v>
      </c>
      <c r="BZ20" s="476">
        <f>[94]Sheet2!$C$110/1000000</f>
        <v>0</v>
      </c>
      <c r="CA20" s="476">
        <f>[95]Sheet2!$C$110/1000000</f>
        <v>0</v>
      </c>
      <c r="CB20" s="476">
        <f>[45]Sheet2!$C$110/1000000</f>
        <v>0</v>
      </c>
      <c r="CC20" s="476">
        <f>[46]Sheet2!$C$110/1000000</f>
        <v>0</v>
      </c>
      <c r="CD20" s="476">
        <f>[47]Sheet2!$C$110/1000000</f>
        <v>0</v>
      </c>
      <c r="CE20" s="476">
        <f>[48]Sheet2!$C$110/1000000</f>
        <v>0</v>
      </c>
      <c r="CF20" s="476">
        <f>[49]Sheet2!$C$110/1000000</f>
        <v>0</v>
      </c>
      <c r="CG20" s="476">
        <f>[50]Sheet2!$C$110/1000000</f>
        <v>0</v>
      </c>
      <c r="CH20" s="476">
        <f>[51]Sheet2!$C$110/1000000</f>
        <v>0</v>
      </c>
      <c r="CI20" s="476">
        <f>[52]Sheet2!$C$110/1000000</f>
        <v>0</v>
      </c>
      <c r="CJ20" s="476">
        <f>[53]Sheet2!$C$110/1000000</f>
        <v>0</v>
      </c>
      <c r="CK20" s="476">
        <f>[54]Sheet2!$C$110/1000000</f>
        <v>0</v>
      </c>
      <c r="CL20" s="476">
        <f>[55]Sheet2!$C$110/1000000</f>
        <v>0</v>
      </c>
      <c r="CM20" s="476">
        <f>[56]Sheet2!$C$110/1000000</f>
        <v>0</v>
      </c>
      <c r="CN20" s="476">
        <f>[57]Sheet2!$C$110/1000000</f>
        <v>0</v>
      </c>
      <c r="CO20" s="476">
        <f>[58]Sheet2!$C$110/1000000</f>
        <v>0</v>
      </c>
      <c r="CP20" s="435">
        <f>[59]Sheet2!$C$110/1000000</f>
        <v>0</v>
      </c>
    </row>
    <row r="21" spans="1:94">
      <c r="A21" s="436"/>
      <c r="B21" s="437"/>
      <c r="C21" s="478"/>
      <c r="D21" s="478"/>
      <c r="E21" s="478"/>
      <c r="F21" s="479"/>
      <c r="G21" s="478"/>
      <c r="H21" s="480"/>
      <c r="I21" s="478"/>
      <c r="J21" s="478"/>
      <c r="K21" s="478"/>
      <c r="L21" s="478"/>
      <c r="M21" s="479"/>
      <c r="N21" s="478"/>
      <c r="O21" s="478"/>
      <c r="P21" s="478"/>
      <c r="Q21" s="478"/>
      <c r="R21" s="478"/>
      <c r="S21" s="478"/>
      <c r="T21" s="478"/>
      <c r="U21" s="478"/>
      <c r="V21" s="478"/>
      <c r="W21" s="478"/>
      <c r="X21" s="478"/>
      <c r="Y21" s="478"/>
      <c r="Z21" s="478"/>
      <c r="AA21" s="478"/>
      <c r="AB21" s="478"/>
      <c r="AC21" s="478"/>
      <c r="AD21" s="480"/>
      <c r="AE21" s="478"/>
      <c r="AF21" s="478"/>
      <c r="AG21" s="478"/>
      <c r="AH21" s="478"/>
      <c r="AI21" s="478"/>
      <c r="AJ21" s="478"/>
      <c r="AK21" s="478"/>
      <c r="AL21" s="478"/>
      <c r="AM21" s="478"/>
      <c r="AN21" s="478"/>
      <c r="AO21" s="480"/>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38"/>
    </row>
    <row r="22" spans="1:94">
      <c r="A22" s="433" t="s">
        <v>527</v>
      </c>
      <c r="B22" s="434" t="s">
        <v>528</v>
      </c>
      <c r="C22" s="476">
        <f>[105]Sheet1!$S$129/1000000</f>
        <v>0</v>
      </c>
      <c r="D22" s="476">
        <f>[5]Sheet2!$C$115/1000000</f>
        <v>0</v>
      </c>
      <c r="E22" s="476">
        <f>[6]Sheet2!$C$115/1000000</f>
        <v>0</v>
      </c>
      <c r="F22" s="400">
        <f>[7]Sheet2!$C$115/1000000</f>
        <v>0</v>
      </c>
      <c r="G22" s="476">
        <f>[8]Sheet2!$C$115/1000000</f>
        <v>0</v>
      </c>
      <c r="H22" s="477">
        <f>[9]Sheet2!$C$115/1000000</f>
        <v>0</v>
      </c>
      <c r="I22" s="476">
        <f>[10]Sheet2!$C$115/1000000</f>
        <v>0</v>
      </c>
      <c r="J22" s="476">
        <f>[11]Sheet2!$C$115/1000000</f>
        <v>0</v>
      </c>
      <c r="K22" s="476">
        <f>[12]Sheet2!$C$115/1000000</f>
        <v>0</v>
      </c>
      <c r="L22" s="476">
        <f>[13]Sheet2!$C$115/1000000</f>
        <v>0</v>
      </c>
      <c r="M22" s="400">
        <f>[14]Sheet2!$C$115/1000000</f>
        <v>0</v>
      </c>
      <c r="N22" s="476">
        <f>[15]Sheet2!$C$115/1000000</f>
        <v>0</v>
      </c>
      <c r="O22" s="476">
        <f>[16]Sheet2!$C$115/1000000</f>
        <v>0</v>
      </c>
      <c r="P22" s="476">
        <f>[17]Sheet2!$C$115/1000000</f>
        <v>0</v>
      </c>
      <c r="Q22" s="476">
        <f>[18]Sheet2!$C$115/1000000</f>
        <v>0</v>
      </c>
      <c r="R22" s="476">
        <f>[19]Sheet2!$C$115/1000000</f>
        <v>0</v>
      </c>
      <c r="S22" s="476">
        <f>[20]Sheet2!$C$115/1000000</f>
        <v>0</v>
      </c>
      <c r="T22" s="476">
        <f>[21]Sheet2!$C$115/1000000</f>
        <v>0</v>
      </c>
      <c r="U22" s="476">
        <f>[22]Sheet2!$C$115/1000000</f>
        <v>0</v>
      </c>
      <c r="V22" s="476">
        <f>[23]Sheet2!$C$115/1000000</f>
        <v>0</v>
      </c>
      <c r="W22" s="476">
        <f>[24]Sheet2!$C$115/1000000</f>
        <v>0</v>
      </c>
      <c r="X22" s="476">
        <f>[25]Sheet2!$C$115/1000000</f>
        <v>0</v>
      </c>
      <c r="Y22" s="476">
        <f>[26]Sheet2!$C$115/1000000</f>
        <v>0</v>
      </c>
      <c r="Z22" s="476">
        <f>[27]Sheet2!$C$115/1000000</f>
        <v>0</v>
      </c>
      <c r="AA22" s="476">
        <f>[28]Sheet2!$C$115/1000000</f>
        <v>0</v>
      </c>
      <c r="AB22" s="476">
        <f>[29]Sheet2!$C$115/1000000</f>
        <v>0</v>
      </c>
      <c r="AC22" s="476">
        <f>[30]Sheet2!$C$115/1000000</f>
        <v>0</v>
      </c>
      <c r="AD22" s="477">
        <f>[31]Sheet2!$C$115/1000000</f>
        <v>0</v>
      </c>
      <c r="AE22" s="476">
        <f>[32]Sheet2!$C$115/1000000</f>
        <v>0</v>
      </c>
      <c r="AF22" s="476">
        <f>[33]Sheet2!$C$115/1000000</f>
        <v>0</v>
      </c>
      <c r="AG22" s="476">
        <f>[34]Sheet2!$C$115/1000000</f>
        <v>0</v>
      </c>
      <c r="AH22" s="476">
        <f>[35]Sheet2!$C$115/1000000</f>
        <v>0</v>
      </c>
      <c r="AI22" s="476">
        <f>[36]Sheet2!$C$115/1000000</f>
        <v>0</v>
      </c>
      <c r="AJ22" s="476">
        <f>[60]Sheet2!$C$115/1000000</f>
        <v>0</v>
      </c>
      <c r="AK22" s="476">
        <f>[61]Sheet2!$C$115/1000000</f>
        <v>0</v>
      </c>
      <c r="AL22" s="476">
        <f>[62]Sheet2!$C$115/1000000</f>
        <v>0</v>
      </c>
      <c r="AM22" s="476">
        <f>[63]Sheet2!$C$115/1000000</f>
        <v>0</v>
      </c>
      <c r="AN22" s="476">
        <f>[64]Sheet2!$C$115/1000000</f>
        <v>0</v>
      </c>
      <c r="AO22" s="477">
        <f>[65]Sheet2!$C$115/1000000</f>
        <v>0</v>
      </c>
      <c r="AP22" s="476">
        <f>[37]Sheet2!$C$115/1000000</f>
        <v>0</v>
      </c>
      <c r="AQ22" s="476">
        <f>[38]Sheet2!$C$115/1000000</f>
        <v>0</v>
      </c>
      <c r="AR22" s="476">
        <f>[39]Sheet2!$C$115/1000000</f>
        <v>0</v>
      </c>
      <c r="AS22" s="476">
        <f>[66]Sheet2!$C$115/1000000</f>
        <v>0</v>
      </c>
      <c r="AT22" s="476">
        <f>[67]Sheet2!$C$115/1000000</f>
        <v>0</v>
      </c>
      <c r="AU22" s="476">
        <f>[68]Sheet2!$C$115/1000000</f>
        <v>0</v>
      </c>
      <c r="AV22" s="476">
        <f>[69]Sheet2!$C$115/1000000</f>
        <v>0</v>
      </c>
      <c r="AW22" s="476">
        <f>[70]Sheet2!$C$115/1000000</f>
        <v>0</v>
      </c>
      <c r="AX22" s="476">
        <f>[71]Sheet2!$C$115/1000000</f>
        <v>0</v>
      </c>
      <c r="AY22" s="476">
        <f>[72]Sheet2!$C$115/1000000</f>
        <v>0</v>
      </c>
      <c r="AZ22" s="476">
        <f>[73]Sheet2!$C$115/1000000</f>
        <v>0</v>
      </c>
      <c r="BA22" s="476">
        <f>[74]Sheet2!$C$115/1000000</f>
        <v>0</v>
      </c>
      <c r="BB22" s="476">
        <f>[40]Sheet2!$C$115/1000000</f>
        <v>0</v>
      </c>
      <c r="BC22" s="476">
        <f>[75]Sheet2!$C$115/1000000</f>
        <v>0</v>
      </c>
      <c r="BD22" s="476">
        <f>[76]Sheet2!$C$115/1000000</f>
        <v>0</v>
      </c>
      <c r="BE22" s="476">
        <f>[77]Sheet2!$C$115/1000000</f>
        <v>0</v>
      </c>
      <c r="BF22" s="476">
        <f>[41]Sheet2!$C$115/1000000</f>
        <v>0</v>
      </c>
      <c r="BG22" s="476">
        <f>[42]Sheet2!$C$115/1000000</f>
        <v>0</v>
      </c>
      <c r="BH22" s="476">
        <f>[43]Sheet2!$C$115/1000000</f>
        <v>0</v>
      </c>
      <c r="BI22" s="476">
        <f>[44]Sheet2!$C$115/1000000</f>
        <v>0</v>
      </c>
      <c r="BJ22" s="476">
        <f>[78]Sheet2!$C$115/1000000</f>
        <v>0</v>
      </c>
      <c r="BK22" s="476">
        <f>[79]Sheet2!$C$115/1000000</f>
        <v>0</v>
      </c>
      <c r="BL22" s="476">
        <f>[80]Sheet2!$C$115/1000000</f>
        <v>0</v>
      </c>
      <c r="BM22" s="476">
        <f>[81]Sheet2!$C$115/1000000</f>
        <v>0</v>
      </c>
      <c r="BN22" s="476">
        <f>[82]Sheet2!$C$115/1000000</f>
        <v>0</v>
      </c>
      <c r="BO22" s="476">
        <f>[83]Sheet2!$C$115/1000000</f>
        <v>0</v>
      </c>
      <c r="BP22" s="476">
        <f>[84]Sheet2!$C$115/1000000</f>
        <v>0</v>
      </c>
      <c r="BQ22" s="476">
        <f>[85]Sheet2!$C$115/1000000</f>
        <v>0</v>
      </c>
      <c r="BR22" s="476">
        <f>[86]Sheet2!$C$115/1000000</f>
        <v>0</v>
      </c>
      <c r="BS22" s="476">
        <f>[87]Sheet2!$C$115/1000000</f>
        <v>0</v>
      </c>
      <c r="BT22" s="476">
        <f>[88]Sheet2!$C$115/1000000</f>
        <v>0</v>
      </c>
      <c r="BU22" s="476">
        <f>[89]Sheet2!$C$115/1000000</f>
        <v>0</v>
      </c>
      <c r="BV22" s="476">
        <f>[90]Sheet2!$C$115/1000000</f>
        <v>0</v>
      </c>
      <c r="BW22" s="476">
        <f>[91]Sheet2!$C$115/1000000</f>
        <v>0</v>
      </c>
      <c r="BX22" s="476">
        <f>[92]Sheet2!$C$115/1000000</f>
        <v>0</v>
      </c>
      <c r="BY22" s="476">
        <f>[93]Sheet2!$C$115/1000000</f>
        <v>0</v>
      </c>
      <c r="BZ22" s="476">
        <f>[94]Sheet2!$C$115/1000000</f>
        <v>0</v>
      </c>
      <c r="CA22" s="476">
        <f>[95]Sheet2!$C$115/1000000</f>
        <v>0</v>
      </c>
      <c r="CB22" s="476">
        <f>[45]Sheet2!$C$115/1000000</f>
        <v>0</v>
      </c>
      <c r="CC22" s="476">
        <f>[46]Sheet2!$C$115/1000000</f>
        <v>0</v>
      </c>
      <c r="CD22" s="476">
        <f>[47]Sheet2!$C$115/1000000</f>
        <v>0</v>
      </c>
      <c r="CE22" s="476">
        <f>[48]Sheet2!$C$115/1000000</f>
        <v>0</v>
      </c>
      <c r="CF22" s="476">
        <f>[49]Sheet2!$C$115/1000000</f>
        <v>0</v>
      </c>
      <c r="CG22" s="476">
        <f>[50]Sheet2!$C$115/1000000</f>
        <v>0</v>
      </c>
      <c r="CH22" s="476">
        <f>[51]Sheet2!$C$115/1000000</f>
        <v>0</v>
      </c>
      <c r="CI22" s="476">
        <f>[52]Sheet2!$C$115/1000000</f>
        <v>0</v>
      </c>
      <c r="CJ22" s="476">
        <f>[53]Sheet2!$C$115/1000000</f>
        <v>0</v>
      </c>
      <c r="CK22" s="476">
        <f>[54]Sheet2!$C$115/1000000</f>
        <v>0</v>
      </c>
      <c r="CL22" s="476">
        <f>[55]Sheet2!$C$115/1000000</f>
        <v>0</v>
      </c>
      <c r="CM22" s="476">
        <f>[56]Sheet2!$C$115/1000000</f>
        <v>0</v>
      </c>
      <c r="CN22" s="476">
        <f>[57]Sheet2!$C$115/1000000</f>
        <v>0</v>
      </c>
      <c r="CO22" s="476">
        <f>[58]Sheet2!$C$115/1000000</f>
        <v>0</v>
      </c>
      <c r="CP22" s="435">
        <f>[59]Sheet2!$C$115/1000000</f>
        <v>0</v>
      </c>
    </row>
    <row r="23" spans="1:94">
      <c r="A23" s="436"/>
      <c r="B23" s="437"/>
      <c r="C23" s="478"/>
      <c r="D23" s="478"/>
      <c r="E23" s="478"/>
      <c r="F23" s="479"/>
      <c r="G23" s="478"/>
      <c r="H23" s="480"/>
      <c r="I23" s="478"/>
      <c r="J23" s="478"/>
      <c r="K23" s="478"/>
      <c r="L23" s="478"/>
      <c r="M23" s="479"/>
      <c r="N23" s="478"/>
      <c r="O23" s="478"/>
      <c r="P23" s="478"/>
      <c r="Q23" s="478"/>
      <c r="R23" s="478"/>
      <c r="S23" s="478"/>
      <c r="T23" s="478"/>
      <c r="U23" s="478"/>
      <c r="V23" s="478"/>
      <c r="W23" s="478"/>
      <c r="X23" s="478"/>
      <c r="Y23" s="478"/>
      <c r="Z23" s="478"/>
      <c r="AA23" s="478"/>
      <c r="AB23" s="478"/>
      <c r="AC23" s="478"/>
      <c r="AD23" s="480"/>
      <c r="AE23" s="478"/>
      <c r="AF23" s="478"/>
      <c r="AG23" s="478"/>
      <c r="AH23" s="478"/>
      <c r="AI23" s="478"/>
      <c r="AJ23" s="478"/>
      <c r="AK23" s="478"/>
      <c r="AL23" s="478"/>
      <c r="AM23" s="478"/>
      <c r="AN23" s="478"/>
      <c r="AO23" s="480"/>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8"/>
      <c r="CM23" s="478"/>
      <c r="CN23" s="478"/>
      <c r="CO23" s="478"/>
      <c r="CP23" s="438"/>
    </row>
    <row r="24" spans="1:94">
      <c r="A24" s="433" t="s">
        <v>529</v>
      </c>
      <c r="B24" s="434" t="s">
        <v>530</v>
      </c>
      <c r="C24" s="476">
        <f>[105]Sheet1!$S$144/1000000</f>
        <v>796.45017094000002</v>
      </c>
      <c r="D24" s="476">
        <f>[5]Sheet2!$C$129/1000000</f>
        <v>979.60223954999992</v>
      </c>
      <c r="E24" s="476">
        <f>[6]Sheet2!$C$129/1000000</f>
        <v>997.21485293000012</v>
      </c>
      <c r="F24" s="400">
        <f>[7]Sheet2!$C$129/1000000</f>
        <v>1040.0917218500001</v>
      </c>
      <c r="G24" s="476">
        <f>[8]Sheet2!$C$129/1000000</f>
        <v>1037.1268500700003</v>
      </c>
      <c r="H24" s="477">
        <f>[9]Sheet2!$C$129/1000000</f>
        <v>851.31036162612952</v>
      </c>
      <c r="I24" s="476">
        <f>[10]Sheet2!$C$129/1000000</f>
        <v>684.74970462039494</v>
      </c>
      <c r="J24" s="476">
        <f>[11]Sheet2!$C$129/1000000</f>
        <v>834.82869019000009</v>
      </c>
      <c r="K24" s="476">
        <f>[12]Sheet2!$C$129/1000000</f>
        <v>825.47678508000001</v>
      </c>
      <c r="L24" s="476">
        <f>[13]Sheet2!$C$129/1000000</f>
        <v>786.37434413999995</v>
      </c>
      <c r="M24" s="400">
        <f>[14]Sheet2!$C$129/1000000</f>
        <v>816.18042160999994</v>
      </c>
      <c r="N24" s="476">
        <f>[15]Sheet2!$C$129/1000000</f>
        <v>748.20225219000008</v>
      </c>
      <c r="O24" s="476">
        <f>[16]Sheet2!$C$129/1000000</f>
        <v>691.23186471999998</v>
      </c>
      <c r="P24" s="476">
        <f>[17]Sheet2!$C$129/1000000</f>
        <v>734.29449133999992</v>
      </c>
      <c r="Q24" s="476">
        <f>[18]Sheet2!$C$129/1000000</f>
        <v>693.50511310351249</v>
      </c>
      <c r="R24" s="476">
        <f>[19]Sheet2!$C$129/1000000</f>
        <v>734.63536805998967</v>
      </c>
      <c r="S24" s="476">
        <f>[20]Sheet2!$C$129/1000000</f>
        <v>634.9800554031475</v>
      </c>
      <c r="T24" s="476">
        <f>[21]Sheet2!$C$129/1000000</f>
        <v>720.25609540999994</v>
      </c>
      <c r="U24" s="476">
        <f>[22]Sheet2!$C$129/1000000</f>
        <v>777.06029805181356</v>
      </c>
      <c r="V24" s="476">
        <f>[23]Sheet2!$C$129/1000000</f>
        <v>767.7393184078735</v>
      </c>
      <c r="W24" s="476">
        <f>[24]Sheet2!$C$129/1000000</f>
        <v>772.07908175103421</v>
      </c>
      <c r="X24" s="476">
        <f>[25]Sheet2!$C$129/1000000</f>
        <v>856.20225807838733</v>
      </c>
      <c r="Y24" s="476">
        <f>[26]Sheet2!$C$129/1000000</f>
        <v>925.02108482320375</v>
      </c>
      <c r="Z24" s="476">
        <f>[27]Sheet2!$C$129/1000000</f>
        <v>892.02379216481938</v>
      </c>
      <c r="AA24" s="476">
        <f>[28]Sheet2!$C$129/1000000</f>
        <v>927.1397270835663</v>
      </c>
      <c r="AB24" s="476">
        <f>[29]Sheet2!$C$129/1000000</f>
        <v>1036.5313028243825</v>
      </c>
      <c r="AC24" s="476">
        <f>[30]Sheet2!$C$129/1000000</f>
        <v>1068.8092082708285</v>
      </c>
      <c r="AD24" s="477">
        <f>[31]Sheet2!$C$129/1000000</f>
        <v>1279.551493030277</v>
      </c>
      <c r="AE24" s="476">
        <f>[32]Sheet2!$C$129/1000000</f>
        <v>1286.691945000277</v>
      </c>
      <c r="AF24" s="476">
        <f>[33]Sheet2!$C$129/1000000</f>
        <v>1230.7113013721319</v>
      </c>
      <c r="AG24" s="476">
        <f>[34]Sheet2!$C$129/1000000</f>
        <v>1381.7642724575787</v>
      </c>
      <c r="AH24" s="476">
        <f>[35]Sheet2!$C$129/1000000</f>
        <v>1393.0794404117642</v>
      </c>
      <c r="AI24" s="476">
        <f>[36]Sheet2!$C$129/1000000</f>
        <v>1423.5031556360602</v>
      </c>
      <c r="AJ24" s="476">
        <f>[60]Sheet2!$C$129/1000000</f>
        <v>1181.9338197842546</v>
      </c>
      <c r="AK24" s="476">
        <f>[61]Sheet2!$C$129/1000000</f>
        <v>1261.424219451611</v>
      </c>
      <c r="AL24" s="476">
        <f>[62]Sheet2!$C$129/1000000</f>
        <v>1179.1348022560735</v>
      </c>
      <c r="AM24" s="476">
        <f>[63]Sheet2!$C$129/1000000</f>
        <v>1397.2041944211985</v>
      </c>
      <c r="AN24" s="476">
        <f>[64]Sheet2!$C$129/1000000</f>
        <v>1382.5741406239601</v>
      </c>
      <c r="AO24" s="477">
        <f>[65]Sheet2!$C$129/1000000</f>
        <v>1387.7046340845739</v>
      </c>
      <c r="AP24" s="476">
        <f>[37]Sheet2!$C$129/1000000</f>
        <v>2160.671940274106</v>
      </c>
      <c r="AQ24" s="476">
        <f>[38]Sheet2!$C$129/1000000</f>
        <v>2128.7386232803319</v>
      </c>
      <c r="AR24" s="476">
        <f>[39]Sheet2!$C$129/1000000</f>
        <v>2086.6556444546864</v>
      </c>
      <c r="AS24" s="476">
        <f>[66]Sheet2!$C$129/1000000</f>
        <v>1850.8103068426046</v>
      </c>
      <c r="AT24" s="476">
        <f>[67]Sheet2!$C$129/1000000</f>
        <v>1953.2600513717628</v>
      </c>
      <c r="AU24" s="476">
        <f>[68]Sheet2!$C$129/1000000</f>
        <v>1990.3129869679904</v>
      </c>
      <c r="AV24" s="476">
        <f>[69]Sheet2!$C$129/1000000</f>
        <v>1906.8970532572232</v>
      </c>
      <c r="AW24" s="476">
        <f>[70]Sheet2!$C$129/1000000</f>
        <v>2011.2033058009724</v>
      </c>
      <c r="AX24" s="476">
        <f>[71]Sheet2!$C$129/1000000</f>
        <v>2175.8463446300002</v>
      </c>
      <c r="AY24" s="476">
        <f>[72]Sheet2!$C$129/1000000</f>
        <v>1997.4325572499999</v>
      </c>
      <c r="AZ24" s="476">
        <f>[73]Sheet2!$C$129/1000000</f>
        <v>2100.8721968333334</v>
      </c>
      <c r="BA24" s="476">
        <f>[74]Sheet2!$C$129/1000000</f>
        <v>2284.5153966385801</v>
      </c>
      <c r="BB24" s="476">
        <f>[40]Sheet2!$C$129/1000000</f>
        <v>2280.0041008364469</v>
      </c>
      <c r="BC24" s="476">
        <f>[75]Sheet2!$C$129/1000000</f>
        <v>1715.6539560495194</v>
      </c>
      <c r="BD24" s="476">
        <f>[76]Sheet2!$C$129/1000000</f>
        <v>1855.0126362557824</v>
      </c>
      <c r="BE24" s="476">
        <f>[77]Sheet2!$C$129/1000000</f>
        <v>2012.4117108127623</v>
      </c>
      <c r="BF24" s="476">
        <f>[41]Sheet2!$C$129/1000000</f>
        <v>1977.3696567283503</v>
      </c>
      <c r="BG24" s="476">
        <f>[42]Sheet2!$C$129/1000000</f>
        <v>2019.6368099713454</v>
      </c>
      <c r="BH24" s="476">
        <f>[43]Sheet2!$C$129/1000000</f>
        <v>1980.2170409746971</v>
      </c>
      <c r="BI24" s="476">
        <f>[44]Sheet2!$C$129/1000000</f>
        <v>2024.92274571247</v>
      </c>
      <c r="BJ24" s="476">
        <f>[78]Sheet2!$C$129/1000000</f>
        <v>2062.3232602187622</v>
      </c>
      <c r="BK24" s="476">
        <f>[79]Sheet2!$C$129/1000000</f>
        <v>1928.8736858257407</v>
      </c>
      <c r="BL24" s="476">
        <f>[80]Sheet2!$C$129/1000000</f>
        <v>1896.327042390162</v>
      </c>
      <c r="BM24" s="476">
        <f>[81]Sheet2!$C$129/1000000</f>
        <v>1873.0985046410417</v>
      </c>
      <c r="BN24" s="476">
        <f>[82]Sheet2!$C$129/1000000</f>
        <v>2021.7389907063207</v>
      </c>
      <c r="BO24" s="476">
        <f>[83]Sheet2!$C$129/1000000</f>
        <v>2046.9895553013121</v>
      </c>
      <c r="BP24" s="476">
        <f>[84]Sheet2!$C$129/1000000</f>
        <v>2141.7473167060466</v>
      </c>
      <c r="BQ24" s="476">
        <f>[85]Sheet2!$C$129/1000000</f>
        <v>2091.3122061056529</v>
      </c>
      <c r="BR24" s="476">
        <f>[86]Sheet2!$C$129/1000000</f>
        <v>1850.2173850255388</v>
      </c>
      <c r="BS24" s="476">
        <f>[87]Sheet2!$C$129/1000000</f>
        <v>1973.6947827536092</v>
      </c>
      <c r="BT24" s="476">
        <f>[88]Sheet2!$C$129/1000000</f>
        <v>1660.2013850518927</v>
      </c>
      <c r="BU24" s="476">
        <f>[89]Sheet2!$C$129/1000000</f>
        <v>1749.3678259069081</v>
      </c>
      <c r="BV24" s="476">
        <f>[90]Sheet2!$C$129/1000000</f>
        <v>1699.8519465643112</v>
      </c>
      <c r="BW24" s="476">
        <f>[91]Sheet2!$C$129/1000000</f>
        <v>1576.6767759677052</v>
      </c>
      <c r="BX24" s="476">
        <f>[92]Sheet2!$C$129/1000000</f>
        <v>1601.9137615094533</v>
      </c>
      <c r="BY24" s="476">
        <f>[93]Sheet2!$C$129/1000000</f>
        <v>1571.8714865879758</v>
      </c>
      <c r="BZ24" s="476">
        <f>[94]Sheet2!$C$129/1000000</f>
        <v>1575.9284538835002</v>
      </c>
      <c r="CA24" s="476">
        <f>[95]Sheet2!$C$129/1000000</f>
        <v>1653.0016384955002</v>
      </c>
      <c r="CB24" s="476">
        <f>[45]Sheet2!$C$129/1000000</f>
        <v>1656.2085299939999</v>
      </c>
      <c r="CC24" s="476">
        <f>[46]Sheet2!$C$129/1000000</f>
        <v>1582.1377434999999</v>
      </c>
      <c r="CD24" s="476">
        <f>[47]Sheet2!$C$129/1000000</f>
        <v>1633.1906272199999</v>
      </c>
      <c r="CE24" s="476">
        <f>[48]Sheet2!$C$129/1000000</f>
        <v>1627.1667092961643</v>
      </c>
      <c r="CF24" s="476">
        <f>[49]Sheet2!$C$129/1000000</f>
        <v>1858.2166388756166</v>
      </c>
      <c r="CG24" s="476">
        <f>[50]Sheet2!$C$129/1000000</f>
        <v>1813.5019208456163</v>
      </c>
      <c r="CH24" s="476">
        <f>[51]Sheet2!$C$129/1000000</f>
        <v>1038.1824123056165</v>
      </c>
      <c r="CI24" s="476">
        <f>[52]Sheet2!$C$129/1000000</f>
        <v>1209.2406902499999</v>
      </c>
      <c r="CJ24" s="476">
        <f>[53]Sheet2!$C$129/1000000</f>
        <v>1103.7259265200003</v>
      </c>
      <c r="CK24" s="476">
        <f>[54]Sheet2!$C$129/1000000</f>
        <v>1164.51618261</v>
      </c>
      <c r="CL24" s="476">
        <f>[55]Sheet2!$C$129/1000000</f>
        <v>1205.99803557</v>
      </c>
      <c r="CM24" s="476">
        <f>[56]Sheet2!$C$129/1000000</f>
        <v>1189.1800216900001</v>
      </c>
      <c r="CN24" s="476">
        <f>[57]Sheet2!$C$129/1000000</f>
        <v>1304.2535200900002</v>
      </c>
      <c r="CO24" s="476">
        <f>[58]Sheet2!$C$129/1000000</f>
        <v>1443.5806009375342</v>
      </c>
      <c r="CP24" s="435">
        <f>[59]Sheet2!$C$129/1000000</f>
        <v>1241.0286417765753</v>
      </c>
    </row>
    <row r="25" spans="1:94">
      <c r="A25" s="436"/>
      <c r="B25" s="437"/>
      <c r="C25" s="478"/>
      <c r="D25" s="478"/>
      <c r="E25" s="478"/>
      <c r="F25" s="479"/>
      <c r="G25" s="478"/>
      <c r="H25" s="480"/>
      <c r="I25" s="478"/>
      <c r="J25" s="478"/>
      <c r="K25" s="478"/>
      <c r="L25" s="478"/>
      <c r="M25" s="479"/>
      <c r="N25" s="478"/>
      <c r="O25" s="478"/>
      <c r="P25" s="478"/>
      <c r="Q25" s="478"/>
      <c r="R25" s="478"/>
      <c r="S25" s="478"/>
      <c r="T25" s="478"/>
      <c r="U25" s="478"/>
      <c r="V25" s="478"/>
      <c r="W25" s="478"/>
      <c r="X25" s="478"/>
      <c r="Y25" s="478"/>
      <c r="Z25" s="478"/>
      <c r="AA25" s="478"/>
      <c r="AB25" s="478"/>
      <c r="AC25" s="478"/>
      <c r="AD25" s="480"/>
      <c r="AE25" s="478"/>
      <c r="AF25" s="478"/>
      <c r="AG25" s="478"/>
      <c r="AH25" s="478"/>
      <c r="AI25" s="478"/>
      <c r="AJ25" s="478"/>
      <c r="AK25" s="478"/>
      <c r="AL25" s="478"/>
      <c r="AM25" s="478"/>
      <c r="AN25" s="478"/>
      <c r="AO25" s="480"/>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38"/>
    </row>
    <row r="26" spans="1:94">
      <c r="A26" s="433" t="s">
        <v>531</v>
      </c>
      <c r="B26" s="434" t="s">
        <v>532</v>
      </c>
      <c r="C26" s="476">
        <f>[105]Sheet1!$S$166/1000000</f>
        <v>798.66176589000008</v>
      </c>
      <c r="D26" s="476">
        <f>[5]Sheet2!$C$150/1000000</f>
        <v>818.34143132999998</v>
      </c>
      <c r="E26" s="476">
        <f>[6]Sheet2!$C$150/1000000</f>
        <v>848.50894108</v>
      </c>
      <c r="F26" s="400">
        <f>[7]Sheet2!$C$150/1000000</f>
        <v>860.65597262000006</v>
      </c>
      <c r="G26" s="476">
        <f>[8]Sheet2!$C$150/1000000</f>
        <v>938.34058129999994</v>
      </c>
      <c r="H26" s="477">
        <f>[9]Sheet2!$C$150/1000000</f>
        <v>905.55076182000016</v>
      </c>
      <c r="I26" s="476">
        <f>[10]Sheet2!$C$150/1000000</f>
        <v>1036.3015116499998</v>
      </c>
      <c r="J26" s="476">
        <f>[11]Sheet2!$C$150/1000000</f>
        <v>1048.0975827416664</v>
      </c>
      <c r="K26" s="476">
        <f>[12]Sheet2!$C$150/1000000</f>
        <v>1053.7272173733331</v>
      </c>
      <c r="L26" s="476">
        <f>[13]Sheet2!$C$150/1000000</f>
        <v>1055.8021501362084</v>
      </c>
      <c r="M26" s="400">
        <f>[14]Sheet2!$C$150/1000000</f>
        <v>1067.4697196761667</v>
      </c>
      <c r="N26" s="476">
        <f>[15]Sheet2!$C$150/1000000</f>
        <v>1080.6473663107499</v>
      </c>
      <c r="O26" s="476">
        <f>[16]Sheet2!$C$150/1000000</f>
        <v>1085.7434252170001</v>
      </c>
      <c r="P26" s="476">
        <f>[17]Sheet2!$C$150/1000000</f>
        <v>1089.240368233</v>
      </c>
      <c r="Q26" s="476">
        <f>[18]Sheet2!$C$150/1000000</f>
        <v>1084.7053925769999</v>
      </c>
      <c r="R26" s="476">
        <f>[19]Sheet2!$C$150/1000000</f>
        <v>1174.859283947</v>
      </c>
      <c r="S26" s="476">
        <f>[20]Sheet2!$C$150/1000000</f>
        <v>1162.0716037369998</v>
      </c>
      <c r="T26" s="476">
        <f>[21]Sheet2!$C$150/1000000</f>
        <v>1140.1834163269998</v>
      </c>
      <c r="U26" s="476">
        <f>[22]Sheet2!$C$150/1000000</f>
        <v>1144.9760381469998</v>
      </c>
      <c r="V26" s="476">
        <f>[23]Sheet2!$C$150/1000000</f>
        <v>1141.42018381</v>
      </c>
      <c r="W26" s="476">
        <f>[24]Sheet2!$C$150/1000000</f>
        <v>1103.5606694299997</v>
      </c>
      <c r="X26" s="476">
        <f>[25]Sheet2!$C$150/1000000</f>
        <v>1136.844533967</v>
      </c>
      <c r="Y26" s="476">
        <f>[26]Sheet2!$C$150/1000000</f>
        <v>1172.2972192870002</v>
      </c>
      <c r="Z26" s="476">
        <f>[27]Sheet2!$C$150/1000000</f>
        <v>1188.103346397</v>
      </c>
      <c r="AA26" s="476">
        <f>[28]Sheet2!$C$150/1000000</f>
        <v>1206.9947149098193</v>
      </c>
      <c r="AB26" s="476">
        <f>[29]Sheet2!$C$150/1000000</f>
        <v>1202.9055809078752</v>
      </c>
      <c r="AC26" s="476">
        <f>[30]Sheet2!$C$150/1000000</f>
        <v>1190.7798150578751</v>
      </c>
      <c r="AD26" s="477">
        <f>[31]Sheet2!$C$150/1000000</f>
        <v>1200.2358515878748</v>
      </c>
      <c r="AE26" s="476">
        <f>[32]Sheet2!$C$150/1000000</f>
        <v>1213.6941418578751</v>
      </c>
      <c r="AF26" s="476">
        <f>[33]Sheet2!$C$150/1000000</f>
        <v>1240.7815538555972</v>
      </c>
      <c r="AG26" s="476">
        <f>[34]Sheet2!$C$150/1000000</f>
        <v>1273.9334446088862</v>
      </c>
      <c r="AH26" s="476">
        <f>[35]Sheet2!$C$150/1000000</f>
        <v>1301.9613797762777</v>
      </c>
      <c r="AI26" s="476">
        <f>[36]Sheet2!$C$150/1000000</f>
        <v>1305.7342663722363</v>
      </c>
      <c r="AJ26" s="476">
        <f>[60]Sheet2!$C$150/1000000</f>
        <v>1319.3778603422361</v>
      </c>
      <c r="AK26" s="476">
        <f>[61]Sheet2!$C$150/1000000</f>
        <v>1450.174192102236</v>
      </c>
      <c r="AL26" s="476">
        <f>[62]Sheet2!$C$150/1000000</f>
        <v>1464.5845102111111</v>
      </c>
      <c r="AM26" s="476">
        <f>[63]Sheet2!$C$150/1000000</f>
        <v>1506.7209418017806</v>
      </c>
      <c r="AN26" s="476">
        <f>[64]Sheet2!$C$150/1000000</f>
        <v>1509.6718067533195</v>
      </c>
      <c r="AO26" s="477">
        <f>[65]Sheet2!$C$150/1000000</f>
        <v>1640.9017202633195</v>
      </c>
      <c r="AP26" s="476">
        <f>[37]Sheet2!$C$150/1000000</f>
        <v>1649.8358558927016</v>
      </c>
      <c r="AQ26" s="476">
        <f>[38]Sheet2!$C$150/1000000</f>
        <v>1723.713901850921</v>
      </c>
      <c r="AR26" s="476">
        <f>[39]Sheet2!$C$150/1000000</f>
        <v>1741.9454046300002</v>
      </c>
      <c r="AS26" s="476">
        <f>[66]Sheet2!$C$150/1000000</f>
        <v>1794.5815746000001</v>
      </c>
      <c r="AT26" s="476">
        <f>[67]Sheet2!$C$150/1000000</f>
        <v>1784.1996902719227</v>
      </c>
      <c r="AU26" s="476">
        <f>[68]Sheet2!$C$150/1000000</f>
        <v>1785.3555368525717</v>
      </c>
      <c r="AV26" s="476">
        <f>[69]Sheet2!$C$150/1000000</f>
        <v>1781.6669637746033</v>
      </c>
      <c r="AW26" s="476">
        <f>[70]Sheet2!$C$150/1000000</f>
        <v>1832.3927418669684</v>
      </c>
      <c r="AX26" s="476">
        <f>[71]Sheet2!$C$150/1000000</f>
        <v>1871.5281054031452</v>
      </c>
      <c r="AY26" s="476">
        <f>[72]Sheet2!$C$150/1000000</f>
        <v>1897.6633507960003</v>
      </c>
      <c r="AZ26" s="476">
        <f>[73]Sheet2!$C$150/1000000</f>
        <v>1898.7623180645771</v>
      </c>
      <c r="BA26" s="476">
        <f>[74]Sheet2!$C$150/1000000</f>
        <v>1909.6142821245771</v>
      </c>
      <c r="BB26" s="476">
        <f>[40]Sheet2!$C$150/1000000</f>
        <v>1904.3829170375905</v>
      </c>
      <c r="BC26" s="476">
        <f>[75]Sheet2!$C$150/1000000</f>
        <v>1917.9099131275907</v>
      </c>
      <c r="BD26" s="476">
        <f>[76]Sheet2!$C$150/1000000</f>
        <v>1919.3687765999998</v>
      </c>
      <c r="BE26" s="476">
        <f>[77]Sheet2!$C$150/1000000</f>
        <v>1952.0619545875902</v>
      </c>
      <c r="BF26" s="476">
        <f>[41]Sheet2!$C$150/1000000</f>
        <v>1983.9051913003402</v>
      </c>
      <c r="BG26" s="476">
        <f>[42]Sheet2!$C$150/1000000</f>
        <v>1966.4163795162663</v>
      </c>
      <c r="BH26" s="476">
        <f>[43]Sheet2!$C$150/1000000</f>
        <v>1980.6122895101566</v>
      </c>
      <c r="BI26" s="476">
        <f>[44]Sheet2!$C$150/1000000</f>
        <v>1992.0316740371129</v>
      </c>
      <c r="BJ26" s="476">
        <f>[78]Sheet2!$C$150/1000000</f>
        <v>1996.2550555074667</v>
      </c>
      <c r="BK26" s="476">
        <f>[79]Sheet2!$C$150/1000000</f>
        <v>1974.8197009899436</v>
      </c>
      <c r="BL26" s="476">
        <f>[80]Sheet2!$C$150/1000000</f>
        <v>1950.6063891357385</v>
      </c>
      <c r="BM26" s="476">
        <f>[81]Sheet2!$C$150/1000000</f>
        <v>1969.0324636723647</v>
      </c>
      <c r="BN26" s="476">
        <f>[82]Sheet2!$C$150/1000000</f>
        <v>1997.9577251192154</v>
      </c>
      <c r="BO26" s="476">
        <f>[83]Sheet2!$C$150/1000000</f>
        <v>2055.290083288412</v>
      </c>
      <c r="BP26" s="476">
        <f>[84]Sheet2!$C$150/1000000</f>
        <v>2074.0863088608066</v>
      </c>
      <c r="BQ26" s="476">
        <f>[85]Sheet2!$C$150/1000000</f>
        <v>2099.4644555128061</v>
      </c>
      <c r="BR26" s="476">
        <f>[86]Sheet2!$C$150/1000000</f>
        <v>2087.6034940725144</v>
      </c>
      <c r="BS26" s="476">
        <f>[87]Sheet2!$C$150/1000000</f>
        <v>2066.9715168600928</v>
      </c>
      <c r="BT26" s="476">
        <f>[88]Sheet2!$C$150/1000000</f>
        <v>2063.4325214531573</v>
      </c>
      <c r="BU26" s="476">
        <f>[89]Sheet2!$C$150/1000000</f>
        <v>2062.0316981324549</v>
      </c>
      <c r="BV26" s="476">
        <f>[90]Sheet2!$C$150/1000000</f>
        <v>2065.3701036383559</v>
      </c>
      <c r="BW26" s="476">
        <f>[91]Sheet2!$C$150/1000000</f>
        <v>2182.6521295998391</v>
      </c>
      <c r="BX26" s="476">
        <f>[92]Sheet2!$C$150/1000000</f>
        <v>2189.5169024008255</v>
      </c>
      <c r="BY26" s="476">
        <f>[93]Sheet2!$C$150/1000000</f>
        <v>2227.5481400218114</v>
      </c>
      <c r="BZ26" s="476">
        <f>[94]Sheet2!$C$150/1000000</f>
        <v>2231.2371392199998</v>
      </c>
      <c r="CA26" s="476">
        <f>[95]Sheet2!$C$150/1000000</f>
        <v>2242.4848014200002</v>
      </c>
      <c r="CB26" s="476">
        <f>[45]Sheet2!$C$150/1000000</f>
        <v>2249.43403339</v>
      </c>
      <c r="CC26" s="476">
        <f>[46]Sheet2!$C$150/1000000</f>
        <v>2272.7679836099996</v>
      </c>
      <c r="CD26" s="476">
        <f>[47]Sheet2!$C$150/1000000</f>
        <v>2280.0012530800004</v>
      </c>
      <c r="CE26" s="476">
        <f>[48]Sheet2!$C$150/1000000</f>
        <v>2284.6163190300008</v>
      </c>
      <c r="CF26" s="476">
        <f>[49]Sheet2!$C$150/1000000</f>
        <v>2301.0100345199999</v>
      </c>
      <c r="CG26" s="476">
        <f>[50]Sheet2!$C$150/1000000</f>
        <v>2317.0255643800001</v>
      </c>
      <c r="CH26" s="476">
        <f>[51]Sheet2!$C$150/1000000</f>
        <v>1911.3204848600001</v>
      </c>
      <c r="CI26" s="476">
        <f>[52]Sheet2!$C$150/1000000</f>
        <v>2006.4480427121584</v>
      </c>
      <c r="CJ26" s="476">
        <f>[53]Sheet2!$C$150/1000000</f>
        <v>2005.6679920654644</v>
      </c>
      <c r="CK26" s="476">
        <f>[54]Sheet2!$C$150/1000000</f>
        <v>1998.7753723499998</v>
      </c>
      <c r="CL26" s="476">
        <f>[55]Sheet2!$C$150/1000000</f>
        <v>1985.30133669</v>
      </c>
      <c r="CM26" s="476">
        <f>[56]Sheet2!$C$150/1000000</f>
        <v>2003.7474086399998</v>
      </c>
      <c r="CN26" s="476">
        <f>[57]Sheet2!$C$150/1000000</f>
        <v>2032.0428959299998</v>
      </c>
      <c r="CO26" s="476">
        <f>[58]Sheet2!$C$150/1000000</f>
        <v>2109.2131669999999</v>
      </c>
      <c r="CP26" s="435">
        <f>[59]Sheet2!$C$150/1000000</f>
        <v>2255.0842994899999</v>
      </c>
    </row>
    <row r="27" spans="1:94">
      <c r="A27" s="436"/>
      <c r="B27" s="437"/>
      <c r="C27" s="450"/>
      <c r="D27" s="450"/>
      <c r="E27" s="450"/>
      <c r="F27" s="390"/>
      <c r="G27" s="450"/>
      <c r="H27" s="481"/>
      <c r="I27" s="450"/>
      <c r="J27" s="450"/>
      <c r="K27" s="450"/>
      <c r="L27" s="450"/>
      <c r="M27" s="390"/>
      <c r="N27" s="450"/>
      <c r="O27" s="450"/>
      <c r="P27" s="450"/>
      <c r="Q27" s="450"/>
      <c r="R27" s="450"/>
      <c r="S27" s="450"/>
      <c r="T27" s="450"/>
      <c r="U27" s="450"/>
      <c r="V27" s="450"/>
      <c r="W27" s="450"/>
      <c r="X27" s="450"/>
      <c r="Y27" s="450"/>
      <c r="Z27" s="450"/>
      <c r="AA27" s="450"/>
      <c r="AB27" s="450"/>
      <c r="AC27" s="450"/>
      <c r="AD27" s="481"/>
      <c r="AE27" s="450"/>
      <c r="AF27" s="450"/>
      <c r="AG27" s="450"/>
      <c r="AH27" s="450"/>
      <c r="AI27" s="450"/>
      <c r="AJ27" s="450"/>
      <c r="AK27" s="450"/>
      <c r="AL27" s="450"/>
      <c r="AM27" s="450"/>
      <c r="AN27" s="450"/>
      <c r="AO27" s="481"/>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39"/>
    </row>
    <row r="28" spans="1:94">
      <c r="A28" s="433"/>
      <c r="B28" s="434" t="s">
        <v>533</v>
      </c>
      <c r="C28" s="476">
        <f>C6+C8+C14+C16+C18+C20+C22+C24+C26</f>
        <v>25474.471453387621</v>
      </c>
      <c r="D28" s="476">
        <f>D6+D8+D14+D16+D18+D20+D22+D24+D26</f>
        <v>26072.063897466593</v>
      </c>
      <c r="E28" s="476">
        <f t="shared" ref="E28:BP28" si="2">E6+E8+E14+E16+E18+E20+E22+E24+E26</f>
        <v>26415.344455611998</v>
      </c>
      <c r="F28" s="400">
        <f t="shared" si="2"/>
        <v>26856.415234532004</v>
      </c>
      <c r="G28" s="476">
        <f t="shared" si="2"/>
        <v>27494.964099592002</v>
      </c>
      <c r="H28" s="477">
        <f t="shared" si="2"/>
        <v>27955.940532505614</v>
      </c>
      <c r="I28" s="476">
        <f t="shared" si="2"/>
        <v>28194.36160220228</v>
      </c>
      <c r="J28" s="476">
        <f t="shared" si="2"/>
        <v>28336.892915150238</v>
      </c>
      <c r="K28" s="476">
        <f t="shared" si="2"/>
        <v>28563.364929097137</v>
      </c>
      <c r="L28" s="476">
        <f t="shared" si="2"/>
        <v>28740.361376655161</v>
      </c>
      <c r="M28" s="400">
        <f t="shared" si="2"/>
        <v>29096.352211839545</v>
      </c>
      <c r="N28" s="476">
        <f t="shared" si="2"/>
        <v>29423.313250850086</v>
      </c>
      <c r="O28" s="476">
        <f t="shared" si="2"/>
        <v>29904.42029326527</v>
      </c>
      <c r="P28" s="476">
        <f t="shared" si="2"/>
        <v>30192.423819530377</v>
      </c>
      <c r="Q28" s="476">
        <f t="shared" si="2"/>
        <v>30534.515540613647</v>
      </c>
      <c r="R28" s="476">
        <f t="shared" si="2"/>
        <v>30645.306163438952</v>
      </c>
      <c r="S28" s="476">
        <f t="shared" si="2"/>
        <v>30723.142804776799</v>
      </c>
      <c r="T28" s="476">
        <f t="shared" si="2"/>
        <v>30582.685571101159</v>
      </c>
      <c r="U28" s="476">
        <f t="shared" si="2"/>
        <v>31026.051215780495</v>
      </c>
      <c r="V28" s="476">
        <f t="shared" si="2"/>
        <v>31204.967849988818</v>
      </c>
      <c r="W28" s="476">
        <f t="shared" si="2"/>
        <v>31436.788752834454</v>
      </c>
      <c r="X28" s="476">
        <f t="shared" si="2"/>
        <v>31766.227602197992</v>
      </c>
      <c r="Y28" s="476">
        <f t="shared" si="2"/>
        <v>32105.986533900035</v>
      </c>
      <c r="Z28" s="476">
        <f t="shared" si="2"/>
        <v>32381.205792132452</v>
      </c>
      <c r="AA28" s="476">
        <f t="shared" si="2"/>
        <v>32750.688683694891</v>
      </c>
      <c r="AB28" s="476">
        <f t="shared" si="2"/>
        <v>33028.065471295486</v>
      </c>
      <c r="AC28" s="476">
        <f t="shared" si="2"/>
        <v>33597.285547495383</v>
      </c>
      <c r="AD28" s="477">
        <f t="shared" si="2"/>
        <v>33479.612832724895</v>
      </c>
      <c r="AE28" s="476">
        <f t="shared" si="2"/>
        <v>33528.234725906776</v>
      </c>
      <c r="AF28" s="476">
        <f t="shared" si="2"/>
        <v>33945.252424287792</v>
      </c>
      <c r="AG28" s="476">
        <f t="shared" si="2"/>
        <v>34531.168338754542</v>
      </c>
      <c r="AH28" s="476">
        <f t="shared" si="2"/>
        <v>35377.395750547446</v>
      </c>
      <c r="AI28" s="476">
        <f t="shared" si="2"/>
        <v>35546.314186166848</v>
      </c>
      <c r="AJ28" s="476">
        <f t="shared" si="2"/>
        <v>36611.78037078894</v>
      </c>
      <c r="AK28" s="476">
        <f t="shared" si="2"/>
        <v>36437.036162345808</v>
      </c>
      <c r="AL28" s="476">
        <f t="shared" si="2"/>
        <v>36579.440661218759</v>
      </c>
      <c r="AM28" s="476">
        <f t="shared" si="2"/>
        <v>37142.506882174122</v>
      </c>
      <c r="AN28" s="476">
        <f t="shared" si="2"/>
        <v>37843.823667295968</v>
      </c>
      <c r="AO28" s="477">
        <f t="shared" si="2"/>
        <v>38957.022860723584</v>
      </c>
      <c r="AP28" s="476">
        <f t="shared" si="2"/>
        <v>39246.418511459175</v>
      </c>
      <c r="AQ28" s="476">
        <f t="shared" si="2"/>
        <v>41293.583775452229</v>
      </c>
      <c r="AR28" s="476">
        <f t="shared" si="2"/>
        <v>41489.26343647539</v>
      </c>
      <c r="AS28" s="476">
        <f t="shared" si="2"/>
        <v>41558.040423602579</v>
      </c>
      <c r="AT28" s="476">
        <f t="shared" si="2"/>
        <v>41583.506601919777</v>
      </c>
      <c r="AU28" s="476">
        <f t="shared" si="2"/>
        <v>41724.410903507502</v>
      </c>
      <c r="AV28" s="476">
        <f t="shared" si="2"/>
        <v>41930.542898092528</v>
      </c>
      <c r="AW28" s="476">
        <f t="shared" si="2"/>
        <v>42394.904266229263</v>
      </c>
      <c r="AX28" s="476">
        <f t="shared" si="2"/>
        <v>42837.91024545479</v>
      </c>
      <c r="AY28" s="476">
        <f t="shared" si="2"/>
        <v>42727.796494547205</v>
      </c>
      <c r="AZ28" s="476">
        <f t="shared" si="2"/>
        <v>43656.647352982647</v>
      </c>
      <c r="BA28" s="476">
        <f t="shared" si="2"/>
        <v>44566.275999888792</v>
      </c>
      <c r="BB28" s="476">
        <f t="shared" si="2"/>
        <v>44600.121654384253</v>
      </c>
      <c r="BC28" s="476">
        <f t="shared" si="2"/>
        <v>44849.659281648565</v>
      </c>
      <c r="BD28" s="476">
        <f t="shared" si="2"/>
        <v>44964.778969543637</v>
      </c>
      <c r="BE28" s="476">
        <f t="shared" si="2"/>
        <v>44265.953944375869</v>
      </c>
      <c r="BF28" s="476">
        <f t="shared" si="2"/>
        <v>44213.112024552087</v>
      </c>
      <c r="BG28" s="476">
        <f t="shared" si="2"/>
        <v>44416.633551285697</v>
      </c>
      <c r="BH28" s="476">
        <f t="shared" si="2"/>
        <v>44552.782203806673</v>
      </c>
      <c r="BI28" s="476">
        <f t="shared" si="2"/>
        <v>45009.054433510879</v>
      </c>
      <c r="BJ28" s="476">
        <f t="shared" si="2"/>
        <v>45312.920665720885</v>
      </c>
      <c r="BK28" s="476">
        <f t="shared" si="2"/>
        <v>43235.787246537468</v>
      </c>
      <c r="BL28" s="476">
        <f t="shared" si="2"/>
        <v>43097.493635641695</v>
      </c>
      <c r="BM28" s="476">
        <f t="shared" si="2"/>
        <v>43203.774808802656</v>
      </c>
      <c r="BN28" s="476">
        <f t="shared" si="2"/>
        <v>43661.834296690322</v>
      </c>
      <c r="BO28" s="476">
        <f t="shared" si="2"/>
        <v>43974.956511792596</v>
      </c>
      <c r="BP28" s="476">
        <f t="shared" si="2"/>
        <v>44381.176626182605</v>
      </c>
      <c r="BQ28" s="476">
        <f t="shared" ref="BQ28:CP28" si="3">BQ6+BQ8+BQ14+BQ16+BQ18+BQ20+BQ22+BQ24+BQ26</f>
        <v>44497.792306656222</v>
      </c>
      <c r="BR28" s="476">
        <f t="shared" si="3"/>
        <v>44816.576913051773</v>
      </c>
      <c r="BS28" s="476">
        <f t="shared" si="3"/>
        <v>45160.287156148086</v>
      </c>
      <c r="BT28" s="476">
        <f t="shared" si="3"/>
        <v>45783.010752826711</v>
      </c>
      <c r="BU28" s="476">
        <f t="shared" si="3"/>
        <v>46501.674702749129</v>
      </c>
      <c r="BV28" s="476">
        <f t="shared" si="3"/>
        <v>47074.090090090831</v>
      </c>
      <c r="BW28" s="476">
        <f t="shared" si="3"/>
        <v>47894.003680056565</v>
      </c>
      <c r="BX28" s="476">
        <f t="shared" si="3"/>
        <v>47942.826131287773</v>
      </c>
      <c r="BY28" s="476">
        <f t="shared" si="3"/>
        <v>48371.125311231954</v>
      </c>
      <c r="BZ28" s="476">
        <f t="shared" si="3"/>
        <v>48916.095700244558</v>
      </c>
      <c r="CA28" s="476">
        <f t="shared" si="3"/>
        <v>49255.747115471298</v>
      </c>
      <c r="CB28" s="476">
        <f t="shared" si="3"/>
        <v>49659.184363918161</v>
      </c>
      <c r="CC28" s="476">
        <f t="shared" si="3"/>
        <v>48698.191212044672</v>
      </c>
      <c r="CD28" s="476">
        <f t="shared" si="3"/>
        <v>48761.357791877977</v>
      </c>
      <c r="CE28" s="476">
        <f t="shared" si="3"/>
        <v>49222.686064576381</v>
      </c>
      <c r="CF28" s="476">
        <f t="shared" si="3"/>
        <v>49905.491819247851</v>
      </c>
      <c r="CG28" s="476">
        <f t="shared" si="3"/>
        <v>50217.162325058016</v>
      </c>
      <c r="CH28" s="476">
        <f t="shared" si="3"/>
        <v>46912.906297951318</v>
      </c>
      <c r="CI28" s="476">
        <f t="shared" si="3"/>
        <v>47409.792135606658</v>
      </c>
      <c r="CJ28" s="476">
        <f t="shared" si="3"/>
        <v>47875.192855011861</v>
      </c>
      <c r="CK28" s="476">
        <f t="shared" si="3"/>
        <v>48388.659544880466</v>
      </c>
      <c r="CL28" s="476">
        <f t="shared" si="3"/>
        <v>48971.714602314467</v>
      </c>
      <c r="CM28" s="476">
        <f t="shared" si="3"/>
        <v>49487.1971983275</v>
      </c>
      <c r="CN28" s="476">
        <f t="shared" si="3"/>
        <v>49783.066298351274</v>
      </c>
      <c r="CO28" s="476">
        <f t="shared" si="3"/>
        <v>50852.368546919279</v>
      </c>
      <c r="CP28" s="435">
        <f t="shared" si="3"/>
        <v>51434.678699088639</v>
      </c>
    </row>
    <row r="29" spans="1:94" ht="13.5" thickBot="1">
      <c r="A29" s="441"/>
      <c r="B29" s="442"/>
      <c r="C29" s="482"/>
      <c r="D29" s="482"/>
      <c r="E29" s="482"/>
      <c r="F29" s="483"/>
      <c r="G29" s="482"/>
      <c r="H29" s="484"/>
      <c r="I29" s="482"/>
      <c r="J29" s="482"/>
      <c r="K29" s="482"/>
      <c r="L29" s="482"/>
      <c r="M29" s="483"/>
      <c r="N29" s="482"/>
      <c r="O29" s="482"/>
      <c r="P29" s="482"/>
      <c r="Q29" s="482"/>
      <c r="R29" s="482"/>
      <c r="S29" s="482"/>
      <c r="T29" s="482"/>
      <c r="U29" s="482"/>
      <c r="V29" s="482"/>
      <c r="W29" s="482"/>
      <c r="X29" s="482"/>
      <c r="Y29" s="482"/>
      <c r="Z29" s="482"/>
      <c r="AA29" s="482"/>
      <c r="AB29" s="482"/>
      <c r="AC29" s="482"/>
      <c r="AD29" s="484"/>
      <c r="AE29" s="482"/>
      <c r="AF29" s="482"/>
      <c r="AG29" s="482"/>
      <c r="AH29" s="482"/>
      <c r="AI29" s="482"/>
      <c r="AJ29" s="482"/>
      <c r="AK29" s="482"/>
      <c r="AL29" s="482"/>
      <c r="AM29" s="482"/>
      <c r="AN29" s="482"/>
      <c r="AO29" s="484"/>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5"/>
    </row>
    <row r="30" spans="1:94" s="350" customFormat="1" ht="13.5" hidden="1" thickTop="1">
      <c r="A30" s="447"/>
      <c r="B30" s="447"/>
      <c r="C30" s="447"/>
      <c r="D30" s="447"/>
      <c r="E30" s="447"/>
      <c r="F30" s="447"/>
      <c r="G30" s="447"/>
      <c r="H30" s="486"/>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86"/>
      <c r="AP30" s="447"/>
      <c r="AQ30" s="447"/>
      <c r="AR30" s="447"/>
      <c r="AS30" s="447"/>
      <c r="AT30" s="447"/>
      <c r="AU30" s="447"/>
      <c r="AV30" s="447"/>
      <c r="AW30" s="447"/>
      <c r="AX30" s="447"/>
      <c r="AY30" s="447"/>
      <c r="AZ30" s="447"/>
      <c r="BA30" s="447"/>
      <c r="BB30" s="447"/>
      <c r="BC30" s="447"/>
      <c r="BD30" s="447"/>
      <c r="BE30" s="447"/>
      <c r="BF30" s="447"/>
      <c r="BG30" s="447"/>
      <c r="BH30" s="447"/>
      <c r="BI30" s="447"/>
      <c r="BJ30" s="447"/>
      <c r="BK30" s="447"/>
      <c r="BL30" s="447"/>
      <c r="BM30" s="447"/>
      <c r="BN30" s="447"/>
      <c r="BO30" s="447"/>
      <c r="BP30" s="447"/>
      <c r="BQ30" s="447"/>
      <c r="BR30" s="447"/>
      <c r="BS30" s="447"/>
      <c r="BT30" s="447"/>
      <c r="BU30" s="447"/>
      <c r="BV30" s="447"/>
      <c r="BW30" s="447"/>
      <c r="BX30" s="447"/>
      <c r="BY30" s="447"/>
      <c r="BZ30" s="447"/>
      <c r="CA30" s="447"/>
      <c r="CB30" s="447"/>
      <c r="CC30" s="447"/>
      <c r="CD30" s="447"/>
      <c r="CE30" s="447"/>
      <c r="CF30" s="447"/>
      <c r="CG30" s="447"/>
      <c r="CH30" s="447"/>
      <c r="CI30" s="447"/>
      <c r="CJ30" s="447"/>
      <c r="CK30" s="447"/>
      <c r="CL30" s="447"/>
      <c r="CM30" s="447"/>
      <c r="CN30" s="447"/>
      <c r="CO30" s="447"/>
      <c r="CP30" s="447"/>
    </row>
    <row r="31" spans="1:94" s="350" customFormat="1" ht="13.5" thickTop="1">
      <c r="A31" s="447"/>
      <c r="B31" s="447"/>
      <c r="C31" s="447"/>
      <c r="D31" s="447"/>
      <c r="E31" s="447"/>
      <c r="F31" s="447"/>
      <c r="G31" s="447"/>
      <c r="H31" s="420"/>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86"/>
      <c r="AP31" s="447"/>
      <c r="AQ31" s="447"/>
      <c r="AR31" s="447"/>
      <c r="AS31" s="447"/>
      <c r="AT31" s="447"/>
      <c r="AU31" s="447"/>
      <c r="AV31" s="447"/>
      <c r="AW31" s="447"/>
      <c r="AX31" s="447"/>
      <c r="AY31" s="447"/>
      <c r="AZ31" s="447"/>
      <c r="BA31" s="447"/>
      <c r="BB31" s="447"/>
      <c r="BC31" s="447"/>
      <c r="BD31" s="447"/>
      <c r="BE31" s="447"/>
      <c r="BF31" s="447"/>
      <c r="BG31" s="447"/>
      <c r="BH31" s="447"/>
      <c r="BI31" s="447"/>
      <c r="BJ31" s="447"/>
      <c r="BK31" s="447"/>
      <c r="BL31" s="447"/>
      <c r="BM31" s="447"/>
      <c r="BN31" s="447"/>
      <c r="BO31" s="44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row>
    <row r="32" spans="1:94" s="350" customFormat="1" ht="13.5" thickBot="1">
      <c r="A32" s="447"/>
      <c r="B32" s="447"/>
      <c r="C32" s="487"/>
      <c r="D32" s="487"/>
      <c r="E32" s="487"/>
      <c r="F32" s="487"/>
      <c r="G32" s="487"/>
      <c r="H32" s="488"/>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505"/>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row>
    <row r="33" spans="1:94" ht="14.25" thickTop="1" thickBot="1">
      <c r="A33" s="421" t="s">
        <v>506</v>
      </c>
      <c r="B33" s="422" t="s">
        <v>534</v>
      </c>
      <c r="C33" s="425">
        <v>38504</v>
      </c>
      <c r="D33" s="425">
        <v>38534</v>
      </c>
      <c r="E33" s="425">
        <v>38565</v>
      </c>
      <c r="F33" s="470">
        <v>38596</v>
      </c>
      <c r="G33" s="425">
        <v>38626</v>
      </c>
      <c r="H33" s="471">
        <v>38657</v>
      </c>
      <c r="I33" s="425">
        <v>38687</v>
      </c>
      <c r="J33" s="425">
        <v>38718</v>
      </c>
      <c r="K33" s="425">
        <v>38749</v>
      </c>
      <c r="L33" s="425">
        <v>38777</v>
      </c>
      <c r="M33" s="470">
        <v>38808</v>
      </c>
      <c r="N33" s="425">
        <v>38838</v>
      </c>
      <c r="O33" s="425">
        <v>38869</v>
      </c>
      <c r="P33" s="425">
        <v>38899</v>
      </c>
      <c r="Q33" s="425">
        <v>38930</v>
      </c>
      <c r="R33" s="425">
        <v>38961</v>
      </c>
      <c r="S33" s="425">
        <v>38991</v>
      </c>
      <c r="T33" s="425">
        <v>39022</v>
      </c>
      <c r="U33" s="425">
        <v>39052</v>
      </c>
      <c r="V33" s="425">
        <v>39083</v>
      </c>
      <c r="W33" s="425">
        <v>39114</v>
      </c>
      <c r="X33" s="425">
        <v>39142</v>
      </c>
      <c r="Y33" s="425">
        <v>39173</v>
      </c>
      <c r="Z33" s="425">
        <v>39203</v>
      </c>
      <c r="AA33" s="425">
        <v>39234</v>
      </c>
      <c r="AB33" s="425">
        <v>39264</v>
      </c>
      <c r="AC33" s="425">
        <v>39295</v>
      </c>
      <c r="AD33" s="471">
        <v>39326</v>
      </c>
      <c r="AE33" s="425">
        <v>39356</v>
      </c>
      <c r="AF33" s="425">
        <v>39387</v>
      </c>
      <c r="AG33" s="425">
        <v>39417</v>
      </c>
      <c r="AH33" s="425">
        <v>39448</v>
      </c>
      <c r="AI33" s="425">
        <v>39479</v>
      </c>
      <c r="AJ33" s="425">
        <v>39508</v>
      </c>
      <c r="AK33" s="425">
        <v>39539</v>
      </c>
      <c r="AL33" s="425">
        <v>39569</v>
      </c>
      <c r="AM33" s="425">
        <f t="shared" ref="AM33:CN33" si="4">AM4</f>
        <v>39600</v>
      </c>
      <c r="AN33" s="425">
        <f t="shared" si="4"/>
        <v>39630</v>
      </c>
      <c r="AO33" s="471">
        <f t="shared" si="4"/>
        <v>39661</v>
      </c>
      <c r="AP33" s="425">
        <f t="shared" si="4"/>
        <v>39692</v>
      </c>
      <c r="AQ33" s="425">
        <f t="shared" si="4"/>
        <v>39722</v>
      </c>
      <c r="AR33" s="425">
        <f t="shared" si="4"/>
        <v>39753</v>
      </c>
      <c r="AS33" s="425">
        <f t="shared" si="4"/>
        <v>39783</v>
      </c>
      <c r="AT33" s="425">
        <f t="shared" si="4"/>
        <v>39814</v>
      </c>
      <c r="AU33" s="425">
        <f t="shared" si="4"/>
        <v>39845</v>
      </c>
      <c r="AV33" s="425">
        <f t="shared" si="4"/>
        <v>39873</v>
      </c>
      <c r="AW33" s="425">
        <f t="shared" si="4"/>
        <v>39904</v>
      </c>
      <c r="AX33" s="425">
        <f t="shared" si="4"/>
        <v>39934</v>
      </c>
      <c r="AY33" s="425">
        <f t="shared" si="4"/>
        <v>39965</v>
      </c>
      <c r="AZ33" s="425">
        <f t="shared" si="4"/>
        <v>39995</v>
      </c>
      <c r="BA33" s="425">
        <f t="shared" si="4"/>
        <v>40026</v>
      </c>
      <c r="BB33" s="425">
        <f t="shared" si="4"/>
        <v>40057</v>
      </c>
      <c r="BC33" s="425">
        <f t="shared" si="4"/>
        <v>40087</v>
      </c>
      <c r="BD33" s="425">
        <f t="shared" si="4"/>
        <v>40118</v>
      </c>
      <c r="BE33" s="425">
        <f t="shared" si="4"/>
        <v>40148</v>
      </c>
      <c r="BF33" s="425">
        <f t="shared" si="4"/>
        <v>40179</v>
      </c>
      <c r="BG33" s="425">
        <f t="shared" si="4"/>
        <v>40210</v>
      </c>
      <c r="BH33" s="425">
        <f t="shared" si="4"/>
        <v>40238</v>
      </c>
      <c r="BI33" s="425">
        <f t="shared" si="4"/>
        <v>40269</v>
      </c>
      <c r="BJ33" s="425">
        <f t="shared" si="4"/>
        <v>40299</v>
      </c>
      <c r="BK33" s="425">
        <f t="shared" si="4"/>
        <v>40330</v>
      </c>
      <c r="BL33" s="425">
        <f t="shared" si="4"/>
        <v>40360</v>
      </c>
      <c r="BM33" s="425">
        <f t="shared" si="4"/>
        <v>40391</v>
      </c>
      <c r="BN33" s="425">
        <f t="shared" si="4"/>
        <v>40422</v>
      </c>
      <c r="BO33" s="425">
        <f t="shared" si="4"/>
        <v>40452</v>
      </c>
      <c r="BP33" s="425">
        <f t="shared" si="4"/>
        <v>40483</v>
      </c>
      <c r="BQ33" s="425">
        <f t="shared" si="4"/>
        <v>40513</v>
      </c>
      <c r="BR33" s="425">
        <f t="shared" si="4"/>
        <v>40544</v>
      </c>
      <c r="BS33" s="425">
        <f t="shared" si="4"/>
        <v>40575</v>
      </c>
      <c r="BT33" s="425">
        <f t="shared" si="4"/>
        <v>40603</v>
      </c>
      <c r="BU33" s="425">
        <f t="shared" si="4"/>
        <v>40634</v>
      </c>
      <c r="BV33" s="425">
        <f t="shared" si="4"/>
        <v>40664</v>
      </c>
      <c r="BW33" s="425">
        <f t="shared" si="4"/>
        <v>40695</v>
      </c>
      <c r="BX33" s="425">
        <f t="shared" si="4"/>
        <v>40725</v>
      </c>
      <c r="BY33" s="425">
        <f t="shared" si="4"/>
        <v>40756</v>
      </c>
      <c r="BZ33" s="425">
        <f t="shared" si="4"/>
        <v>40787</v>
      </c>
      <c r="CA33" s="425">
        <f t="shared" si="4"/>
        <v>40817</v>
      </c>
      <c r="CB33" s="425">
        <f t="shared" si="4"/>
        <v>40848</v>
      </c>
      <c r="CC33" s="425">
        <f t="shared" si="4"/>
        <v>40878</v>
      </c>
      <c r="CD33" s="425">
        <f t="shared" si="4"/>
        <v>40909</v>
      </c>
      <c r="CE33" s="425">
        <f t="shared" si="4"/>
        <v>40940</v>
      </c>
      <c r="CF33" s="425">
        <f t="shared" si="4"/>
        <v>40969</v>
      </c>
      <c r="CG33" s="425">
        <f t="shared" si="4"/>
        <v>41000</v>
      </c>
      <c r="CH33" s="425">
        <f t="shared" si="4"/>
        <v>41030</v>
      </c>
      <c r="CI33" s="425">
        <f t="shared" si="4"/>
        <v>41061</v>
      </c>
      <c r="CJ33" s="425">
        <f t="shared" si="4"/>
        <v>41091</v>
      </c>
      <c r="CK33" s="425">
        <f t="shared" si="4"/>
        <v>41122</v>
      </c>
      <c r="CL33" s="425">
        <f t="shared" si="4"/>
        <v>41153</v>
      </c>
      <c r="CM33" s="425">
        <f t="shared" si="4"/>
        <v>41183</v>
      </c>
      <c r="CN33" s="425">
        <f t="shared" si="4"/>
        <v>41214</v>
      </c>
      <c r="CO33" s="425">
        <f>CO4</f>
        <v>41244</v>
      </c>
      <c r="CP33" s="423">
        <f>CP4</f>
        <v>41275</v>
      </c>
    </row>
    <row r="34" spans="1:94" ht="13.5" thickTop="1">
      <c r="A34" s="436"/>
      <c r="B34" s="448"/>
      <c r="C34" s="450"/>
      <c r="D34" s="450"/>
      <c r="E34" s="450"/>
      <c r="F34" s="390"/>
      <c r="G34" s="450"/>
      <c r="H34" s="481"/>
      <c r="I34" s="450"/>
      <c r="J34" s="450"/>
      <c r="K34" s="450"/>
      <c r="L34" s="450"/>
      <c r="M34" s="390"/>
      <c r="N34" s="450"/>
      <c r="O34" s="450"/>
      <c r="P34" s="450"/>
      <c r="Q34" s="450"/>
      <c r="R34" s="450"/>
      <c r="S34" s="450"/>
      <c r="T34" s="450"/>
      <c r="U34" s="450"/>
      <c r="V34" s="450"/>
      <c r="W34" s="450"/>
      <c r="X34" s="450"/>
      <c r="Y34" s="450"/>
      <c r="Z34" s="450"/>
      <c r="AA34" s="450"/>
      <c r="AB34" s="450"/>
      <c r="AC34" s="450"/>
      <c r="AD34" s="481"/>
      <c r="AE34" s="450"/>
      <c r="AF34" s="450"/>
      <c r="AG34" s="450"/>
      <c r="AH34" s="450"/>
      <c r="AI34" s="450"/>
      <c r="AJ34" s="450"/>
      <c r="AK34" s="450"/>
      <c r="AL34" s="450"/>
      <c r="AM34" s="450"/>
      <c r="AN34" s="450"/>
      <c r="AO34" s="481"/>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39"/>
    </row>
    <row r="35" spans="1:94">
      <c r="A35" s="433" t="s">
        <v>535</v>
      </c>
      <c r="B35" s="434" t="s">
        <v>536</v>
      </c>
      <c r="C35" s="476">
        <f>[105]Sheet1!$S$175/1000000</f>
        <v>0</v>
      </c>
      <c r="D35" s="476">
        <f>[5]Sheet2!$C$159/1000000</f>
        <v>0</v>
      </c>
      <c r="E35" s="476">
        <f>[6]Sheet2!$C$159/1000000</f>
        <v>0</v>
      </c>
      <c r="F35" s="400">
        <f>[7]Sheet2!$C$159/1000000</f>
        <v>0</v>
      </c>
      <c r="G35" s="476">
        <f>[8]Sheet2!$C$159/1000000</f>
        <v>0</v>
      </c>
      <c r="H35" s="477">
        <f>[9]Sheet2!$C$159/1000000</f>
        <v>0</v>
      </c>
      <c r="I35" s="476">
        <f>[10]Sheet2!$C$159/1000000</f>
        <v>0</v>
      </c>
      <c r="J35" s="476">
        <f>[11]Sheet2!$C$159/1000000</f>
        <v>0</v>
      </c>
      <c r="K35" s="476">
        <f>[12]Sheet2!$C$159/1000000</f>
        <v>0</v>
      </c>
      <c r="L35" s="476">
        <f>[13]Sheet2!$C$159/1000000</f>
        <v>0</v>
      </c>
      <c r="M35" s="400">
        <f>[14]Sheet2!$C$159/1000000</f>
        <v>0</v>
      </c>
      <c r="N35" s="476">
        <f>[15]Sheet2!$C$159/1000000</f>
        <v>0</v>
      </c>
      <c r="O35" s="476">
        <f>[16]Sheet2!$C$159/1000000</f>
        <v>0</v>
      </c>
      <c r="P35" s="476">
        <f>[17]Sheet2!$C$159/1000000</f>
        <v>0</v>
      </c>
      <c r="Q35" s="476">
        <f>[18]Sheet2!$C$159/1000000</f>
        <v>0</v>
      </c>
      <c r="R35" s="476">
        <f>[19]Sheet2!$C$159/1000000</f>
        <v>0</v>
      </c>
      <c r="S35" s="476">
        <f>[20]Sheet2!$C$159/1000000</f>
        <v>0</v>
      </c>
      <c r="T35" s="476">
        <f>[21]Sheet2!$C$159/1000000</f>
        <v>0</v>
      </c>
      <c r="U35" s="476">
        <f>[22]Sheet2!$C$159/1000000</f>
        <v>0</v>
      </c>
      <c r="V35" s="476">
        <f>[23]Sheet2!$C$159/1000000</f>
        <v>0</v>
      </c>
      <c r="W35" s="476">
        <f>[24]Sheet2!$C$159/1000000</f>
        <v>0</v>
      </c>
      <c r="X35" s="476">
        <f>[25]Sheet2!$C$159/1000000</f>
        <v>0</v>
      </c>
      <c r="Y35" s="476">
        <f>[26]Sheet2!$C$159/1000000</f>
        <v>0</v>
      </c>
      <c r="Z35" s="476">
        <f>[27]Sheet2!$C$159/1000000</f>
        <v>0</v>
      </c>
      <c r="AA35" s="476">
        <f>[28]Sheet2!$C$159/1000000</f>
        <v>0</v>
      </c>
      <c r="AB35" s="476">
        <f>[29]Sheet2!$C$159/1000000</f>
        <v>0</v>
      </c>
      <c r="AC35" s="476">
        <f>[30]Sheet2!$C$159/1000000</f>
        <v>0</v>
      </c>
      <c r="AD35" s="477">
        <f>[31]Sheet2!$C$159/1000000</f>
        <v>0</v>
      </c>
      <c r="AE35" s="476">
        <f>[32]Sheet2!$C$159/1000000</f>
        <v>0</v>
      </c>
      <c r="AF35" s="476">
        <f>[33]Sheet2!$C$159/1000000</f>
        <v>0</v>
      </c>
      <c r="AG35" s="476">
        <f>[34]Sheet2!$C$159/1000000</f>
        <v>0</v>
      </c>
      <c r="AH35" s="476">
        <f>[35]Sheet2!$C$159/1000000</f>
        <v>0</v>
      </c>
      <c r="AI35" s="476">
        <f>[36]Sheet2!$C$159/1000000</f>
        <v>0</v>
      </c>
      <c r="AJ35" s="476">
        <f>[60]Sheet2!$C$159/1000000</f>
        <v>0</v>
      </c>
      <c r="AK35" s="476">
        <f>[61]Sheet2!$C$159/1000000</f>
        <v>0</v>
      </c>
      <c r="AL35" s="476">
        <f>[62]Sheet2!$C$159/1000000</f>
        <v>0</v>
      </c>
      <c r="AM35" s="476">
        <f>[63]Sheet2!$C$159/1000000</f>
        <v>0</v>
      </c>
      <c r="AN35" s="476">
        <f>[64]Sheet2!$C$159/1000000</f>
        <v>0</v>
      </c>
      <c r="AO35" s="477">
        <f>[65]Sheet2!$C$159/1000000</f>
        <v>0</v>
      </c>
      <c r="AP35" s="476">
        <f>[37]Sheet2!$C$159/1000000</f>
        <v>0</v>
      </c>
      <c r="AQ35" s="476">
        <f>[38]Sheet2!$C$159/1000000</f>
        <v>0</v>
      </c>
      <c r="AR35" s="476">
        <f>[39]Sheet2!$C$159/1000000</f>
        <v>0</v>
      </c>
      <c r="AS35" s="476">
        <f>[66]Sheet2!$C$159/1000000</f>
        <v>0</v>
      </c>
      <c r="AT35" s="476">
        <f>[67]Sheet2!$C$159/1000000</f>
        <v>0</v>
      </c>
      <c r="AU35" s="476">
        <f>[68]Sheet2!$C$159/1000000</f>
        <v>0</v>
      </c>
      <c r="AV35" s="476">
        <f>[69]Sheet2!$C$159/1000000</f>
        <v>0</v>
      </c>
      <c r="AW35" s="476">
        <f>[70]Sheet2!$C$159/1000000</f>
        <v>0</v>
      </c>
      <c r="AX35" s="476">
        <f>[71]Sheet2!$C$159/1000000</f>
        <v>0</v>
      </c>
      <c r="AY35" s="476">
        <f>[72]Sheet2!$C$159/1000000</f>
        <v>0</v>
      </c>
      <c r="AZ35" s="476">
        <f>[73]Sheet2!$C$159/1000000</f>
        <v>0</v>
      </c>
      <c r="BA35" s="476">
        <f>[74]Sheet2!$C$159/1000000</f>
        <v>0</v>
      </c>
      <c r="BB35" s="476">
        <f>[40]Sheet2!$C$159/1000000</f>
        <v>0</v>
      </c>
      <c r="BC35" s="476">
        <f>[75]Sheet2!$C$159/1000000</f>
        <v>0</v>
      </c>
      <c r="BD35" s="476">
        <f>[76]Sheet2!$C$159/1000000</f>
        <v>0</v>
      </c>
      <c r="BE35" s="476">
        <f>[77]Sheet2!$C$159/1000000</f>
        <v>0</v>
      </c>
      <c r="BF35" s="476">
        <f>[41]Sheet2!$C$159/1000000</f>
        <v>0</v>
      </c>
      <c r="BG35" s="476">
        <f>[42]Sheet2!$C$159/1000000</f>
        <v>0</v>
      </c>
      <c r="BH35" s="476">
        <f>[43]Sheet2!$C$159/1000000</f>
        <v>0</v>
      </c>
      <c r="BI35" s="476">
        <f>[44]Sheet2!$C$159/1000000</f>
        <v>0</v>
      </c>
      <c r="BJ35" s="476">
        <f>[78]Sheet2!$C$159/1000000</f>
        <v>0</v>
      </c>
      <c r="BK35" s="476">
        <f>[79]Sheet2!$C$159/1000000</f>
        <v>0</v>
      </c>
      <c r="BL35" s="476">
        <f>[80]Sheet2!$C$159/1000000</f>
        <v>0</v>
      </c>
      <c r="BM35" s="476">
        <f>[81]Sheet2!$C$159/1000000</f>
        <v>0</v>
      </c>
      <c r="BN35" s="476">
        <f>[82]Sheet2!$C$159/1000000</f>
        <v>0</v>
      </c>
      <c r="BO35" s="476">
        <f>[83]Sheet2!$C$159/1000000</f>
        <v>0</v>
      </c>
      <c r="BP35" s="476">
        <f>[84]Sheet2!$C$159/1000000</f>
        <v>0</v>
      </c>
      <c r="BQ35" s="476">
        <f>[85]Sheet2!$C$159/1000000</f>
        <v>0</v>
      </c>
      <c r="BR35" s="476">
        <f>[86]Sheet2!$C$159/1000000</f>
        <v>0</v>
      </c>
      <c r="BS35" s="476">
        <f>[87]Sheet2!$C$159/1000000</f>
        <v>0</v>
      </c>
      <c r="BT35" s="476">
        <f>[88]Sheet2!$C$159/1000000</f>
        <v>0</v>
      </c>
      <c r="BU35" s="476">
        <f>[89]Sheet2!$C$159/1000000</f>
        <v>0</v>
      </c>
      <c r="BV35" s="476">
        <f>[90]Sheet2!$C$159/1000000</f>
        <v>0</v>
      </c>
      <c r="BW35" s="476">
        <f>[91]Sheet2!$C$159/1000000</f>
        <v>0</v>
      </c>
      <c r="BX35" s="476">
        <f>[92]Sheet2!$C$159/1000000</f>
        <v>0</v>
      </c>
      <c r="BY35" s="476">
        <f>[92]Sheet2!$C$159/1000000</f>
        <v>0</v>
      </c>
      <c r="BZ35" s="476">
        <f>[94]Sheet2!$C$159/1000000</f>
        <v>0</v>
      </c>
      <c r="CA35" s="476">
        <f>[95]Sheet2!$C$159/1000000</f>
        <v>0</v>
      </c>
      <c r="CB35" s="476">
        <f>[45]Sheet2!$C$159/1000000</f>
        <v>0</v>
      </c>
      <c r="CC35" s="476">
        <f>[46]Sheet2!$C$159/1000000</f>
        <v>0</v>
      </c>
      <c r="CD35" s="476">
        <f>[47]Sheet2!$C$159/1000000</f>
        <v>0</v>
      </c>
      <c r="CE35" s="476">
        <f>[48]Sheet2!$C$159/1000000</f>
        <v>0</v>
      </c>
      <c r="CF35" s="476">
        <f>[49]Sheet2!$C$159/1000000</f>
        <v>0</v>
      </c>
      <c r="CG35" s="476">
        <f>[50]Sheet2!$C$159/1000000</f>
        <v>0</v>
      </c>
      <c r="CH35" s="476">
        <f>[51]Sheet2!$C$159/1000000</f>
        <v>0</v>
      </c>
      <c r="CI35" s="476">
        <f>[52]Sheet2!$C$159/1000000</f>
        <v>0</v>
      </c>
      <c r="CJ35" s="476">
        <f>[53]Sheet2!$C$159/1000000</f>
        <v>0</v>
      </c>
      <c r="CK35" s="476">
        <f>[54]Sheet2!$C$159/1000000</f>
        <v>0</v>
      </c>
      <c r="CL35" s="476">
        <f>[55]Sheet2!$C$159/1000000</f>
        <v>0</v>
      </c>
      <c r="CM35" s="476">
        <f>[56]Sheet2!$C$159/1000000</f>
        <v>0</v>
      </c>
      <c r="CN35" s="476">
        <f>[57]Sheet2!$C$159/1000000</f>
        <v>0</v>
      </c>
      <c r="CO35" s="476">
        <f>[58]Sheet2!$C$159/1000000</f>
        <v>0</v>
      </c>
      <c r="CP35" s="435">
        <f>[59]Sheet2!$C$159/1000000</f>
        <v>0</v>
      </c>
    </row>
    <row r="36" spans="1:94">
      <c r="A36" s="436"/>
      <c r="B36" s="437"/>
      <c r="C36" s="492"/>
      <c r="D36" s="492"/>
      <c r="E36" s="492"/>
      <c r="F36" s="493"/>
      <c r="G36" s="492"/>
      <c r="H36" s="494"/>
      <c r="I36" s="492"/>
      <c r="J36" s="492"/>
      <c r="K36" s="492"/>
      <c r="L36" s="492"/>
      <c r="M36" s="493"/>
      <c r="N36" s="492"/>
      <c r="O36" s="492"/>
      <c r="P36" s="492"/>
      <c r="Q36" s="492"/>
      <c r="R36" s="492"/>
      <c r="S36" s="492"/>
      <c r="T36" s="492"/>
      <c r="U36" s="492"/>
      <c r="V36" s="492"/>
      <c r="W36" s="492"/>
      <c r="X36" s="492"/>
      <c r="Y36" s="492"/>
      <c r="Z36" s="492"/>
      <c r="AA36" s="492"/>
      <c r="AB36" s="492"/>
      <c r="AC36" s="492"/>
      <c r="AD36" s="494"/>
      <c r="AE36" s="492"/>
      <c r="AF36" s="492"/>
      <c r="AG36" s="492"/>
      <c r="AH36" s="492"/>
      <c r="AI36" s="492"/>
      <c r="AJ36" s="492"/>
      <c r="AK36" s="492"/>
      <c r="AL36" s="492"/>
      <c r="AM36" s="492"/>
      <c r="AN36" s="492"/>
      <c r="AO36" s="494"/>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5"/>
    </row>
    <row r="37" spans="1:94">
      <c r="A37" s="433" t="s">
        <v>537</v>
      </c>
      <c r="B37" s="434" t="s">
        <v>538</v>
      </c>
      <c r="C37" s="476">
        <f>C38+C39+C40</f>
        <v>15799.149194481233</v>
      </c>
      <c r="D37" s="476">
        <f>D38+D39+D40</f>
        <v>16169.179850439999</v>
      </c>
      <c r="E37" s="476">
        <f t="shared" ref="E37:BP37" si="5">E38+E39+E40</f>
        <v>16470.980071780799</v>
      </c>
      <c r="F37" s="400">
        <f t="shared" si="5"/>
        <v>16636.22470409</v>
      </c>
      <c r="G37" s="476">
        <f t="shared" si="5"/>
        <v>17336.911325442426</v>
      </c>
      <c r="H37" s="477">
        <f t="shared" si="5"/>
        <v>17621.08317719779</v>
      </c>
      <c r="I37" s="476">
        <f t="shared" si="5"/>
        <v>17976.722737839998</v>
      </c>
      <c r="J37" s="476">
        <f t="shared" si="5"/>
        <v>18157.790333569999</v>
      </c>
      <c r="K37" s="476">
        <f t="shared" si="5"/>
        <v>18335.985190060004</v>
      </c>
      <c r="L37" s="476">
        <f t="shared" si="5"/>
        <v>18549.640972419998</v>
      </c>
      <c r="M37" s="400">
        <f t="shared" si="5"/>
        <v>18880.5665577</v>
      </c>
      <c r="N37" s="476">
        <f t="shared" si="5"/>
        <v>19071.319829940003</v>
      </c>
      <c r="O37" s="476">
        <f t="shared" si="5"/>
        <v>19297.275861840004</v>
      </c>
      <c r="P37" s="476">
        <f t="shared" si="5"/>
        <v>19136.13135666</v>
      </c>
      <c r="Q37" s="476">
        <f t="shared" si="5"/>
        <v>19083.714532799997</v>
      </c>
      <c r="R37" s="476">
        <f t="shared" si="5"/>
        <v>19012.076992410002</v>
      </c>
      <c r="S37" s="476">
        <f t="shared" si="5"/>
        <v>19070.259877590001</v>
      </c>
      <c r="T37" s="476">
        <f t="shared" si="5"/>
        <v>18720.492429410002</v>
      </c>
      <c r="U37" s="476">
        <f t="shared" si="5"/>
        <v>18897.772434309998</v>
      </c>
      <c r="V37" s="476">
        <f t="shared" si="5"/>
        <v>18974.689284550001</v>
      </c>
      <c r="W37" s="476">
        <f t="shared" si="5"/>
        <v>18875.298141160005</v>
      </c>
      <c r="X37" s="476">
        <f t="shared" si="5"/>
        <v>19109.760161150003</v>
      </c>
      <c r="Y37" s="476">
        <f t="shared" si="5"/>
        <v>19397.538455869995</v>
      </c>
      <c r="Z37" s="476">
        <f t="shared" si="5"/>
        <v>19622.466289479995</v>
      </c>
      <c r="AA37" s="476">
        <f t="shared" si="5"/>
        <v>19605.421284829998</v>
      </c>
      <c r="AB37" s="476">
        <f t="shared" si="5"/>
        <v>19949.571433349996</v>
      </c>
      <c r="AC37" s="476">
        <f t="shared" si="5"/>
        <v>20638.88987119</v>
      </c>
      <c r="AD37" s="477">
        <f t="shared" si="5"/>
        <v>21100.987314209997</v>
      </c>
      <c r="AE37" s="476">
        <f t="shared" si="5"/>
        <v>21179.326419770001</v>
      </c>
      <c r="AF37" s="476">
        <f t="shared" si="5"/>
        <v>21646.820736129997</v>
      </c>
      <c r="AG37" s="476">
        <f t="shared" si="5"/>
        <v>21997.084448519996</v>
      </c>
      <c r="AH37" s="476">
        <f t="shared" si="5"/>
        <v>22688.649136959997</v>
      </c>
      <c r="AI37" s="476">
        <f t="shared" si="5"/>
        <v>23144.079793360001</v>
      </c>
      <c r="AJ37" s="476">
        <f t="shared" si="5"/>
        <v>23844.757203950001</v>
      </c>
      <c r="AK37" s="476">
        <f t="shared" si="5"/>
        <v>24134.54750004</v>
      </c>
      <c r="AL37" s="476">
        <f t="shared" si="5"/>
        <v>24094.181698996279</v>
      </c>
      <c r="AM37" s="476">
        <f t="shared" si="5"/>
        <v>24201.054660370006</v>
      </c>
      <c r="AN37" s="476">
        <f t="shared" si="5"/>
        <v>24365.110072246986</v>
      </c>
      <c r="AO37" s="477">
        <f t="shared" si="5"/>
        <v>24634.230153650002</v>
      </c>
      <c r="AP37" s="476">
        <f t="shared" si="5"/>
        <v>25287.988227423422</v>
      </c>
      <c r="AQ37" s="476">
        <f t="shared" si="5"/>
        <v>25451.666864573563</v>
      </c>
      <c r="AR37" s="476">
        <f t="shared" si="5"/>
        <v>25546.325413546438</v>
      </c>
      <c r="AS37" s="476">
        <f t="shared" si="5"/>
        <v>25563.73240122644</v>
      </c>
      <c r="AT37" s="476">
        <f t="shared" si="5"/>
        <v>26145.79971450644</v>
      </c>
      <c r="AU37" s="476">
        <f t="shared" si="5"/>
        <v>26344.983763667358</v>
      </c>
      <c r="AV37" s="476">
        <f t="shared" si="5"/>
        <v>26672.525094012803</v>
      </c>
      <c r="AW37" s="476">
        <f t="shared" si="5"/>
        <v>26977.356744399996</v>
      </c>
      <c r="AX37" s="476">
        <f t="shared" si="5"/>
        <v>26974.364925166959</v>
      </c>
      <c r="AY37" s="476">
        <f t="shared" si="5"/>
        <v>26824.513714374112</v>
      </c>
      <c r="AZ37" s="476">
        <f t="shared" si="5"/>
        <v>27398.278850339721</v>
      </c>
      <c r="BA37" s="476">
        <f t="shared" si="5"/>
        <v>28129.365552115341</v>
      </c>
      <c r="BB37" s="476">
        <f t="shared" si="5"/>
        <v>28352.395736190276</v>
      </c>
      <c r="BC37" s="476">
        <f t="shared" si="5"/>
        <v>28532.668559512604</v>
      </c>
      <c r="BD37" s="476">
        <f t="shared" si="5"/>
        <v>28470.215146898361</v>
      </c>
      <c r="BE37" s="476">
        <f t="shared" si="5"/>
        <v>27629.527628826301</v>
      </c>
      <c r="BF37" s="476">
        <f t="shared" si="5"/>
        <v>28023.493279000279</v>
      </c>
      <c r="BG37" s="476">
        <f t="shared" si="5"/>
        <v>28195.26444483066</v>
      </c>
      <c r="BH37" s="476">
        <f t="shared" si="5"/>
        <v>28131.045045772058</v>
      </c>
      <c r="BI37" s="476">
        <f t="shared" si="5"/>
        <v>28630.365817431099</v>
      </c>
      <c r="BJ37" s="476">
        <f t="shared" si="5"/>
        <v>29023.617727045261</v>
      </c>
      <c r="BK37" s="476">
        <f t="shared" si="5"/>
        <v>27119.395050939998</v>
      </c>
      <c r="BL37" s="476">
        <f t="shared" si="5"/>
        <v>27253.477460423252</v>
      </c>
      <c r="BM37" s="476">
        <f t="shared" si="5"/>
        <v>27318.428225325686</v>
      </c>
      <c r="BN37" s="476">
        <f t="shared" si="5"/>
        <v>27655.349700076469</v>
      </c>
      <c r="BO37" s="476">
        <f t="shared" si="5"/>
        <v>27798.282589510545</v>
      </c>
      <c r="BP37" s="476">
        <f t="shared" si="5"/>
        <v>28013.511867805624</v>
      </c>
      <c r="BQ37" s="476">
        <f t="shared" ref="BQ37:CO37" si="6">BQ38+BQ39+BQ40</f>
        <v>27734.163991005971</v>
      </c>
      <c r="BR37" s="476">
        <f t="shared" si="6"/>
        <v>28118.068396404382</v>
      </c>
      <c r="BS37" s="476">
        <f t="shared" si="6"/>
        <v>28493.457864095479</v>
      </c>
      <c r="BT37" s="476">
        <f t="shared" si="6"/>
        <v>28669.465014519032</v>
      </c>
      <c r="BU37" s="476">
        <f t="shared" si="6"/>
        <v>29204.886515387007</v>
      </c>
      <c r="BV37" s="476">
        <f t="shared" si="6"/>
        <v>29736.414999691919</v>
      </c>
      <c r="BW37" s="476">
        <f t="shared" si="6"/>
        <v>29923.454019163</v>
      </c>
      <c r="BX37" s="476">
        <f t="shared" si="6"/>
        <v>30278.285729713709</v>
      </c>
      <c r="BY37" s="476">
        <f t="shared" si="6"/>
        <v>30566.841783963864</v>
      </c>
      <c r="BZ37" s="476">
        <f t="shared" si="6"/>
        <v>30695.496710676489</v>
      </c>
      <c r="CA37" s="476">
        <f t="shared" si="6"/>
        <v>31251.36911350596</v>
      </c>
      <c r="CB37" s="476">
        <f t="shared" si="6"/>
        <v>31547.546822615455</v>
      </c>
      <c r="CC37" s="476">
        <f t="shared" si="6"/>
        <v>31343.913305010537</v>
      </c>
      <c r="CD37" s="476">
        <f t="shared" si="6"/>
        <v>31704.459293510416</v>
      </c>
      <c r="CE37" s="476">
        <f t="shared" si="6"/>
        <v>32092.06592451657</v>
      </c>
      <c r="CF37" s="476">
        <f t="shared" si="6"/>
        <v>32865.138393912137</v>
      </c>
      <c r="CG37" s="476">
        <f t="shared" si="6"/>
        <v>33111.096678597103</v>
      </c>
      <c r="CH37" s="476">
        <f t="shared" si="6"/>
        <v>30665.521759812567</v>
      </c>
      <c r="CI37" s="476">
        <f t="shared" si="6"/>
        <v>30330.845762194986</v>
      </c>
      <c r="CJ37" s="476">
        <f t="shared" si="6"/>
        <v>31166.967891049753</v>
      </c>
      <c r="CK37" s="476">
        <f t="shared" si="6"/>
        <v>31699.140142656495</v>
      </c>
      <c r="CL37" s="476">
        <f t="shared" si="6"/>
        <v>32088.920303265593</v>
      </c>
      <c r="CM37" s="476">
        <f t="shared" si="6"/>
        <v>32445.50560581663</v>
      </c>
      <c r="CN37" s="476">
        <f t="shared" si="6"/>
        <v>32375.944620440227</v>
      </c>
      <c r="CO37" s="476">
        <f t="shared" si="6"/>
        <v>32834.166035920804</v>
      </c>
      <c r="CP37" s="435">
        <f>CP38+CP39+CP40</f>
        <v>33675.579012320646</v>
      </c>
    </row>
    <row r="38" spans="1:94">
      <c r="A38" s="436" t="s">
        <v>539</v>
      </c>
      <c r="B38" s="437" t="s">
        <v>540</v>
      </c>
      <c r="C38" s="450">
        <f>[105]Sheet1!$S$178/1000000</f>
        <v>0</v>
      </c>
      <c r="D38" s="450">
        <f>[5]Sheet2!$C$162/1000000</f>
        <v>0</v>
      </c>
      <c r="E38" s="450">
        <f>[6]Sheet2!$C$162/1000000</f>
        <v>0</v>
      </c>
      <c r="F38" s="390">
        <f>[7]Sheet2!$C$162/1000000</f>
        <v>0</v>
      </c>
      <c r="G38" s="450">
        <f>[8]Sheet2!$C$162/1000000</f>
        <v>0</v>
      </c>
      <c r="H38" s="481">
        <f>[9]Sheet2!$C$162/1000000</f>
        <v>0</v>
      </c>
      <c r="I38" s="450">
        <f>[10]Sheet2!$C$162/1000000</f>
        <v>0</v>
      </c>
      <c r="J38" s="450">
        <f>[11]Sheet2!$C$162/1000000</f>
        <v>0</v>
      </c>
      <c r="K38" s="450">
        <f>[12]Sheet2!$C$162/1000000</f>
        <v>0</v>
      </c>
      <c r="L38" s="450">
        <f>[13]Sheet2!$C$162/1000000</f>
        <v>0</v>
      </c>
      <c r="M38" s="390">
        <f>[14]Sheet2!$C$162/1000000</f>
        <v>0</v>
      </c>
      <c r="N38" s="450">
        <f>[15]Sheet2!$C$162/1000000</f>
        <v>0</v>
      </c>
      <c r="O38" s="450">
        <f>[16]Sheet2!$C$162/1000000</f>
        <v>0</v>
      </c>
      <c r="P38" s="450">
        <f>[17]Sheet2!$C$162/1000000</f>
        <v>0</v>
      </c>
      <c r="Q38" s="450">
        <f>[18]Sheet2!$C$162/1000000</f>
        <v>0</v>
      </c>
      <c r="R38" s="450">
        <f>[19]Sheet2!$C$162/1000000</f>
        <v>0</v>
      </c>
      <c r="S38" s="450">
        <f>[20]Sheet2!$C$162/1000000</f>
        <v>0</v>
      </c>
      <c r="T38" s="450">
        <f>[21]Sheet2!$C$162/1000000</f>
        <v>0</v>
      </c>
      <c r="U38" s="450">
        <f>[22]Sheet2!$C$162/1000000</f>
        <v>0</v>
      </c>
      <c r="V38" s="450">
        <f>[23]Sheet2!$C$162/1000000</f>
        <v>0</v>
      </c>
      <c r="W38" s="450">
        <f>[24]Sheet2!$C$162/1000000</f>
        <v>0</v>
      </c>
      <c r="X38" s="450">
        <f>[25]Sheet2!$C$162/1000000</f>
        <v>0</v>
      </c>
      <c r="Y38" s="450">
        <f>[26]Sheet2!$C$162/1000000</f>
        <v>0</v>
      </c>
      <c r="Z38" s="450">
        <f>[27]Sheet2!$C$162/1000000</f>
        <v>0</v>
      </c>
      <c r="AA38" s="450">
        <f>[28]Sheet2!$C$162/1000000</f>
        <v>0</v>
      </c>
      <c r="AB38" s="450">
        <f>[29]Sheet2!$C$162/1000000</f>
        <v>0</v>
      </c>
      <c r="AC38" s="450">
        <f>[30]Sheet2!$C$162/1000000</f>
        <v>0</v>
      </c>
      <c r="AD38" s="481">
        <f>[31]Sheet2!$C$162/1000000</f>
        <v>0</v>
      </c>
      <c r="AE38" s="450">
        <f>[32]Sheet2!$C$162/1000000</f>
        <v>0</v>
      </c>
      <c r="AF38" s="450">
        <f>[33]Sheet2!$C$162/1000000</f>
        <v>0</v>
      </c>
      <c r="AG38" s="450">
        <f>[34]Sheet2!$C$162/1000000</f>
        <v>0</v>
      </c>
      <c r="AH38" s="450">
        <f>[35]Sheet2!$C$162/1000000</f>
        <v>0</v>
      </c>
      <c r="AI38" s="450">
        <f>[36]Sheet2!$C$162/1000000</f>
        <v>0</v>
      </c>
      <c r="AJ38" s="450">
        <f>[60]Sheet2!$C$162/1000000</f>
        <v>0</v>
      </c>
      <c r="AK38" s="450">
        <f>[61]Sheet2!$C$162/1000000</f>
        <v>0</v>
      </c>
      <c r="AL38" s="450">
        <f>[62]Sheet2!$C$162/1000000</f>
        <v>0</v>
      </c>
      <c r="AM38" s="450">
        <f>[63]Sheet2!$C$162/1000000</f>
        <v>0</v>
      </c>
      <c r="AN38" s="450">
        <f>[64]Sheet2!$C$162/1000000</f>
        <v>0</v>
      </c>
      <c r="AO38" s="481">
        <f>[65]Sheet2!$C$162/1000000</f>
        <v>0</v>
      </c>
      <c r="AP38" s="450">
        <f>[37]Sheet2!$C$162/1000000</f>
        <v>0</v>
      </c>
      <c r="AQ38" s="450">
        <f>[38]Sheet2!$C$162/1000000</f>
        <v>0</v>
      </c>
      <c r="AR38" s="450">
        <f>[39]Sheet2!$C$162/1000000</f>
        <v>0</v>
      </c>
      <c r="AS38" s="450">
        <f>[66]Sheet2!$C$162/1000000</f>
        <v>0</v>
      </c>
      <c r="AT38" s="450">
        <f>[67]Sheet2!$C$162/1000000</f>
        <v>0</v>
      </c>
      <c r="AU38" s="450">
        <f>[68]Sheet2!$C$162/1000000</f>
        <v>0</v>
      </c>
      <c r="AV38" s="450">
        <f>[69]Sheet2!$C$162/1000000</f>
        <v>0</v>
      </c>
      <c r="AW38" s="450">
        <f>[70]Sheet2!$C$162/1000000</f>
        <v>0</v>
      </c>
      <c r="AX38" s="450">
        <f>[71]Sheet2!$C$162/1000000</f>
        <v>0</v>
      </c>
      <c r="AY38" s="450">
        <f>[72]Sheet2!$C$162/1000000</f>
        <v>0</v>
      </c>
      <c r="AZ38" s="450">
        <f>[73]Sheet2!$C$162/1000000</f>
        <v>0</v>
      </c>
      <c r="BA38" s="450">
        <f>[74]Sheet2!$C$162/1000000</f>
        <v>0</v>
      </c>
      <c r="BB38" s="450">
        <f>[40]Sheet2!$C$162/1000000</f>
        <v>0</v>
      </c>
      <c r="BC38" s="450">
        <f>[75]Sheet2!$C$162/1000000</f>
        <v>0</v>
      </c>
      <c r="BD38" s="450">
        <f>[76]Sheet2!$C$162/1000000</f>
        <v>0</v>
      </c>
      <c r="BE38" s="450">
        <f>[77]Sheet2!$C$162/1000000</f>
        <v>0</v>
      </c>
      <c r="BF38" s="450">
        <f>[41]Sheet2!$C$162/1000000</f>
        <v>0</v>
      </c>
      <c r="BG38" s="450">
        <f>[42]Sheet2!$C$162/1000000</f>
        <v>0</v>
      </c>
      <c r="BH38" s="450">
        <f>[43]Sheet2!$C$162/1000000</f>
        <v>0</v>
      </c>
      <c r="BI38" s="450">
        <f>[44]Sheet2!$C$162/1000000</f>
        <v>0</v>
      </c>
      <c r="BJ38" s="450">
        <f>[78]Sheet2!$C$162/1000000</f>
        <v>0</v>
      </c>
      <c r="BK38" s="450">
        <f>[79]Sheet2!$C$162/1000000</f>
        <v>0</v>
      </c>
      <c r="BL38" s="450">
        <f>[80]Sheet2!$C$162/1000000</f>
        <v>0</v>
      </c>
      <c r="BM38" s="450">
        <f>[81]Sheet2!$C$162/1000000</f>
        <v>0</v>
      </c>
      <c r="BN38" s="450">
        <f>[82]Sheet2!$C$162/1000000</f>
        <v>0</v>
      </c>
      <c r="BO38" s="450">
        <f>[83]Sheet2!$C$162/1000000</f>
        <v>0</v>
      </c>
      <c r="BP38" s="450">
        <f>[84]Sheet2!$C$162/1000000</f>
        <v>0</v>
      </c>
      <c r="BQ38" s="450">
        <f>[85]Sheet2!$C$162/1000000</f>
        <v>0</v>
      </c>
      <c r="BR38" s="450">
        <f>[86]Sheet2!$C$162/1000000</f>
        <v>0</v>
      </c>
      <c r="BS38" s="450">
        <f>[87]Sheet2!$C$162/1000000</f>
        <v>0</v>
      </c>
      <c r="BT38" s="450">
        <f>[88]Sheet2!$C$162/1000000</f>
        <v>0</v>
      </c>
      <c r="BU38" s="450">
        <f>[89]Sheet2!$C$162/1000000</f>
        <v>0</v>
      </c>
      <c r="BV38" s="450">
        <f>[90]Sheet2!$C$162/1000000</f>
        <v>0</v>
      </c>
      <c r="BW38" s="450">
        <f>[91]Sheet2!$C$162/1000000</f>
        <v>0</v>
      </c>
      <c r="BX38" s="450">
        <f>[92]Sheet2!$C$162/1000000</f>
        <v>0</v>
      </c>
      <c r="BY38" s="450">
        <f>[93]Sheet2!$C$162/1000000</f>
        <v>0</v>
      </c>
      <c r="BZ38" s="450">
        <f>[94]Sheet2!$C$162/1000000</f>
        <v>0</v>
      </c>
      <c r="CA38" s="450">
        <f>[95]Sheet2!$C$162/1000000</f>
        <v>0</v>
      </c>
      <c r="CB38" s="450">
        <f>[45]Sheet2!$C$162/1000000</f>
        <v>0</v>
      </c>
      <c r="CC38" s="450">
        <f>[46]Sheet2!$C$162/1000000</f>
        <v>0</v>
      </c>
      <c r="CD38" s="450">
        <f>[47]Sheet2!$C$162/1000000</f>
        <v>0</v>
      </c>
      <c r="CE38" s="450">
        <f>[48]Sheet2!$C$162/1000000</f>
        <v>0</v>
      </c>
      <c r="CF38" s="450">
        <f>[49]Sheet2!$C$162/1000000</f>
        <v>0</v>
      </c>
      <c r="CG38" s="450">
        <f>[50]Sheet2!$C$162/1000000</f>
        <v>0</v>
      </c>
      <c r="CH38" s="450">
        <f>[51]Sheet2!$C$162/1000000</f>
        <v>0</v>
      </c>
      <c r="CI38" s="450">
        <f>[52]Sheet2!$C$162/1000000</f>
        <v>25.442443999999998</v>
      </c>
      <c r="CJ38" s="450">
        <f>[53]Sheet2!$C$162/1000000</f>
        <v>0</v>
      </c>
      <c r="CK38" s="450">
        <f>[54]Sheet2!$C$162/1000000</f>
        <v>0</v>
      </c>
      <c r="CL38" s="450">
        <f>[55]Sheet2!$C$162/1000000</f>
        <v>0</v>
      </c>
      <c r="CM38" s="450">
        <f>[56]Sheet2!$C$162/1000000</f>
        <v>0</v>
      </c>
      <c r="CN38" s="450">
        <f>[57]Sheet2!$C$162/1000000</f>
        <v>0</v>
      </c>
      <c r="CO38" s="450">
        <f>[58]Sheet2!$C$162/1000000</f>
        <v>0</v>
      </c>
      <c r="CP38" s="439">
        <f>[59]Sheet2!$C$162/1000000</f>
        <v>0</v>
      </c>
    </row>
    <row r="39" spans="1:94">
      <c r="A39" s="436" t="s">
        <v>541</v>
      </c>
      <c r="B39" s="437" t="s">
        <v>542</v>
      </c>
      <c r="C39" s="450">
        <f>[105]Sheet1!$S$195/1000000</f>
        <v>1056.237871</v>
      </c>
      <c r="D39" s="450">
        <f>[5]Sheet2!$C$179/1000000</f>
        <v>1045.2836600000001</v>
      </c>
      <c r="E39" s="450">
        <f>[6]Sheet2!$C$179/1000000</f>
        <v>1037.5757599999999</v>
      </c>
      <c r="F39" s="390">
        <f>[7]Sheet2!$C$179/1000000</f>
        <v>1046.279935</v>
      </c>
      <c r="G39" s="450">
        <f>[8]Sheet2!$C$179/1000000</f>
        <v>1066.9397759999999</v>
      </c>
      <c r="H39" s="481">
        <f>[9]Sheet2!$C$179/1000000</f>
        <v>1067.2254459999999</v>
      </c>
      <c r="I39" s="450">
        <f>[10]Sheet2!$C$179/1000000</f>
        <v>1077.0044459999999</v>
      </c>
      <c r="J39" s="450">
        <f>[11]Sheet2!$C$179/1000000</f>
        <v>1080.5659430000001</v>
      </c>
      <c r="K39" s="450">
        <f>[12]Sheet2!$C$179/1000000</f>
        <v>1086.0685539999999</v>
      </c>
      <c r="L39" s="450">
        <f>[13]Sheet2!$C$179/1000000</f>
        <v>1051.344378</v>
      </c>
      <c r="M39" s="390">
        <f>[14]Sheet2!$C$179/1000000</f>
        <v>1096.0337440000001</v>
      </c>
      <c r="N39" s="450">
        <f>[15]Sheet2!$C$179/1000000</f>
        <v>1099.370502</v>
      </c>
      <c r="O39" s="450">
        <f>[16]Sheet2!$C$179/1000000</f>
        <v>1108.70407</v>
      </c>
      <c r="P39" s="450">
        <f>[17]Sheet2!$C$179/1000000</f>
        <v>1118.4946110000001</v>
      </c>
      <c r="Q39" s="450">
        <f>[18]Sheet2!$C$179/1000000</f>
        <v>1106.0855670000001</v>
      </c>
      <c r="R39" s="450">
        <f>[19]Sheet2!$C$179/1000000</f>
        <v>1101.062396</v>
      </c>
      <c r="S39" s="450">
        <f>[20]Sheet2!$C$179/1000000</f>
        <v>1106.408987</v>
      </c>
      <c r="T39" s="450">
        <f>[21]Sheet2!$C$179/1000000</f>
        <v>1124.7896040000001</v>
      </c>
      <c r="U39" s="450">
        <f>[22]Sheet2!$C$179/1000000</f>
        <v>1129.6805569999999</v>
      </c>
      <c r="V39" s="450">
        <f>[23]Sheet2!$C$179/1000000</f>
        <v>1161.2475649999999</v>
      </c>
      <c r="W39" s="450">
        <f>[24]Sheet2!$C$179/1000000</f>
        <v>1155.363417</v>
      </c>
      <c r="X39" s="450">
        <f>[25]Sheet2!$C$179/1000000</f>
        <v>1120.5326399999999</v>
      </c>
      <c r="Y39" s="450">
        <f>[26]Sheet2!$C$179/1000000</f>
        <v>1112.9681869999999</v>
      </c>
      <c r="Z39" s="450">
        <f>[27]Sheet2!$C$179/1000000</f>
        <v>1132.677878</v>
      </c>
      <c r="AA39" s="450">
        <f>[28]Sheet2!$C$179/1000000</f>
        <v>1119.8491120000001</v>
      </c>
      <c r="AB39" s="450">
        <f>[29]Sheet2!$C$179/1000000</f>
        <v>1128.4988470000001</v>
      </c>
      <c r="AC39" s="450">
        <f>[30]Sheet2!$C$179/1000000</f>
        <v>1148.39096</v>
      </c>
      <c r="AD39" s="481">
        <f>[31]Sheet2!$C$179/1000000</f>
        <v>1151.0812470000001</v>
      </c>
      <c r="AE39" s="450">
        <f>[32]Sheet2!$C$179/1000000</f>
        <v>718.87731099999996</v>
      </c>
      <c r="AF39" s="450">
        <f>[33]Sheet2!$C$179/1000000</f>
        <v>719.50127199999997</v>
      </c>
      <c r="AG39" s="450">
        <f>[34]Sheet2!$C$179/1000000</f>
        <v>731.07004600000005</v>
      </c>
      <c r="AH39" s="450">
        <f>[35]Sheet2!$C$179/1000000</f>
        <v>743.04621399999996</v>
      </c>
      <c r="AI39" s="450">
        <f>[36]Sheet2!$C$179/1000000</f>
        <v>734.68812500000001</v>
      </c>
      <c r="AJ39" s="450">
        <f>[60]Sheet2!$C$179/1000000</f>
        <v>743.68994399999997</v>
      </c>
      <c r="AK39" s="450">
        <f>[61]Sheet2!$C$179/1000000</f>
        <v>730.23049600000002</v>
      </c>
      <c r="AL39" s="450">
        <f>[62]Sheet2!$C$179/1000000</f>
        <v>744.61600199999998</v>
      </c>
      <c r="AM39" s="450">
        <f>[63]Sheet2!$C$179/1000000</f>
        <v>761.51917400000002</v>
      </c>
      <c r="AN39" s="450">
        <f>[64]Sheet2!$C$179/1000000</f>
        <v>767.09057600000006</v>
      </c>
      <c r="AO39" s="481">
        <f>[65]Sheet2!$C$179/1000000</f>
        <v>766.42712400000005</v>
      </c>
      <c r="AP39" s="450">
        <f>[37]Sheet2!$C$179/1000000</f>
        <v>1239.94310767</v>
      </c>
      <c r="AQ39" s="450">
        <f>[38]Sheet2!$C$179/1000000</f>
        <v>1264.7914020000001</v>
      </c>
      <c r="AR39" s="450">
        <f>[39]Sheet2!$C$179/1000000</f>
        <v>1274.3618821799998</v>
      </c>
      <c r="AS39" s="450">
        <f>[66]Sheet2!$C$179/1000000</f>
        <v>1280.3042612500001</v>
      </c>
      <c r="AT39" s="450">
        <f>[67]Sheet2!$C$179/1000000</f>
        <v>1306.7337675699998</v>
      </c>
      <c r="AU39" s="450">
        <f>[68]Sheet2!$C$179/1000000</f>
        <v>1315.4817282500001</v>
      </c>
      <c r="AV39" s="450">
        <f>[69]Sheet2!$C$179/1000000</f>
        <v>1319.3545815999998</v>
      </c>
      <c r="AW39" s="450">
        <f>[70]Sheet2!$C$179/1000000</f>
        <v>1343.6667809600001</v>
      </c>
      <c r="AX39" s="450">
        <f>[71]Sheet2!$C$179/1000000</f>
        <v>1342.82876171</v>
      </c>
      <c r="AY39" s="450">
        <f>[72]Sheet2!$C$179/1000000</f>
        <v>1333.55312157</v>
      </c>
      <c r="AZ39" s="450">
        <f>[73]Sheet2!$C$179/1000000</f>
        <v>1321.98492667</v>
      </c>
      <c r="BA39" s="450">
        <f>[74]Sheet2!$C$179/1000000</f>
        <v>1319.2038304699997</v>
      </c>
      <c r="BB39" s="450">
        <f>[40]Sheet2!$C$179/1000000</f>
        <v>1316.27753026</v>
      </c>
      <c r="BC39" s="450">
        <f>[75]Sheet2!$C$179/1000000</f>
        <v>1336.1415414000001</v>
      </c>
      <c r="BD39" s="450">
        <f>[76]Sheet2!$C$179/1000000</f>
        <v>1326.1321629700001</v>
      </c>
      <c r="BE39" s="450">
        <f>[77]Sheet2!$C$179/1000000</f>
        <v>1325.2187798299999</v>
      </c>
      <c r="BF39" s="450">
        <f>[41]Sheet2!$C$179/1000000</f>
        <v>1348.37139327</v>
      </c>
      <c r="BG39" s="450">
        <f>[42]Sheet2!$C$179/1000000</f>
        <v>1358.8976903400001</v>
      </c>
      <c r="BH39" s="450">
        <f>[43]Sheet2!$C$179/1000000</f>
        <v>1361.9308844500001</v>
      </c>
      <c r="BI39" s="450">
        <f>[44]Sheet2!$C$179/1000000</f>
        <v>1361.8634456999998</v>
      </c>
      <c r="BJ39" s="450">
        <f>[78]Sheet2!$C$179/1000000</f>
        <v>1370.59309803</v>
      </c>
      <c r="BK39" s="450">
        <f>[79]Sheet2!$C$179/1000000</f>
        <v>1368.9030226</v>
      </c>
      <c r="BL39" s="450">
        <f>[80]Sheet2!$C$179/1000000</f>
        <v>1377.67640314</v>
      </c>
      <c r="BM39" s="450">
        <f>[81]Sheet2!$C$179/1000000</f>
        <v>1375.0246028900001</v>
      </c>
      <c r="BN39" s="450">
        <f>[82]Sheet2!$C$179/1000000</f>
        <v>1392.0549100999999</v>
      </c>
      <c r="BO39" s="450">
        <f>[83]Sheet2!$C$179/1000000</f>
        <v>1390.05763207</v>
      </c>
      <c r="BP39" s="450">
        <f>[84]Sheet2!$C$179/1000000</f>
        <v>1393.6426739799999</v>
      </c>
      <c r="BQ39" s="450">
        <f>[85]Sheet2!$C$179/1000000</f>
        <v>1390.7978904500001</v>
      </c>
      <c r="BR39" s="450">
        <f>[86]Sheet2!$C$179/1000000</f>
        <v>1420.1508568899999</v>
      </c>
      <c r="BS39" s="450">
        <f>[87]Sheet2!$C$179/1000000</f>
        <v>1406.46209548</v>
      </c>
      <c r="BT39" s="450">
        <f>[88]Sheet2!$C$179/1000000</f>
        <v>1411.92561019</v>
      </c>
      <c r="BU39" s="450">
        <f>[89]Sheet2!$C$179/1000000</f>
        <v>1441.8969315300001</v>
      </c>
      <c r="BV39" s="450">
        <f>[90]Sheet2!$C$179/1000000</f>
        <v>1445.21796255</v>
      </c>
      <c r="BW39" s="450">
        <f>[91]Sheet2!$C$179/1000000</f>
        <v>1438.9158322999999</v>
      </c>
      <c r="BX39" s="450">
        <f>[92]Sheet2!$C$179/1000000</f>
        <v>1443.3061501599998</v>
      </c>
      <c r="BY39" s="450">
        <f>[93]Sheet2!$C$179/1000000</f>
        <v>1450.0951263499999</v>
      </c>
      <c r="BZ39" s="450">
        <f>[94]Sheet2!$C$179/1000000</f>
        <v>1417.7307113899999</v>
      </c>
      <c r="CA39" s="450">
        <f>[95]Sheet2!$C$179/1000000</f>
        <v>1423.0068311500002</v>
      </c>
      <c r="CB39" s="450">
        <f>[45]Sheet2!$C$179/1000000</f>
        <v>1420.0494755900002</v>
      </c>
      <c r="CC39" s="450">
        <f>[46]Sheet2!$C$179/1000000</f>
        <v>1406.58910814</v>
      </c>
      <c r="CD39" s="450">
        <f>[47]Sheet2!$C$179/1000000</f>
        <v>1433.9771584299999</v>
      </c>
      <c r="CE39" s="450">
        <f>[48]Sheet2!$C$179/1000000</f>
        <v>1433.53684172</v>
      </c>
      <c r="CF39" s="450">
        <f>[49]Sheet2!$C$179/1000000</f>
        <v>1425.6899541300002</v>
      </c>
      <c r="CG39" s="450">
        <f>[50]Sheet2!$C$179/1000000</f>
        <v>1444.9201396299998</v>
      </c>
      <c r="CH39" s="450">
        <f>[51]Sheet2!$C$179/1000000</f>
        <v>1445.02268033</v>
      </c>
      <c r="CI39" s="450">
        <f>[52]Sheet2!$C$179/1000000</f>
        <v>1433.827867</v>
      </c>
      <c r="CJ39" s="450">
        <f>[53]Sheet2!$C$179/1000000</f>
        <v>1444.8126629999999</v>
      </c>
      <c r="CK39" s="450">
        <f>[54]Sheet2!$C$179/1000000</f>
        <v>1447.9274459999999</v>
      </c>
      <c r="CL39" s="450">
        <f>[55]Sheet2!$C$179/1000000</f>
        <v>1423.7086429999999</v>
      </c>
      <c r="CM39" s="450">
        <f>[56]Sheet2!$C$179/1000000</f>
        <v>1441.364472</v>
      </c>
      <c r="CN39" s="450">
        <f>[57]Sheet2!$C$179/1000000</f>
        <v>1445.6515450899999</v>
      </c>
      <c r="CO39" s="450">
        <f>[58]Sheet2!$C$179/1000000</f>
        <v>1432.0482320000001</v>
      </c>
      <c r="CP39" s="439">
        <f>[59]Sheet2!$C$179/1000000</f>
        <v>1441.5702060000001</v>
      </c>
    </row>
    <row r="40" spans="1:94">
      <c r="A40" s="436" t="s">
        <v>543</v>
      </c>
      <c r="B40" s="437" t="s">
        <v>544</v>
      </c>
      <c r="C40" s="450">
        <f>[105]Sheet1!$S$212/1000000</f>
        <v>14742.911323481234</v>
      </c>
      <c r="D40" s="450">
        <f>[5]Sheet2!$C$196/1000000</f>
        <v>15123.896190439998</v>
      </c>
      <c r="E40" s="450">
        <f>[6]Sheet2!$C$196/1000000</f>
        <v>15433.4043117808</v>
      </c>
      <c r="F40" s="390">
        <f>[7]Sheet2!$C$196/1000000</f>
        <v>15589.94476909</v>
      </c>
      <c r="G40" s="450">
        <f>[8]Sheet2!$C$196/1000000</f>
        <v>16269.971549442425</v>
      </c>
      <c r="H40" s="481">
        <f>[9]Sheet2!$C$196/1000000</f>
        <v>16553.85773119779</v>
      </c>
      <c r="I40" s="450">
        <f>[10]Sheet2!$C$196/1000000</f>
        <v>16899.718291839999</v>
      </c>
      <c r="J40" s="450">
        <f>[11]Sheet2!$C$196/1000000</f>
        <v>17077.224390569998</v>
      </c>
      <c r="K40" s="450">
        <f>[12]Sheet2!$C$196/1000000</f>
        <v>17249.916636060003</v>
      </c>
      <c r="L40" s="450">
        <f>[13]Sheet2!$C$196/1000000</f>
        <v>17498.296594419997</v>
      </c>
      <c r="M40" s="390">
        <f>[14]Sheet2!$C$196/1000000</f>
        <v>17784.5328137</v>
      </c>
      <c r="N40" s="450">
        <f>[15]Sheet2!$C$196/1000000</f>
        <v>17971.949327940001</v>
      </c>
      <c r="O40" s="450">
        <f>[16]Sheet2!$C$196/1000000</f>
        <v>18188.571791840004</v>
      </c>
      <c r="P40" s="450">
        <f>[17]Sheet2!$C$196/1000000</f>
        <v>18017.636745659998</v>
      </c>
      <c r="Q40" s="450">
        <f>[18]Sheet2!$C$196/1000000</f>
        <v>17977.628965799999</v>
      </c>
      <c r="R40" s="450">
        <f>[19]Sheet2!$C$196/1000000</f>
        <v>17911.014596410001</v>
      </c>
      <c r="S40" s="450">
        <f>[20]Sheet2!$C$196/1000000</f>
        <v>17963.850890590002</v>
      </c>
      <c r="T40" s="450">
        <f>[21]Sheet2!$C$196/1000000</f>
        <v>17595.702825410001</v>
      </c>
      <c r="U40" s="450">
        <f>[22]Sheet2!$C$196/1000000</f>
        <v>17768.091877309998</v>
      </c>
      <c r="V40" s="450">
        <f>[23]Sheet2!$C$196/1000000</f>
        <v>17813.441719549999</v>
      </c>
      <c r="W40" s="450">
        <f>[24]Sheet2!$C$196/1000000</f>
        <v>17719.934724160004</v>
      </c>
      <c r="X40" s="450">
        <f>[25]Sheet2!$C$196/1000000</f>
        <v>17989.227521150002</v>
      </c>
      <c r="Y40" s="450">
        <f>[26]Sheet2!$C$196/1000000</f>
        <v>18284.570268869997</v>
      </c>
      <c r="Z40" s="450">
        <f>[27]Sheet2!$C$196/1000000</f>
        <v>18489.788411479996</v>
      </c>
      <c r="AA40" s="450">
        <f>[28]Sheet2!$C$196/1000000</f>
        <v>18485.572172829998</v>
      </c>
      <c r="AB40" s="450">
        <f>[29]Sheet2!$C$196/1000000</f>
        <v>18821.072586349997</v>
      </c>
      <c r="AC40" s="450">
        <f>[30]Sheet2!$C$196/1000000</f>
        <v>19490.498911189999</v>
      </c>
      <c r="AD40" s="481">
        <f>[31]Sheet2!$C$196/1000000</f>
        <v>19949.906067209999</v>
      </c>
      <c r="AE40" s="450">
        <f>[32]Sheet2!$C$196/1000000</f>
        <v>20460.449108770001</v>
      </c>
      <c r="AF40" s="450">
        <f>[33]Sheet2!$C$196/1000000</f>
        <v>20927.319464129996</v>
      </c>
      <c r="AG40" s="450">
        <f>[34]Sheet2!$C$196/1000000</f>
        <v>21266.014402519995</v>
      </c>
      <c r="AH40" s="450">
        <f>[35]Sheet2!$C$196/1000000</f>
        <v>21945.602922959999</v>
      </c>
      <c r="AI40" s="450">
        <f>[36]Sheet2!$C$196/1000000</f>
        <v>22409.39166836</v>
      </c>
      <c r="AJ40" s="450">
        <f>[60]Sheet2!$C$196/1000000</f>
        <v>23101.067259949999</v>
      </c>
      <c r="AK40" s="450">
        <f>[61]Sheet2!$C$196/1000000</f>
        <v>23404.31700404</v>
      </c>
      <c r="AL40" s="450">
        <f>[62]Sheet2!$C$196/1000000</f>
        <v>23349.56569699628</v>
      </c>
      <c r="AM40" s="450">
        <f>[63]Sheet2!$C$196/1000000</f>
        <v>23439.535486370005</v>
      </c>
      <c r="AN40" s="450">
        <f>[64]Sheet2!$C$196/1000000</f>
        <v>23598.019496246987</v>
      </c>
      <c r="AO40" s="481">
        <f>[65]Sheet2!$C$196/1000000</f>
        <v>23867.80302965</v>
      </c>
      <c r="AP40" s="450">
        <f>[37]Sheet2!$C$196/1000000</f>
        <v>24048.045119753424</v>
      </c>
      <c r="AQ40" s="450">
        <f>[38]Sheet2!$C$196/1000000</f>
        <v>24186.875462573564</v>
      </c>
      <c r="AR40" s="450">
        <f>[39]Sheet2!$C$196/1000000</f>
        <v>24271.963531366437</v>
      </c>
      <c r="AS40" s="450">
        <f>[66]Sheet2!$C$196/1000000</f>
        <v>24283.42813997644</v>
      </c>
      <c r="AT40" s="450">
        <f>[67]Sheet2!$C$196/1000000</f>
        <v>24839.06594693644</v>
      </c>
      <c r="AU40" s="450">
        <f>[68]Sheet2!$C$196/1000000</f>
        <v>25029.502035417358</v>
      </c>
      <c r="AV40" s="450">
        <f>[69]Sheet2!$C$196/1000000</f>
        <v>25353.170512412802</v>
      </c>
      <c r="AW40" s="450">
        <f>[70]Sheet2!$C$196/1000000</f>
        <v>25633.689963439996</v>
      </c>
      <c r="AX40" s="450">
        <f>[71]Sheet2!$C$196/1000000</f>
        <v>25631.53616345696</v>
      </c>
      <c r="AY40" s="450">
        <f>[72]Sheet2!$C$196/1000000</f>
        <v>25490.960592804113</v>
      </c>
      <c r="AZ40" s="450">
        <f>[73]Sheet2!$C$196/1000000</f>
        <v>26076.29392366972</v>
      </c>
      <c r="BA40" s="450">
        <f>[74]Sheet2!$C$196/1000000</f>
        <v>26810.161721645341</v>
      </c>
      <c r="BB40" s="450">
        <f>[40]Sheet2!$C$196/1000000</f>
        <v>27036.118205930277</v>
      </c>
      <c r="BC40" s="450">
        <f>[75]Sheet2!$C$196/1000000</f>
        <v>27196.527018112603</v>
      </c>
      <c r="BD40" s="450">
        <f>[76]Sheet2!$C$196/1000000</f>
        <v>27144.082983928362</v>
      </c>
      <c r="BE40" s="450">
        <f>[77]Sheet2!$C$196/1000000</f>
        <v>26304.308848996301</v>
      </c>
      <c r="BF40" s="450">
        <f>[41]Sheet2!$C$196/1000000</f>
        <v>26675.121885730277</v>
      </c>
      <c r="BG40" s="450">
        <f>[42]Sheet2!$C$196/1000000</f>
        <v>26836.36675449066</v>
      </c>
      <c r="BH40" s="450">
        <f>[43]Sheet2!$C$196/1000000</f>
        <v>26769.114161322057</v>
      </c>
      <c r="BI40" s="450">
        <f>[44]Sheet2!$C$196/1000000</f>
        <v>27268.502371731098</v>
      </c>
      <c r="BJ40" s="450">
        <f>[78]Sheet2!$C$196/1000000</f>
        <v>27653.024629015261</v>
      </c>
      <c r="BK40" s="450">
        <f>[79]Sheet2!$C$196/1000000</f>
        <v>25750.492028339999</v>
      </c>
      <c r="BL40" s="450">
        <f>[80]Sheet2!$C$196/1000000</f>
        <v>25875.80105728325</v>
      </c>
      <c r="BM40" s="450">
        <f>[81]Sheet2!$C$196/1000000</f>
        <v>25943.403622435686</v>
      </c>
      <c r="BN40" s="450">
        <f>[82]Sheet2!$C$196/1000000</f>
        <v>26263.294789976469</v>
      </c>
      <c r="BO40" s="450">
        <f>[83]Sheet2!$C$196/1000000</f>
        <v>26408.224957440547</v>
      </c>
      <c r="BP40" s="450">
        <f>[84]Sheet2!$C$196/1000000</f>
        <v>26619.869193825623</v>
      </c>
      <c r="BQ40" s="450">
        <f>[85]Sheet2!$C$196/1000000</f>
        <v>26343.36610055597</v>
      </c>
      <c r="BR40" s="450">
        <f>[86]Sheet2!$C$196/1000000</f>
        <v>26697.917539514383</v>
      </c>
      <c r="BS40" s="450">
        <f>[87]Sheet2!$C$196/1000000</f>
        <v>27086.995768615478</v>
      </c>
      <c r="BT40" s="450">
        <f>[88]Sheet2!$C$196/1000000</f>
        <v>27257.539404329033</v>
      </c>
      <c r="BU40" s="450">
        <f>[89]Sheet2!$C$196/1000000</f>
        <v>27762.989583857008</v>
      </c>
      <c r="BV40" s="450">
        <f>[90]Sheet2!$C$196/1000000</f>
        <v>28291.197037141919</v>
      </c>
      <c r="BW40" s="450">
        <f>[91]Sheet2!$C$196/1000000</f>
        <v>28484.538186862999</v>
      </c>
      <c r="BX40" s="450">
        <f>[92]Sheet2!$C$196/1000000</f>
        <v>28834.97957955371</v>
      </c>
      <c r="BY40" s="450">
        <f>[93]Sheet2!$C$196/1000000</f>
        <v>29116.746657613865</v>
      </c>
      <c r="BZ40" s="450">
        <f>[94]Sheet2!$C$196/1000000</f>
        <v>29277.76599928649</v>
      </c>
      <c r="CA40" s="450">
        <f>[95]Sheet2!$C$196/1000000</f>
        <v>29828.36228235596</v>
      </c>
      <c r="CB40" s="450">
        <f>[45]Sheet2!$C$196/1000000</f>
        <v>30127.497347025455</v>
      </c>
      <c r="CC40" s="450">
        <f>[46]Sheet2!$C$196/1000000</f>
        <v>29937.324196870537</v>
      </c>
      <c r="CD40" s="450">
        <f>[47]Sheet2!$C$196/1000000</f>
        <v>30270.482135080416</v>
      </c>
      <c r="CE40" s="450">
        <f>[48]Sheet2!$C$196/1000000</f>
        <v>30658.529082796569</v>
      </c>
      <c r="CF40" s="450">
        <f>[49]Sheet2!$C$196/1000000</f>
        <v>31439.44843978214</v>
      </c>
      <c r="CG40" s="450">
        <f>[50]Sheet2!$C$196/1000000</f>
        <v>31666.176538967102</v>
      </c>
      <c r="CH40" s="450">
        <f>[51]Sheet2!$C$196/1000000</f>
        <v>29220.499079482568</v>
      </c>
      <c r="CI40" s="450">
        <f>[52]Sheet2!$C$196/1000000</f>
        <v>28871.575451194985</v>
      </c>
      <c r="CJ40" s="450">
        <f>[53]Sheet2!$C$196/1000000</f>
        <v>29722.155228049753</v>
      </c>
      <c r="CK40" s="450">
        <f>[54]Sheet2!$C$196/1000000</f>
        <v>30251.212696656494</v>
      </c>
      <c r="CL40" s="450">
        <f>[55]Sheet2!$C$196/1000000</f>
        <v>30665.211660265595</v>
      </c>
      <c r="CM40" s="450">
        <f>[56]Sheet2!$C$196/1000000</f>
        <v>31004.141133816629</v>
      </c>
      <c r="CN40" s="450">
        <f>[57]Sheet2!$C$196/1000000</f>
        <v>30930.293075350226</v>
      </c>
      <c r="CO40" s="450">
        <f>[58]Sheet2!$C$196/1000000</f>
        <v>31402.117803920803</v>
      </c>
      <c r="CP40" s="439">
        <f>[59]Sheet2!$C$196/1000000</f>
        <v>32234.008806320646</v>
      </c>
    </row>
    <row r="41" spans="1:94">
      <c r="A41" s="436"/>
      <c r="B41" s="437"/>
      <c r="C41" s="492"/>
      <c r="D41" s="492"/>
      <c r="E41" s="492"/>
      <c r="F41" s="493"/>
      <c r="G41" s="492"/>
      <c r="H41" s="494"/>
      <c r="I41" s="492"/>
      <c r="J41" s="492"/>
      <c r="K41" s="492"/>
      <c r="L41" s="492"/>
      <c r="M41" s="493"/>
      <c r="N41" s="492"/>
      <c r="O41" s="492"/>
      <c r="P41" s="492"/>
      <c r="Q41" s="492"/>
      <c r="R41" s="492"/>
      <c r="S41" s="492"/>
      <c r="T41" s="492"/>
      <c r="U41" s="492"/>
      <c r="V41" s="492"/>
      <c r="W41" s="492"/>
      <c r="X41" s="492"/>
      <c r="Y41" s="492"/>
      <c r="Z41" s="492"/>
      <c r="AA41" s="492"/>
      <c r="AB41" s="492"/>
      <c r="AC41" s="492"/>
      <c r="AD41" s="494"/>
      <c r="AE41" s="492"/>
      <c r="AF41" s="492"/>
      <c r="AG41" s="492"/>
      <c r="AH41" s="492"/>
      <c r="AI41" s="492"/>
      <c r="AJ41" s="492"/>
      <c r="AK41" s="492"/>
      <c r="AL41" s="492"/>
      <c r="AM41" s="492"/>
      <c r="AN41" s="492"/>
      <c r="AO41" s="494"/>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2"/>
      <c r="CG41" s="492"/>
      <c r="CH41" s="492"/>
      <c r="CI41" s="492"/>
      <c r="CJ41" s="492"/>
      <c r="CK41" s="492"/>
      <c r="CL41" s="492"/>
      <c r="CM41" s="492"/>
      <c r="CN41" s="492"/>
      <c r="CO41" s="492"/>
      <c r="CP41" s="495"/>
    </row>
    <row r="42" spans="1:94">
      <c r="A42" s="433" t="s">
        <v>545</v>
      </c>
      <c r="B42" s="434" t="s">
        <v>568</v>
      </c>
      <c r="C42" s="476">
        <f>C43+C44+C45</f>
        <v>726.30212647999997</v>
      </c>
      <c r="D42" s="476">
        <f>D43+D44+D45</f>
        <v>730.39840418000006</v>
      </c>
      <c r="E42" s="476">
        <f t="shared" ref="E42:BP42" si="7">E43+E44+E45</f>
        <v>618.43484755920008</v>
      </c>
      <c r="F42" s="400">
        <f t="shared" si="7"/>
        <v>740.38654256999996</v>
      </c>
      <c r="G42" s="476">
        <f t="shared" si="7"/>
        <v>646.78364239999996</v>
      </c>
      <c r="H42" s="477">
        <f t="shared" si="7"/>
        <v>572.08562338000002</v>
      </c>
      <c r="I42" s="476">
        <f t="shared" si="7"/>
        <v>550.23047771000006</v>
      </c>
      <c r="J42" s="476">
        <f t="shared" si="7"/>
        <v>558.05042742000001</v>
      </c>
      <c r="K42" s="476">
        <f t="shared" si="7"/>
        <v>552.97945962000006</v>
      </c>
      <c r="L42" s="476">
        <f t="shared" si="7"/>
        <v>559.17220728999996</v>
      </c>
      <c r="M42" s="400">
        <f t="shared" si="7"/>
        <v>562.7922152000001</v>
      </c>
      <c r="N42" s="476">
        <f t="shared" si="7"/>
        <v>565.61743013</v>
      </c>
      <c r="O42" s="476">
        <f t="shared" si="7"/>
        <v>563.79909946999999</v>
      </c>
      <c r="P42" s="476">
        <f t="shared" si="7"/>
        <v>567.45060109999997</v>
      </c>
      <c r="Q42" s="476">
        <f t="shared" si="7"/>
        <v>621.18159661000004</v>
      </c>
      <c r="R42" s="476">
        <f t="shared" si="7"/>
        <v>623.94371149000006</v>
      </c>
      <c r="S42" s="476">
        <f t="shared" si="7"/>
        <v>664.89246536999997</v>
      </c>
      <c r="T42" s="476">
        <f t="shared" si="7"/>
        <v>675.52734220000002</v>
      </c>
      <c r="U42" s="476">
        <f t="shared" si="7"/>
        <v>741.88147501000003</v>
      </c>
      <c r="V42" s="476">
        <f t="shared" si="7"/>
        <v>735.36646825999992</v>
      </c>
      <c r="W42" s="476">
        <f t="shared" si="7"/>
        <v>865.76031336000005</v>
      </c>
      <c r="X42" s="476">
        <f t="shared" si="7"/>
        <v>805.0815020199999</v>
      </c>
      <c r="Y42" s="476">
        <f t="shared" si="7"/>
        <v>810.36657187000003</v>
      </c>
      <c r="Z42" s="476">
        <f t="shared" si="7"/>
        <v>816.01652031999993</v>
      </c>
      <c r="AA42" s="476">
        <f t="shared" si="7"/>
        <v>818.70660423999993</v>
      </c>
      <c r="AB42" s="476">
        <f t="shared" si="7"/>
        <v>854.49913663000007</v>
      </c>
      <c r="AC42" s="476">
        <f t="shared" si="7"/>
        <v>887.07480782000016</v>
      </c>
      <c r="AD42" s="477">
        <f t="shared" si="7"/>
        <v>861.51725778999992</v>
      </c>
      <c r="AE42" s="476">
        <f t="shared" si="7"/>
        <v>640.37404246999995</v>
      </c>
      <c r="AF42" s="476">
        <f t="shared" si="7"/>
        <v>658.00162995000005</v>
      </c>
      <c r="AG42" s="476">
        <f t="shared" si="7"/>
        <v>762.05223934000003</v>
      </c>
      <c r="AH42" s="476">
        <f t="shared" si="7"/>
        <v>763.29237933000002</v>
      </c>
      <c r="AI42" s="476">
        <f t="shared" si="7"/>
        <v>600.11227621</v>
      </c>
      <c r="AJ42" s="476">
        <f t="shared" si="7"/>
        <v>516.71647100999996</v>
      </c>
      <c r="AK42" s="476">
        <f t="shared" si="7"/>
        <v>549.01104077999992</v>
      </c>
      <c r="AL42" s="476">
        <f t="shared" si="7"/>
        <v>596.4233511138641</v>
      </c>
      <c r="AM42" s="476">
        <f t="shared" si="7"/>
        <v>597.49639311999999</v>
      </c>
      <c r="AN42" s="476">
        <f t="shared" si="7"/>
        <v>650.72847651301367</v>
      </c>
      <c r="AO42" s="477">
        <f t="shared" si="7"/>
        <v>682.70512811999993</v>
      </c>
      <c r="AP42" s="476">
        <f t="shared" si="7"/>
        <v>702.43963852657532</v>
      </c>
      <c r="AQ42" s="476">
        <f t="shared" si="7"/>
        <v>705.04451739643832</v>
      </c>
      <c r="AR42" s="476">
        <f t="shared" si="7"/>
        <v>748.63081716356169</v>
      </c>
      <c r="AS42" s="476">
        <f t="shared" si="7"/>
        <v>850.48227772356165</v>
      </c>
      <c r="AT42" s="476">
        <f t="shared" si="7"/>
        <v>768.55162236356159</v>
      </c>
      <c r="AU42" s="476">
        <f t="shared" si="7"/>
        <v>770.49015616356155</v>
      </c>
      <c r="AV42" s="476">
        <f t="shared" si="7"/>
        <v>783.15680260356169</v>
      </c>
      <c r="AW42" s="476">
        <f t="shared" si="7"/>
        <v>1068.16589727</v>
      </c>
      <c r="AX42" s="476">
        <f t="shared" si="7"/>
        <v>1149.4411638230399</v>
      </c>
      <c r="AY42" s="476">
        <f t="shared" si="7"/>
        <v>1253.6824820458903</v>
      </c>
      <c r="AZ42" s="476">
        <f t="shared" si="7"/>
        <v>1439.0540885602738</v>
      </c>
      <c r="BA42" s="476">
        <f t="shared" si="7"/>
        <v>1474.4996932746578</v>
      </c>
      <c r="BB42" s="476">
        <f t="shared" si="7"/>
        <v>1483.081225139726</v>
      </c>
      <c r="BC42" s="476">
        <f t="shared" si="7"/>
        <v>1652.7592729373973</v>
      </c>
      <c r="BD42" s="476">
        <f t="shared" si="7"/>
        <v>1671.2450031816438</v>
      </c>
      <c r="BE42" s="476">
        <f t="shared" si="7"/>
        <v>1687.9613241436987</v>
      </c>
      <c r="BF42" s="476">
        <f t="shared" si="7"/>
        <v>1369.9318237097261</v>
      </c>
      <c r="BG42" s="476">
        <f t="shared" si="7"/>
        <v>1465.100625689337</v>
      </c>
      <c r="BH42" s="476">
        <f t="shared" si="7"/>
        <v>1567.3237158879451</v>
      </c>
      <c r="BI42" s="476">
        <f t="shared" si="7"/>
        <v>1570.457439008904</v>
      </c>
      <c r="BJ42" s="476">
        <f t="shared" si="7"/>
        <v>1406.0268968034973</v>
      </c>
      <c r="BK42" s="476">
        <f t="shared" si="7"/>
        <v>1405.76249001</v>
      </c>
      <c r="BL42" s="476">
        <f t="shared" si="7"/>
        <v>1311.9401975067515</v>
      </c>
      <c r="BM42" s="476">
        <f t="shared" si="7"/>
        <v>1290.9991546943181</v>
      </c>
      <c r="BN42" s="476">
        <f t="shared" si="7"/>
        <v>1407.1600321024355</v>
      </c>
      <c r="BO42" s="476">
        <f t="shared" si="7"/>
        <v>1422.0426776094539</v>
      </c>
      <c r="BP42" s="476">
        <f t="shared" si="7"/>
        <v>1439.8729521815442</v>
      </c>
      <c r="BQ42" s="476">
        <f t="shared" ref="BQ42:CO42" si="8">BQ43+BQ44+BQ45</f>
        <v>1445.9378724651376</v>
      </c>
      <c r="BR42" s="476">
        <f t="shared" si="8"/>
        <v>1379.3190071556162</v>
      </c>
      <c r="BS42" s="476">
        <f t="shared" si="8"/>
        <v>1386.5160951345206</v>
      </c>
      <c r="BT42" s="476">
        <f t="shared" si="8"/>
        <v>1403.7218646380384</v>
      </c>
      <c r="BU42" s="476">
        <f t="shared" si="8"/>
        <v>1393.7948318676224</v>
      </c>
      <c r="BV42" s="476">
        <f t="shared" si="8"/>
        <v>1521.7152890270499</v>
      </c>
      <c r="BW42" s="476">
        <f t="shared" si="8"/>
        <v>1933.11199854705</v>
      </c>
      <c r="BX42" s="476">
        <f t="shared" si="8"/>
        <v>1912.0727801009612</v>
      </c>
      <c r="BY42" s="476">
        <f t="shared" si="8"/>
        <v>1921.6358240507996</v>
      </c>
      <c r="BZ42" s="476">
        <f t="shared" si="8"/>
        <v>1990.6143178181733</v>
      </c>
      <c r="CA42" s="476">
        <f t="shared" si="8"/>
        <v>1975.146650228706</v>
      </c>
      <c r="CB42" s="476">
        <f t="shared" si="8"/>
        <v>1976.1102385692122</v>
      </c>
      <c r="CC42" s="476">
        <f t="shared" si="8"/>
        <v>1549.53095162095</v>
      </c>
      <c r="CD42" s="476">
        <f t="shared" si="8"/>
        <v>1451.2084267842474</v>
      </c>
      <c r="CE42" s="476">
        <f t="shared" si="8"/>
        <v>1462.7293710680965</v>
      </c>
      <c r="CF42" s="476">
        <f t="shared" si="8"/>
        <v>1468.7169780747017</v>
      </c>
      <c r="CG42" s="476">
        <f t="shared" si="8"/>
        <v>1371.7919477338276</v>
      </c>
      <c r="CH42" s="476">
        <f t="shared" si="8"/>
        <v>1301.3431934843293</v>
      </c>
      <c r="CI42" s="476">
        <f t="shared" si="8"/>
        <v>1435.6952422045135</v>
      </c>
      <c r="CJ42" s="476">
        <f t="shared" si="8"/>
        <v>1423.1869166581421</v>
      </c>
      <c r="CK42" s="476">
        <f t="shared" si="8"/>
        <v>1431.8376136449285</v>
      </c>
      <c r="CL42" s="476">
        <f t="shared" si="8"/>
        <v>1432.2704903741173</v>
      </c>
      <c r="CM42" s="476">
        <f t="shared" si="8"/>
        <v>1524.088442361897</v>
      </c>
      <c r="CN42" s="476">
        <f t="shared" si="8"/>
        <v>1532.8938521289851</v>
      </c>
      <c r="CO42" s="476">
        <f t="shared" si="8"/>
        <v>1532.9577735925491</v>
      </c>
      <c r="CP42" s="435">
        <f>CP43+CP44+CP45</f>
        <v>1715.827919374251</v>
      </c>
    </row>
    <row r="43" spans="1:94">
      <c r="A43" s="436" t="s">
        <v>547</v>
      </c>
      <c r="B43" s="437" t="s">
        <v>540</v>
      </c>
      <c r="C43" s="450">
        <f>[105]Sheet1!$S$232/1000000</f>
        <v>0</v>
      </c>
      <c r="D43" s="450">
        <f>[5]Sheet2!$C$215/1000000</f>
        <v>0</v>
      </c>
      <c r="E43" s="450">
        <f>[6]Sheet2!$C$215/1000000</f>
        <v>0</v>
      </c>
      <c r="F43" s="390">
        <f>[7]Sheet2!$C$215/1000000</f>
        <v>0</v>
      </c>
      <c r="G43" s="450">
        <f>[8]Sheet2!$C$215/1000000</f>
        <v>0</v>
      </c>
      <c r="H43" s="481">
        <f>[9]Sheet2!$C$215/1000000</f>
        <v>0</v>
      </c>
      <c r="I43" s="450">
        <f>[10]Sheet2!$C$215/1000000</f>
        <v>0</v>
      </c>
      <c r="J43" s="450">
        <f>[11]Sheet2!$C$215/1000000</f>
        <v>0</v>
      </c>
      <c r="K43" s="450">
        <f>[12]Sheet2!$C$215/1000000</f>
        <v>0</v>
      </c>
      <c r="L43" s="450">
        <f>[13]Sheet2!$C$215/1000000</f>
        <v>0</v>
      </c>
      <c r="M43" s="390">
        <f>[14]Sheet2!$C$215/1000000</f>
        <v>0</v>
      </c>
      <c r="N43" s="450">
        <f>[15]Sheet2!$C$215/1000000</f>
        <v>0</v>
      </c>
      <c r="O43" s="450">
        <f>[16]Sheet2!$C$215/1000000</f>
        <v>0</v>
      </c>
      <c r="P43" s="450">
        <f>[17]Sheet2!$C$215/1000000</f>
        <v>0</v>
      </c>
      <c r="Q43" s="450">
        <f>[18]Sheet2!$C$215/1000000</f>
        <v>0</v>
      </c>
      <c r="R43" s="450">
        <f>[19]Sheet2!$C$215/1000000</f>
        <v>50.744235000000003</v>
      </c>
      <c r="S43" s="450">
        <f>[20]Sheet2!$C$215/1000000</f>
        <v>50.042693999999997</v>
      </c>
      <c r="T43" s="450">
        <f>[21]Sheet2!$C$215/1000000</f>
        <v>50.392009000000002</v>
      </c>
      <c r="U43" s="450">
        <f>[22]Sheet2!$C$215/1000000</f>
        <v>474.76731388000002</v>
      </c>
      <c r="V43" s="450">
        <f>[23]Sheet2!$C$215/1000000</f>
        <v>470.10381735999999</v>
      </c>
      <c r="W43" s="450">
        <f>[24]Sheet2!$C$215/1000000</f>
        <v>472.09503471000005</v>
      </c>
      <c r="X43" s="450">
        <f>[25]Sheet2!$C$215/1000000</f>
        <v>526.16627173999996</v>
      </c>
      <c r="Y43" s="450">
        <f>[26]Sheet2!$C$215/1000000</f>
        <v>528.76367500000003</v>
      </c>
      <c r="Z43" s="450">
        <f>[27]Sheet2!$C$215/1000000</f>
        <v>532.00065072999996</v>
      </c>
      <c r="AA43" s="450">
        <f>[28]Sheet2!$C$215/1000000</f>
        <v>533.52308487999994</v>
      </c>
      <c r="AB43" s="450">
        <f>[29]Sheet2!$C$215/1000000</f>
        <v>566.93726500000002</v>
      </c>
      <c r="AC43" s="450">
        <f>[30]Sheet2!$C$215/1000000</f>
        <v>569.51741500000003</v>
      </c>
      <c r="AD43" s="481">
        <f>[31]Sheet2!$C$215/1000000</f>
        <v>572.79224699999997</v>
      </c>
      <c r="AE43" s="450">
        <f>[32]Sheet2!$C$215/1000000</f>
        <v>318.27837499999998</v>
      </c>
      <c r="AF43" s="450">
        <f>[33]Sheet2!$C$215/1000000</f>
        <v>318.83748400000002</v>
      </c>
      <c r="AG43" s="450">
        <f>[34]Sheet2!$C$215/1000000</f>
        <v>320.07963599999999</v>
      </c>
      <c r="AH43" s="450">
        <f>[35]Sheet2!$C$215/1000000</f>
        <v>320.17100299999998</v>
      </c>
      <c r="AI43" s="450">
        <f>[36]Sheet2!$C$215/1000000</f>
        <v>158.364294</v>
      </c>
      <c r="AJ43" s="450">
        <f>[60]Sheet2!$C$215/1000000</f>
        <v>79.922224</v>
      </c>
      <c r="AK43" s="450">
        <f>[61]Sheet2!$C$215/1000000</f>
        <v>0</v>
      </c>
      <c r="AL43" s="450">
        <f>[62]Sheet2!$C$215/1000000</f>
        <v>0</v>
      </c>
      <c r="AM43" s="450">
        <f>[63]Sheet2!$C$215/1000000</f>
        <v>0</v>
      </c>
      <c r="AN43" s="450">
        <f>[64]Sheet2!$C$215/1000000</f>
        <v>0</v>
      </c>
      <c r="AO43" s="481">
        <f>[65]Sheet2!$C$215/1000000</f>
        <v>0</v>
      </c>
      <c r="AP43" s="450">
        <f>[37]Sheet2!$C$215/1000000</f>
        <v>0</v>
      </c>
      <c r="AQ43" s="450">
        <f>[38]Sheet2!$C$215/1000000</f>
        <v>0</v>
      </c>
      <c r="AR43" s="450">
        <f>[39]Sheet2!$C$215/1000000</f>
        <v>0</v>
      </c>
      <c r="AS43" s="450">
        <f>[66]Sheet2!$C$215/1000000</f>
        <v>0</v>
      </c>
      <c r="AT43" s="450">
        <f>[67]Sheet2!$C$215/1000000</f>
        <v>0</v>
      </c>
      <c r="AU43" s="450">
        <f>[68]Sheet2!$C$215/1000000</f>
        <v>0</v>
      </c>
      <c r="AV43" s="450">
        <f>[69]Sheet2!$C$215/1000000</f>
        <v>0</v>
      </c>
      <c r="AW43" s="450">
        <f>[70]Sheet2!$C$215/1000000</f>
        <v>0</v>
      </c>
      <c r="AX43" s="450">
        <f>[71]Sheet2!$C$215/1000000</f>
        <v>0</v>
      </c>
      <c r="AY43" s="450">
        <f>[72]Sheet2!$C$215/1000000</f>
        <v>0</v>
      </c>
      <c r="AZ43" s="450">
        <f>[73]Sheet2!$C$215/1000000</f>
        <v>0</v>
      </c>
      <c r="BA43" s="450">
        <f>[74]Sheet2!$C$215/1000000</f>
        <v>0</v>
      </c>
      <c r="BB43" s="450">
        <f>[40]Sheet2!$C$215/1000000</f>
        <v>0</v>
      </c>
      <c r="BC43" s="450">
        <f>[75]Sheet2!$C$215/1000000</f>
        <v>0</v>
      </c>
      <c r="BD43" s="450">
        <f>[76]Sheet2!$C$215/1000000</f>
        <v>0</v>
      </c>
      <c r="BE43" s="450">
        <f>[77]Sheet2!$C$215/1000000</f>
        <v>0</v>
      </c>
      <c r="BF43" s="450">
        <f>[41]Sheet2!$C$215/1000000</f>
        <v>0</v>
      </c>
      <c r="BG43" s="450">
        <f>[42]Sheet2!$C$215/1000000</f>
        <v>0</v>
      </c>
      <c r="BH43" s="450">
        <f>[43]Sheet2!$C$215/1000000</f>
        <v>0</v>
      </c>
      <c r="BI43" s="450">
        <f>[44]Sheet2!$C$215/1000000</f>
        <v>0</v>
      </c>
      <c r="BJ43" s="450">
        <f>[78]Sheet2!$C$215/1000000</f>
        <v>0</v>
      </c>
      <c r="BK43" s="450">
        <f>[79]Sheet2!$C$215/1000000</f>
        <v>0</v>
      </c>
      <c r="BL43" s="450">
        <f>[80]Sheet2!$C$215/1000000</f>
        <v>0</v>
      </c>
      <c r="BM43" s="450">
        <f>[81]Sheet2!$C$215/1000000</f>
        <v>0</v>
      </c>
      <c r="BN43" s="450">
        <f>[82]Sheet2!$C$215/1000000</f>
        <v>0</v>
      </c>
      <c r="BO43" s="450">
        <f>[83]Sheet2!$C$215/1000000</f>
        <v>0</v>
      </c>
      <c r="BP43" s="450">
        <f>[84]Sheet2!$C$215/1000000</f>
        <v>0</v>
      </c>
      <c r="BQ43" s="450">
        <f>[85]Sheet2!$C$215/1000000</f>
        <v>0</v>
      </c>
      <c r="BR43" s="450">
        <f>[86]Sheet2!$C$215/1000000</f>
        <v>0</v>
      </c>
      <c r="BS43" s="450">
        <f>[87]Sheet2!$C$215/1000000</f>
        <v>0</v>
      </c>
      <c r="BT43" s="450">
        <f>[88]Sheet2!$C$215/1000000</f>
        <v>0</v>
      </c>
      <c r="BU43" s="450">
        <f>[89]Sheet2!$C$215/1000000</f>
        <v>0</v>
      </c>
      <c r="BV43" s="450">
        <f>[90]Sheet2!$C$215/1000000</f>
        <v>0</v>
      </c>
      <c r="BW43" s="450">
        <f>[91]Sheet2!$C$215/1000000</f>
        <v>0</v>
      </c>
      <c r="BX43" s="450">
        <f>[92]Sheet2!$C$215/1000000</f>
        <v>0</v>
      </c>
      <c r="BY43" s="450">
        <f>[93]Sheet2!$C$215/1000000</f>
        <v>0</v>
      </c>
      <c r="BZ43" s="450">
        <f>[94]Sheet2!$C$215/1000000</f>
        <v>0</v>
      </c>
      <c r="CA43" s="450">
        <f>[95]Sheet2!$C$215/1000000</f>
        <v>0</v>
      </c>
      <c r="CB43" s="450">
        <f>[45]Sheet2!$C$215/1000000</f>
        <v>0</v>
      </c>
      <c r="CC43" s="450">
        <f>[46]Sheet2!$C$215/1000000</f>
        <v>0</v>
      </c>
      <c r="CD43" s="450">
        <f>[47]Sheet2!$C$215/1000000</f>
        <v>0</v>
      </c>
      <c r="CE43" s="450">
        <f>[48]Sheet2!$C$215/1000000</f>
        <v>0</v>
      </c>
      <c r="CF43" s="450">
        <f>[49]Sheet2!$C$215/1000000</f>
        <v>0</v>
      </c>
      <c r="CG43" s="450">
        <f>[50]Sheet2!$C$215/1000000</f>
        <v>0</v>
      </c>
      <c r="CH43" s="450">
        <f>[51]Sheet2!$C$215/1000000</f>
        <v>0</v>
      </c>
      <c r="CI43" s="450">
        <f>[52]Sheet2!$C$215/1000000</f>
        <v>0</v>
      </c>
      <c r="CJ43" s="450">
        <f>[53]Sheet2!$C$215/1000000</f>
        <v>0</v>
      </c>
      <c r="CK43" s="450">
        <f>[54]Sheet2!$C$215/1000000</f>
        <v>0</v>
      </c>
      <c r="CL43" s="450">
        <f>[55]Sheet2!$C$215/1000000</f>
        <v>0</v>
      </c>
      <c r="CM43" s="450">
        <f>[56]Sheet2!$C$215/1000000</f>
        <v>0</v>
      </c>
      <c r="CN43" s="450">
        <f>[57]Sheet2!$C$215/1000000</f>
        <v>0</v>
      </c>
      <c r="CO43" s="450">
        <f>[58]Sheet2!$C$215/1000000</f>
        <v>0</v>
      </c>
      <c r="CP43" s="439">
        <f>[59]Sheet2!$C$215/1000000</f>
        <v>0</v>
      </c>
    </row>
    <row r="44" spans="1:94">
      <c r="A44" s="436" t="s">
        <v>548</v>
      </c>
      <c r="B44" s="437" t="s">
        <v>542</v>
      </c>
      <c r="C44" s="450">
        <f>[105]Sheet1!$S$263/1000000</f>
        <v>0</v>
      </c>
      <c r="D44" s="450">
        <f>[5]Sheet2!$C$244/1000000</f>
        <v>0</v>
      </c>
      <c r="E44" s="450">
        <f>[6]Sheet2!$C$244/1000000</f>
        <v>0</v>
      </c>
      <c r="F44" s="390">
        <f>[7]Sheet2!$C$244/1000000</f>
        <v>0</v>
      </c>
      <c r="G44" s="450">
        <f>[8]Sheet2!$C$244/1000000</f>
        <v>0</v>
      </c>
      <c r="H44" s="481">
        <f>[9]Sheet2!$C$244/1000000</f>
        <v>0</v>
      </c>
      <c r="I44" s="450">
        <f>[10]Sheet2!$C$244/1000000</f>
        <v>0.33796700000000002</v>
      </c>
      <c r="J44" s="450">
        <f>[11]Sheet2!$C$244/1000000</f>
        <v>0</v>
      </c>
      <c r="K44" s="450">
        <f>[12]Sheet2!$C$244/1000000</f>
        <v>0</v>
      </c>
      <c r="L44" s="450">
        <f>[13]Sheet2!$C$244/1000000</f>
        <v>0</v>
      </c>
      <c r="M44" s="390">
        <f>[14]Sheet2!$C$244/1000000</f>
        <v>0</v>
      </c>
      <c r="N44" s="450">
        <f>[15]Sheet2!$C$244/1000000</f>
        <v>0</v>
      </c>
      <c r="O44" s="450">
        <f>[16]Sheet2!$C$244/1000000</f>
        <v>0</v>
      </c>
      <c r="P44" s="450">
        <f>[17]Sheet2!$C$244/1000000</f>
        <v>0</v>
      </c>
      <c r="Q44" s="450">
        <f>[18]Sheet2!$C$244/1000000</f>
        <v>0</v>
      </c>
      <c r="R44" s="450">
        <f>[19]Sheet2!$C$244/1000000</f>
        <v>0</v>
      </c>
      <c r="S44" s="450">
        <f>[20]Sheet2!$C$244/1000000</f>
        <v>0</v>
      </c>
      <c r="T44" s="450">
        <f>[21]Sheet2!$C$244/1000000</f>
        <v>0</v>
      </c>
      <c r="U44" s="450">
        <f>[22]Sheet2!$C$244/1000000</f>
        <v>0</v>
      </c>
      <c r="V44" s="450">
        <f>[23]Sheet2!$C$244/1000000</f>
        <v>0</v>
      </c>
      <c r="W44" s="450">
        <f>[24]Sheet2!$C$244/1000000</f>
        <v>0</v>
      </c>
      <c r="X44" s="450">
        <f>[25]Sheet2!$C$244/1000000</f>
        <v>0</v>
      </c>
      <c r="Y44" s="450">
        <f>[26]Sheet2!$C$244/1000000</f>
        <v>0</v>
      </c>
      <c r="Z44" s="450">
        <f>[27]Sheet2!$C$244/1000000</f>
        <v>0</v>
      </c>
      <c r="AA44" s="450">
        <f>[28]Sheet2!$C$244/1000000</f>
        <v>0</v>
      </c>
      <c r="AB44" s="450">
        <f>[29]Sheet2!$C$244/1000000</f>
        <v>0</v>
      </c>
      <c r="AC44" s="450">
        <f>[30]Sheet2!$C$244/1000000</f>
        <v>0</v>
      </c>
      <c r="AD44" s="481">
        <f>[31]Sheet2!$C$244/1000000</f>
        <v>0</v>
      </c>
      <c r="AE44" s="450">
        <f>[32]Sheet2!$C$244/1000000</f>
        <v>18.91917617</v>
      </c>
      <c r="AF44" s="450">
        <f>[33]Sheet2!$C$244/1000000</f>
        <v>0</v>
      </c>
      <c r="AG44" s="450">
        <f>[34]Sheet2!$C$244/1000000</f>
        <v>0</v>
      </c>
      <c r="AH44" s="450">
        <f>[35]Sheet2!$C$244/1000000</f>
        <v>0</v>
      </c>
      <c r="AI44" s="450">
        <f>[36]Sheet2!$C$244/1000000</f>
        <v>0</v>
      </c>
      <c r="AJ44" s="450">
        <f>[60]Sheet2!$C$244/1000000</f>
        <v>0</v>
      </c>
      <c r="AK44" s="450">
        <f>[61]Sheet2!$C$244/1000000</f>
        <v>0</v>
      </c>
      <c r="AL44" s="450">
        <f>[62]Sheet2!$C$244/1000000</f>
        <v>0</v>
      </c>
      <c r="AM44" s="450">
        <f>[63]Sheet2!$C$244/1000000</f>
        <v>0</v>
      </c>
      <c r="AN44" s="450">
        <f>[64]Sheet2!$C$244/1000000</f>
        <v>0</v>
      </c>
      <c r="AO44" s="481">
        <f>[65]Sheet2!$C$244/1000000</f>
        <v>0</v>
      </c>
      <c r="AP44" s="450">
        <f>[37]Sheet2!$C$244/1000000</f>
        <v>0</v>
      </c>
      <c r="AQ44" s="450">
        <f>[38]Sheet2!$C$244/1000000</f>
        <v>0</v>
      </c>
      <c r="AR44" s="450">
        <f>[39]Sheet2!$C$244/1000000</f>
        <v>0</v>
      </c>
      <c r="AS44" s="450">
        <f>[66]Sheet2!$C$244/1000000</f>
        <v>0</v>
      </c>
      <c r="AT44" s="450">
        <f>[67]Sheet2!$C$244/1000000</f>
        <v>0</v>
      </c>
      <c r="AU44" s="450">
        <f>[68]Sheet2!$C$244/1000000</f>
        <v>0</v>
      </c>
      <c r="AV44" s="450">
        <f>[69]Sheet2!$C$244/1000000</f>
        <v>0</v>
      </c>
      <c r="AW44" s="450">
        <f>[70]Sheet2!$C$244/1000000</f>
        <v>0</v>
      </c>
      <c r="AX44" s="450">
        <f>[71]Sheet2!$C$244/1000000</f>
        <v>0</v>
      </c>
      <c r="AY44" s="450">
        <f>[72]Sheet2!$C$244/1000000</f>
        <v>0</v>
      </c>
      <c r="AZ44" s="450">
        <f>[73]Sheet2!$C$244/1000000</f>
        <v>0</v>
      </c>
      <c r="BA44" s="450">
        <f>[74]Sheet2!$C$244/1000000</f>
        <v>0</v>
      </c>
      <c r="BB44" s="450">
        <f>[40]Sheet2!$C$244/1000000</f>
        <v>1.321191</v>
      </c>
      <c r="BC44" s="450">
        <f>[75]Sheet2!$C$244/1000000</f>
        <v>0</v>
      </c>
      <c r="BD44" s="450">
        <f>[76]Sheet2!$C$244/1000000</f>
        <v>0</v>
      </c>
      <c r="BE44" s="450">
        <f>[77]Sheet2!$C$244/1000000</f>
        <v>0</v>
      </c>
      <c r="BF44" s="450">
        <f>[41]Sheet2!$C$244/1000000</f>
        <v>0</v>
      </c>
      <c r="BG44" s="450">
        <f>[42]Sheet2!$C$244/1000000</f>
        <v>0</v>
      </c>
      <c r="BH44" s="450">
        <f>[43]Sheet2!$C$244/1000000</f>
        <v>0</v>
      </c>
      <c r="BI44" s="450">
        <f>[44]Sheet2!$C$244/1000000</f>
        <v>0</v>
      </c>
      <c r="BJ44" s="450">
        <f>[78]Sheet2!$C$244/1000000</f>
        <v>0</v>
      </c>
      <c r="BK44" s="450">
        <f>[79]Sheet2!$C$244/1000000</f>
        <v>0</v>
      </c>
      <c r="BL44" s="450">
        <f>[80]Sheet2!$C$244/1000000</f>
        <v>0</v>
      </c>
      <c r="BM44" s="450">
        <f>[81]Sheet2!$C$244/1000000</f>
        <v>0</v>
      </c>
      <c r="BN44" s="450">
        <f>[82]Sheet2!$C$244/1000000</f>
        <v>0</v>
      </c>
      <c r="BO44" s="450">
        <f>[83]Sheet2!$C$244/1000000</f>
        <v>0</v>
      </c>
      <c r="BP44" s="450">
        <f>[84]Sheet2!$C$244/1000000</f>
        <v>0</v>
      </c>
      <c r="BQ44" s="450">
        <f>[85]Sheet2!$C$244/1000000</f>
        <v>0</v>
      </c>
      <c r="BR44" s="450">
        <f>[86]Sheet2!$C$244/1000000</f>
        <v>0</v>
      </c>
      <c r="BS44" s="450">
        <f>[87]Sheet2!$C$244/1000000</f>
        <v>0</v>
      </c>
      <c r="BT44" s="450">
        <f>[88]Sheet2!$C$244/1000000</f>
        <v>0</v>
      </c>
      <c r="BU44" s="450">
        <f>[89]Sheet2!$C$244/1000000</f>
        <v>0</v>
      </c>
      <c r="BV44" s="450">
        <f>[90]Sheet2!$C$244/1000000</f>
        <v>0</v>
      </c>
      <c r="BW44" s="450">
        <f>[91]Sheet2!$C$244/1000000</f>
        <v>0</v>
      </c>
      <c r="BX44" s="450">
        <f>[92]Sheet2!$C$244/1000000</f>
        <v>0</v>
      </c>
      <c r="BY44" s="450">
        <f>[93]Sheet2!$C$244/1000000</f>
        <v>0</v>
      </c>
      <c r="BZ44" s="450">
        <f>[94]Sheet2!$C$244/1000000</f>
        <v>0</v>
      </c>
      <c r="CA44" s="450">
        <f>[95]Sheet2!$C$244/1000000</f>
        <v>0</v>
      </c>
      <c r="CB44" s="450">
        <f>[45]Sheet2!$C$244/1000000</f>
        <v>0</v>
      </c>
      <c r="CC44" s="450">
        <f>[46]Sheet2!$C$244/1000000</f>
        <v>0</v>
      </c>
      <c r="CD44" s="450">
        <f>[47]Sheet2!$C$244/1000000</f>
        <v>0</v>
      </c>
      <c r="CE44" s="450">
        <f>[48]Sheet2!$C$244/1000000</f>
        <v>0</v>
      </c>
      <c r="CF44" s="450">
        <f>[49]Sheet2!$C$244/1000000</f>
        <v>0</v>
      </c>
      <c r="CG44" s="450">
        <f>[50]Sheet2!$C$244/1000000</f>
        <v>0</v>
      </c>
      <c r="CH44" s="450">
        <f>[51]Sheet2!$C$244/1000000</f>
        <v>0</v>
      </c>
      <c r="CI44" s="450">
        <f>[52]Sheet2!$C$244/1000000</f>
        <v>0</v>
      </c>
      <c r="CJ44" s="450">
        <f>[53]Sheet2!$C$244/1000000</f>
        <v>0</v>
      </c>
      <c r="CK44" s="450">
        <f>[54]Sheet2!$C$244/1000000</f>
        <v>0</v>
      </c>
      <c r="CL44" s="450">
        <f>[55]Sheet2!$C$244/1000000</f>
        <v>0</v>
      </c>
      <c r="CM44" s="450">
        <f>[56]Sheet2!$C$244/1000000</f>
        <v>0</v>
      </c>
      <c r="CN44" s="450">
        <f>[57]Sheet2!$C$244/1000000</f>
        <v>0</v>
      </c>
      <c r="CO44" s="450">
        <f>[58]Sheet2!$C$244/1000000</f>
        <v>0</v>
      </c>
      <c r="CP44" s="439">
        <f>[59]Sheet2!$C$244/1000000</f>
        <v>0</v>
      </c>
    </row>
    <row r="45" spans="1:94">
      <c r="A45" s="436" t="s">
        <v>549</v>
      </c>
      <c r="B45" s="437" t="s">
        <v>544</v>
      </c>
      <c r="C45" s="450">
        <f>[105]Sheet1!$S$294/1000000</f>
        <v>726.30212647999997</v>
      </c>
      <c r="D45" s="450">
        <f>[5]Sheet2!$C$273/1000000</f>
        <v>730.39840418000006</v>
      </c>
      <c r="E45" s="450">
        <f>[6]Sheet2!$C$273/1000000</f>
        <v>618.43484755920008</v>
      </c>
      <c r="F45" s="390">
        <f>[7]Sheet2!$C$273/1000000</f>
        <v>740.38654256999996</v>
      </c>
      <c r="G45" s="450">
        <f>[8]Sheet2!$C$273/1000000</f>
        <v>646.78364239999996</v>
      </c>
      <c r="H45" s="481">
        <f>[9]Sheet2!$C$273/1000000</f>
        <v>572.08562338000002</v>
      </c>
      <c r="I45" s="450">
        <f>[10]Sheet2!$C$273/1000000</f>
        <v>549.89251071000001</v>
      </c>
      <c r="J45" s="450">
        <f>[11]Sheet2!$C$273/1000000</f>
        <v>558.05042742000001</v>
      </c>
      <c r="K45" s="450">
        <f>[12]Sheet2!$C$273/1000000</f>
        <v>552.97945962000006</v>
      </c>
      <c r="L45" s="450">
        <f>[13]Sheet2!$C$273/1000000</f>
        <v>559.17220728999996</v>
      </c>
      <c r="M45" s="390">
        <f>[14]Sheet2!$C$273/1000000</f>
        <v>562.7922152000001</v>
      </c>
      <c r="N45" s="450">
        <f>[15]Sheet2!$C$273/1000000</f>
        <v>565.61743013</v>
      </c>
      <c r="O45" s="450">
        <f>[16]Sheet2!$C$273/1000000</f>
        <v>563.79909946999999</v>
      </c>
      <c r="P45" s="450">
        <f>[17]Sheet2!$C$273/1000000</f>
        <v>567.45060109999997</v>
      </c>
      <c r="Q45" s="450">
        <f>[18]Sheet2!$C$273/1000000</f>
        <v>621.18159661000004</v>
      </c>
      <c r="R45" s="450">
        <f>[19]Sheet2!$C$273/1000000</f>
        <v>573.19947649000005</v>
      </c>
      <c r="S45" s="450">
        <f>[20]Sheet2!$C$273/1000000</f>
        <v>614.84977136999998</v>
      </c>
      <c r="T45" s="450">
        <f>[21]Sheet2!$C$273/1000000</f>
        <v>625.13533319999999</v>
      </c>
      <c r="U45" s="450">
        <f>[22]Sheet2!$C$273/1000000</f>
        <v>267.11416113000001</v>
      </c>
      <c r="V45" s="450">
        <f>[23]Sheet2!$C$273/1000000</f>
        <v>265.26265089999998</v>
      </c>
      <c r="W45" s="450">
        <f>[24]Sheet2!$C$273/1000000</f>
        <v>393.66527865000006</v>
      </c>
      <c r="X45" s="450">
        <f>[25]Sheet2!$C$273/1000000</f>
        <v>278.91523027999995</v>
      </c>
      <c r="Y45" s="450">
        <f>[26]Sheet2!$C$273/1000000</f>
        <v>281.60289687</v>
      </c>
      <c r="Z45" s="450">
        <f>[27]Sheet2!$C$273/1000000</f>
        <v>284.01586959000002</v>
      </c>
      <c r="AA45" s="450">
        <f>[28]Sheet2!$C$273/1000000</f>
        <v>285.18351935999999</v>
      </c>
      <c r="AB45" s="450">
        <f>[29]Sheet2!$C$273/1000000</f>
        <v>287.56187162999998</v>
      </c>
      <c r="AC45" s="450">
        <f>[30]Sheet2!$C$273/1000000</f>
        <v>317.55739282000008</v>
      </c>
      <c r="AD45" s="481">
        <f>[31]Sheet2!$C$273/1000000</f>
        <v>288.72501078999994</v>
      </c>
      <c r="AE45" s="450">
        <f>[32]Sheet2!$C$273/1000000</f>
        <v>303.17649130000001</v>
      </c>
      <c r="AF45" s="450">
        <f>[33]Sheet2!$C$273/1000000</f>
        <v>339.16414594999998</v>
      </c>
      <c r="AG45" s="450">
        <f>[34]Sheet2!$C$273/1000000</f>
        <v>441.97260334000003</v>
      </c>
      <c r="AH45" s="450">
        <f>[35]Sheet2!$C$273/1000000</f>
        <v>443.12137633000003</v>
      </c>
      <c r="AI45" s="450">
        <f>[36]Sheet2!$C$273/1000000</f>
        <v>441.74798221000003</v>
      </c>
      <c r="AJ45" s="450">
        <f>[60]Sheet2!$C$273/1000000</f>
        <v>436.79424700999999</v>
      </c>
      <c r="AK45" s="450">
        <f>[61]Sheet2!$C$273/1000000</f>
        <v>549.01104077999992</v>
      </c>
      <c r="AL45" s="450">
        <f>[62]Sheet2!$C$273/1000000</f>
        <v>596.4233511138641</v>
      </c>
      <c r="AM45" s="450">
        <f>[63]Sheet2!$C$273/1000000</f>
        <v>597.49639311999999</v>
      </c>
      <c r="AN45" s="450">
        <f>[64]Sheet2!$C$273/1000000</f>
        <v>650.72847651301367</v>
      </c>
      <c r="AO45" s="481">
        <f>[65]Sheet2!$C$273/1000000</f>
        <v>682.70512811999993</v>
      </c>
      <c r="AP45" s="450">
        <f>[37]Sheet2!$C$273/1000000</f>
        <v>702.43963852657532</v>
      </c>
      <c r="AQ45" s="450">
        <f>[38]Sheet2!$C$273/1000000</f>
        <v>705.04451739643832</v>
      </c>
      <c r="AR45" s="450">
        <f>[39]Sheet2!$C$273/1000000</f>
        <v>748.63081716356169</v>
      </c>
      <c r="AS45" s="450">
        <f>[66]Sheet2!$C$273/1000000</f>
        <v>850.48227772356165</v>
      </c>
      <c r="AT45" s="450">
        <f>[67]Sheet2!$C$273/1000000</f>
        <v>768.55162236356159</v>
      </c>
      <c r="AU45" s="450">
        <f>[68]Sheet2!$C$273/1000000</f>
        <v>770.49015616356155</v>
      </c>
      <c r="AV45" s="450">
        <f>[69]Sheet2!$C$273/1000000</f>
        <v>783.15680260356169</v>
      </c>
      <c r="AW45" s="450">
        <f>[70]Sheet2!$C$273/1000000</f>
        <v>1068.16589727</v>
      </c>
      <c r="AX45" s="450">
        <f>[71]Sheet2!$C$273/1000000</f>
        <v>1149.4411638230399</v>
      </c>
      <c r="AY45" s="450">
        <f>[72]Sheet2!$C$273/1000000</f>
        <v>1253.6824820458903</v>
      </c>
      <c r="AZ45" s="450">
        <f>[73]Sheet2!$C$273/1000000</f>
        <v>1439.0540885602738</v>
      </c>
      <c r="BA45" s="450">
        <f>[74]Sheet2!$C$273/1000000</f>
        <v>1474.4996932746578</v>
      </c>
      <c r="BB45" s="450">
        <f>[40]Sheet2!$C$273/1000000</f>
        <v>1481.760034139726</v>
      </c>
      <c r="BC45" s="450">
        <f>[75]Sheet2!$C$273/1000000</f>
        <v>1652.7592729373973</v>
      </c>
      <c r="BD45" s="450">
        <f>[76]Sheet2!$C$273/1000000</f>
        <v>1671.2450031816438</v>
      </c>
      <c r="BE45" s="450">
        <f>[77]Sheet2!$C$273/1000000</f>
        <v>1687.9613241436987</v>
      </c>
      <c r="BF45" s="450">
        <f>[41]Sheet2!$C$273/1000000</f>
        <v>1369.9318237097261</v>
      </c>
      <c r="BG45" s="450">
        <f>[42]Sheet2!$C$273/1000000</f>
        <v>1465.100625689337</v>
      </c>
      <c r="BH45" s="450">
        <f>[43]Sheet2!$C$273/1000000</f>
        <v>1567.3237158879451</v>
      </c>
      <c r="BI45" s="450">
        <f>[44]Sheet2!$C$273/1000000</f>
        <v>1570.457439008904</v>
      </c>
      <c r="BJ45" s="450">
        <f>[78]Sheet2!$C$273/1000000</f>
        <v>1406.0268968034973</v>
      </c>
      <c r="BK45" s="450">
        <f>[79]Sheet2!$C$273/1000000</f>
        <v>1405.76249001</v>
      </c>
      <c r="BL45" s="450">
        <f>[80]Sheet2!$C$273/1000000</f>
        <v>1311.9401975067515</v>
      </c>
      <c r="BM45" s="450">
        <f>[81]Sheet2!$C$273/1000000</f>
        <v>1290.9991546943181</v>
      </c>
      <c r="BN45" s="450">
        <f>[82]Sheet2!$C$273/1000000</f>
        <v>1407.1600321024355</v>
      </c>
      <c r="BO45" s="450">
        <f>[83]Sheet2!$C$273/1000000</f>
        <v>1422.0426776094539</v>
      </c>
      <c r="BP45" s="450">
        <f>[84]Sheet2!$C$273/1000000</f>
        <v>1439.8729521815442</v>
      </c>
      <c r="BQ45" s="450">
        <f>[85]Sheet2!$C$273/1000000</f>
        <v>1445.9378724651376</v>
      </c>
      <c r="BR45" s="450">
        <f>[86]Sheet2!$C$273/1000000</f>
        <v>1379.3190071556162</v>
      </c>
      <c r="BS45" s="450">
        <f>[87]Sheet2!$C$273/1000000</f>
        <v>1386.5160951345206</v>
      </c>
      <c r="BT45" s="450">
        <f>[88]Sheet2!$C$273/1000000</f>
        <v>1403.7218646380384</v>
      </c>
      <c r="BU45" s="450">
        <f>[89]Sheet2!$C$273/1000000</f>
        <v>1393.7948318676224</v>
      </c>
      <c r="BV45" s="450">
        <f>[90]Sheet2!$C$273/1000000</f>
        <v>1521.7152890270499</v>
      </c>
      <c r="BW45" s="450">
        <f>[91]Sheet2!$C$273/1000000</f>
        <v>1933.11199854705</v>
      </c>
      <c r="BX45" s="450">
        <f>[92]Sheet2!$C$273/1000000</f>
        <v>1912.0727801009612</v>
      </c>
      <c r="BY45" s="450">
        <f>[93]Sheet2!$C$273/1000000</f>
        <v>1921.6358240507996</v>
      </c>
      <c r="BZ45" s="450">
        <f>[94]Sheet2!$C$273/1000000</f>
        <v>1990.6143178181733</v>
      </c>
      <c r="CA45" s="450">
        <f>[95]Sheet2!$C$273/1000000</f>
        <v>1975.146650228706</v>
      </c>
      <c r="CB45" s="450">
        <f>[45]Sheet2!$C$273/1000000</f>
        <v>1976.1102385692122</v>
      </c>
      <c r="CC45" s="450">
        <f>[46]Sheet2!$C$273/1000000</f>
        <v>1549.53095162095</v>
      </c>
      <c r="CD45" s="450">
        <f>[47]Sheet2!$C$273/1000000</f>
        <v>1451.2084267842474</v>
      </c>
      <c r="CE45" s="450">
        <f>[48]Sheet2!$C$273/1000000</f>
        <v>1462.7293710680965</v>
      </c>
      <c r="CF45" s="450">
        <f>[49]Sheet2!$C$273/1000000</f>
        <v>1468.7169780747017</v>
      </c>
      <c r="CG45" s="450">
        <f>[50]Sheet2!$C$273/1000000</f>
        <v>1371.7919477338276</v>
      </c>
      <c r="CH45" s="450">
        <f>[51]Sheet2!$C$273/1000000</f>
        <v>1301.3431934843293</v>
      </c>
      <c r="CI45" s="450">
        <f>[52]Sheet2!$C$273/1000000</f>
        <v>1435.6952422045135</v>
      </c>
      <c r="CJ45" s="450">
        <f>[53]Sheet2!$C$273/1000000</f>
        <v>1423.1869166581421</v>
      </c>
      <c r="CK45" s="450">
        <f>[54]Sheet2!$C$273/1000000</f>
        <v>1431.8376136449285</v>
      </c>
      <c r="CL45" s="450">
        <f>[55]Sheet2!$C$273/1000000</f>
        <v>1432.2704903741173</v>
      </c>
      <c r="CM45" s="450">
        <f>[56]Sheet2!$C$273/1000000</f>
        <v>1524.088442361897</v>
      </c>
      <c r="CN45" s="450">
        <f>[57]Sheet2!$C$273/1000000</f>
        <v>1532.8938521289851</v>
      </c>
      <c r="CO45" s="450">
        <f>[58]Sheet2!$C$273/1000000</f>
        <v>1532.9577735925491</v>
      </c>
      <c r="CP45" s="439">
        <f>[59]Sheet2!$C$273/1000000</f>
        <v>1715.827919374251</v>
      </c>
    </row>
    <row r="46" spans="1:94">
      <c r="A46" s="436"/>
      <c r="B46" s="437"/>
      <c r="C46" s="492"/>
      <c r="D46" s="492"/>
      <c r="E46" s="492"/>
      <c r="F46" s="493"/>
      <c r="G46" s="492"/>
      <c r="H46" s="494"/>
      <c r="I46" s="492"/>
      <c r="J46" s="492"/>
      <c r="K46" s="492"/>
      <c r="L46" s="492"/>
      <c r="M46" s="493"/>
      <c r="N46" s="492"/>
      <c r="O46" s="492"/>
      <c r="P46" s="492"/>
      <c r="Q46" s="492"/>
      <c r="R46" s="492"/>
      <c r="S46" s="492"/>
      <c r="T46" s="492"/>
      <c r="U46" s="492"/>
      <c r="V46" s="492"/>
      <c r="W46" s="492"/>
      <c r="X46" s="492"/>
      <c r="Y46" s="492"/>
      <c r="Z46" s="492"/>
      <c r="AA46" s="492"/>
      <c r="AB46" s="492"/>
      <c r="AC46" s="492"/>
      <c r="AD46" s="494"/>
      <c r="AE46" s="492"/>
      <c r="AF46" s="492"/>
      <c r="AG46" s="492"/>
      <c r="AH46" s="492"/>
      <c r="AI46" s="492"/>
      <c r="AJ46" s="492"/>
      <c r="AK46" s="492"/>
      <c r="AL46" s="492"/>
      <c r="AM46" s="492"/>
      <c r="AN46" s="492"/>
      <c r="AO46" s="494"/>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5"/>
    </row>
    <row r="47" spans="1:94">
      <c r="A47" s="433" t="s">
        <v>550</v>
      </c>
      <c r="B47" s="434" t="s">
        <v>551</v>
      </c>
      <c r="C47" s="476">
        <f>[105]Sheet1!$S$327/1000000</f>
        <v>231.56321800000001</v>
      </c>
      <c r="D47" s="476">
        <f>[5]Sheet2!$C$303/1000000</f>
        <v>244.56903</v>
      </c>
      <c r="E47" s="476">
        <f>[6]Sheet2!$C$303/1000000</f>
        <v>243.88480200000001</v>
      </c>
      <c r="F47" s="400">
        <f>[7]Sheet2!$C$303/1000000</f>
        <v>254.87686330000002</v>
      </c>
      <c r="G47" s="476">
        <f>[8]Sheet2!$C$303/1000000</f>
        <v>261.02242823</v>
      </c>
      <c r="H47" s="477">
        <f>[9]Sheet2!$C$303/1000000</f>
        <v>267.73320560000002</v>
      </c>
      <c r="I47" s="476">
        <f>[10]Sheet2!$C$303/1000000</f>
        <v>275.04052743</v>
      </c>
      <c r="J47" s="476">
        <f>[11]Sheet2!$C$303/1000000</f>
        <v>282.31181935000001</v>
      </c>
      <c r="K47" s="476">
        <f>[12]Sheet2!$C$303/1000000</f>
        <v>289.80162895000007</v>
      </c>
      <c r="L47" s="476">
        <f>[13]Sheet2!$C$303/1000000</f>
        <v>297.32200588000001</v>
      </c>
      <c r="M47" s="400">
        <f>[14]Sheet2!$C$303/1000000</f>
        <v>304.61871102999999</v>
      </c>
      <c r="N47" s="476">
        <f>[15]Sheet2!$C$303/1000000</f>
        <v>312.86439624000002</v>
      </c>
      <c r="O47" s="476">
        <f>[16]Sheet2!$C$303/1000000</f>
        <v>355.71567060000001</v>
      </c>
      <c r="P47" s="476">
        <f>[17]Sheet2!$C$303/1000000</f>
        <v>360.58522907999998</v>
      </c>
      <c r="Q47" s="476">
        <f>[18]Sheet2!$C$303/1000000</f>
        <v>371.85660204000004</v>
      </c>
      <c r="R47" s="476">
        <f>[19]Sheet2!$C$303/1000000</f>
        <v>377.38239969</v>
      </c>
      <c r="S47" s="476">
        <f>[20]Sheet2!$C$303/1000000</f>
        <v>384.55283004</v>
      </c>
      <c r="T47" s="476">
        <f>[21]Sheet2!$C$303/1000000</f>
        <v>392.83459299999998</v>
      </c>
      <c r="U47" s="476">
        <f>[22]Sheet2!$C$303/1000000</f>
        <v>401.13427152999998</v>
      </c>
      <c r="V47" s="476">
        <f>[23]Sheet2!$C$303/1000000</f>
        <v>409.26100296999999</v>
      </c>
      <c r="W47" s="476">
        <f>[24]Sheet2!$C$303/1000000</f>
        <v>417.49837152999999</v>
      </c>
      <c r="X47" s="476">
        <f>[25]Sheet2!$C$303/1000000</f>
        <v>428.14300871999995</v>
      </c>
      <c r="Y47" s="476">
        <f>[26]Sheet2!$C$303/1000000</f>
        <v>440.10148677000001</v>
      </c>
      <c r="Z47" s="476">
        <f>[27]Sheet2!$C$303/1000000</f>
        <v>451.12151657999993</v>
      </c>
      <c r="AA47" s="476">
        <f>[28]Sheet2!$C$303/1000000</f>
        <v>464.7323165468012</v>
      </c>
      <c r="AB47" s="476">
        <f>[29]Sheet2!$C$303/1000000</f>
        <v>472.71757152260756</v>
      </c>
      <c r="AC47" s="476">
        <f>[30]Sheet2!$C$303/1000000</f>
        <v>483.25531720112178</v>
      </c>
      <c r="AD47" s="477">
        <f>[31]Sheet2!$C$303/1000000</f>
        <v>490.05508636967824</v>
      </c>
      <c r="AE47" s="476">
        <f>[32]Sheet2!$C$303/1000000</f>
        <v>490.05508636967824</v>
      </c>
      <c r="AF47" s="476">
        <f>[33]Sheet2!$C$303/1000000</f>
        <v>510.40847064355597</v>
      </c>
      <c r="AG47" s="476">
        <f>[34]Sheet2!$C$303/1000000</f>
        <v>522.70660879719185</v>
      </c>
      <c r="AH47" s="476">
        <f>[35]Sheet2!$C$303/1000000</f>
        <v>531.99716621448056</v>
      </c>
      <c r="AI47" s="476">
        <f>[36]Sheet2!$C$303/1000000</f>
        <v>542.1180730656896</v>
      </c>
      <c r="AJ47" s="476">
        <f>[60]Sheet2!$C$303/1000000</f>
        <v>554.99149347934485</v>
      </c>
      <c r="AK47" s="476">
        <f>[61]Sheet2!$C$303/1000000</f>
        <v>565.67439563025982</v>
      </c>
      <c r="AL47" s="476">
        <f>[62]Sheet2!$C$303/1000000</f>
        <v>576.60892327325655</v>
      </c>
      <c r="AM47" s="476">
        <f>[63]Sheet2!$C$303/1000000</f>
        <v>587.19330397957037</v>
      </c>
      <c r="AN47" s="476">
        <f>[64]Sheet2!$C$303/1000000</f>
        <v>598.07582635165284</v>
      </c>
      <c r="AO47" s="477">
        <f>[65]Sheet2!$C$303/1000000</f>
        <v>597.27096200000005</v>
      </c>
      <c r="AP47" s="476">
        <f>[37]Sheet2!$C$303/1000000</f>
        <v>616.6490233267084</v>
      </c>
      <c r="AQ47" s="476">
        <f>[38]Sheet2!$C$303/1000000</f>
        <v>623.19187332676222</v>
      </c>
      <c r="AR47" s="476">
        <f>[39]Sheet2!$C$303/1000000</f>
        <v>634.66276787486925</v>
      </c>
      <c r="AS47" s="476">
        <f>[66]Sheet2!$C$303/1000000</f>
        <v>647.0725286951448</v>
      </c>
      <c r="AT47" s="476">
        <f>[67]Sheet2!$C$303/1000000</f>
        <v>659.28995629436088</v>
      </c>
      <c r="AU47" s="476">
        <f>[68]Sheet2!$C$303/1000000</f>
        <v>672.32849999999996</v>
      </c>
      <c r="AV47" s="476">
        <f>[69]Sheet2!$C$303/1000000</f>
        <v>682.70006847057846</v>
      </c>
      <c r="AW47" s="476">
        <f>[70]Sheet2!$C$303/1000000</f>
        <v>676.41281135999998</v>
      </c>
      <c r="AX47" s="476">
        <f>[71]Sheet2!$C$303/1000000</f>
        <v>687.06705868999995</v>
      </c>
      <c r="AY47" s="476">
        <f>[72]Sheet2!$C$303/1000000</f>
        <v>704.40739228999996</v>
      </c>
      <c r="AZ47" s="476">
        <f>[73]Sheet2!$C$303/1000000</f>
        <v>713.35561501999996</v>
      </c>
      <c r="BA47" s="476">
        <f>[74]Sheet2!$C$303/1000000</f>
        <v>723.75272247999999</v>
      </c>
      <c r="BB47" s="476">
        <f>[40]Sheet2!$C$303/1000000</f>
        <v>735.30842346999998</v>
      </c>
      <c r="BC47" s="476">
        <f>[75]Sheet2!$C$303/1000000</f>
        <v>747.63109256000007</v>
      </c>
      <c r="BD47" s="476">
        <f>[76]Sheet2!$C$303/1000000</f>
        <v>759.73270224999999</v>
      </c>
      <c r="BE47" s="476">
        <f>[77]Sheet2!$C$303/1000000</f>
        <v>772.19647421000002</v>
      </c>
      <c r="BF47" s="476">
        <f>[41]Sheet2!$C$303/1000000</f>
        <v>783.64372535000007</v>
      </c>
      <c r="BG47" s="476">
        <f>[42]Sheet2!$C$303/1000000</f>
        <v>795.03426162999995</v>
      </c>
      <c r="BH47" s="476">
        <f>[43]Sheet2!$C$303/1000000</f>
        <v>806.36142286999996</v>
      </c>
      <c r="BI47" s="476">
        <f>[44]Sheet2!$C$303/1000000</f>
        <v>817.11920386999998</v>
      </c>
      <c r="BJ47" s="476">
        <f>[78]Sheet2!$C$303/1000000</f>
        <v>829.69099343000005</v>
      </c>
      <c r="BK47" s="476">
        <f>[79]Sheet2!$C$303/1000000</f>
        <v>841.75958768999999</v>
      </c>
      <c r="BL47" s="476">
        <f>[80]Sheet2!$C$303/1000000</f>
        <v>841.34192214999996</v>
      </c>
      <c r="BM47" s="476">
        <f>[81]Sheet2!$C$303/1000000</f>
        <v>850.71337003999997</v>
      </c>
      <c r="BN47" s="476">
        <f>[82]Sheet2!$C$303/1000000</f>
        <v>860.90493549999997</v>
      </c>
      <c r="BO47" s="476">
        <f>[83]Sheet2!$C$303/1000000</f>
        <v>871.46817457999987</v>
      </c>
      <c r="BP47" s="476">
        <f>[84]Sheet2!$C$303/1000000</f>
        <v>882.04527719000009</v>
      </c>
      <c r="BQ47" s="476">
        <f>[85]Sheet2!$C$303/1000000</f>
        <v>892.00809130000005</v>
      </c>
      <c r="BR47" s="476">
        <f>[86]Sheet2!$C$303/1000000</f>
        <v>903.91998393000006</v>
      </c>
      <c r="BS47" s="476">
        <f>[87]Sheet2!$C$303/1000000</f>
        <v>913.01940185000001</v>
      </c>
      <c r="BT47" s="476">
        <f>[88]Sheet2!$C$303/1000000</f>
        <v>921.02394779999997</v>
      </c>
      <c r="BU47" s="476">
        <f>[89]Sheet2!$C$303/1000000</f>
        <v>929.69761502000006</v>
      </c>
      <c r="BV47" s="476">
        <f>[90]Sheet2!$C$303/1000000</f>
        <v>941.94318427000007</v>
      </c>
      <c r="BW47" s="476">
        <f>[91]Sheet2!$C$303/1000000</f>
        <v>951.54407246999995</v>
      </c>
      <c r="BX47" s="476">
        <f>[92]Sheet2!$C$303/1000000</f>
        <v>951.26087802999996</v>
      </c>
      <c r="BY47" s="476">
        <f>[93]Sheet2!$C$303/1000000</f>
        <v>960.51654225000004</v>
      </c>
      <c r="BZ47" s="476">
        <f>[94]Sheet2!$C$303/1000000</f>
        <v>959.27091482999992</v>
      </c>
      <c r="CA47" s="476">
        <f>[95]Sheet2!$C$303/1000000</f>
        <v>968.69937096000001</v>
      </c>
      <c r="CB47" s="476">
        <f>[45]Sheet2!$C$303/1000000</f>
        <v>976.84763184999997</v>
      </c>
      <c r="CC47" s="476">
        <f>[46]Sheet2!$C$303/1000000</f>
        <v>987.94876218999991</v>
      </c>
      <c r="CD47" s="476">
        <f>[47]Sheet2!$C$303/1000000</f>
        <v>997.67433128999994</v>
      </c>
      <c r="CE47" s="476">
        <f>[48]Sheet2!$C$303/1000000</f>
        <v>1008.3339269400001</v>
      </c>
      <c r="CF47" s="476">
        <f>[49]Sheet2!$C$303/1000000</f>
        <v>1018.04001825</v>
      </c>
      <c r="CG47" s="476">
        <f>[50]Sheet2!$C$303/1000000</f>
        <v>1027.9046779100001</v>
      </c>
      <c r="CH47" s="476">
        <f>[51]Sheet2!$C$303/1000000</f>
        <v>1034.54105153</v>
      </c>
      <c r="CI47" s="476">
        <f>[52]Sheet2!$C$303/1000000</f>
        <v>1046.3292143400001</v>
      </c>
      <c r="CJ47" s="476">
        <f>[53]Sheet2!$C$303/1000000</f>
        <v>1056.93696527</v>
      </c>
      <c r="CK47" s="476">
        <f>[54]Sheet2!$C$303/1000000</f>
        <v>1068.1048831099999</v>
      </c>
      <c r="CL47" s="476">
        <f>[55]Sheet2!$C$303/1000000</f>
        <v>1086.2447271100002</v>
      </c>
      <c r="CM47" s="476">
        <f>[56]Sheet2!$C$303/1000000</f>
        <v>1094.89581032</v>
      </c>
      <c r="CN47" s="476">
        <f>[57]Sheet2!$C$303/1000000</f>
        <v>1103.7077119</v>
      </c>
      <c r="CO47" s="476">
        <f>[58]Sheet2!$C$303/1000000</f>
        <v>1114.0039380399999</v>
      </c>
      <c r="CP47" s="435">
        <f>[59]Sheet2!$C$303/1000000</f>
        <v>1126.4172563299999</v>
      </c>
    </row>
    <row r="48" spans="1:94">
      <c r="A48" s="436"/>
      <c r="B48" s="437"/>
      <c r="C48" s="492"/>
      <c r="D48" s="492"/>
      <c r="E48" s="492"/>
      <c r="F48" s="493"/>
      <c r="G48" s="492"/>
      <c r="H48" s="494"/>
      <c r="I48" s="492"/>
      <c r="J48" s="492"/>
      <c r="K48" s="492"/>
      <c r="L48" s="492"/>
      <c r="M48" s="493"/>
      <c r="N48" s="492"/>
      <c r="O48" s="492"/>
      <c r="P48" s="492"/>
      <c r="Q48" s="492"/>
      <c r="R48" s="492"/>
      <c r="S48" s="492"/>
      <c r="T48" s="492"/>
      <c r="U48" s="492"/>
      <c r="V48" s="492"/>
      <c r="W48" s="492"/>
      <c r="X48" s="492"/>
      <c r="Y48" s="492"/>
      <c r="Z48" s="492"/>
      <c r="AA48" s="492"/>
      <c r="AB48" s="492"/>
      <c r="AC48" s="492"/>
      <c r="AD48" s="494"/>
      <c r="AE48" s="492"/>
      <c r="AF48" s="492"/>
      <c r="AG48" s="492"/>
      <c r="AH48" s="492"/>
      <c r="AI48" s="492"/>
      <c r="AJ48" s="492"/>
      <c r="AK48" s="492"/>
      <c r="AL48" s="492"/>
      <c r="AM48" s="492"/>
      <c r="AN48" s="492"/>
      <c r="AO48" s="494"/>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c r="CN48" s="492"/>
      <c r="CO48" s="492"/>
      <c r="CP48" s="495"/>
    </row>
    <row r="49" spans="1:94">
      <c r="A49" s="433" t="s">
        <v>552</v>
      </c>
      <c r="B49" s="434" t="s">
        <v>553</v>
      </c>
      <c r="C49" s="476">
        <f>[105]Sheet1!$S$343/1000000</f>
        <v>600.40865150000002</v>
      </c>
      <c r="D49" s="476">
        <f>[5]Sheet2!$C$319/1000000</f>
        <v>631.80492100000004</v>
      </c>
      <c r="E49" s="476">
        <f>[6]Sheet2!$C$319/1000000</f>
        <v>442.22716700000001</v>
      </c>
      <c r="F49" s="400">
        <f>[7]Sheet2!$C$319/1000000</f>
        <v>426.5625</v>
      </c>
      <c r="G49" s="476">
        <f>[8]Sheet2!$C$319/1000000</f>
        <v>401.52750700000001</v>
      </c>
      <c r="H49" s="477">
        <f>[9]Sheet2!$C$319/1000000</f>
        <v>394.97407600000003</v>
      </c>
      <c r="I49" s="476">
        <f>[10]Sheet2!$C$319/1000000</f>
        <v>385.5</v>
      </c>
      <c r="J49" s="476">
        <f>[11]Sheet2!$C$319/1000000</f>
        <v>405.88484299931508</v>
      </c>
      <c r="K49" s="476">
        <f>[12]Sheet2!$C$319/1000000</f>
        <v>409.48247814999996</v>
      </c>
      <c r="L49" s="476">
        <f>[13]Sheet2!$C$319/1000000</f>
        <v>427.01206814999995</v>
      </c>
      <c r="M49" s="400">
        <f>[14]Sheet2!$C$319/1000000</f>
        <v>394.37107414999997</v>
      </c>
      <c r="N49" s="476">
        <f>[15]Sheet2!$C$319/1000000</f>
        <v>409.44987114999998</v>
      </c>
      <c r="O49" s="476">
        <f>[16]Sheet2!$C$319/1000000</f>
        <v>344.957334</v>
      </c>
      <c r="P49" s="476">
        <f>[17]Sheet2!$C$319/1000000</f>
        <v>352.348794</v>
      </c>
      <c r="Q49" s="476">
        <f>[18]Sheet2!$C$319/1000000</f>
        <v>355.197587</v>
      </c>
      <c r="R49" s="476">
        <f>[19]Sheet2!$C$319/1000000</f>
        <v>348.09178100000003</v>
      </c>
      <c r="S49" s="476">
        <f>[20]Sheet2!$C$319/1000000</f>
        <v>312.91891399999997</v>
      </c>
      <c r="T49" s="476">
        <f>[21]Sheet2!$C$319/1000000</f>
        <v>332.280823</v>
      </c>
      <c r="U49" s="476">
        <f>[22]Sheet2!$C$319/1000000</f>
        <v>307</v>
      </c>
      <c r="V49" s="476">
        <f>[23]Sheet2!$C$319/1000000</f>
        <v>309.41836999999998</v>
      </c>
      <c r="W49" s="476">
        <f>[24]Sheet2!$C$319/1000000</f>
        <v>311.67551500000002</v>
      </c>
      <c r="X49" s="476">
        <f>[25]Sheet2!$C$319/1000000</f>
        <v>310.55273999999997</v>
      </c>
      <c r="Y49" s="476">
        <f>[26]Sheet2!$C$319/1000000</f>
        <v>290.30972700000001</v>
      </c>
      <c r="Z49" s="476">
        <f>[27]Sheet2!$C$319/1000000</f>
        <v>287.501938</v>
      </c>
      <c r="AA49" s="476">
        <f>[28]Sheet2!$C$319/1000000</f>
        <v>271</v>
      </c>
      <c r="AB49" s="476">
        <f>[29]Sheet2!$C$319/1000000</f>
        <v>273.26852000000002</v>
      </c>
      <c r="AC49" s="476">
        <f>[30]Sheet2!$C$319/1000000</f>
        <v>275.53704199999999</v>
      </c>
      <c r="AD49" s="477">
        <f>[31]Sheet2!$C$319/1000000</f>
        <v>269.59178100000003</v>
      </c>
      <c r="AE49" s="476">
        <f>[32]Sheet2!$C$319/1000000</f>
        <v>233.88992500000001</v>
      </c>
      <c r="AF49" s="476">
        <f>[33]Sheet2!$C$319/1000000</f>
        <v>235.720541</v>
      </c>
      <c r="AG49" s="476">
        <f>[34]Sheet2!$C$319/1000000</f>
        <v>228.5</v>
      </c>
      <c r="AH49" s="476">
        <f>[35]Sheet2!$C$319/1000000</f>
        <v>230.391638</v>
      </c>
      <c r="AI49" s="476">
        <f>[36]Sheet2!$C$319/1000000</f>
        <v>232.16123400000001</v>
      </c>
      <c r="AJ49" s="476">
        <f>[60]Sheet2!$C$319/1000000</f>
        <v>228.66123400000001</v>
      </c>
      <c r="AK49" s="476">
        <f>[61]Sheet2!$C$319/1000000</f>
        <v>233.814549</v>
      </c>
      <c r="AL49" s="476">
        <f>[62]Sheet2!$C$319/1000000</f>
        <v>229.394836</v>
      </c>
      <c r="AM49" s="476">
        <f>[63]Sheet2!$C$319/1000000</f>
        <v>192.57786899999999</v>
      </c>
      <c r="AN49" s="476">
        <f>[64]Sheet2!$C$319/1000000</f>
        <v>194.14480900000001</v>
      </c>
      <c r="AO49" s="477">
        <f>[65]Sheet2!$C$319/1000000</f>
        <v>195.711748</v>
      </c>
      <c r="AP49" s="476">
        <f>[37]Sheet2!$C$319/1000000</f>
        <v>153.65983600000001</v>
      </c>
      <c r="AQ49" s="476">
        <f>[38]Sheet2!$C$319/1000000</f>
        <v>153.65983600000001</v>
      </c>
      <c r="AR49" s="476">
        <f>[39]Sheet2!$C$319/1000000</f>
        <v>0</v>
      </c>
      <c r="AS49" s="476">
        <f>[66]Sheet2!$C$319/1000000</f>
        <v>0</v>
      </c>
      <c r="AT49" s="476">
        <f>[67]Sheet2!$C$319/1000000</f>
        <v>0</v>
      </c>
      <c r="AU49" s="476">
        <f>[68]Sheet2!$C$319/1000000</f>
        <v>0</v>
      </c>
      <c r="AV49" s="476">
        <f>[69]Sheet2!$C$319/1000000</f>
        <v>0</v>
      </c>
      <c r="AW49" s="476">
        <f>[70]Sheet2!$C$319/1000000</f>
        <v>0</v>
      </c>
      <c r="AX49" s="476">
        <f>[71]Sheet2!$C$319/1000000</f>
        <v>0</v>
      </c>
      <c r="AY49" s="476">
        <f>[72]Sheet2!$C$319/1000000</f>
        <v>0</v>
      </c>
      <c r="AZ49" s="476">
        <f>[73]Sheet2!$C$319/1000000</f>
        <v>0</v>
      </c>
      <c r="BA49" s="476">
        <f>[74]Sheet2!$C$319/1000000</f>
        <v>0</v>
      </c>
      <c r="BB49" s="476">
        <f>[40]Sheet2!$C$319/1000000</f>
        <v>0</v>
      </c>
      <c r="BC49" s="476">
        <f>[75]Sheet2!$C$319/1000000</f>
        <v>0</v>
      </c>
      <c r="BD49" s="476">
        <f>[76]Sheet2!$C$319/1000000</f>
        <v>0</v>
      </c>
      <c r="BE49" s="476">
        <f>[77]Sheet2!$C$319/1000000</f>
        <v>0</v>
      </c>
      <c r="BF49" s="476">
        <f>[41]Sheet2!$C$319/1000000</f>
        <v>0</v>
      </c>
      <c r="BG49" s="476">
        <f>[42]Sheet2!$C$319/1000000</f>
        <v>0</v>
      </c>
      <c r="BH49" s="476">
        <f>[43]Sheet2!$C$319/1000000</f>
        <v>0</v>
      </c>
      <c r="BI49" s="476">
        <f>[44]Sheet2!$C$319/1000000</f>
        <v>0</v>
      </c>
      <c r="BJ49" s="476">
        <f>[78]Sheet2!$C$319/1000000</f>
        <v>0</v>
      </c>
      <c r="BK49" s="476">
        <f>[79]Sheet2!$C$319/1000000</f>
        <v>0</v>
      </c>
      <c r="BL49" s="476">
        <f>[80]Sheet2!$C$319/1000000</f>
        <v>0</v>
      </c>
      <c r="BM49" s="476">
        <f>[81]Sheet2!$C$319/1000000</f>
        <v>0</v>
      </c>
      <c r="BN49" s="476">
        <f>[82]Sheet2!$C$319/1000000</f>
        <v>0</v>
      </c>
      <c r="BO49" s="476">
        <f>[83]Sheet2!$C$319/1000000</f>
        <v>0</v>
      </c>
      <c r="BP49" s="476">
        <f>[84]Sheet2!$C$319/1000000</f>
        <v>0</v>
      </c>
      <c r="BQ49" s="476">
        <f>[85]Sheet2!$C$319/1000000</f>
        <v>0</v>
      </c>
      <c r="BR49" s="476">
        <f>[86]Sheet2!$C$319/1000000</f>
        <v>0</v>
      </c>
      <c r="BS49" s="476">
        <f>[87]Sheet2!$C$319/1000000</f>
        <v>0</v>
      </c>
      <c r="BT49" s="476">
        <f>[88]Sheet2!$C$319/1000000</f>
        <v>0</v>
      </c>
      <c r="BU49" s="476">
        <f>[89]Sheet2!$C$319/1000000</f>
        <v>0</v>
      </c>
      <c r="BV49" s="476">
        <f>[90]Sheet2!$C$319/1000000</f>
        <v>0</v>
      </c>
      <c r="BW49" s="476">
        <f>[91]Sheet2!$C$319/1000000</f>
        <v>0</v>
      </c>
      <c r="BX49" s="476">
        <f>[92]Sheet2!$C$319/1000000</f>
        <v>0</v>
      </c>
      <c r="BY49" s="476">
        <f>[93]Sheet2!$C$319/1000000</f>
        <v>0</v>
      </c>
      <c r="BZ49" s="476">
        <f>[94]Sheet2!$C$319/1000000</f>
        <v>0</v>
      </c>
      <c r="CA49" s="476">
        <f>[95]Sheet2!$C$319/1000000</f>
        <v>0</v>
      </c>
      <c r="CB49" s="476">
        <f>[45]Sheet2!$C$319/1000000</f>
        <v>0</v>
      </c>
      <c r="CC49" s="476">
        <f>[46]Sheet2!$C$319/1000000</f>
        <v>0</v>
      </c>
      <c r="CD49" s="476">
        <f>[47]Sheet2!$C$319/1000000</f>
        <v>0</v>
      </c>
      <c r="CE49" s="476">
        <f>[48]Sheet2!$C$319/1000000</f>
        <v>0</v>
      </c>
      <c r="CF49" s="476">
        <f>[49]Sheet2!$C$319/1000000</f>
        <v>0</v>
      </c>
      <c r="CG49" s="476">
        <f>[50]Sheet2!$C$319/1000000</f>
        <v>0</v>
      </c>
      <c r="CH49" s="476">
        <f>[51]Sheet2!$C$319/1000000</f>
        <v>0</v>
      </c>
      <c r="CI49" s="476">
        <f>[52]Sheet2!$C$319/1000000</f>
        <v>0</v>
      </c>
      <c r="CJ49" s="476">
        <f>[53]Sheet2!$C$319/1000000</f>
        <v>0</v>
      </c>
      <c r="CK49" s="476">
        <f>[54]Sheet2!$C$319/1000000</f>
        <v>0</v>
      </c>
      <c r="CL49" s="476">
        <f>[55]Sheet2!$C$319/1000000</f>
        <v>0</v>
      </c>
      <c r="CM49" s="476">
        <f>[56]Sheet2!$C$319/1000000</f>
        <v>0</v>
      </c>
      <c r="CN49" s="476">
        <f>[57]Sheet2!$C$319/1000000</f>
        <v>0</v>
      </c>
      <c r="CO49" s="476">
        <f>[58]Sheet2!$C$319/1000000</f>
        <v>0</v>
      </c>
      <c r="CP49" s="435">
        <f>[59]Sheet2!$C$319/1000000</f>
        <v>0</v>
      </c>
    </row>
    <row r="50" spans="1:94">
      <c r="A50" s="436"/>
      <c r="B50" s="437"/>
      <c r="C50" s="492"/>
      <c r="D50" s="492"/>
      <c r="E50" s="492"/>
      <c r="F50" s="493"/>
      <c r="G50" s="492"/>
      <c r="H50" s="494"/>
      <c r="I50" s="492"/>
      <c r="J50" s="492"/>
      <c r="K50" s="492"/>
      <c r="L50" s="492"/>
      <c r="M50" s="493"/>
      <c r="N50" s="492"/>
      <c r="O50" s="492"/>
      <c r="P50" s="492"/>
      <c r="Q50" s="492"/>
      <c r="R50" s="492"/>
      <c r="S50" s="492"/>
      <c r="T50" s="492"/>
      <c r="U50" s="492"/>
      <c r="V50" s="492"/>
      <c r="W50" s="492"/>
      <c r="X50" s="492"/>
      <c r="Y50" s="492"/>
      <c r="Z50" s="492"/>
      <c r="AA50" s="492"/>
      <c r="AB50" s="492"/>
      <c r="AC50" s="492"/>
      <c r="AD50" s="494"/>
      <c r="AE50" s="492"/>
      <c r="AF50" s="492"/>
      <c r="AG50" s="492"/>
      <c r="AH50" s="492"/>
      <c r="AI50" s="492"/>
      <c r="AJ50" s="492"/>
      <c r="AK50" s="492"/>
      <c r="AL50" s="492"/>
      <c r="AM50" s="492"/>
      <c r="AN50" s="492"/>
      <c r="AO50" s="494"/>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492"/>
      <c r="CF50" s="492"/>
      <c r="CG50" s="492"/>
      <c r="CH50" s="492"/>
      <c r="CI50" s="492"/>
      <c r="CJ50" s="492"/>
      <c r="CK50" s="492"/>
      <c r="CL50" s="492"/>
      <c r="CM50" s="492"/>
      <c r="CN50" s="492"/>
      <c r="CO50" s="492"/>
      <c r="CP50" s="495"/>
    </row>
    <row r="51" spans="1:94">
      <c r="A51" s="433" t="s">
        <v>554</v>
      </c>
      <c r="B51" s="434" t="s">
        <v>322</v>
      </c>
      <c r="C51" s="476">
        <f>[105]Sheet1!$S$373/1000000</f>
        <v>2630.68074501</v>
      </c>
      <c r="D51" s="476">
        <f>[5]Sheet2!$C$347/1000000</f>
        <v>2630.0928586</v>
      </c>
      <c r="E51" s="476">
        <f>[6]Sheet2!$C$347/1000000</f>
        <v>2788.2714956599998</v>
      </c>
      <c r="F51" s="400">
        <f>[7]Sheet2!$C$347/1000000</f>
        <v>2937.78657587</v>
      </c>
      <c r="G51" s="476">
        <f>[8]Sheet2!$C$347/1000000</f>
        <v>3136.29602462</v>
      </c>
      <c r="H51" s="477">
        <f>[9]Sheet2!$C$347/1000000</f>
        <v>3221.8251217100001</v>
      </c>
      <c r="I51" s="476">
        <f>[10]Sheet2!$C$347/1000000</f>
        <v>3192.1693638599995</v>
      </c>
      <c r="J51" s="476">
        <f>[11]Sheet2!$C$347/1000000</f>
        <v>3147.4126953200002</v>
      </c>
      <c r="K51" s="476">
        <f>[12]Sheet2!$C$347/1000000</f>
        <v>3180.08305728</v>
      </c>
      <c r="L51" s="476">
        <f>[13]Sheet2!$C$347/1000000</f>
        <v>3063.57494008</v>
      </c>
      <c r="M51" s="400">
        <f>[14]Sheet2!$C$347/1000000</f>
        <v>3079.9941545900001</v>
      </c>
      <c r="N51" s="476">
        <f>[15]Sheet2!$C$347/1000000</f>
        <v>3152.0075121699997</v>
      </c>
      <c r="O51" s="476">
        <f>[16]Sheet2!$C$347/1000000</f>
        <v>3330.3147581099997</v>
      </c>
      <c r="P51" s="476">
        <f>[17]Sheet2!$C$347/1000000</f>
        <v>3770.2093561700008</v>
      </c>
      <c r="Q51" s="476">
        <f>[18]Sheet2!$C$347/1000000</f>
        <v>4070.7419166169207</v>
      </c>
      <c r="R51" s="476">
        <f>[19]Sheet2!$C$347/1000000</f>
        <v>4102.3249012710303</v>
      </c>
      <c r="S51" s="476">
        <f>[20]Sheet2!$C$347/1000000</f>
        <v>4117.7779041700005</v>
      </c>
      <c r="T51" s="476">
        <f>[21]Sheet2!$C$347/1000000</f>
        <v>4092.9335569362497</v>
      </c>
      <c r="U51" s="476">
        <f>[22]Sheet2!$C$347/1000000</f>
        <v>4260.7382215410007</v>
      </c>
      <c r="V51" s="476">
        <f>[23]Sheet2!$C$347/1000000</f>
        <v>4441.7436501800003</v>
      </c>
      <c r="W51" s="476">
        <f>[24]Sheet2!$C$347/1000000</f>
        <v>4356.7828689500002</v>
      </c>
      <c r="X51" s="476">
        <f>[25]Sheet2!$C$347/1000000</f>
        <v>4467.3319967765165</v>
      </c>
      <c r="Y51" s="476">
        <f>[26]Sheet2!$C$347/1000000</f>
        <v>4451.5651270376293</v>
      </c>
      <c r="Z51" s="476">
        <f>[27]Sheet2!$C$347/1000000</f>
        <v>4453.3888107366174</v>
      </c>
      <c r="AA51" s="476">
        <f>[28]Sheet2!$C$347/1000000</f>
        <v>4698.3670634208793</v>
      </c>
      <c r="AB51" s="476">
        <f>[29]Sheet2!$C$347/1000000</f>
        <v>4622.4491841764384</v>
      </c>
      <c r="AC51" s="476">
        <f>[30]Sheet2!$C$347/1000000</f>
        <v>4475.787280789863</v>
      </c>
      <c r="AD51" s="477">
        <f>[31]Sheet2!$C$347/1000000</f>
        <v>4402.8774204715073</v>
      </c>
      <c r="AE51" s="476">
        <f>[32]Sheet2!$C$347/1000000</f>
        <v>4123.1845085715076</v>
      </c>
      <c r="AF51" s="476">
        <f>[33]Sheet2!$C$347/1000000</f>
        <v>3967.1421136384934</v>
      </c>
      <c r="AG51" s="476">
        <f>[34]Sheet2!$C$347/1000000</f>
        <v>3743.5247357060271</v>
      </c>
      <c r="AH51" s="476">
        <f>[35]Sheet2!$C$347/1000000</f>
        <v>3834.2236840501369</v>
      </c>
      <c r="AI51" s="476">
        <f>[36]Sheet2!$C$347/1000000</f>
        <v>3689.1825157124658</v>
      </c>
      <c r="AJ51" s="476">
        <f>[60]Sheet2!$C$347/1000000</f>
        <v>3500.7062226813696</v>
      </c>
      <c r="AK51" s="476">
        <f>[61]Sheet2!$C$347/1000000</f>
        <v>3408.127094673288</v>
      </c>
      <c r="AL51" s="476">
        <f>[62]Sheet2!$C$347/1000000</f>
        <v>3379.3276802513701</v>
      </c>
      <c r="AM51" s="476">
        <f>[63]Sheet2!$C$347/1000000</f>
        <v>3239.4535967432876</v>
      </c>
      <c r="AN51" s="476">
        <f>[64]Sheet2!$C$347/1000000</f>
        <v>3458.5866201902741</v>
      </c>
      <c r="AO51" s="477">
        <f>[65]Sheet2!$C$347/1000000</f>
        <v>4137.0583415399997</v>
      </c>
      <c r="AP51" s="476">
        <f>[37]Sheet2!$C$347/1000000</f>
        <v>4535.7708429617805</v>
      </c>
      <c r="AQ51" s="476">
        <f>[38]Sheet2!$C$347/1000000</f>
        <v>5526.6296055882194</v>
      </c>
      <c r="AR51" s="476">
        <f>[39]Sheet2!$C$347/1000000</f>
        <v>5581.0321898587663</v>
      </c>
      <c r="AS51" s="476">
        <f>[66]Sheet2!$C$347/1000000</f>
        <v>5282.3966919142458</v>
      </c>
      <c r="AT51" s="476">
        <f>[67]Sheet2!$C$347/1000000</f>
        <v>5178.3781090543825</v>
      </c>
      <c r="AU51" s="476">
        <f>[68]Sheet2!$C$347/1000000</f>
        <v>5118.4729123800007</v>
      </c>
      <c r="AV51" s="476">
        <f>[69]Sheet2!$C$347/1000000</f>
        <v>4961.799643372191</v>
      </c>
      <c r="AW51" s="476">
        <f>[70]Sheet2!$C$347/1000000</f>
        <v>4888.0619427682195</v>
      </c>
      <c r="AX51" s="476">
        <f>[71]Sheet2!$C$347/1000000</f>
        <v>4887.5015556182207</v>
      </c>
      <c r="AY51" s="476">
        <f>[72]Sheet2!$C$347/1000000</f>
        <v>4926.0327021500007</v>
      </c>
      <c r="AZ51" s="476">
        <f>[73]Sheet2!$C$347/1000000</f>
        <v>4814.443608358768</v>
      </c>
      <c r="BA51" s="476">
        <f>[74]Sheet2!$C$347/1000000</f>
        <v>4663.5574694575362</v>
      </c>
      <c r="BB51" s="476">
        <f>[40]Sheet2!$C$347/1000000</f>
        <v>4630.1141973399999</v>
      </c>
      <c r="BC51" s="476">
        <f>[75]Sheet2!$C$347/1000000</f>
        <v>4407.9392774400003</v>
      </c>
      <c r="BD51" s="476">
        <f>[76]Sheet2!$C$347/1000000</f>
        <v>4407.1188998499993</v>
      </c>
      <c r="BE51" s="476">
        <f>[77]Sheet2!$C$347/1000000</f>
        <v>4435.9033677699999</v>
      </c>
      <c r="BF51" s="476">
        <f>[41]Sheet2!$C$347/1000000</f>
        <v>4580.6558175500004</v>
      </c>
      <c r="BG51" s="476">
        <f>[42]Sheet2!$C$347/1000000</f>
        <v>4409.2727484500001</v>
      </c>
      <c r="BH51" s="476">
        <f>[43]Sheet2!$C$347/1000000</f>
        <v>4692.5433414400004</v>
      </c>
      <c r="BI51" s="476">
        <f>[44]Sheet2!$C$347/1000000</f>
        <v>4455.092092169999</v>
      </c>
      <c r="BJ51" s="476">
        <f>[78]Sheet2!$C$347/1000000</f>
        <v>4380.3482950299995</v>
      </c>
      <c r="BK51" s="476">
        <f>[79]Sheet2!$C$347/1000000</f>
        <v>4506.9304118999999</v>
      </c>
      <c r="BL51" s="476">
        <f>[80]Sheet2!$C$347/1000000</f>
        <v>4432.5187507600003</v>
      </c>
      <c r="BM51" s="476">
        <f>[81]Sheet2!$C$347/1000000</f>
        <v>4305.9087254700007</v>
      </c>
      <c r="BN51" s="476">
        <f>[82]Sheet2!$C$347/1000000</f>
        <v>4236.2685673899996</v>
      </c>
      <c r="BO51" s="476">
        <f>[83]Sheet2!$C$347/1000000</f>
        <v>4246.5308846200005</v>
      </c>
      <c r="BP51" s="476">
        <f>[84]Sheet2!$C$347/1000000</f>
        <v>4238.8072340799999</v>
      </c>
      <c r="BQ51" s="476">
        <f>[85]Sheet2!$C$347/1000000</f>
        <v>4198.6275755999995</v>
      </c>
      <c r="BR51" s="476">
        <f>[86]Sheet2!$C$347/1000000</f>
        <v>4018.1876285899993</v>
      </c>
      <c r="BS51" s="476">
        <f>[87]Sheet2!$C$347/1000000</f>
        <v>3905.2145171100001</v>
      </c>
      <c r="BT51" s="476">
        <f>[88]Sheet2!$C$347/1000000</f>
        <v>4250.1657690299999</v>
      </c>
      <c r="BU51" s="476">
        <f>[89]Sheet2!$C$347/1000000</f>
        <v>4535.4009117899996</v>
      </c>
      <c r="BV51" s="476">
        <f>[90]Sheet2!$C$347/1000000</f>
        <v>4382.2887601600005</v>
      </c>
      <c r="BW51" s="476">
        <f>[91]Sheet2!$C$347/1000000</f>
        <v>4372.8701237599998</v>
      </c>
      <c r="BX51" s="476">
        <f>[92]Sheet2!$C$347/1000000</f>
        <v>4154.9125019200001</v>
      </c>
      <c r="BY51" s="476">
        <f>[93]Sheet2!$C$347/1000000</f>
        <v>4060.9510421100003</v>
      </c>
      <c r="BZ51" s="476">
        <f>[94]Sheet2!$C$347/1000000</f>
        <v>4231.2920926099996</v>
      </c>
      <c r="CA51" s="476">
        <f>[95]Sheet2!$C$347/1000000</f>
        <v>4005.7689617100004</v>
      </c>
      <c r="CB51" s="476">
        <f>[45]Sheet2!$C$347/1000000</f>
        <v>3995.8812453299997</v>
      </c>
      <c r="CC51" s="476">
        <f>[46]Sheet2!$C$347/1000000</f>
        <v>4049.5394200599999</v>
      </c>
      <c r="CD51" s="476">
        <f>[47]Sheet2!$C$347/1000000</f>
        <v>3905.6289133399991</v>
      </c>
      <c r="CE51" s="476">
        <f>[48]Sheet2!$C$347/1000000</f>
        <v>3877.7525162399993</v>
      </c>
      <c r="CF51" s="476">
        <f>[49]Sheet2!$C$347/1000000</f>
        <v>3891.9378872900002</v>
      </c>
      <c r="CG51" s="476">
        <f>[50]Sheet2!$C$347/1000000</f>
        <v>3819.8157504199999</v>
      </c>
      <c r="CH51" s="476">
        <f>[51]Sheet2!$C$347/1000000</f>
        <v>3370.3593737200003</v>
      </c>
      <c r="CI51" s="476">
        <f>[52]Sheet2!$C$347/1000000</f>
        <v>3515.8840664700001</v>
      </c>
      <c r="CJ51" s="476">
        <f>[53]Sheet2!$C$347/1000000</f>
        <v>3400.5094429699998</v>
      </c>
      <c r="CK51" s="476">
        <f>[54]Sheet2!$C$347/1000000</f>
        <v>3229.11605306</v>
      </c>
      <c r="CL51" s="476">
        <f>[55]Sheet2!$C$347/1000000</f>
        <v>3372.1846686099998</v>
      </c>
      <c r="CM51" s="476">
        <f>[56]Sheet2!$C$347/1000000</f>
        <v>3162.9517192899998</v>
      </c>
      <c r="CN51" s="476">
        <f>[57]Sheet2!$C$347/1000000</f>
        <v>3207.8926368100001</v>
      </c>
      <c r="CO51" s="476">
        <f>[58]Sheet2!$C$347/1000000</f>
        <v>3357.0536541700003</v>
      </c>
      <c r="CP51" s="435">
        <f>[59]Sheet2!$C$347/1000000</f>
        <v>3424.1075898799995</v>
      </c>
    </row>
    <row r="52" spans="1:94">
      <c r="A52" s="436"/>
      <c r="B52" s="452"/>
      <c r="C52" s="492"/>
      <c r="D52" s="492"/>
      <c r="E52" s="492"/>
      <c r="F52" s="493"/>
      <c r="G52" s="492"/>
      <c r="H52" s="494"/>
      <c r="I52" s="492"/>
      <c r="J52" s="492"/>
      <c r="K52" s="492"/>
      <c r="L52" s="492"/>
      <c r="M52" s="493"/>
      <c r="N52" s="492"/>
      <c r="O52" s="492"/>
      <c r="P52" s="492"/>
      <c r="Q52" s="492"/>
      <c r="R52" s="492"/>
      <c r="S52" s="492"/>
      <c r="T52" s="492"/>
      <c r="U52" s="492"/>
      <c r="V52" s="492"/>
      <c r="W52" s="492"/>
      <c r="X52" s="492"/>
      <c r="Y52" s="492"/>
      <c r="Z52" s="492"/>
      <c r="AA52" s="492"/>
      <c r="AB52" s="492"/>
      <c r="AC52" s="492"/>
      <c r="AD52" s="494"/>
      <c r="AE52" s="492"/>
      <c r="AF52" s="492"/>
      <c r="AG52" s="492"/>
      <c r="AH52" s="492"/>
      <c r="AI52" s="492"/>
      <c r="AJ52" s="492"/>
      <c r="AK52" s="492"/>
      <c r="AL52" s="492"/>
      <c r="AM52" s="492"/>
      <c r="AN52" s="492"/>
      <c r="AO52" s="494"/>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c r="BZ52" s="492"/>
      <c r="CA52" s="492"/>
      <c r="CB52" s="492"/>
      <c r="CC52" s="492"/>
      <c r="CD52" s="492"/>
      <c r="CE52" s="492"/>
      <c r="CF52" s="492"/>
      <c r="CG52" s="492"/>
      <c r="CH52" s="492"/>
      <c r="CI52" s="492"/>
      <c r="CJ52" s="492"/>
      <c r="CK52" s="492"/>
      <c r="CL52" s="492"/>
      <c r="CM52" s="492"/>
      <c r="CN52" s="492"/>
      <c r="CO52" s="492"/>
      <c r="CP52" s="495"/>
    </row>
    <row r="53" spans="1:94">
      <c r="A53" s="433" t="s">
        <v>555</v>
      </c>
      <c r="B53" s="434" t="s">
        <v>526</v>
      </c>
      <c r="C53" s="476">
        <f>[105]Sheet1!$S$390/1000000</f>
        <v>0</v>
      </c>
      <c r="D53" s="476">
        <f>[5]Sheet2!$C$362/1000000</f>
        <v>0</v>
      </c>
      <c r="E53" s="476">
        <f>[6]Sheet2!$C$362/1000000</f>
        <v>0</v>
      </c>
      <c r="F53" s="400">
        <f>[7]Sheet2!$C$362/1000000</f>
        <v>0</v>
      </c>
      <c r="G53" s="476">
        <f>[8]Sheet2!$C$362/1000000</f>
        <v>0</v>
      </c>
      <c r="H53" s="477">
        <f>[9]Sheet2!$C$362/1000000</f>
        <v>0</v>
      </c>
      <c r="I53" s="476">
        <f>[10]Sheet2!$C$362/1000000</f>
        <v>0</v>
      </c>
      <c r="J53" s="476">
        <f>[11]Sheet2!$C$362/1000000</f>
        <v>0</v>
      </c>
      <c r="K53" s="476">
        <f>[12]Sheet2!$C$362/1000000</f>
        <v>0</v>
      </c>
      <c r="L53" s="476">
        <f>[13]Sheet2!$C$362/1000000</f>
        <v>0</v>
      </c>
      <c r="M53" s="400">
        <f>[14]Sheet2!$C$362/1000000</f>
        <v>0</v>
      </c>
      <c r="N53" s="476">
        <f>[15]Sheet2!$C$362/1000000</f>
        <v>0</v>
      </c>
      <c r="O53" s="476">
        <f>[16]Sheet2!$C$362/1000000</f>
        <v>0</v>
      </c>
      <c r="P53" s="476">
        <f>[17]Sheet2!$C$362/1000000</f>
        <v>0</v>
      </c>
      <c r="Q53" s="476">
        <f>[18]Sheet2!$C$362/1000000</f>
        <v>0</v>
      </c>
      <c r="R53" s="476">
        <f>[19]Sheet2!$C$362/1000000</f>
        <v>0</v>
      </c>
      <c r="S53" s="476">
        <f>[20]Sheet2!$C$362/1000000</f>
        <v>0</v>
      </c>
      <c r="T53" s="476">
        <f>[21]Sheet2!$C$362/1000000</f>
        <v>0</v>
      </c>
      <c r="U53" s="476">
        <f>[22]Sheet2!$C$362/1000000</f>
        <v>0</v>
      </c>
      <c r="V53" s="476">
        <f>[23]Sheet2!$C$362/1000000</f>
        <v>0</v>
      </c>
      <c r="W53" s="476">
        <f>[24]Sheet2!$C$362/1000000</f>
        <v>0</v>
      </c>
      <c r="X53" s="476">
        <f>[25]Sheet2!$C$362/1000000</f>
        <v>0</v>
      </c>
      <c r="Y53" s="476">
        <f>[26]Sheet2!$C$362/1000000</f>
        <v>0</v>
      </c>
      <c r="Z53" s="476">
        <f>[27]Sheet2!$C$362/1000000</f>
        <v>0</v>
      </c>
      <c r="AA53" s="476">
        <f>[28]Sheet2!$C$362/1000000</f>
        <v>0</v>
      </c>
      <c r="AB53" s="476">
        <f>[29]Sheet2!$C$362/1000000</f>
        <v>0</v>
      </c>
      <c r="AC53" s="476">
        <f>[30]Sheet2!$C$362/1000000</f>
        <v>0</v>
      </c>
      <c r="AD53" s="477">
        <f>[31]Sheet2!$C$362/1000000</f>
        <v>0</v>
      </c>
      <c r="AE53" s="476">
        <f>[32]Sheet2!$C$362/1000000</f>
        <v>0</v>
      </c>
      <c r="AF53" s="476">
        <f>[33]Sheet2!$C$362/1000000</f>
        <v>0</v>
      </c>
      <c r="AG53" s="476">
        <f>[34]Sheet2!$C$362/1000000</f>
        <v>0</v>
      </c>
      <c r="AH53" s="476">
        <f>[35]Sheet2!$C$362/1000000</f>
        <v>0</v>
      </c>
      <c r="AI53" s="476">
        <f>[36]Sheet2!$C$362/1000000</f>
        <v>0</v>
      </c>
      <c r="AJ53" s="476">
        <f>[60]Sheet2!$C$362/1000000</f>
        <v>0</v>
      </c>
      <c r="AK53" s="476">
        <f>[61]Sheet2!$C$362/1000000</f>
        <v>0</v>
      </c>
      <c r="AL53" s="476">
        <f>[62]Sheet2!$C$362/1000000</f>
        <v>0</v>
      </c>
      <c r="AM53" s="476">
        <f>[63]Sheet2!$C$362/1000000</f>
        <v>0</v>
      </c>
      <c r="AN53" s="476">
        <f>[64]Sheet2!$C$362/1000000</f>
        <v>0</v>
      </c>
      <c r="AO53" s="477">
        <f>[65]Sheet2!$C$362/1000000</f>
        <v>0</v>
      </c>
      <c r="AP53" s="476">
        <f>[37]Sheet2!$C$362/1000000</f>
        <v>0</v>
      </c>
      <c r="AQ53" s="476">
        <f>[38]Sheet2!$C$362/1000000</f>
        <v>0</v>
      </c>
      <c r="AR53" s="476">
        <f>[39]Sheet2!$C$362/1000000</f>
        <v>0</v>
      </c>
      <c r="AS53" s="476">
        <f>[66]Sheet2!$C$362/1000000</f>
        <v>0</v>
      </c>
      <c r="AT53" s="476">
        <f>[67]Sheet2!$C$362/1000000</f>
        <v>0</v>
      </c>
      <c r="AU53" s="476">
        <f>[68]Sheet2!$C$362/1000000</f>
        <v>0</v>
      </c>
      <c r="AV53" s="476">
        <f>[69]Sheet2!$C$362/1000000</f>
        <v>0</v>
      </c>
      <c r="AW53" s="476">
        <f>[70]Sheet2!$C$362/1000000</f>
        <v>0</v>
      </c>
      <c r="AX53" s="476">
        <f>[71]Sheet2!$C$362/1000000</f>
        <v>0</v>
      </c>
      <c r="AY53" s="476">
        <f>[72]Sheet2!$C$362/1000000</f>
        <v>0</v>
      </c>
      <c r="AZ53" s="476">
        <f>[73]Sheet2!$C$362/1000000</f>
        <v>0</v>
      </c>
      <c r="BA53" s="476">
        <f>[74]Sheet2!$C$362/1000000</f>
        <v>0</v>
      </c>
      <c r="BB53" s="476">
        <f>[40]Sheet2!$C$362/1000000</f>
        <v>0</v>
      </c>
      <c r="BC53" s="476">
        <f>[75]Sheet2!$C$362/1000000</f>
        <v>0</v>
      </c>
      <c r="BD53" s="476">
        <f>[76]Sheet2!$C$362/1000000</f>
        <v>0</v>
      </c>
      <c r="BE53" s="476">
        <f>[77]Sheet2!$C$362/1000000</f>
        <v>0</v>
      </c>
      <c r="BF53" s="476">
        <f>[41]Sheet2!$C$362/1000000</f>
        <v>0</v>
      </c>
      <c r="BG53" s="476">
        <f>[42]Sheet2!$C$362/1000000</f>
        <v>0</v>
      </c>
      <c r="BH53" s="476">
        <f>[43]Sheet2!$C$362/1000000</f>
        <v>0</v>
      </c>
      <c r="BI53" s="476">
        <f>[44]Sheet2!$C$362/1000000</f>
        <v>0</v>
      </c>
      <c r="BJ53" s="476">
        <f>[78]Sheet2!$C$362/1000000</f>
        <v>0</v>
      </c>
      <c r="BK53" s="476">
        <f>[79]Sheet2!$C$362/1000000</f>
        <v>0</v>
      </c>
      <c r="BL53" s="476">
        <f>[80]Sheet2!$C$362/1000000</f>
        <v>0</v>
      </c>
      <c r="BM53" s="476">
        <f>[81]Sheet2!$C$362/1000000</f>
        <v>0</v>
      </c>
      <c r="BN53" s="476">
        <f>[82]Sheet2!$C$362/1000000</f>
        <v>0</v>
      </c>
      <c r="BO53" s="476">
        <f>[83]Sheet2!$C$362/1000000</f>
        <v>0</v>
      </c>
      <c r="BP53" s="476">
        <f>[84]Sheet2!$C$362/1000000</f>
        <v>0</v>
      </c>
      <c r="BQ53" s="476">
        <f>[85]Sheet2!$C$362/1000000</f>
        <v>0</v>
      </c>
      <c r="BR53" s="476">
        <f>[86]Sheet2!$C$362/1000000</f>
        <v>0</v>
      </c>
      <c r="BS53" s="476">
        <f>[87]Sheet2!$C$362/1000000</f>
        <v>0</v>
      </c>
      <c r="BT53" s="476">
        <f>[88]Sheet2!$C$362/1000000</f>
        <v>0</v>
      </c>
      <c r="BU53" s="476">
        <f>[89]Sheet2!$C$362/1000000</f>
        <v>0</v>
      </c>
      <c r="BV53" s="476">
        <f>[90]Sheet2!$C$362/1000000</f>
        <v>0</v>
      </c>
      <c r="BW53" s="476">
        <f>[91]Sheet2!$C$362/1000000</f>
        <v>0</v>
      </c>
      <c r="BX53" s="476">
        <f>[92]Sheet2!$C$362/1000000</f>
        <v>0</v>
      </c>
      <c r="BY53" s="476">
        <f>[93]Sheet2!$C$362/1000000</f>
        <v>0</v>
      </c>
      <c r="BZ53" s="476">
        <f>[94]Sheet2!$C$362/1000000</f>
        <v>0</v>
      </c>
      <c r="CA53" s="476">
        <f>[95]Sheet2!$C$362/1000000</f>
        <v>0</v>
      </c>
      <c r="CB53" s="476">
        <f>[45]Sheet2!$C$362/1000000</f>
        <v>0</v>
      </c>
      <c r="CC53" s="476">
        <f>[46]Sheet2!$C$362/1000000</f>
        <v>0</v>
      </c>
      <c r="CD53" s="476">
        <f>[47]Sheet2!$C$362/1000000</f>
        <v>0</v>
      </c>
      <c r="CE53" s="476">
        <f>[48]Sheet2!$C$362/1000000</f>
        <v>0</v>
      </c>
      <c r="CF53" s="476">
        <f>[49]Sheet2!$C$362/1000000</f>
        <v>0</v>
      </c>
      <c r="CG53" s="476">
        <f>[50]Sheet2!$C$362/1000000</f>
        <v>0</v>
      </c>
      <c r="CH53" s="476">
        <f>[51]Sheet2!$C$362/1000000</f>
        <v>0</v>
      </c>
      <c r="CI53" s="476">
        <f>[52]Sheet2!$C$362/1000000</f>
        <v>0</v>
      </c>
      <c r="CJ53" s="476">
        <f>[53]Sheet2!$C$362/1000000</f>
        <v>0</v>
      </c>
      <c r="CK53" s="476">
        <f>[54]Sheet2!$C$362/1000000</f>
        <v>0</v>
      </c>
      <c r="CL53" s="476">
        <f>[55]Sheet2!$C$362/1000000</f>
        <v>0</v>
      </c>
      <c r="CM53" s="476">
        <f>[56]Sheet2!$C$362/1000000</f>
        <v>0</v>
      </c>
      <c r="CN53" s="476">
        <f>[57]Sheet2!$C$362/1000000</f>
        <v>0</v>
      </c>
      <c r="CO53" s="476">
        <f>[58]Sheet2!$C$362/1000000</f>
        <v>0</v>
      </c>
      <c r="CP53" s="435">
        <f>[59]Sheet2!$C$362/1000000</f>
        <v>0</v>
      </c>
    </row>
    <row r="54" spans="1:94">
      <c r="A54" s="436"/>
      <c r="B54" s="437"/>
      <c r="C54" s="492"/>
      <c r="D54" s="492"/>
      <c r="E54" s="492"/>
      <c r="F54" s="493"/>
      <c r="G54" s="492"/>
      <c r="H54" s="494"/>
      <c r="I54" s="492"/>
      <c r="J54" s="492"/>
      <c r="K54" s="492"/>
      <c r="L54" s="492"/>
      <c r="M54" s="493"/>
      <c r="N54" s="492"/>
      <c r="O54" s="492"/>
      <c r="P54" s="492"/>
      <c r="Q54" s="492"/>
      <c r="R54" s="492"/>
      <c r="S54" s="492"/>
      <c r="T54" s="492"/>
      <c r="U54" s="492"/>
      <c r="V54" s="492"/>
      <c r="W54" s="492"/>
      <c r="X54" s="492"/>
      <c r="Y54" s="492"/>
      <c r="Z54" s="492"/>
      <c r="AA54" s="492"/>
      <c r="AB54" s="492"/>
      <c r="AC54" s="492"/>
      <c r="AD54" s="494"/>
      <c r="AE54" s="492"/>
      <c r="AF54" s="492"/>
      <c r="AG54" s="492"/>
      <c r="AH54" s="492"/>
      <c r="AI54" s="492"/>
      <c r="AJ54" s="492"/>
      <c r="AK54" s="492"/>
      <c r="AL54" s="492"/>
      <c r="AM54" s="492"/>
      <c r="AN54" s="492"/>
      <c r="AO54" s="494"/>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c r="BZ54" s="492"/>
      <c r="CA54" s="492"/>
      <c r="CB54" s="492"/>
      <c r="CC54" s="492"/>
      <c r="CD54" s="492"/>
      <c r="CE54" s="492"/>
      <c r="CF54" s="492"/>
      <c r="CG54" s="492"/>
      <c r="CH54" s="492"/>
      <c r="CI54" s="492"/>
      <c r="CJ54" s="492"/>
      <c r="CK54" s="492"/>
      <c r="CL54" s="492"/>
      <c r="CM54" s="492"/>
      <c r="CN54" s="492"/>
      <c r="CO54" s="492"/>
      <c r="CP54" s="495"/>
    </row>
    <row r="55" spans="1:94">
      <c r="A55" s="433" t="s">
        <v>556</v>
      </c>
      <c r="B55" s="434" t="s">
        <v>528</v>
      </c>
      <c r="C55" s="476">
        <f>[105]Sheet1!$S$409/1000000</f>
        <v>0</v>
      </c>
      <c r="D55" s="476">
        <f>[5]Sheet2!$C$381/1000000</f>
        <v>0</v>
      </c>
      <c r="E55" s="476">
        <f>[6]Sheet2!$C$381/1000000</f>
        <v>0</v>
      </c>
      <c r="F55" s="400">
        <f>[7]Sheet2!$C$381/1000000</f>
        <v>0</v>
      </c>
      <c r="G55" s="476">
        <f>[8]Sheet2!$C$381/1000000</f>
        <v>0</v>
      </c>
      <c r="H55" s="477">
        <f>[9]Sheet2!$C$381/1000000</f>
        <v>0</v>
      </c>
      <c r="I55" s="476">
        <f>[10]Sheet2!$C$381/1000000</f>
        <v>0</v>
      </c>
      <c r="J55" s="476">
        <f>[11]Sheet2!$C$381/1000000</f>
        <v>0</v>
      </c>
      <c r="K55" s="476">
        <f>[12]Sheet2!$C$381/1000000</f>
        <v>0</v>
      </c>
      <c r="L55" s="476">
        <f>[13]Sheet2!$C$381/1000000</f>
        <v>0</v>
      </c>
      <c r="M55" s="400">
        <f>[14]Sheet2!$C$381/1000000</f>
        <v>0</v>
      </c>
      <c r="N55" s="476">
        <f>[15]Sheet2!$C$381/1000000</f>
        <v>0</v>
      </c>
      <c r="O55" s="476">
        <f>[16]Sheet2!$C$381/1000000</f>
        <v>0</v>
      </c>
      <c r="P55" s="476">
        <f>[17]Sheet2!$C$381/1000000</f>
        <v>0</v>
      </c>
      <c r="Q55" s="476">
        <f>[18]Sheet2!$C$381/1000000</f>
        <v>0</v>
      </c>
      <c r="R55" s="476">
        <f>[19]Sheet2!$C$381/1000000</f>
        <v>0</v>
      </c>
      <c r="S55" s="476">
        <f>[20]Sheet2!$C$381/1000000</f>
        <v>0</v>
      </c>
      <c r="T55" s="476">
        <f>[21]Sheet2!$C$381/1000000</f>
        <v>0</v>
      </c>
      <c r="U55" s="476">
        <f>[22]Sheet2!$C$381/1000000</f>
        <v>0</v>
      </c>
      <c r="V55" s="476">
        <f>[23]Sheet2!$C$381/1000000</f>
        <v>0</v>
      </c>
      <c r="W55" s="476">
        <f>[24]Sheet2!$C$381/1000000</f>
        <v>0</v>
      </c>
      <c r="X55" s="476">
        <f>[25]Sheet2!$C$381/1000000</f>
        <v>0</v>
      </c>
      <c r="Y55" s="476">
        <f>[26]Sheet2!$C$381/1000000</f>
        <v>0</v>
      </c>
      <c r="Z55" s="476">
        <f>[27]Sheet2!$C$381/1000000</f>
        <v>0</v>
      </c>
      <c r="AA55" s="476">
        <f>[28]Sheet2!$C$381/1000000</f>
        <v>0</v>
      </c>
      <c r="AB55" s="476">
        <f>[29]Sheet2!$C$381/1000000</f>
        <v>0</v>
      </c>
      <c r="AC55" s="476">
        <f>[30]Sheet2!$C$381/1000000</f>
        <v>0</v>
      </c>
      <c r="AD55" s="477">
        <f>[31]Sheet2!$C$381/1000000</f>
        <v>0</v>
      </c>
      <c r="AE55" s="476">
        <f>[32]Sheet2!$C$381/1000000</f>
        <v>0</v>
      </c>
      <c r="AF55" s="476">
        <f>[33]Sheet2!$C$381/1000000</f>
        <v>0</v>
      </c>
      <c r="AG55" s="476">
        <f>[34]Sheet2!$C$381/1000000</f>
        <v>0</v>
      </c>
      <c r="AH55" s="476">
        <f>[35]Sheet2!$C$381/1000000</f>
        <v>0</v>
      </c>
      <c r="AI55" s="476">
        <f>[36]Sheet2!$C$381/1000000</f>
        <v>0</v>
      </c>
      <c r="AJ55" s="476">
        <f>[60]Sheet2!$C$381/1000000</f>
        <v>0</v>
      </c>
      <c r="AK55" s="476">
        <f>[61]Sheet2!$C$381/1000000</f>
        <v>0</v>
      </c>
      <c r="AL55" s="476">
        <f>[62]Sheet2!$C$381/1000000</f>
        <v>0</v>
      </c>
      <c r="AM55" s="476">
        <f>[63]Sheet2!$C$381/1000000</f>
        <v>0</v>
      </c>
      <c r="AN55" s="476">
        <f>[64]Sheet2!$C$381/1000000</f>
        <v>0</v>
      </c>
      <c r="AO55" s="477">
        <f>[65]Sheet2!$C$381/1000000</f>
        <v>0</v>
      </c>
      <c r="AP55" s="476">
        <f>[37]Sheet2!$C$381/1000000</f>
        <v>0</v>
      </c>
      <c r="AQ55" s="476">
        <f>[38]Sheet2!$C$381/1000000</f>
        <v>0</v>
      </c>
      <c r="AR55" s="476">
        <f>[39]Sheet2!$C$381/1000000</f>
        <v>0</v>
      </c>
      <c r="AS55" s="476">
        <f>[66]Sheet2!$C$381/1000000</f>
        <v>0</v>
      </c>
      <c r="AT55" s="476">
        <f>[67]Sheet2!$C$381/1000000</f>
        <v>0</v>
      </c>
      <c r="AU55" s="476">
        <f>[68]Sheet2!$C$381/1000000</f>
        <v>0</v>
      </c>
      <c r="AV55" s="476">
        <f>[69]Sheet2!$C$381/1000000</f>
        <v>0</v>
      </c>
      <c r="AW55" s="476">
        <f>[70]Sheet2!$C$381/1000000</f>
        <v>0</v>
      </c>
      <c r="AX55" s="476">
        <f>[71]Sheet2!$C$381/1000000</f>
        <v>0</v>
      </c>
      <c r="AY55" s="476">
        <f>[72]Sheet2!$C$381/1000000</f>
        <v>0</v>
      </c>
      <c r="AZ55" s="476">
        <f>[73]Sheet2!$C$381/1000000</f>
        <v>0</v>
      </c>
      <c r="BA55" s="476">
        <f>[74]Sheet2!$C$381/1000000</f>
        <v>0</v>
      </c>
      <c r="BB55" s="476">
        <f>[40]Sheet2!$C$381/1000000</f>
        <v>0</v>
      </c>
      <c r="BC55" s="476">
        <f>[75]Sheet2!$C$381/1000000</f>
        <v>0</v>
      </c>
      <c r="BD55" s="476">
        <f>[76]Sheet2!$C$381/1000000</f>
        <v>0</v>
      </c>
      <c r="BE55" s="476">
        <f>[77]Sheet2!$C$381/1000000</f>
        <v>0</v>
      </c>
      <c r="BF55" s="476">
        <f>[41]Sheet2!$C$381/1000000</f>
        <v>0</v>
      </c>
      <c r="BG55" s="476">
        <f>[42]Sheet2!$C$381/1000000</f>
        <v>0</v>
      </c>
      <c r="BH55" s="476">
        <f>[43]Sheet2!$C$381/1000000</f>
        <v>0</v>
      </c>
      <c r="BI55" s="476">
        <f>[44]Sheet2!$C$381/1000000</f>
        <v>0</v>
      </c>
      <c r="BJ55" s="476">
        <f>[78]Sheet2!$C$381/1000000</f>
        <v>0</v>
      </c>
      <c r="BK55" s="476">
        <f>[79]Sheet2!$C$381/1000000</f>
        <v>0</v>
      </c>
      <c r="BL55" s="476">
        <f>[80]Sheet2!$C$381/1000000</f>
        <v>0</v>
      </c>
      <c r="BM55" s="476">
        <f>[81]Sheet2!$C$381/1000000</f>
        <v>0</v>
      </c>
      <c r="BN55" s="476">
        <f>[82]Sheet2!$C$381/1000000</f>
        <v>0</v>
      </c>
      <c r="BO55" s="476">
        <f>[83]Sheet2!$C$381/1000000</f>
        <v>0</v>
      </c>
      <c r="BP55" s="476">
        <f>[84]Sheet2!$C$381/1000000</f>
        <v>0</v>
      </c>
      <c r="BQ55" s="476">
        <f>[85]Sheet2!$C$381/1000000</f>
        <v>0</v>
      </c>
      <c r="BR55" s="476">
        <f>[86]Sheet2!$C$381/1000000</f>
        <v>0</v>
      </c>
      <c r="BS55" s="476">
        <f>[87]Sheet2!$C$381/1000000</f>
        <v>0</v>
      </c>
      <c r="BT55" s="476">
        <f>[88]Sheet2!$C$381/1000000</f>
        <v>0</v>
      </c>
      <c r="BU55" s="476">
        <f>[89]Sheet2!$C$381/1000000</f>
        <v>0</v>
      </c>
      <c r="BV55" s="476">
        <f>[90]Sheet2!$C$381/1000000</f>
        <v>0</v>
      </c>
      <c r="BW55" s="476">
        <f>[91]Sheet2!$C$381/1000000</f>
        <v>0</v>
      </c>
      <c r="BX55" s="476">
        <f>[92]Sheet2!$C$381/1000000</f>
        <v>0</v>
      </c>
      <c r="BY55" s="476">
        <f>[93]Sheet2!$C$381/1000000</f>
        <v>0</v>
      </c>
      <c r="BZ55" s="476">
        <f>[94]Sheet2!$C$381/1000000</f>
        <v>0</v>
      </c>
      <c r="CA55" s="476">
        <f>[95]Sheet2!$C$381/1000000</f>
        <v>0</v>
      </c>
      <c r="CB55" s="476">
        <f>[45]Sheet2!$C$381/1000000</f>
        <v>0</v>
      </c>
      <c r="CC55" s="476">
        <f>[46]Sheet2!$C$381/1000000</f>
        <v>0</v>
      </c>
      <c r="CD55" s="476">
        <f>[47]Sheet2!$C$381/1000000</f>
        <v>0</v>
      </c>
      <c r="CE55" s="476">
        <f>[48]Sheet2!$C$381/1000000</f>
        <v>0</v>
      </c>
      <c r="CF55" s="476">
        <f>[49]Sheet2!$C$381/1000000</f>
        <v>0</v>
      </c>
      <c r="CG55" s="476">
        <f>[50]Sheet2!$C$381/1000000</f>
        <v>0</v>
      </c>
      <c r="CH55" s="476">
        <f>[51]Sheet2!$C$381/1000000</f>
        <v>0</v>
      </c>
      <c r="CI55" s="476">
        <f>[52]Sheet2!$C$381/1000000</f>
        <v>0</v>
      </c>
      <c r="CJ55" s="476">
        <f>[53]Sheet2!$C$381/1000000</f>
        <v>0</v>
      </c>
      <c r="CK55" s="476">
        <f>[54]Sheet2!$C$381/1000000</f>
        <v>0</v>
      </c>
      <c r="CL55" s="476">
        <f>[55]Sheet2!$C$381/1000000</f>
        <v>0</v>
      </c>
      <c r="CM55" s="476">
        <f>[56]Sheet2!$C$381/1000000</f>
        <v>0</v>
      </c>
      <c r="CN55" s="476">
        <f>[57]Sheet2!$C$381/1000000</f>
        <v>0</v>
      </c>
      <c r="CO55" s="476">
        <f>[58]Sheet2!$C$381/1000000</f>
        <v>0</v>
      </c>
      <c r="CP55" s="435">
        <f>[59]Sheet2!$C$381/1000000</f>
        <v>0</v>
      </c>
    </row>
    <row r="56" spans="1:94">
      <c r="A56" s="436"/>
      <c r="B56" s="437"/>
      <c r="C56" s="492"/>
      <c r="D56" s="492"/>
      <c r="E56" s="492"/>
      <c r="F56" s="493"/>
      <c r="G56" s="492"/>
      <c r="H56" s="494"/>
      <c r="I56" s="492"/>
      <c r="J56" s="492"/>
      <c r="K56" s="492"/>
      <c r="L56" s="492"/>
      <c r="M56" s="493"/>
      <c r="N56" s="492"/>
      <c r="O56" s="492"/>
      <c r="P56" s="492"/>
      <c r="Q56" s="492"/>
      <c r="R56" s="492"/>
      <c r="S56" s="492"/>
      <c r="T56" s="492"/>
      <c r="U56" s="492"/>
      <c r="V56" s="492"/>
      <c r="W56" s="492"/>
      <c r="X56" s="492"/>
      <c r="Y56" s="492"/>
      <c r="Z56" s="492"/>
      <c r="AA56" s="492"/>
      <c r="AB56" s="492"/>
      <c r="AC56" s="492"/>
      <c r="AD56" s="494"/>
      <c r="AE56" s="492"/>
      <c r="AF56" s="492"/>
      <c r="AG56" s="492"/>
      <c r="AH56" s="492"/>
      <c r="AI56" s="492"/>
      <c r="AJ56" s="492"/>
      <c r="AK56" s="492"/>
      <c r="AL56" s="492"/>
      <c r="AM56" s="492"/>
      <c r="AN56" s="492"/>
      <c r="AO56" s="494"/>
      <c r="AP56" s="492"/>
      <c r="AQ56" s="492"/>
      <c r="AR56" s="492"/>
      <c r="AS56" s="492"/>
      <c r="AT56" s="492"/>
      <c r="AU56" s="492"/>
      <c r="AV56" s="492"/>
      <c r="AW56" s="492"/>
      <c r="AX56" s="492"/>
      <c r="AY56" s="492"/>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2"/>
      <c r="CN56" s="492"/>
      <c r="CO56" s="492"/>
      <c r="CP56" s="495"/>
    </row>
    <row r="57" spans="1:94">
      <c r="A57" s="433" t="s">
        <v>557</v>
      </c>
      <c r="B57" s="434" t="s">
        <v>558</v>
      </c>
      <c r="C57" s="476">
        <f>[105]Sheet1!$S$424/1000000</f>
        <v>891.35879009391408</v>
      </c>
      <c r="D57" s="476">
        <f>[5]Sheet2!$C$395/1000000</f>
        <v>1056.6444186864851</v>
      </c>
      <c r="E57" s="476">
        <f>[6]Sheet2!$C$395/1000000</f>
        <v>1158.75802318</v>
      </c>
      <c r="F57" s="400">
        <f>[7]Sheet2!$C$395/1000000</f>
        <v>1086.6292414476395</v>
      </c>
      <c r="G57" s="476">
        <f>[8]Sheet2!$C$395/1000000</f>
        <v>967.26766692499996</v>
      </c>
      <c r="H57" s="477">
        <f>[9]Sheet2!$C$395/1000000</f>
        <v>1111.8506255886421</v>
      </c>
      <c r="I57" s="476">
        <f>[10]Sheet2!$C$395/1000000</f>
        <v>1124.622755951448</v>
      </c>
      <c r="J57" s="476">
        <f>[11]Sheet2!$C$395/1000000</f>
        <v>1191.480365989948</v>
      </c>
      <c r="K57" s="476">
        <f>[12]Sheet2!$C$395/1000000</f>
        <v>1140.9455455459999</v>
      </c>
      <c r="L57" s="476">
        <f>[13]Sheet2!$C$395/1000000</f>
        <v>1132.6946277009999</v>
      </c>
      <c r="M57" s="400">
        <f>[14]Sheet2!$C$395/1000000</f>
        <v>1113.4447654485</v>
      </c>
      <c r="N57" s="476">
        <f>[15]Sheet2!$C$395/1000000</f>
        <v>1125.0054386205002</v>
      </c>
      <c r="O57" s="476">
        <f>[16]Sheet2!$C$395/1000000</f>
        <v>1229.1590331405</v>
      </c>
      <c r="P57" s="476">
        <f>[17]Sheet2!$C$395/1000000</f>
        <v>1177.2870235265</v>
      </c>
      <c r="Q57" s="476">
        <f>[18]Sheet2!$C$395/1000000</f>
        <v>1182.9898558324999</v>
      </c>
      <c r="R57" s="476">
        <f>[19]Sheet2!$C$395/1000000</f>
        <v>1326.7256466439999</v>
      </c>
      <c r="S57" s="476">
        <f>[20]Sheet2!$C$395/1000000</f>
        <v>1292.9238102814998</v>
      </c>
      <c r="T57" s="476">
        <f>[21]Sheet2!$C$395/1000000</f>
        <v>1433.7317101196199</v>
      </c>
      <c r="U57" s="476">
        <f>[22]Sheet2!$C$395/1000000</f>
        <v>1584.08788983912</v>
      </c>
      <c r="V57" s="476">
        <f>[23]Sheet2!$C$395/1000000</f>
        <v>1486.6276016524998</v>
      </c>
      <c r="W57" s="476">
        <f>[24]Sheet2!$C$395/1000000</f>
        <v>1642.3429488849999</v>
      </c>
      <c r="X57" s="476">
        <f>[25]Sheet2!$C$395/1000000</f>
        <v>1640.1107075129801</v>
      </c>
      <c r="Y57" s="476">
        <f>[26]Sheet2!$C$395/1000000</f>
        <v>1667.2221774669799</v>
      </c>
      <c r="Z57" s="476">
        <f>[27]Sheet2!$C$395/1000000</f>
        <v>1624.05511082098</v>
      </c>
      <c r="AA57" s="476">
        <f>[28]Sheet2!$C$395/1000000</f>
        <v>1702.3415527300906</v>
      </c>
      <c r="AB57" s="476">
        <f>[29]Sheet2!$C$395/1000000</f>
        <v>1606.3475032285905</v>
      </c>
      <c r="AC57" s="476">
        <f>[30]Sheet2!$C$395/1000000</f>
        <v>1561.5875893340906</v>
      </c>
      <c r="AD57" s="477">
        <f>[31]Sheet2!$C$395/1000000</f>
        <v>1311.6753959525904</v>
      </c>
      <c r="AE57" s="476">
        <f>[32]Sheet2!$C$395/1000000</f>
        <v>1741.8663082955904</v>
      </c>
      <c r="AF57" s="476">
        <f>[33]Sheet2!$C$395/1000000</f>
        <v>1745.2177034935903</v>
      </c>
      <c r="AG57" s="476">
        <f>[34]Sheet2!$C$395/1000000</f>
        <v>1851.5591559996453</v>
      </c>
      <c r="AH57" s="476">
        <f>[35]Sheet2!$C$395/1000000</f>
        <v>1814.6409855175905</v>
      </c>
      <c r="AI57" s="476">
        <f>[36]Sheet2!$C$395/1000000</f>
        <v>1834.7077459575905</v>
      </c>
      <c r="AJ57" s="476">
        <f>[60]Sheet2!$C$395/1000000</f>
        <v>2468.4967463275898</v>
      </c>
      <c r="AK57" s="476">
        <f>[61]Sheet2!$C$395/1000000</f>
        <v>2065.5728040775903</v>
      </c>
      <c r="AL57" s="476">
        <f>[62]Sheet2!$C$395/1000000</f>
        <v>2118.08298988359</v>
      </c>
      <c r="AM57" s="476">
        <f>[63]Sheet2!$C$395/1000000</f>
        <v>2356.7266610695906</v>
      </c>
      <c r="AN57" s="476">
        <f>[64]Sheet2!$C$395/1000000</f>
        <v>2517.4301139292575</v>
      </c>
      <c r="AO57" s="477">
        <f>[65]Sheet2!$C$395/1000000</f>
        <v>2504.634861189676</v>
      </c>
      <c r="AP57" s="476">
        <f>[37]Sheet2!$C$395/1000000</f>
        <v>1670.6080352144379</v>
      </c>
      <c r="AQ57" s="476">
        <f>[38]Sheet2!$C$395/1000000</f>
        <v>2283.0656909756162</v>
      </c>
      <c r="AR57" s="476">
        <f>[39]Sheet2!$C$395/1000000</f>
        <v>2338.2046043194809</v>
      </c>
      <c r="AS57" s="476">
        <f>[66]Sheet2!$C$395/1000000</f>
        <v>2500.7951737056005</v>
      </c>
      <c r="AT57" s="476">
        <f>[67]Sheet2!$C$395/1000000</f>
        <v>2067.0200821982039</v>
      </c>
      <c r="AU57" s="476">
        <f>[68]Sheet2!$C$395/1000000</f>
        <v>1985.5267380817274</v>
      </c>
      <c r="AV57" s="476">
        <f>[69]Sheet2!$C$395/1000000</f>
        <v>1958.222188145302</v>
      </c>
      <c r="AW57" s="476">
        <f>[70]Sheet2!$C$395/1000000</f>
        <v>1739.0725486236402</v>
      </c>
      <c r="AX57" s="476">
        <f>[71]Sheet2!$C$395/1000000</f>
        <v>2086.2398911419978</v>
      </c>
      <c r="AY57" s="476">
        <f>[72]Sheet2!$C$395/1000000</f>
        <v>1966.2225810299046</v>
      </c>
      <c r="AZ57" s="476">
        <f>[73]Sheet2!$C$395/1000000</f>
        <v>2065.7705058235201</v>
      </c>
      <c r="BA57" s="476">
        <f>[74]Sheet2!$C$395/1000000</f>
        <v>2291.2809189627801</v>
      </c>
      <c r="BB57" s="476">
        <f>[40]Sheet2!$C$395/1000000</f>
        <v>2194.5915879431468</v>
      </c>
      <c r="BC57" s="476">
        <f>[75]Sheet2!$C$395/1000000</f>
        <v>2113.4433298469066</v>
      </c>
      <c r="BD57" s="476">
        <f>[76]Sheet2!$C$395/1000000</f>
        <v>2204.4877657222801</v>
      </c>
      <c r="BE57" s="476">
        <f>[77]Sheet2!$C$395/1000000</f>
        <v>2544.1701566703186</v>
      </c>
      <c r="BF57" s="476">
        <f>[41]Sheet2!$C$395/1000000</f>
        <v>2186.5850390262299</v>
      </c>
      <c r="BG57" s="476">
        <f>[42]Sheet2!$C$395/1000000</f>
        <v>2456.5831875153217</v>
      </c>
      <c r="BH57" s="476">
        <f>[43]Sheet2!$C$395/1000000</f>
        <v>2322.2693984811963</v>
      </c>
      <c r="BI57" s="476">
        <f>[44]Sheet2!$C$395/1000000</f>
        <v>2283.3411049299971</v>
      </c>
      <c r="BJ57" s="476">
        <f>[78]Sheet2!$C$395/1000000</f>
        <v>2316.6023048998081</v>
      </c>
      <c r="BK57" s="476">
        <f>[79]Sheet2!$C$395/1000000</f>
        <v>2287.1737271594334</v>
      </c>
      <c r="BL57" s="476">
        <f>[80]Sheet2!$C$395/1000000</f>
        <v>2031.2591319000896</v>
      </c>
      <c r="BM57" s="476">
        <f>[81]Sheet2!$C$395/1000000</f>
        <v>2118.5751699216785</v>
      </c>
      <c r="BN57" s="476">
        <f>[82]Sheet2!$C$395/1000000</f>
        <v>2210.3343395579368</v>
      </c>
      <c r="BO57" s="476">
        <f>[83]Sheet2!$C$395/1000000</f>
        <v>2281.0785568304218</v>
      </c>
      <c r="BP57" s="476">
        <f>[84]Sheet2!$C$395/1000000</f>
        <v>2367.8216701584124</v>
      </c>
      <c r="BQ57" s="476">
        <f>[85]Sheet2!$C$395/1000000</f>
        <v>2723.4212127161873</v>
      </c>
      <c r="BR57" s="476">
        <f>[86]Sheet2!$C$395/1000000</f>
        <v>3073.157670896876</v>
      </c>
      <c r="BS57" s="476">
        <f>[87]Sheet2!$C$395/1000000</f>
        <v>2798.7447851538477</v>
      </c>
      <c r="BT57" s="476">
        <f>[88]Sheet2!$C$395/1000000</f>
        <v>2903.8027931403512</v>
      </c>
      <c r="BU57" s="476">
        <f>[89]Sheet2!$C$395/1000000</f>
        <v>2717.3919754314634</v>
      </c>
      <c r="BV57" s="476">
        <f>[90]Sheet2!$C$395/1000000</f>
        <v>2678.3350992798705</v>
      </c>
      <c r="BW57" s="476">
        <f>[91]Sheet2!$C$395/1000000</f>
        <v>2807.6900941949316</v>
      </c>
      <c r="BX57" s="476">
        <f>[92]Sheet2!$C$395/1000000</f>
        <v>2567.8376008955152</v>
      </c>
      <c r="BY57" s="476">
        <f>[93]Sheet2!$C$395/1000000</f>
        <v>2804.8420222062914</v>
      </c>
      <c r="BZ57" s="476">
        <f>[94]Sheet2!$C$395/1000000</f>
        <v>2844.5071644991381</v>
      </c>
      <c r="CA57" s="476">
        <f>[95]Sheet2!$C$395/1000000</f>
        <v>2762.0802606086777</v>
      </c>
      <c r="CB57" s="476">
        <f>[45]Sheet2!$C$395/1000000</f>
        <v>2796.6664857050978</v>
      </c>
      <c r="CC57" s="476">
        <f>[46]Sheet2!$C$395/1000000</f>
        <v>2735.8967098230173</v>
      </c>
      <c r="CD57" s="476">
        <f>[47]Sheet2!$C$395/1000000</f>
        <v>2587.6788835863081</v>
      </c>
      <c r="CE57" s="476">
        <f>[48]Sheet2!$C$395/1000000</f>
        <v>2629.3334894062832</v>
      </c>
      <c r="CF57" s="476">
        <f>[49]Sheet2!$C$395/1000000</f>
        <v>2750.3072407302038</v>
      </c>
      <c r="CG57" s="476">
        <f>[50]Sheet2!$C$395/1000000</f>
        <v>2892.2392977884115</v>
      </c>
      <c r="CH57" s="476">
        <f>[51]Sheet2!$C$395/1000000</f>
        <v>2906.5607721494134</v>
      </c>
      <c r="CI57" s="476">
        <f>[52]Sheet2!$C$395/1000000</f>
        <v>3312.3490275801146</v>
      </c>
      <c r="CJ57" s="476">
        <f>[53]Sheet2!$C$395/1000000</f>
        <v>2817.883483439362</v>
      </c>
      <c r="CK57" s="476">
        <f>[54]Sheet2!$C$395/1000000</f>
        <v>2824.4790978445421</v>
      </c>
      <c r="CL57" s="476">
        <f>[55]Sheet2!$C$395/1000000</f>
        <v>2832.3865179143809</v>
      </c>
      <c r="CM57" s="476">
        <f>[56]Sheet2!$C$395/1000000</f>
        <v>2923.7781526369117</v>
      </c>
      <c r="CN57" s="476">
        <f>[57]Sheet2!$C$395/1000000</f>
        <v>3087.4127122676114</v>
      </c>
      <c r="CO57" s="476">
        <f>[58]Sheet2!$C$395/1000000</f>
        <v>3449.5619082307662</v>
      </c>
      <c r="CP57" s="435">
        <f>[59]Sheet2!$C$395/1000000</f>
        <v>2782.2019880259013</v>
      </c>
    </row>
    <row r="58" spans="1:94">
      <c r="A58" s="436"/>
      <c r="B58" s="437"/>
      <c r="C58" s="492"/>
      <c r="D58" s="492"/>
      <c r="E58" s="492"/>
      <c r="F58" s="493"/>
      <c r="G58" s="492"/>
      <c r="H58" s="494"/>
      <c r="I58" s="492"/>
      <c r="J58" s="492"/>
      <c r="K58" s="492"/>
      <c r="L58" s="492"/>
      <c r="M58" s="493"/>
      <c r="N58" s="492"/>
      <c r="O58" s="492"/>
      <c r="P58" s="492"/>
      <c r="Q58" s="492"/>
      <c r="R58" s="492"/>
      <c r="S58" s="492"/>
      <c r="T58" s="492"/>
      <c r="U58" s="492"/>
      <c r="V58" s="492"/>
      <c r="W58" s="492"/>
      <c r="X58" s="492"/>
      <c r="Y58" s="492"/>
      <c r="Z58" s="492"/>
      <c r="AA58" s="492"/>
      <c r="AB58" s="492"/>
      <c r="AC58" s="492"/>
      <c r="AD58" s="494"/>
      <c r="AE58" s="492"/>
      <c r="AF58" s="492"/>
      <c r="AG58" s="492"/>
      <c r="AH58" s="492"/>
      <c r="AI58" s="492"/>
      <c r="AJ58" s="492"/>
      <c r="AK58" s="492"/>
      <c r="AL58" s="492"/>
      <c r="AM58" s="492"/>
      <c r="AN58" s="492"/>
      <c r="AO58" s="494"/>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2"/>
      <c r="BU58" s="492"/>
      <c r="BV58" s="492"/>
      <c r="BW58" s="492"/>
      <c r="BX58" s="492"/>
      <c r="BY58" s="492"/>
      <c r="BZ58" s="492"/>
      <c r="CA58" s="492"/>
      <c r="CB58" s="492"/>
      <c r="CC58" s="492"/>
      <c r="CD58" s="492"/>
      <c r="CE58" s="492"/>
      <c r="CF58" s="492"/>
      <c r="CG58" s="492"/>
      <c r="CH58" s="492"/>
      <c r="CI58" s="492"/>
      <c r="CJ58" s="492"/>
      <c r="CK58" s="492"/>
      <c r="CL58" s="492"/>
      <c r="CM58" s="492"/>
      <c r="CN58" s="492"/>
      <c r="CO58" s="492"/>
      <c r="CP58" s="495"/>
    </row>
    <row r="59" spans="1:94">
      <c r="A59" s="433" t="s">
        <v>559</v>
      </c>
      <c r="B59" s="434" t="s">
        <v>524</v>
      </c>
      <c r="C59" s="476">
        <f>[105]Sheet1!$S$444/1000000</f>
        <v>4595.0087258302892</v>
      </c>
      <c r="D59" s="476">
        <f>[5]Sheet2!$C$414/1000000</f>
        <v>4609.3744127777181</v>
      </c>
      <c r="E59" s="476">
        <f>[6]Sheet2!$C$414/1000000</f>
        <v>4692.7880457399997</v>
      </c>
      <c r="F59" s="400">
        <f>[7]Sheet2!$C$414/1000000</f>
        <v>4773.9488077465639</v>
      </c>
      <c r="G59" s="476">
        <f>[8]Sheet2!$C$414/1000000</f>
        <v>4745.1555065601679</v>
      </c>
      <c r="H59" s="477">
        <f>[9]Sheet2!$C$414/1000000</f>
        <v>4766.3887033161636</v>
      </c>
      <c r="I59" s="476">
        <f>[10]Sheet2!$C$414/1000000</f>
        <v>4690.0757395018809</v>
      </c>
      <c r="J59" s="476">
        <f>[11]Sheet2!$C$414/1000000</f>
        <v>4593.9624307005297</v>
      </c>
      <c r="K59" s="476">
        <f>[12]Sheet2!$C$414/1000000</f>
        <v>4654.0875698799291</v>
      </c>
      <c r="L59" s="476">
        <f>[13]Sheet2!$C$414/1000000</f>
        <v>4710.9445552029465</v>
      </c>
      <c r="M59" s="400">
        <f>[14]Sheet2!$C$414/1000000</f>
        <v>4760.5647291373807</v>
      </c>
      <c r="N59" s="476">
        <f>[15]Sheet2!$C$414/1000000</f>
        <v>4787.0487720594601</v>
      </c>
      <c r="O59" s="476">
        <f>[16]Sheet2!$C$414/1000000</f>
        <v>4783.1985362094438</v>
      </c>
      <c r="P59" s="476">
        <f>[17]Sheet2!$C$414/1000000</f>
        <v>4828.4114589847595</v>
      </c>
      <c r="Q59" s="476">
        <f>[18]Sheet2!$C$414/1000000</f>
        <v>4848.8334460238329</v>
      </c>
      <c r="R59" s="476">
        <f>[19]Sheet2!$C$414/1000000</f>
        <v>4854.7607335319008</v>
      </c>
      <c r="S59" s="476">
        <f>[20]Sheet2!$C$414/1000000</f>
        <v>4879.8170035578978</v>
      </c>
      <c r="T59" s="476">
        <f>[21]Sheet2!$C$414/1000000</f>
        <v>4934.8851155992115</v>
      </c>
      <c r="U59" s="476">
        <f>[22]Sheet2!$C$414/1000000</f>
        <v>4833.4369213227928</v>
      </c>
      <c r="V59" s="476">
        <f>[23]Sheet2!$C$414/1000000</f>
        <v>4847.8614720244641</v>
      </c>
      <c r="W59" s="476">
        <f>[24]Sheet2!$C$414/1000000</f>
        <v>4967.4305936878773</v>
      </c>
      <c r="X59" s="476">
        <f>[25]Sheet2!$C$414/1000000</f>
        <v>5005.2474888096085</v>
      </c>
      <c r="Y59" s="476">
        <f>[26]Sheet2!$C$414/1000000</f>
        <v>5048.8829894577211</v>
      </c>
      <c r="Z59" s="476">
        <f>[27]Sheet2!$C$414/1000000</f>
        <v>5126.6556069006519</v>
      </c>
      <c r="AA59" s="476">
        <f>[28]Sheet2!$C$414/1000000</f>
        <v>5190.1198621269205</v>
      </c>
      <c r="AB59" s="476">
        <f>[29]Sheet2!$C$414/1000000</f>
        <v>5249.2121219869487</v>
      </c>
      <c r="AC59" s="476">
        <f>[30]Sheet2!$C$414/1000000</f>
        <v>5275.1536384711717</v>
      </c>
      <c r="AD59" s="477">
        <f>[31]Sheet2!$C$414/1000000</f>
        <v>5042.9085763165513</v>
      </c>
      <c r="AE59" s="476">
        <f>[32]Sheet2!$C$414/1000000</f>
        <v>5119.5384348554353</v>
      </c>
      <c r="AF59" s="476">
        <f>[33]Sheet2!$C$414/1000000</f>
        <v>5181.9412282535768</v>
      </c>
      <c r="AG59" s="476">
        <f>[34]Sheet2!$C$414/1000000</f>
        <v>5425.7411493928903</v>
      </c>
      <c r="AH59" s="476">
        <f>[35]Sheet2!$C$414/1000000</f>
        <v>5514.200758857889</v>
      </c>
      <c r="AI59" s="476">
        <f>[36]Sheet2!$C$414/1000000</f>
        <v>5503.952546142049</v>
      </c>
      <c r="AJ59" s="476">
        <f>[60]Sheet2!$C$414/1000000</f>
        <v>5497.4509983470598</v>
      </c>
      <c r="AK59" s="476">
        <f>[61]Sheet2!$C$414/1000000</f>
        <v>5480.2887766782815</v>
      </c>
      <c r="AL59" s="476">
        <f>[62]Sheet2!$C$414/1000000</f>
        <v>5585.4211795521533</v>
      </c>
      <c r="AM59" s="476">
        <f>[63]Sheet2!$C$414/1000000</f>
        <v>5968.0043967061001</v>
      </c>
      <c r="AN59" s="476">
        <f>[64]Sheet2!$C$414/1000000</f>
        <v>6059.7477470495614</v>
      </c>
      <c r="AO59" s="477">
        <f>[65]Sheet2!$C$414/1000000</f>
        <v>6205.411664003248</v>
      </c>
      <c r="AP59" s="476">
        <f>[37]Sheet2!$C$414/1000000</f>
        <v>6279.3029064339435</v>
      </c>
      <c r="AQ59" s="476">
        <f>[38]Sheet2!$C$414/1000000</f>
        <v>6550.3253858768412</v>
      </c>
      <c r="AR59" s="476">
        <f>[39]Sheet2!$C$414/1000000</f>
        <v>6640.4076421884438</v>
      </c>
      <c r="AS59" s="476">
        <f>[66]Sheet2!$C$414/1000000</f>
        <v>6713.5613489597399</v>
      </c>
      <c r="AT59" s="476">
        <f>[67]Sheet2!$C$414/1000000</f>
        <v>6764.4671169502817</v>
      </c>
      <c r="AU59" s="476">
        <f>[68]Sheet2!$C$414/1000000</f>
        <v>6832.6088324730372</v>
      </c>
      <c r="AV59" s="476">
        <f>[69]Sheet2!$C$414/1000000</f>
        <v>6872.1391006246376</v>
      </c>
      <c r="AW59" s="476">
        <f>[70]Sheet2!$C$414/1000000</f>
        <v>7045.8343213686276</v>
      </c>
      <c r="AX59" s="476">
        <f>[71]Sheet2!$C$414/1000000</f>
        <v>7053.2956501755962</v>
      </c>
      <c r="AY59" s="476">
        <f>[72]Sheet2!$C$414/1000000</f>
        <v>7052.937620533502</v>
      </c>
      <c r="AZ59" s="476">
        <f>[73]Sheet2!$C$414/1000000</f>
        <v>7225.7446839094137</v>
      </c>
      <c r="BA59" s="476">
        <f>[74]Sheet2!$C$414/1000000</f>
        <v>7283.819643102509</v>
      </c>
      <c r="BB59" s="476">
        <f>[40]Sheet2!$C$414/1000000</f>
        <v>7204.6304832468122</v>
      </c>
      <c r="BC59" s="476">
        <f>[75]Sheet2!$C$414/1000000</f>
        <v>7395.2177491518532</v>
      </c>
      <c r="BD59" s="476">
        <f>[76]Sheet2!$C$414/1000000</f>
        <v>7451.9794502169725</v>
      </c>
      <c r="BE59" s="476">
        <f>[77]Sheet2!$C$414/1000000</f>
        <v>7196.1949916831391</v>
      </c>
      <c r="BF59" s="476">
        <f>[41]Sheet2!$C$414/1000000</f>
        <v>7268.8023395574919</v>
      </c>
      <c r="BG59" s="476">
        <f>[42]Sheet2!$C$414/1000000</f>
        <v>7095.3782834436588</v>
      </c>
      <c r="BH59" s="476">
        <f>[43]Sheet2!$C$414/1000000</f>
        <v>7033.239279663806</v>
      </c>
      <c r="BI59" s="476">
        <f>[44]Sheet2!$C$414/1000000</f>
        <v>7252.6787740008285</v>
      </c>
      <c r="BJ59" s="476">
        <f>[78]Sheet2!$C$414/1000000</f>
        <v>7356.6344485515501</v>
      </c>
      <c r="BK59" s="476">
        <f>[79]Sheet2!$C$414/1000000</f>
        <v>7074.7659786496952</v>
      </c>
      <c r="BL59" s="476">
        <f>[80]Sheet2!$C$414/1000000</f>
        <v>7226.9561729135667</v>
      </c>
      <c r="BM59" s="476">
        <f>[81]Sheet2!$C$414/1000000</f>
        <v>7319.1501627818125</v>
      </c>
      <c r="BN59" s="476">
        <f>[82]Sheet2!$C$414/1000000</f>
        <v>7291.816722365118</v>
      </c>
      <c r="BO59" s="476">
        <f>[83]Sheet2!$C$414/1000000</f>
        <v>7355.5536276228386</v>
      </c>
      <c r="BP59" s="476">
        <f>[84]Sheet2!$C$414/1000000</f>
        <v>7439.1176229554085</v>
      </c>
      <c r="BQ59" s="476">
        <f>[85]Sheet2!$C$414/1000000</f>
        <v>7503.6335631335805</v>
      </c>
      <c r="BR59" s="476">
        <f>[86]Sheet2!$C$414/1000000</f>
        <v>7323.924223489038</v>
      </c>
      <c r="BS59" s="476">
        <f>[87]Sheet2!$C$414/1000000</f>
        <v>7663.3344905583926</v>
      </c>
      <c r="BT59" s="476">
        <f>[88]Sheet2!$C$414/1000000</f>
        <v>7634.8313620263671</v>
      </c>
      <c r="BU59" s="476">
        <f>[89]Sheet2!$C$414/1000000</f>
        <v>7720.5028523599058</v>
      </c>
      <c r="BV59" s="476">
        <f>[90]Sheet2!$C$414/1000000</f>
        <v>7813.3927577451032</v>
      </c>
      <c r="BW59" s="476">
        <f>[91]Sheet2!$C$414/1000000</f>
        <v>7905.3333700187086</v>
      </c>
      <c r="BX59" s="476">
        <f>[92]Sheet2!$C$414/1000000</f>
        <v>8078.4566388464409</v>
      </c>
      <c r="BY59" s="476">
        <f>[93]Sheet2!$C$414/1000000</f>
        <v>8056.3380960193936</v>
      </c>
      <c r="BZ59" s="476">
        <f>[94]Sheet2!$C$414/1000000</f>
        <v>8194.9144985753701</v>
      </c>
      <c r="CA59" s="476">
        <f>[95]Sheet2!$C$414/1000000</f>
        <v>8292.6827569259858</v>
      </c>
      <c r="CB59" s="476">
        <f>[45]Sheet2!$C$414/1000000</f>
        <v>8366.1319376420033</v>
      </c>
      <c r="CC59" s="476">
        <f>[46]Sheet2!$C$414/1000000</f>
        <v>8031.3620628897206</v>
      </c>
      <c r="CD59" s="476">
        <f>[47]Sheet2!$C$414/1000000</f>
        <v>8114.7079429804971</v>
      </c>
      <c r="CE59" s="476">
        <f>[48]Sheet2!$C$414/1000000</f>
        <v>8152.4708362769288</v>
      </c>
      <c r="CF59" s="476">
        <f>[49]Sheet2!$C$414/1000000</f>
        <v>7911.351301286305</v>
      </c>
      <c r="CG59" s="476">
        <f>[50]Sheet2!$C$414/1000000</f>
        <v>7994.3139716646847</v>
      </c>
      <c r="CH59" s="476">
        <f>[51]Sheet2!$C$414/1000000</f>
        <v>7634.5801462454101</v>
      </c>
      <c r="CI59" s="476">
        <f>[52]Sheet2!$C$414/1000000</f>
        <v>7768.6888221236804</v>
      </c>
      <c r="CJ59" s="476">
        <f>[53]Sheet2!$C$414/1000000</f>
        <v>8009.7081533126593</v>
      </c>
      <c r="CK59" s="476">
        <f>[54]Sheet2!$C$414/1000000</f>
        <v>8135.9817527655086</v>
      </c>
      <c r="CL59" s="476">
        <f>[55]Sheet2!$C$414/1000000</f>
        <v>8159.7078939419744</v>
      </c>
      <c r="CM59" s="476">
        <f>[56]Sheet2!$C$414/1000000</f>
        <v>8335.9774665411933</v>
      </c>
      <c r="CN59" s="476">
        <f>[57]Sheet2!$C$414/1000000</f>
        <v>8475.21476407314</v>
      </c>
      <c r="CO59" s="476">
        <f>[58]Sheet2!$C$414/1000000</f>
        <v>8564.6252360980416</v>
      </c>
      <c r="CP59" s="435">
        <f>[59]Sheet2!$C$414/1000000</f>
        <v>8710.5449322980803</v>
      </c>
    </row>
    <row r="60" spans="1:94">
      <c r="A60" s="436"/>
      <c r="B60" s="437"/>
      <c r="C60" s="450"/>
      <c r="D60" s="450"/>
      <c r="E60" s="450"/>
      <c r="F60" s="390"/>
      <c r="G60" s="450"/>
      <c r="H60" s="481"/>
      <c r="I60" s="450"/>
      <c r="J60" s="450"/>
      <c r="K60" s="450"/>
      <c r="L60" s="450"/>
      <c r="M60" s="390"/>
      <c r="N60" s="450"/>
      <c r="O60" s="450"/>
      <c r="P60" s="450"/>
      <c r="Q60" s="450"/>
      <c r="R60" s="450"/>
      <c r="S60" s="450"/>
      <c r="T60" s="450"/>
      <c r="U60" s="450"/>
      <c r="V60" s="450"/>
      <c r="W60" s="450"/>
      <c r="X60" s="450"/>
      <c r="Y60" s="450"/>
      <c r="Z60" s="450"/>
      <c r="AA60" s="450"/>
      <c r="AB60" s="450"/>
      <c r="AC60" s="450"/>
      <c r="AD60" s="481"/>
      <c r="AE60" s="450"/>
      <c r="AF60" s="450"/>
      <c r="AG60" s="450"/>
      <c r="AH60" s="450"/>
      <c r="AI60" s="450"/>
      <c r="AJ60" s="450"/>
      <c r="AK60" s="450"/>
      <c r="AL60" s="450"/>
      <c r="AM60" s="450"/>
      <c r="AN60" s="450"/>
      <c r="AO60" s="481"/>
      <c r="AP60" s="450"/>
      <c r="AQ60" s="450"/>
      <c r="AR60" s="450"/>
      <c r="AS60" s="450"/>
      <c r="AT60" s="450"/>
      <c r="AU60" s="450"/>
      <c r="AV60" s="450"/>
      <c r="AW60" s="450"/>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E60" s="450"/>
      <c r="CF60" s="450"/>
      <c r="CG60" s="450"/>
      <c r="CH60" s="450"/>
      <c r="CI60" s="450"/>
      <c r="CJ60" s="450"/>
      <c r="CK60" s="450"/>
      <c r="CL60" s="450"/>
      <c r="CM60" s="450"/>
      <c r="CN60" s="450"/>
      <c r="CO60" s="450"/>
      <c r="CP60" s="439"/>
    </row>
    <row r="61" spans="1:94">
      <c r="A61" s="433"/>
      <c r="B61" s="434" t="s">
        <v>560</v>
      </c>
      <c r="C61" s="476">
        <f>C35+C37+C42+C47+C49+C51+C53+C55+C57+C59</f>
        <v>25474.471451395435</v>
      </c>
      <c r="D61" s="476">
        <f>D35+D37+D42+D47+D49+D51+D53+D55+D57+D59</f>
        <v>26072.063895684201</v>
      </c>
      <c r="E61" s="476">
        <f t="shared" ref="E61:BP61" si="9">E35+E37+E42+E47+E49+E51+E53+E55+E57+E59</f>
        <v>26415.344452919999</v>
      </c>
      <c r="F61" s="400">
        <f t="shared" si="9"/>
        <v>26856.415235024204</v>
      </c>
      <c r="G61" s="476">
        <f t="shared" si="9"/>
        <v>27494.964101177593</v>
      </c>
      <c r="H61" s="477">
        <f t="shared" si="9"/>
        <v>27955.940532792596</v>
      </c>
      <c r="I61" s="476">
        <f t="shared" si="9"/>
        <v>28194.361602293327</v>
      </c>
      <c r="J61" s="476">
        <f t="shared" si="9"/>
        <v>28336.892915349792</v>
      </c>
      <c r="K61" s="476">
        <f t="shared" si="9"/>
        <v>28563.364929485935</v>
      </c>
      <c r="L61" s="476">
        <f t="shared" si="9"/>
        <v>28740.361376723948</v>
      </c>
      <c r="M61" s="400">
        <f t="shared" si="9"/>
        <v>29096.352207255884</v>
      </c>
      <c r="N61" s="476">
        <f t="shared" si="9"/>
        <v>29423.313250309962</v>
      </c>
      <c r="O61" s="476">
        <f t="shared" si="9"/>
        <v>29904.420293369942</v>
      </c>
      <c r="P61" s="476">
        <f t="shared" si="9"/>
        <v>30192.423819521264</v>
      </c>
      <c r="Q61" s="476">
        <f t="shared" si="9"/>
        <v>30534.515536923249</v>
      </c>
      <c r="R61" s="476">
        <f t="shared" si="9"/>
        <v>30645.306166036931</v>
      </c>
      <c r="S61" s="476">
        <f t="shared" si="9"/>
        <v>30723.142805009404</v>
      </c>
      <c r="T61" s="476">
        <f t="shared" si="9"/>
        <v>30582.685570265083</v>
      </c>
      <c r="U61" s="476">
        <f t="shared" si="9"/>
        <v>31026.051213552913</v>
      </c>
      <c r="V61" s="476">
        <f t="shared" si="9"/>
        <v>31204.967849636967</v>
      </c>
      <c r="W61" s="476">
        <f t="shared" si="9"/>
        <v>31436.788752572884</v>
      </c>
      <c r="X61" s="476">
        <f t="shared" si="9"/>
        <v>31766.227604989104</v>
      </c>
      <c r="Y61" s="476">
        <f t="shared" si="9"/>
        <v>32105.986535472326</v>
      </c>
      <c r="Z61" s="476">
        <f t="shared" si="9"/>
        <v>32381.205792838246</v>
      </c>
      <c r="AA61" s="476">
        <f t="shared" si="9"/>
        <v>32750.688683894688</v>
      </c>
      <c r="AB61" s="476">
        <f t="shared" si="9"/>
        <v>33028.06547089458</v>
      </c>
      <c r="AC61" s="476">
        <f t="shared" si="9"/>
        <v>33597.285546806248</v>
      </c>
      <c r="AD61" s="477">
        <f t="shared" si="9"/>
        <v>33479.612832110324</v>
      </c>
      <c r="AE61" s="476">
        <f t="shared" si="9"/>
        <v>33528.234725332208</v>
      </c>
      <c r="AF61" s="476">
        <f t="shared" si="9"/>
        <v>33945.25242310921</v>
      </c>
      <c r="AG61" s="476">
        <f t="shared" si="9"/>
        <v>34531.168337755749</v>
      </c>
      <c r="AH61" s="476">
        <f t="shared" si="9"/>
        <v>35377.395748930096</v>
      </c>
      <c r="AI61" s="476">
        <f t="shared" si="9"/>
        <v>35546.314184447794</v>
      </c>
      <c r="AJ61" s="476">
        <f t="shared" si="9"/>
        <v>36611.780369795364</v>
      </c>
      <c r="AK61" s="476">
        <f t="shared" si="9"/>
        <v>36437.036160879419</v>
      </c>
      <c r="AL61" s="476">
        <f t="shared" si="9"/>
        <v>36579.440659070511</v>
      </c>
      <c r="AM61" s="476">
        <f t="shared" si="9"/>
        <v>37142.506880988556</v>
      </c>
      <c r="AN61" s="476">
        <f t="shared" si="9"/>
        <v>37843.823665280754</v>
      </c>
      <c r="AO61" s="477">
        <f t="shared" si="9"/>
        <v>38957.022858502925</v>
      </c>
      <c r="AP61" s="476">
        <f t="shared" si="9"/>
        <v>39246.418509886862</v>
      </c>
      <c r="AQ61" s="476">
        <f t="shared" si="9"/>
        <v>41293.583773737446</v>
      </c>
      <c r="AR61" s="476">
        <f t="shared" si="9"/>
        <v>41489.263434951557</v>
      </c>
      <c r="AS61" s="476">
        <f t="shared" si="9"/>
        <v>41558.040422224731</v>
      </c>
      <c r="AT61" s="476">
        <f t="shared" si="9"/>
        <v>41583.506601367233</v>
      </c>
      <c r="AU61" s="476">
        <f t="shared" si="9"/>
        <v>41724.410902765681</v>
      </c>
      <c r="AV61" s="476">
        <f t="shared" si="9"/>
        <v>41930.542897229068</v>
      </c>
      <c r="AW61" s="476">
        <f t="shared" si="9"/>
        <v>42394.904265790479</v>
      </c>
      <c r="AX61" s="476">
        <f t="shared" si="9"/>
        <v>42837.910244615814</v>
      </c>
      <c r="AY61" s="476">
        <f t="shared" si="9"/>
        <v>42727.796492423404</v>
      </c>
      <c r="AZ61" s="476">
        <f t="shared" si="9"/>
        <v>43656.6473520117</v>
      </c>
      <c r="BA61" s="476">
        <f t="shared" si="9"/>
        <v>44566.275999392819</v>
      </c>
      <c r="BB61" s="476">
        <f t="shared" si="9"/>
        <v>44600.121653329959</v>
      </c>
      <c r="BC61" s="476">
        <f t="shared" si="9"/>
        <v>44849.659281448767</v>
      </c>
      <c r="BD61" s="476">
        <f t="shared" si="9"/>
        <v>44964.778968119259</v>
      </c>
      <c r="BE61" s="476">
        <f t="shared" si="9"/>
        <v>44265.953943303459</v>
      </c>
      <c r="BF61" s="476">
        <f t="shared" si="9"/>
        <v>44213.112024193724</v>
      </c>
      <c r="BG61" s="476">
        <f t="shared" si="9"/>
        <v>44416.633551558982</v>
      </c>
      <c r="BH61" s="476">
        <f t="shared" si="9"/>
        <v>44552.782204115014</v>
      </c>
      <c r="BI61" s="476">
        <f t="shared" si="9"/>
        <v>45009.054431410827</v>
      </c>
      <c r="BJ61" s="476">
        <f t="shared" si="9"/>
        <v>45312.920665760117</v>
      </c>
      <c r="BK61" s="476">
        <f t="shared" si="9"/>
        <v>43235.787246349129</v>
      </c>
      <c r="BL61" s="476">
        <f t="shared" si="9"/>
        <v>43097.493635653664</v>
      </c>
      <c r="BM61" s="476">
        <f t="shared" si="9"/>
        <v>43203.774808233495</v>
      </c>
      <c r="BN61" s="476">
        <f t="shared" si="9"/>
        <v>43661.834296991954</v>
      </c>
      <c r="BO61" s="476">
        <f t="shared" si="9"/>
        <v>43974.956510773256</v>
      </c>
      <c r="BP61" s="476">
        <f t="shared" si="9"/>
        <v>44381.176624370994</v>
      </c>
      <c r="BQ61" s="476">
        <f t="shared" ref="BQ61:CP61" si="10">BQ35+BQ37+BQ42+BQ47+BQ49+BQ51+BQ53+BQ55+BQ57+BQ59</f>
        <v>44497.792306220872</v>
      </c>
      <c r="BR61" s="476">
        <f t="shared" si="10"/>
        <v>44816.576910465919</v>
      </c>
      <c r="BS61" s="476">
        <f t="shared" si="10"/>
        <v>45160.287153902238</v>
      </c>
      <c r="BT61" s="476">
        <f t="shared" si="10"/>
        <v>45783.010751153786</v>
      </c>
      <c r="BU61" s="476">
        <f t="shared" si="10"/>
        <v>46501.674701855991</v>
      </c>
      <c r="BV61" s="476">
        <f t="shared" si="10"/>
        <v>47074.090090173944</v>
      </c>
      <c r="BW61" s="476">
        <f t="shared" si="10"/>
        <v>47894.003678153691</v>
      </c>
      <c r="BX61" s="476">
        <f t="shared" si="10"/>
        <v>47942.826129506633</v>
      </c>
      <c r="BY61" s="476">
        <f t="shared" si="10"/>
        <v>48371.125310600342</v>
      </c>
      <c r="BZ61" s="476">
        <f t="shared" si="10"/>
        <v>48916.095699009165</v>
      </c>
      <c r="CA61" s="476">
        <f t="shared" si="10"/>
        <v>49255.747113939324</v>
      </c>
      <c r="CB61" s="476">
        <f t="shared" si="10"/>
        <v>49659.18436171177</v>
      </c>
      <c r="CC61" s="476">
        <f t="shared" si="10"/>
        <v>48698.191211594225</v>
      </c>
      <c r="CD61" s="476">
        <f t="shared" si="10"/>
        <v>48761.357791491457</v>
      </c>
      <c r="CE61" s="476">
        <f t="shared" si="10"/>
        <v>49222.68606444788</v>
      </c>
      <c r="CF61" s="476">
        <f t="shared" si="10"/>
        <v>49905.491819543342</v>
      </c>
      <c r="CG61" s="476">
        <f t="shared" si="10"/>
        <v>50217.162324114026</v>
      </c>
      <c r="CH61" s="476">
        <f t="shared" si="10"/>
        <v>46912.906296941721</v>
      </c>
      <c r="CI61" s="476">
        <f t="shared" si="10"/>
        <v>47409.792134913303</v>
      </c>
      <c r="CJ61" s="476">
        <f t="shared" si="10"/>
        <v>47875.192852699918</v>
      </c>
      <c r="CK61" s="476">
        <f t="shared" si="10"/>
        <v>48388.659543081478</v>
      </c>
      <c r="CL61" s="476">
        <f t="shared" si="10"/>
        <v>48971.714601216074</v>
      </c>
      <c r="CM61" s="476">
        <f t="shared" si="10"/>
        <v>49487.197196966634</v>
      </c>
      <c r="CN61" s="476">
        <f t="shared" si="10"/>
        <v>49783.066297619967</v>
      </c>
      <c r="CO61" s="476">
        <f t="shared" si="10"/>
        <v>50852.368546052159</v>
      </c>
      <c r="CP61" s="435">
        <f t="shared" si="10"/>
        <v>51434.678698228876</v>
      </c>
    </row>
    <row r="62" spans="1:94" ht="13.5" thickBot="1">
      <c r="A62" s="453"/>
      <c r="B62" s="454"/>
      <c r="C62" s="457"/>
      <c r="D62" s="457"/>
      <c r="E62" s="457"/>
      <c r="F62" s="497"/>
      <c r="G62" s="457"/>
      <c r="H62" s="498"/>
      <c r="I62" s="457"/>
      <c r="J62" s="457"/>
      <c r="K62" s="457"/>
      <c r="L62" s="457"/>
      <c r="M62" s="497"/>
      <c r="N62" s="457"/>
      <c r="O62" s="457"/>
      <c r="P62" s="457"/>
      <c r="Q62" s="457"/>
      <c r="R62" s="457"/>
      <c r="S62" s="457"/>
      <c r="T62" s="457"/>
      <c r="U62" s="457"/>
      <c r="V62" s="457"/>
      <c r="W62" s="457"/>
      <c r="X62" s="457"/>
      <c r="Y62" s="457"/>
      <c r="Z62" s="457"/>
      <c r="AA62" s="457"/>
      <c r="AB62" s="457"/>
      <c r="AC62" s="457"/>
      <c r="AD62" s="498"/>
      <c r="AE62" s="457"/>
      <c r="AF62" s="457"/>
      <c r="AG62" s="457"/>
      <c r="AH62" s="457"/>
      <c r="AI62" s="457"/>
      <c r="AJ62" s="457"/>
      <c r="AK62" s="457"/>
      <c r="AL62" s="457"/>
      <c r="AM62" s="457"/>
      <c r="AN62" s="457"/>
      <c r="AO62" s="498"/>
      <c r="AP62" s="457"/>
      <c r="AQ62" s="457"/>
      <c r="AR62" s="457"/>
      <c r="AS62" s="457"/>
      <c r="AT62" s="457"/>
      <c r="AU62" s="457"/>
      <c r="AV62" s="457"/>
      <c r="AW62" s="457"/>
      <c r="AX62" s="457"/>
      <c r="AY62" s="457"/>
      <c r="AZ62" s="457"/>
      <c r="BA62" s="457"/>
      <c r="BB62" s="457"/>
      <c r="BC62" s="457"/>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7"/>
      <c r="BZ62" s="457"/>
      <c r="CA62" s="457"/>
      <c r="CB62" s="457"/>
      <c r="CC62" s="457"/>
      <c r="CD62" s="457"/>
      <c r="CE62" s="457"/>
      <c r="CF62" s="457"/>
      <c r="CG62" s="457"/>
      <c r="CH62" s="457"/>
      <c r="CI62" s="457"/>
      <c r="CJ62" s="457"/>
      <c r="CK62" s="457"/>
      <c r="CL62" s="457"/>
      <c r="CM62" s="457"/>
      <c r="CN62" s="457"/>
      <c r="CO62" s="457"/>
      <c r="CP62" s="455"/>
    </row>
    <row r="63" spans="1:94" ht="13.5" thickTop="1">
      <c r="A63" s="237" t="s">
        <v>361</v>
      </c>
      <c r="B63" s="135"/>
      <c r="C63" s="135"/>
      <c r="D63" s="135"/>
      <c r="E63" s="135"/>
      <c r="F63" s="135"/>
      <c r="G63" s="135"/>
      <c r="H63" s="135"/>
      <c r="I63" s="135"/>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row>
    <row r="64" spans="1:94" ht="12.75" customHeight="1">
      <c r="A64" s="237" t="s">
        <v>573</v>
      </c>
      <c r="B64" s="135"/>
      <c r="C64" s="135"/>
      <c r="D64" s="135"/>
      <c r="E64" s="135"/>
      <c r="F64" s="135"/>
      <c r="G64" s="135"/>
      <c r="H64" s="135"/>
      <c r="I64" s="135"/>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row>
    <row r="65" spans="1:36">
      <c r="A65" s="237" t="s">
        <v>303</v>
      </c>
      <c r="C65" s="135"/>
      <c r="D65" s="135"/>
      <c r="E65" s="135"/>
      <c r="F65" s="135"/>
      <c r="G65" s="135"/>
      <c r="H65" s="135"/>
      <c r="I65" s="135"/>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row>
    <row r="66" spans="1:36">
      <c r="A66" s="237"/>
      <c r="B66" s="135"/>
      <c r="C66" s="135"/>
      <c r="D66" s="135"/>
      <c r="E66" s="135"/>
      <c r="F66" s="135"/>
      <c r="G66" s="135"/>
      <c r="H66" s="135"/>
      <c r="I66" s="135"/>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row>
    <row r="67" spans="1:36">
      <c r="A67" s="237"/>
      <c r="B67" s="135"/>
      <c r="C67" s="135"/>
      <c r="D67" s="135"/>
      <c r="E67" s="135"/>
      <c r="F67" s="135"/>
      <c r="G67" s="135"/>
      <c r="H67" s="135"/>
      <c r="I67" s="135"/>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row>
    <row r="68" spans="1:36">
      <c r="A68" s="237"/>
      <c r="B68" s="135"/>
      <c r="C68" s="135"/>
      <c r="D68" s="135"/>
      <c r="E68" s="135"/>
      <c r="F68" s="135"/>
      <c r="G68" s="135"/>
      <c r="H68" s="135"/>
      <c r="I68" s="135"/>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row>
    <row r="69" spans="1:36" hidden="1">
      <c r="A69" s="237"/>
      <c r="B69" s="135"/>
      <c r="C69" s="135"/>
      <c r="D69" s="135"/>
      <c r="E69" s="135"/>
      <c r="F69" s="135"/>
      <c r="G69" s="135"/>
      <c r="H69" s="135"/>
      <c r="I69" s="135"/>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row>
    <row r="70" spans="1:36">
      <c r="A70" s="237"/>
      <c r="B70" s="135"/>
      <c r="C70" s="135"/>
      <c r="D70" s="135"/>
      <c r="E70" s="135"/>
      <c r="F70" s="135"/>
      <c r="G70" s="135"/>
      <c r="H70" s="135"/>
      <c r="I70" s="135"/>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row>
    <row r="71" spans="1:36">
      <c r="A71" s="237"/>
      <c r="B71" s="135"/>
      <c r="C71" s="135"/>
      <c r="D71" s="135"/>
      <c r="E71" s="135"/>
      <c r="F71" s="135"/>
      <c r="G71" s="135"/>
      <c r="H71" s="135"/>
      <c r="I71" s="135"/>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row>
    <row r="72" spans="1:36">
      <c r="A72" s="237"/>
      <c r="B72" s="135"/>
      <c r="C72" s="135"/>
      <c r="D72" s="135"/>
      <c r="E72" s="135"/>
      <c r="F72" s="135"/>
      <c r="G72" s="135"/>
      <c r="H72" s="135"/>
      <c r="I72" s="135"/>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row>
    <row r="73" spans="1:36">
      <c r="A73" s="237"/>
      <c r="B73" s="135"/>
      <c r="C73" s="135"/>
      <c r="D73" s="135"/>
      <c r="E73" s="135"/>
      <c r="F73" s="135"/>
      <c r="G73" s="135"/>
      <c r="H73" s="135"/>
      <c r="I73" s="135"/>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row>
    <row r="74" spans="1:36">
      <c r="A74" s="237"/>
      <c r="B74" s="135"/>
      <c r="C74" s="135"/>
      <c r="D74" s="135"/>
      <c r="E74" s="135"/>
      <c r="F74" s="135"/>
      <c r="G74" s="135"/>
      <c r="H74" s="135"/>
      <c r="I74" s="135"/>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row>
    <row r="75" spans="1:36">
      <c r="A75" s="237"/>
      <c r="B75" s="135"/>
      <c r="C75" s="135"/>
      <c r="D75" s="135"/>
      <c r="E75" s="135"/>
      <c r="F75" s="135"/>
      <c r="G75" s="135"/>
      <c r="H75" s="135"/>
      <c r="I75" s="135"/>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row>
    <row r="76" spans="1:36">
      <c r="A76" s="237"/>
      <c r="B76" s="135"/>
      <c r="C76" s="135"/>
      <c r="D76" s="135"/>
      <c r="E76" s="135"/>
      <c r="F76" s="135"/>
      <c r="G76" s="135"/>
      <c r="H76" s="135"/>
      <c r="I76" s="135"/>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row>
    <row r="77" spans="1:36">
      <c r="A77" s="237"/>
      <c r="B77" s="135"/>
      <c r="C77" s="135"/>
      <c r="D77" s="135"/>
      <c r="E77" s="135"/>
      <c r="F77" s="135"/>
      <c r="G77" s="135"/>
      <c r="H77" s="135"/>
      <c r="I77" s="135"/>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row>
    <row r="78" spans="1:36">
      <c r="A78" s="237"/>
      <c r="B78" s="135"/>
      <c r="C78" s="135"/>
      <c r="D78" s="135"/>
      <c r="E78" s="135"/>
      <c r="F78" s="135"/>
      <c r="G78" s="135"/>
      <c r="H78" s="135"/>
      <c r="I78" s="135"/>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row>
    <row r="79" spans="1:36">
      <c r="A79" s="237"/>
      <c r="B79" s="135"/>
      <c r="C79" s="135"/>
      <c r="D79" s="135"/>
      <c r="E79" s="135"/>
      <c r="F79" s="135"/>
      <c r="G79" s="135"/>
      <c r="H79" s="135"/>
      <c r="I79" s="135"/>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row>
    <row r="80" spans="1:36">
      <c r="A80" s="237"/>
      <c r="B80" s="135"/>
      <c r="C80" s="135"/>
      <c r="D80" s="135"/>
      <c r="E80" s="135"/>
      <c r="F80" s="135"/>
      <c r="G80" s="135"/>
      <c r="H80" s="135"/>
      <c r="I80" s="135"/>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row>
    <row r="81" spans="1:36">
      <c r="A81" s="237"/>
      <c r="B81" s="135"/>
      <c r="C81" s="135"/>
      <c r="D81" s="135"/>
      <c r="E81" s="135"/>
      <c r="F81" s="135"/>
      <c r="G81" s="135"/>
      <c r="H81" s="135"/>
      <c r="I81" s="135"/>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row>
    <row r="82" spans="1:36">
      <c r="A82" s="237"/>
      <c r="B82" s="135"/>
      <c r="C82" s="135"/>
      <c r="D82" s="135"/>
      <c r="E82" s="135"/>
      <c r="F82" s="135"/>
      <c r="G82" s="135"/>
      <c r="H82" s="135"/>
      <c r="I82" s="135"/>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row>
    <row r="83" spans="1:36">
      <c r="A83" s="237"/>
      <c r="B83" s="135"/>
      <c r="C83" s="135"/>
      <c r="D83" s="135"/>
      <c r="E83" s="135"/>
      <c r="F83" s="135"/>
      <c r="G83" s="135"/>
      <c r="H83" s="135"/>
      <c r="I83" s="135"/>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row>
    <row r="84" spans="1:36">
      <c r="A84" s="237"/>
      <c r="B84" s="135"/>
      <c r="C84" s="135"/>
      <c r="D84" s="135"/>
      <c r="E84" s="135"/>
      <c r="F84" s="135"/>
      <c r="G84" s="135"/>
      <c r="H84" s="135"/>
      <c r="I84" s="135"/>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row>
    <row r="85" spans="1:36">
      <c r="A85" s="237"/>
      <c r="B85" s="135"/>
      <c r="C85" s="135"/>
      <c r="D85" s="135"/>
      <c r="E85" s="135"/>
      <c r="F85" s="135"/>
      <c r="G85" s="135"/>
      <c r="H85" s="135"/>
      <c r="I85" s="135"/>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row>
    <row r="86" spans="1:36">
      <c r="A86" s="237"/>
      <c r="B86" s="135"/>
      <c r="C86" s="135"/>
      <c r="D86" s="135"/>
      <c r="E86" s="135"/>
      <c r="F86" s="135"/>
      <c r="G86" s="135"/>
      <c r="H86" s="135"/>
      <c r="I86" s="135"/>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row>
    <row r="87" spans="1:36">
      <c r="A87" s="237"/>
      <c r="B87" s="135"/>
      <c r="C87" s="135"/>
      <c r="D87" s="135"/>
      <c r="E87" s="135"/>
      <c r="F87" s="135"/>
      <c r="G87" s="135"/>
      <c r="H87" s="135"/>
      <c r="I87" s="135"/>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row>
    <row r="88" spans="1:36">
      <c r="A88" s="237"/>
      <c r="B88" s="135"/>
      <c r="C88" s="135"/>
      <c r="D88" s="135"/>
      <c r="E88" s="135"/>
      <c r="F88" s="135"/>
      <c r="G88" s="135"/>
      <c r="H88" s="135"/>
      <c r="I88" s="135"/>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row>
    <row r="89" spans="1:36">
      <c r="A89" s="237"/>
      <c r="B89" s="135"/>
      <c r="C89" s="135"/>
      <c r="D89" s="135"/>
      <c r="E89" s="135"/>
      <c r="F89" s="135"/>
      <c r="G89" s="135"/>
      <c r="H89" s="135"/>
      <c r="I89" s="135"/>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row>
    <row r="90" spans="1:36">
      <c r="A90" s="237"/>
      <c r="B90" s="135"/>
      <c r="C90" s="135"/>
      <c r="D90" s="135"/>
      <c r="E90" s="135"/>
      <c r="F90" s="135"/>
      <c r="G90" s="135"/>
      <c r="H90" s="135"/>
      <c r="I90" s="135"/>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row>
    <row r="91" spans="1:36">
      <c r="A91" s="237"/>
      <c r="B91" s="135"/>
      <c r="C91" s="135"/>
      <c r="D91" s="135"/>
      <c r="E91" s="135"/>
      <c r="F91" s="135"/>
      <c r="G91" s="135"/>
      <c r="H91" s="135"/>
      <c r="I91" s="135"/>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row>
    <row r="92" spans="1:36">
      <c r="A92" s="237"/>
      <c r="B92" s="135"/>
      <c r="C92" s="135"/>
      <c r="D92" s="135"/>
      <c r="E92" s="135"/>
      <c r="F92" s="135"/>
      <c r="G92" s="135"/>
      <c r="H92" s="135"/>
      <c r="I92" s="135"/>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row>
    <row r="93" spans="1:36">
      <c r="A93" s="237"/>
      <c r="B93" s="135"/>
      <c r="C93" s="135"/>
      <c r="D93" s="135"/>
      <c r="E93" s="135"/>
      <c r="F93" s="135"/>
      <c r="G93" s="135"/>
      <c r="H93" s="135"/>
      <c r="I93" s="135"/>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row>
    <row r="94" spans="1:36">
      <c r="A94" s="237"/>
      <c r="B94" s="135"/>
      <c r="C94" s="135"/>
      <c r="D94" s="135"/>
      <c r="E94" s="135"/>
      <c r="F94" s="135"/>
      <c r="G94" s="135"/>
      <c r="H94" s="135"/>
      <c r="I94" s="135"/>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row>
    <row r="95" spans="1:36">
      <c r="A95" s="237"/>
      <c r="B95" s="135"/>
      <c r="C95" s="135"/>
      <c r="D95" s="135"/>
      <c r="E95" s="135"/>
      <c r="F95" s="135"/>
      <c r="G95" s="135"/>
      <c r="H95" s="135"/>
      <c r="I95" s="135"/>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row>
    <row r="96" spans="1:36">
      <c r="A96" s="237"/>
      <c r="B96" s="135"/>
      <c r="C96" s="135"/>
      <c r="D96" s="135"/>
      <c r="E96" s="135"/>
      <c r="F96" s="135"/>
      <c r="G96" s="135"/>
      <c r="H96" s="135"/>
      <c r="I96" s="135"/>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row>
    <row r="97" spans="1:36">
      <c r="A97" s="237"/>
      <c r="B97" s="135"/>
      <c r="C97" s="135"/>
      <c r="D97" s="135"/>
      <c r="E97" s="135"/>
      <c r="F97" s="135"/>
      <c r="G97" s="135"/>
      <c r="H97" s="135"/>
      <c r="I97" s="135"/>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row>
    <row r="98" spans="1:36">
      <c r="A98" s="237"/>
      <c r="B98" s="135"/>
      <c r="C98" s="135"/>
      <c r="D98" s="135"/>
      <c r="E98" s="135"/>
      <c r="F98" s="135"/>
      <c r="G98" s="135"/>
      <c r="H98" s="135"/>
      <c r="I98" s="135"/>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row>
    <row r="99" spans="1:36">
      <c r="A99" s="237"/>
      <c r="B99" s="135"/>
      <c r="C99" s="135"/>
      <c r="D99" s="135"/>
      <c r="E99" s="135"/>
      <c r="F99" s="135"/>
      <c r="G99" s="135"/>
      <c r="H99" s="135"/>
      <c r="I99" s="135"/>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row>
    <row r="100" spans="1:36">
      <c r="A100" s="237"/>
      <c r="B100" s="135"/>
      <c r="C100" s="135"/>
      <c r="D100" s="135"/>
      <c r="E100" s="135"/>
      <c r="F100" s="135"/>
      <c r="G100" s="135"/>
      <c r="H100" s="135"/>
      <c r="I100" s="135"/>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row>
    <row r="101" spans="1:36">
      <c r="A101" s="237"/>
      <c r="B101" s="135"/>
      <c r="C101" s="135"/>
      <c r="D101" s="135"/>
      <c r="E101" s="135"/>
      <c r="F101" s="135"/>
      <c r="G101" s="135"/>
      <c r="H101" s="135"/>
      <c r="I101" s="135"/>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row>
    <row r="102" spans="1:36">
      <c r="A102" s="237"/>
      <c r="B102" s="135"/>
      <c r="C102" s="135"/>
      <c r="D102" s="135"/>
      <c r="E102" s="135"/>
      <c r="F102" s="135"/>
      <c r="G102" s="135"/>
      <c r="H102" s="135"/>
      <c r="I102" s="135"/>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row>
    <row r="103" spans="1:36">
      <c r="A103" s="237"/>
      <c r="B103" s="135"/>
      <c r="C103" s="135"/>
      <c r="D103" s="135"/>
      <c r="E103" s="135"/>
      <c r="F103" s="135"/>
      <c r="G103" s="135"/>
      <c r="H103" s="135"/>
      <c r="I103" s="135"/>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row>
    <row r="104" spans="1:36">
      <c r="A104" s="237"/>
      <c r="B104" s="135"/>
      <c r="C104" s="135"/>
      <c r="D104" s="135"/>
      <c r="E104" s="135"/>
      <c r="F104" s="135"/>
      <c r="G104" s="135"/>
      <c r="H104" s="135"/>
      <c r="I104" s="135"/>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row>
    <row r="105" spans="1:36">
      <c r="A105" s="237"/>
      <c r="B105" s="135"/>
      <c r="C105" s="135"/>
      <c r="D105" s="135"/>
      <c r="E105" s="135"/>
      <c r="F105" s="135"/>
      <c r="G105" s="135"/>
      <c r="H105" s="135"/>
      <c r="I105" s="135"/>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row>
    <row r="106" spans="1:36">
      <c r="A106" s="237"/>
      <c r="B106" s="135"/>
      <c r="C106" s="135"/>
      <c r="D106" s="135"/>
      <c r="E106" s="135"/>
      <c r="F106" s="135"/>
      <c r="G106" s="135"/>
      <c r="H106" s="135"/>
      <c r="I106" s="135"/>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row>
    <row r="107" spans="1:36">
      <c r="A107" s="237"/>
      <c r="B107" s="135"/>
      <c r="C107" s="135"/>
      <c r="D107" s="135"/>
      <c r="E107" s="135"/>
      <c r="F107" s="135"/>
      <c r="G107" s="135"/>
      <c r="H107" s="135"/>
      <c r="I107" s="135"/>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row>
    <row r="108" spans="1:36">
      <c r="A108" s="237"/>
      <c r="B108" s="135"/>
      <c r="C108" s="135"/>
      <c r="D108" s="135"/>
      <c r="E108" s="135"/>
      <c r="F108" s="135"/>
      <c r="G108" s="135"/>
      <c r="H108" s="135"/>
      <c r="I108" s="135"/>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row>
    <row r="109" spans="1:36">
      <c r="A109" s="237"/>
      <c r="B109" s="135"/>
      <c r="C109" s="135"/>
      <c r="D109" s="135"/>
      <c r="E109" s="135"/>
      <c r="F109" s="135"/>
      <c r="G109" s="135"/>
      <c r="H109" s="135"/>
      <c r="I109" s="135"/>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row>
    <row r="110" spans="1:36">
      <c r="A110" s="237"/>
      <c r="B110" s="135"/>
      <c r="C110" s="135"/>
      <c r="D110" s="135"/>
      <c r="E110" s="135"/>
      <c r="F110" s="135"/>
      <c r="G110" s="135"/>
      <c r="H110" s="135"/>
      <c r="I110" s="135"/>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row>
    <row r="111" spans="1:36">
      <c r="A111" s="237"/>
      <c r="B111" s="135"/>
      <c r="C111" s="135"/>
      <c r="D111" s="135"/>
      <c r="E111" s="135"/>
      <c r="F111" s="135"/>
      <c r="G111" s="135"/>
      <c r="H111" s="135"/>
      <c r="I111" s="135"/>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row>
    <row r="112" spans="1:36">
      <c r="A112" s="237"/>
      <c r="B112" s="135"/>
      <c r="C112" s="135"/>
      <c r="D112" s="135"/>
      <c r="E112" s="135"/>
      <c r="F112" s="135"/>
      <c r="G112" s="135"/>
      <c r="H112" s="135"/>
      <c r="I112" s="135"/>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row>
    <row r="113" spans="1:36">
      <c r="A113" s="237"/>
      <c r="B113" s="135"/>
      <c r="C113" s="135"/>
      <c r="D113" s="135"/>
      <c r="E113" s="135"/>
      <c r="F113" s="135"/>
      <c r="G113" s="135"/>
      <c r="H113" s="135"/>
      <c r="I113" s="135"/>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row>
    <row r="114" spans="1:36">
      <c r="A114" s="237"/>
      <c r="B114" s="135"/>
      <c r="C114" s="135"/>
      <c r="D114" s="135"/>
      <c r="E114" s="135"/>
      <c r="F114" s="135"/>
      <c r="G114" s="135"/>
      <c r="H114" s="135"/>
      <c r="I114" s="135"/>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row>
    <row r="115" spans="1:36">
      <c r="A115" s="237"/>
      <c r="B115" s="135"/>
      <c r="C115" s="135"/>
      <c r="D115" s="135"/>
      <c r="E115" s="135"/>
      <c r="F115" s="135"/>
      <c r="G115" s="135"/>
      <c r="H115" s="135"/>
      <c r="I115" s="135"/>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row>
    <row r="116" spans="1:36">
      <c r="A116" s="237"/>
      <c r="B116" s="135"/>
      <c r="C116" s="135"/>
      <c r="D116" s="135"/>
      <c r="E116" s="135"/>
      <c r="F116" s="135"/>
      <c r="G116" s="135"/>
      <c r="H116" s="135"/>
      <c r="I116" s="135"/>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row>
    <row r="117" spans="1:36">
      <c r="A117" s="237"/>
      <c r="B117" s="135"/>
      <c r="C117" s="135"/>
      <c r="D117" s="135"/>
      <c r="E117" s="135"/>
      <c r="F117" s="135"/>
      <c r="G117" s="135"/>
      <c r="H117" s="135"/>
      <c r="I117" s="135"/>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row>
    <row r="118" spans="1:36">
      <c r="A118" s="237"/>
      <c r="B118" s="135"/>
      <c r="C118" s="135"/>
      <c r="D118" s="135"/>
      <c r="E118" s="135"/>
      <c r="F118" s="135"/>
      <c r="G118" s="135"/>
      <c r="H118" s="135"/>
      <c r="I118" s="135"/>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row>
    <row r="119" spans="1:36">
      <c r="A119" s="237"/>
      <c r="B119" s="135"/>
      <c r="C119" s="135"/>
      <c r="D119" s="135"/>
      <c r="E119" s="135"/>
      <c r="F119" s="135"/>
      <c r="G119" s="135"/>
      <c r="H119" s="135"/>
      <c r="I119" s="135"/>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row>
    <row r="120" spans="1:36">
      <c r="A120" s="237"/>
      <c r="B120" s="135"/>
      <c r="C120" s="135"/>
      <c r="D120" s="135"/>
      <c r="E120" s="135"/>
      <c r="F120" s="135"/>
      <c r="G120" s="135"/>
      <c r="H120" s="135"/>
      <c r="I120" s="135"/>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row>
    <row r="121" spans="1:36">
      <c r="A121" s="237"/>
      <c r="B121" s="135"/>
      <c r="C121" s="135"/>
      <c r="D121" s="135"/>
      <c r="E121" s="135"/>
      <c r="F121" s="135"/>
      <c r="G121" s="135"/>
      <c r="H121" s="135"/>
      <c r="I121" s="135"/>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row>
    <row r="122" spans="1:36">
      <c r="A122" s="237"/>
      <c r="B122" s="135"/>
      <c r="C122" s="135"/>
      <c r="D122" s="135"/>
      <c r="E122" s="135"/>
      <c r="F122" s="135"/>
      <c r="G122" s="135"/>
      <c r="H122" s="135"/>
      <c r="I122" s="135"/>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row>
    <row r="123" spans="1:36">
      <c r="A123" s="237"/>
      <c r="B123" s="135"/>
      <c r="C123" s="135"/>
      <c r="D123" s="135"/>
      <c r="E123" s="135"/>
      <c r="F123" s="135"/>
      <c r="G123" s="135"/>
      <c r="H123" s="135"/>
      <c r="I123" s="135"/>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row>
    <row r="124" spans="1:36">
      <c r="A124" s="237"/>
      <c r="B124" s="135"/>
      <c r="C124" s="135"/>
      <c r="D124" s="135"/>
      <c r="E124" s="135"/>
      <c r="F124" s="135"/>
      <c r="G124" s="135"/>
      <c r="H124" s="135"/>
      <c r="I124" s="135"/>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row>
    <row r="125" spans="1:36">
      <c r="A125" s="237"/>
      <c r="B125" s="135"/>
      <c r="C125" s="135"/>
      <c r="D125" s="135"/>
      <c r="E125" s="135"/>
      <c r="F125" s="135"/>
      <c r="G125" s="135"/>
      <c r="H125" s="135"/>
      <c r="I125" s="135"/>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row>
    <row r="126" spans="1:36">
      <c r="A126" s="237"/>
      <c r="B126" s="135"/>
      <c r="C126" s="135"/>
      <c r="D126" s="135"/>
      <c r="E126" s="135"/>
      <c r="F126" s="135"/>
      <c r="G126" s="135"/>
      <c r="H126" s="135"/>
      <c r="I126" s="135"/>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row>
    <row r="127" spans="1:36">
      <c r="A127" s="237"/>
      <c r="B127" s="135"/>
      <c r="C127" s="135"/>
      <c r="D127" s="135"/>
      <c r="E127" s="135"/>
      <c r="F127" s="135"/>
      <c r="G127" s="135"/>
      <c r="H127" s="135"/>
      <c r="I127" s="135"/>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row>
    <row r="128" spans="1:36">
      <c r="A128" s="237"/>
      <c r="B128" s="135"/>
      <c r="C128" s="135"/>
      <c r="D128" s="135"/>
      <c r="E128" s="135"/>
      <c r="F128" s="135"/>
      <c r="G128" s="135"/>
      <c r="H128" s="135"/>
      <c r="I128" s="135"/>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row>
    <row r="129" spans="1:94">
      <c r="A129" s="141" t="s">
        <v>303</v>
      </c>
      <c r="B129" s="506"/>
    </row>
    <row r="130" spans="1:94">
      <c r="C130" s="506"/>
      <c r="D130" s="506"/>
      <c r="E130" s="506"/>
      <c r="F130" s="506"/>
      <c r="G130" s="506"/>
      <c r="H130" s="506"/>
      <c r="I130" s="506"/>
    </row>
    <row r="131" spans="1:94">
      <c r="A131" s="102"/>
      <c r="C131" s="507">
        <f>C61-C28</f>
        <v>-1.9921862985938787E-6</v>
      </c>
      <c r="D131" s="507">
        <f>D61-D28</f>
        <v>-1.7823913367465138E-6</v>
      </c>
      <c r="E131" s="507">
        <f t="shared" ref="E131:BP131" si="11">E61-E28</f>
        <v>-2.6919988158624619E-6</v>
      </c>
      <c r="F131" s="507">
        <f t="shared" si="11"/>
        <v>4.922003427054733E-7</v>
      </c>
      <c r="G131" s="507">
        <f t="shared" si="11"/>
        <v>1.5855912351980805E-6</v>
      </c>
      <c r="H131" s="507">
        <f t="shared" si="11"/>
        <v>2.8698195819742978E-7</v>
      </c>
      <c r="I131" s="507">
        <f t="shared" si="11"/>
        <v>9.10476956050843E-8</v>
      </c>
      <c r="J131" s="507">
        <f t="shared" si="11"/>
        <v>1.9955405150540173E-7</v>
      </c>
      <c r="K131" s="507">
        <f t="shared" si="11"/>
        <v>3.8879807107150555E-7</v>
      </c>
      <c r="L131" s="507">
        <f t="shared" si="11"/>
        <v>6.8786903284490108E-8</v>
      </c>
      <c r="M131" s="507">
        <f t="shared" si="11"/>
        <v>-4.5836604840587825E-6</v>
      </c>
      <c r="N131" s="507">
        <f t="shared" si="11"/>
        <v>-5.4012343753129244E-7</v>
      </c>
      <c r="O131" s="507">
        <f t="shared" si="11"/>
        <v>1.0467192623764277E-7</v>
      </c>
      <c r="P131" s="507">
        <f t="shared" si="11"/>
        <v>-9.1131369117647409E-9</v>
      </c>
      <c r="Q131" s="507">
        <f t="shared" si="11"/>
        <v>-3.6903984437230974E-6</v>
      </c>
      <c r="R131" s="507">
        <f t="shared" si="11"/>
        <v>2.5979788915719837E-6</v>
      </c>
      <c r="S131" s="507">
        <f t="shared" si="11"/>
        <v>2.3260508896782994E-7</v>
      </c>
      <c r="T131" s="507">
        <f t="shared" si="11"/>
        <v>-8.3607665146701038E-7</v>
      </c>
      <c r="U131" s="507">
        <f t="shared" si="11"/>
        <v>-2.227581717306748E-6</v>
      </c>
      <c r="V131" s="507">
        <f t="shared" si="11"/>
        <v>-3.5185075830668211E-7</v>
      </c>
      <c r="W131" s="507">
        <f t="shared" si="11"/>
        <v>-2.6157067622989416E-7</v>
      </c>
      <c r="X131" s="507">
        <f t="shared" si="11"/>
        <v>2.7911119104828686E-6</v>
      </c>
      <c r="Y131" s="507">
        <f t="shared" si="11"/>
        <v>1.5722907846793532E-6</v>
      </c>
      <c r="Z131" s="507">
        <f t="shared" si="11"/>
        <v>7.0579335442744195E-7</v>
      </c>
      <c r="AA131" s="507">
        <f t="shared" si="11"/>
        <v>1.9979779608547688E-7</v>
      </c>
      <c r="AB131" s="507">
        <f t="shared" si="11"/>
        <v>-4.0090526454150677E-7</v>
      </c>
      <c r="AC131" s="507">
        <f t="shared" si="11"/>
        <v>-6.89135049469769E-7</v>
      </c>
      <c r="AD131" s="507">
        <f t="shared" si="11"/>
        <v>-6.1457103583961725E-7</v>
      </c>
      <c r="AE131" s="507">
        <f t="shared" si="11"/>
        <v>-5.7456782087683678E-7</v>
      </c>
      <c r="AF131" s="507">
        <f t="shared" si="11"/>
        <v>-1.1785814422182739E-6</v>
      </c>
      <c r="AG131" s="507">
        <f t="shared" si="11"/>
        <v>-9.9879252957180142E-7</v>
      </c>
      <c r="AH131" s="507">
        <f t="shared" si="11"/>
        <v>-1.6173507901839912E-6</v>
      </c>
      <c r="AI131" s="507">
        <f t="shared" si="11"/>
        <v>-1.7190541257150471E-6</v>
      </c>
      <c r="AJ131" s="507">
        <f t="shared" si="11"/>
        <v>-9.9357566796243191E-7</v>
      </c>
      <c r="AK131" s="507">
        <f t="shared" si="11"/>
        <v>-1.4663892216049135E-6</v>
      </c>
      <c r="AL131" s="507">
        <f t="shared" si="11"/>
        <v>-2.148248313460499E-6</v>
      </c>
      <c r="AM131" s="507">
        <f t="shared" si="11"/>
        <v>-1.18556636152789E-6</v>
      </c>
      <c r="AN131" s="507">
        <f t="shared" si="11"/>
        <v>-2.0152147044427693E-6</v>
      </c>
      <c r="AO131" s="507">
        <f t="shared" si="11"/>
        <v>-2.2206586436368525E-6</v>
      </c>
      <c r="AP131" s="507">
        <f t="shared" si="11"/>
        <v>-1.5723126125521958E-6</v>
      </c>
      <c r="AQ131" s="507">
        <f t="shared" si="11"/>
        <v>-1.7147831385955215E-6</v>
      </c>
      <c r="AR131" s="507">
        <f t="shared" si="11"/>
        <v>-1.5238329069688916E-6</v>
      </c>
      <c r="AS131" s="507">
        <f t="shared" si="11"/>
        <v>-1.3778480933979154E-6</v>
      </c>
      <c r="AT131" s="507">
        <f t="shared" si="11"/>
        <v>-5.5254349717870355E-7</v>
      </c>
      <c r="AU131" s="507">
        <f t="shared" si="11"/>
        <v>-7.4182025855407119E-7</v>
      </c>
      <c r="AV131" s="507">
        <f t="shared" si="11"/>
        <v>-8.634597179479897E-7</v>
      </c>
      <c r="AW131" s="507">
        <f t="shared" si="11"/>
        <v>-4.3878389988094568E-7</v>
      </c>
      <c r="AX131" s="507">
        <f t="shared" si="11"/>
        <v>-8.3897612057626247E-7</v>
      </c>
      <c r="AY131" s="507">
        <f t="shared" si="11"/>
        <v>-2.1238010958768427E-6</v>
      </c>
      <c r="AZ131" s="507">
        <f t="shared" si="11"/>
        <v>-9.7094743978232145E-7</v>
      </c>
      <c r="BA131" s="507">
        <f t="shared" si="11"/>
        <v>-4.9597292672842741E-7</v>
      </c>
      <c r="BB131" s="507">
        <f t="shared" si="11"/>
        <v>-1.0542935342527926E-6</v>
      </c>
      <c r="BC131" s="507">
        <f t="shared" si="11"/>
        <v>-1.9979779608547688E-7</v>
      </c>
      <c r="BD131" s="507">
        <f t="shared" si="11"/>
        <v>-1.4243778423406184E-6</v>
      </c>
      <c r="BE131" s="507">
        <f t="shared" si="11"/>
        <v>-1.0724106687121093E-6</v>
      </c>
      <c r="BF131" s="507">
        <f t="shared" si="11"/>
        <v>-3.5836274037137628E-7</v>
      </c>
      <c r="BG131" s="507">
        <f t="shared" si="11"/>
        <v>2.7328496798872948E-7</v>
      </c>
      <c r="BH131" s="507">
        <f t="shared" si="11"/>
        <v>3.0834053177386522E-7</v>
      </c>
      <c r="BI131" s="507">
        <f t="shared" si="11"/>
        <v>-2.100052370224148E-6</v>
      </c>
      <c r="BJ131" s="507">
        <f t="shared" si="11"/>
        <v>3.9231963455677032E-8</v>
      </c>
      <c r="BK131" s="507">
        <f t="shared" si="11"/>
        <v>-1.8833816284313798E-7</v>
      </c>
      <c r="BL131" s="507">
        <f t="shared" si="11"/>
        <v>1.1968950275331736E-8</v>
      </c>
      <c r="BM131" s="507">
        <f t="shared" si="11"/>
        <v>-5.6916178436949849E-7</v>
      </c>
      <c r="BN131" s="507">
        <f t="shared" si="11"/>
        <v>3.016320988535881E-7</v>
      </c>
      <c r="BO131" s="507">
        <f t="shared" si="11"/>
        <v>-1.0193398338742554E-6</v>
      </c>
      <c r="BP131" s="507">
        <f t="shared" si="11"/>
        <v>-1.8116115825250745E-6</v>
      </c>
      <c r="BQ131" s="507">
        <f t="shared" ref="BQ131:CL131" si="12">BQ61-BQ28</f>
        <v>-4.3534964788705111E-7</v>
      </c>
      <c r="BR131" s="507">
        <f t="shared" si="12"/>
        <v>-2.585853508207947E-6</v>
      </c>
      <c r="BS131" s="507">
        <f t="shared" si="12"/>
        <v>-2.2458480088971555E-6</v>
      </c>
      <c r="BT131" s="507">
        <f t="shared" si="12"/>
        <v>-1.6729245544411242E-6</v>
      </c>
      <c r="BU131" s="507">
        <f t="shared" si="12"/>
        <v>-8.931383490562439E-7</v>
      </c>
      <c r="BV131" s="507">
        <f t="shared" si="12"/>
        <v>8.3113263826817274E-8</v>
      </c>
      <c r="BW131" s="507">
        <f t="shared" si="12"/>
        <v>-1.9028739188797772E-6</v>
      </c>
      <c r="BX131" s="507">
        <f t="shared" si="12"/>
        <v>-1.7811398720368743E-6</v>
      </c>
      <c r="BY131" s="507">
        <f t="shared" si="12"/>
        <v>-6.3161132857203484E-7</v>
      </c>
      <c r="BZ131" s="507">
        <f t="shared" si="12"/>
        <v>-1.2353921192698181E-6</v>
      </c>
      <c r="CA131" s="507">
        <f t="shared" si="12"/>
        <v>-1.5319747035391629E-6</v>
      </c>
      <c r="CB131" s="507">
        <f t="shared" si="12"/>
        <v>-2.2063904907554388E-6</v>
      </c>
      <c r="CC131" s="507">
        <f t="shared" si="12"/>
        <v>-4.5044725993648171E-7</v>
      </c>
      <c r="CD131" s="507">
        <f t="shared" si="12"/>
        <v>-3.8652069633826613E-7</v>
      </c>
      <c r="CE131" s="507">
        <f t="shared" si="12"/>
        <v>-1.2850068742409348E-7</v>
      </c>
      <c r="CF131" s="507">
        <f t="shared" si="12"/>
        <v>2.9549119062721729E-7</v>
      </c>
      <c r="CG131" s="507">
        <f t="shared" si="12"/>
        <v>-9.4399001682177186E-7</v>
      </c>
      <c r="CH131" s="507">
        <f t="shared" si="12"/>
        <v>-1.0095973266288638E-6</v>
      </c>
      <c r="CI131" s="507">
        <f t="shared" si="12"/>
        <v>-6.9335510488599539E-7</v>
      </c>
      <c r="CJ131" s="507">
        <f t="shared" si="12"/>
        <v>-2.3119428078643978E-6</v>
      </c>
      <c r="CK131" s="507">
        <f t="shared" si="12"/>
        <v>-1.7989877960644662E-6</v>
      </c>
      <c r="CL131" s="507">
        <f t="shared" si="12"/>
        <v>-1.0983931133523583E-6</v>
      </c>
      <c r="CM131" s="507">
        <f>CM61-CM28</f>
        <v>-1.3608660083264112E-6</v>
      </c>
      <c r="CN131" s="507">
        <f>CN61-CN28</f>
        <v>-7.3130649980157614E-7</v>
      </c>
      <c r="CO131" s="507">
        <f>CO61-CO28</f>
        <v>-8.6711952462792397E-7</v>
      </c>
      <c r="CP131" s="507">
        <f>CP61-CP28</f>
        <v>-8.5976353147998452E-7</v>
      </c>
    </row>
    <row r="133" spans="1:94">
      <c r="C133" s="507">
        <f>[105]Sheet1!$S$463/1000000</f>
        <v>25474.471452395435</v>
      </c>
      <c r="D133" s="507">
        <f>[5]Sheet2!$C$433/1000000</f>
        <v>26072.063895684201</v>
      </c>
      <c r="E133" s="507">
        <f>[6]Sheet2!$C$433/1000000</f>
        <v>26415.344452919999</v>
      </c>
      <c r="F133" s="507">
        <f>[7]Sheet2!$C$433/1000000</f>
        <v>26856.4152350242</v>
      </c>
      <c r="G133" s="507">
        <f>[8]Sheet2!$C$433/1000000</f>
        <v>27494.964101177593</v>
      </c>
      <c r="H133" s="507">
        <f>[9]Sheet2!$C$433/1000000</f>
        <v>27955.940532792596</v>
      </c>
      <c r="I133" s="507">
        <f>[10]Sheet2!$C$433/1000000</f>
        <v>28194.361602293327</v>
      </c>
      <c r="J133" s="507">
        <f>[11]Sheet2!$C$433/1000000</f>
        <v>28336.892915349788</v>
      </c>
      <c r="K133" s="507">
        <f>[12]Sheet2!$C$433/1000000</f>
        <v>28563.364929485931</v>
      </c>
      <c r="L133" s="507">
        <f>[13]Sheet2!$C$433/1000000</f>
        <v>28740.361376723944</v>
      </c>
      <c r="M133" s="507">
        <f>[14]Sheet2!$C$433/1000000</f>
        <v>29096.352207255881</v>
      </c>
      <c r="N133" s="507">
        <f>[15]Sheet2!$C$433/1000000</f>
        <v>29423.313250309962</v>
      </c>
      <c r="O133" s="507">
        <f>[16]Sheet2!$C$433/1000000</f>
        <v>29904.420293369949</v>
      </c>
      <c r="P133" s="507">
        <f>[17]Sheet2!$C$433/1000000</f>
        <v>30192.423819521264</v>
      </c>
      <c r="Q133" s="507">
        <f>[18]Sheet2!$C$433/1000000</f>
        <v>30534.515536923256</v>
      </c>
      <c r="R133" s="507">
        <f>[19]Sheet2!$C$433/1000000</f>
        <v>30645.306166036935</v>
      </c>
      <c r="S133" s="507">
        <f>[20]Sheet2!$C$433/1000000</f>
        <v>30723.1428050094</v>
      </c>
      <c r="T133" s="507">
        <f>[21]Sheet2!$C$433/1000000</f>
        <v>30582.685570265083</v>
      </c>
      <c r="U133" s="507">
        <f>[22]Sheet2!$C$433/1000000</f>
        <v>31026.051213552906</v>
      </c>
      <c r="V133" s="507">
        <f>[23]Sheet2!$C$433/1000000</f>
        <v>31204.967849636963</v>
      </c>
      <c r="W133" s="507">
        <f>[24]Sheet2!$C$433/1000000</f>
        <v>31436.78875257288</v>
      </c>
      <c r="X133" s="507">
        <f>[25]Sheet2!$C$433/1000000</f>
        <v>31766.227604989108</v>
      </c>
      <c r="Y133" s="507">
        <f>[26]Sheet2!$C$433/1000000</f>
        <v>32105.986535472326</v>
      </c>
      <c r="Z133" s="507">
        <f>[27]Sheet2!$C$433/1000000</f>
        <v>32381.205792838249</v>
      </c>
      <c r="AA133" s="507">
        <f>[96]Sheet2!$C$433/1000000</f>
        <v>32750.688683894692</v>
      </c>
      <c r="AB133" s="507">
        <f>[97]Sheet2!$C$433/1000000</f>
        <v>33028.065470894588</v>
      </c>
      <c r="AC133" s="507">
        <f>[98]Sheet2!$C$433/1000000</f>
        <v>33597.285546806248</v>
      </c>
      <c r="AD133" s="507">
        <f>[99]Sheet2!$C$433/1000000</f>
        <v>33479.612832110332</v>
      </c>
      <c r="AE133" s="507">
        <f>[100]Sheet2!$C$433/1000000</f>
        <v>33528.234725332208</v>
      </c>
      <c r="AF133" s="507">
        <f>[101]Sheet2!$C$433/1000000</f>
        <v>33945.252423109217</v>
      </c>
      <c r="AG133" s="507">
        <f>[102]Sheet2!$C$433/1000000</f>
        <v>34531.168337755749</v>
      </c>
      <c r="AH133" s="507">
        <f>[103]Sheet2!$C$433/1000000</f>
        <v>35377.395748930103</v>
      </c>
      <c r="AI133" s="507">
        <f>[104]Sheet2!$C$433/1000000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33"/>
  <sheetViews>
    <sheetView zoomScaleNormal="100" workbookViewId="0">
      <pane xSplit="2" ySplit="4" topLeftCell="CD35" activePane="bottomRight" state="frozen"/>
      <selection pane="topRight" activeCell="C1" sqref="C1"/>
      <selection pane="bottomLeft" activeCell="A4" sqref="A4"/>
      <selection pane="bottomRight" activeCell="B21" sqref="B21"/>
    </sheetView>
  </sheetViews>
  <sheetFormatPr defaultRowHeight="12.75"/>
  <cols>
    <col min="1" max="1" width="5.85546875" style="462" customWidth="1"/>
    <col min="2" max="2" width="54.28515625" style="462" customWidth="1"/>
    <col min="3" max="27" width="0" style="462" hidden="1" customWidth="1"/>
    <col min="28" max="29" width="9.140625" style="462" hidden="1" customWidth="1"/>
    <col min="30" max="43" width="0" style="462" hidden="1" customWidth="1"/>
    <col min="44" max="55" width="9.28515625" style="462" hidden="1" customWidth="1"/>
    <col min="56" max="56" width="9.42578125" style="462" hidden="1" customWidth="1"/>
    <col min="57" max="57" width="8.28515625" style="462" hidden="1" customWidth="1"/>
    <col min="58" max="61" width="9.28515625" style="462" hidden="1" customWidth="1"/>
    <col min="62" max="64" width="10.7109375" style="462" hidden="1" customWidth="1"/>
    <col min="65" max="65" width="10.5703125" style="462" hidden="1" customWidth="1"/>
    <col min="66" max="81" width="10.7109375" style="462" hidden="1" customWidth="1"/>
    <col min="82" max="94" width="10.7109375" style="462" customWidth="1"/>
    <col min="95" max="256" width="9.140625" style="462"/>
    <col min="257" max="257" width="5.85546875" style="462" customWidth="1"/>
    <col min="258" max="258" width="54.28515625" style="462" customWidth="1"/>
    <col min="259" max="337" width="0" style="462" hidden="1" customWidth="1"/>
    <col min="338" max="350" width="10.7109375" style="462" customWidth="1"/>
    <col min="351" max="512" width="9.140625" style="462"/>
    <col min="513" max="513" width="5.85546875" style="462" customWidth="1"/>
    <col min="514" max="514" width="54.28515625" style="462" customWidth="1"/>
    <col min="515" max="593" width="0" style="462" hidden="1" customWidth="1"/>
    <col min="594" max="606" width="10.7109375" style="462" customWidth="1"/>
    <col min="607" max="768" width="9.140625" style="462"/>
    <col min="769" max="769" width="5.85546875" style="462" customWidth="1"/>
    <col min="770" max="770" width="54.28515625" style="462" customWidth="1"/>
    <col min="771" max="849" width="0" style="462" hidden="1" customWidth="1"/>
    <col min="850" max="862" width="10.7109375" style="462" customWidth="1"/>
    <col min="863" max="1024" width="9.140625" style="462"/>
    <col min="1025" max="1025" width="5.85546875" style="462" customWidth="1"/>
    <col min="1026" max="1026" width="54.28515625" style="462" customWidth="1"/>
    <col min="1027" max="1105" width="0" style="462" hidden="1" customWidth="1"/>
    <col min="1106" max="1118" width="10.7109375" style="462" customWidth="1"/>
    <col min="1119" max="1280" width="9.140625" style="462"/>
    <col min="1281" max="1281" width="5.85546875" style="462" customWidth="1"/>
    <col min="1282" max="1282" width="54.28515625" style="462" customWidth="1"/>
    <col min="1283" max="1361" width="0" style="462" hidden="1" customWidth="1"/>
    <col min="1362" max="1374" width="10.7109375" style="462" customWidth="1"/>
    <col min="1375" max="1536" width="9.140625" style="462"/>
    <col min="1537" max="1537" width="5.85546875" style="462" customWidth="1"/>
    <col min="1538" max="1538" width="54.28515625" style="462" customWidth="1"/>
    <col min="1539" max="1617" width="0" style="462" hidden="1" customWidth="1"/>
    <col min="1618" max="1630" width="10.7109375" style="462" customWidth="1"/>
    <col min="1631" max="1792" width="9.140625" style="462"/>
    <col min="1793" max="1793" width="5.85546875" style="462" customWidth="1"/>
    <col min="1794" max="1794" width="54.28515625" style="462" customWidth="1"/>
    <col min="1795" max="1873" width="0" style="462" hidden="1" customWidth="1"/>
    <col min="1874" max="1886" width="10.7109375" style="462" customWidth="1"/>
    <col min="1887" max="2048" width="9.140625" style="462"/>
    <col min="2049" max="2049" width="5.85546875" style="462" customWidth="1"/>
    <col min="2050" max="2050" width="54.28515625" style="462" customWidth="1"/>
    <col min="2051" max="2129" width="0" style="462" hidden="1" customWidth="1"/>
    <col min="2130" max="2142" width="10.7109375" style="462" customWidth="1"/>
    <col min="2143" max="2304" width="9.140625" style="462"/>
    <col min="2305" max="2305" width="5.85546875" style="462" customWidth="1"/>
    <col min="2306" max="2306" width="54.28515625" style="462" customWidth="1"/>
    <col min="2307" max="2385" width="0" style="462" hidden="1" customWidth="1"/>
    <col min="2386" max="2398" width="10.7109375" style="462" customWidth="1"/>
    <col min="2399" max="2560" width="9.140625" style="462"/>
    <col min="2561" max="2561" width="5.85546875" style="462" customWidth="1"/>
    <col min="2562" max="2562" width="54.28515625" style="462" customWidth="1"/>
    <col min="2563" max="2641" width="0" style="462" hidden="1" customWidth="1"/>
    <col min="2642" max="2654" width="10.7109375" style="462" customWidth="1"/>
    <col min="2655" max="2816" width="9.140625" style="462"/>
    <col min="2817" max="2817" width="5.85546875" style="462" customWidth="1"/>
    <col min="2818" max="2818" width="54.28515625" style="462" customWidth="1"/>
    <col min="2819" max="2897" width="0" style="462" hidden="1" customWidth="1"/>
    <col min="2898" max="2910" width="10.7109375" style="462" customWidth="1"/>
    <col min="2911" max="3072" width="9.140625" style="462"/>
    <col min="3073" max="3073" width="5.85546875" style="462" customWidth="1"/>
    <col min="3074" max="3074" width="54.28515625" style="462" customWidth="1"/>
    <col min="3075" max="3153" width="0" style="462" hidden="1" customWidth="1"/>
    <col min="3154" max="3166" width="10.7109375" style="462" customWidth="1"/>
    <col min="3167" max="3328" width="9.140625" style="462"/>
    <col min="3329" max="3329" width="5.85546875" style="462" customWidth="1"/>
    <col min="3330" max="3330" width="54.28515625" style="462" customWidth="1"/>
    <col min="3331" max="3409" width="0" style="462" hidden="1" customWidth="1"/>
    <col min="3410" max="3422" width="10.7109375" style="462" customWidth="1"/>
    <col min="3423" max="3584" width="9.140625" style="462"/>
    <col min="3585" max="3585" width="5.85546875" style="462" customWidth="1"/>
    <col min="3586" max="3586" width="54.28515625" style="462" customWidth="1"/>
    <col min="3587" max="3665" width="0" style="462" hidden="1" customWidth="1"/>
    <col min="3666" max="3678" width="10.7109375" style="462" customWidth="1"/>
    <col min="3679" max="3840" width="9.140625" style="462"/>
    <col min="3841" max="3841" width="5.85546875" style="462" customWidth="1"/>
    <col min="3842" max="3842" width="54.28515625" style="462" customWidth="1"/>
    <col min="3843" max="3921" width="0" style="462" hidden="1" customWidth="1"/>
    <col min="3922" max="3934" width="10.7109375" style="462" customWidth="1"/>
    <col min="3935" max="4096" width="9.140625" style="462"/>
    <col min="4097" max="4097" width="5.85546875" style="462" customWidth="1"/>
    <col min="4098" max="4098" width="54.28515625" style="462" customWidth="1"/>
    <col min="4099" max="4177" width="0" style="462" hidden="1" customWidth="1"/>
    <col min="4178" max="4190" width="10.7109375" style="462" customWidth="1"/>
    <col min="4191" max="4352" width="9.140625" style="462"/>
    <col min="4353" max="4353" width="5.85546875" style="462" customWidth="1"/>
    <col min="4354" max="4354" width="54.28515625" style="462" customWidth="1"/>
    <col min="4355" max="4433" width="0" style="462" hidden="1" customWidth="1"/>
    <col min="4434" max="4446" width="10.7109375" style="462" customWidth="1"/>
    <col min="4447" max="4608" width="9.140625" style="462"/>
    <col min="4609" max="4609" width="5.85546875" style="462" customWidth="1"/>
    <col min="4610" max="4610" width="54.28515625" style="462" customWidth="1"/>
    <col min="4611" max="4689" width="0" style="462" hidden="1" customWidth="1"/>
    <col min="4690" max="4702" width="10.7109375" style="462" customWidth="1"/>
    <col min="4703" max="4864" width="9.140625" style="462"/>
    <col min="4865" max="4865" width="5.85546875" style="462" customWidth="1"/>
    <col min="4866" max="4866" width="54.28515625" style="462" customWidth="1"/>
    <col min="4867" max="4945" width="0" style="462" hidden="1" customWidth="1"/>
    <col min="4946" max="4958" width="10.7109375" style="462" customWidth="1"/>
    <col min="4959" max="5120" width="9.140625" style="462"/>
    <col min="5121" max="5121" width="5.85546875" style="462" customWidth="1"/>
    <col min="5122" max="5122" width="54.28515625" style="462" customWidth="1"/>
    <col min="5123" max="5201" width="0" style="462" hidden="1" customWidth="1"/>
    <col min="5202" max="5214" width="10.7109375" style="462" customWidth="1"/>
    <col min="5215" max="5376" width="9.140625" style="462"/>
    <col min="5377" max="5377" width="5.85546875" style="462" customWidth="1"/>
    <col min="5378" max="5378" width="54.28515625" style="462" customWidth="1"/>
    <col min="5379" max="5457" width="0" style="462" hidden="1" customWidth="1"/>
    <col min="5458" max="5470" width="10.7109375" style="462" customWidth="1"/>
    <col min="5471" max="5632" width="9.140625" style="462"/>
    <col min="5633" max="5633" width="5.85546875" style="462" customWidth="1"/>
    <col min="5634" max="5634" width="54.28515625" style="462" customWidth="1"/>
    <col min="5635" max="5713" width="0" style="462" hidden="1" customWidth="1"/>
    <col min="5714" max="5726" width="10.7109375" style="462" customWidth="1"/>
    <col min="5727" max="5888" width="9.140625" style="462"/>
    <col min="5889" max="5889" width="5.85546875" style="462" customWidth="1"/>
    <col min="5890" max="5890" width="54.28515625" style="462" customWidth="1"/>
    <col min="5891" max="5969" width="0" style="462" hidden="1" customWidth="1"/>
    <col min="5970" max="5982" width="10.7109375" style="462" customWidth="1"/>
    <col min="5983" max="6144" width="9.140625" style="462"/>
    <col min="6145" max="6145" width="5.85546875" style="462" customWidth="1"/>
    <col min="6146" max="6146" width="54.28515625" style="462" customWidth="1"/>
    <col min="6147" max="6225" width="0" style="462" hidden="1" customWidth="1"/>
    <col min="6226" max="6238" width="10.7109375" style="462" customWidth="1"/>
    <col min="6239" max="6400" width="9.140625" style="462"/>
    <col min="6401" max="6401" width="5.85546875" style="462" customWidth="1"/>
    <col min="6402" max="6402" width="54.28515625" style="462" customWidth="1"/>
    <col min="6403" max="6481" width="0" style="462" hidden="1" customWidth="1"/>
    <col min="6482" max="6494" width="10.7109375" style="462" customWidth="1"/>
    <col min="6495" max="6656" width="9.140625" style="462"/>
    <col min="6657" max="6657" width="5.85546875" style="462" customWidth="1"/>
    <col min="6658" max="6658" width="54.28515625" style="462" customWidth="1"/>
    <col min="6659" max="6737" width="0" style="462" hidden="1" customWidth="1"/>
    <col min="6738" max="6750" width="10.7109375" style="462" customWidth="1"/>
    <col min="6751" max="6912" width="9.140625" style="462"/>
    <col min="6913" max="6913" width="5.85546875" style="462" customWidth="1"/>
    <col min="6914" max="6914" width="54.28515625" style="462" customWidth="1"/>
    <col min="6915" max="6993" width="0" style="462" hidden="1" customWidth="1"/>
    <col min="6994" max="7006" width="10.7109375" style="462" customWidth="1"/>
    <col min="7007" max="7168" width="9.140625" style="462"/>
    <col min="7169" max="7169" width="5.85546875" style="462" customWidth="1"/>
    <col min="7170" max="7170" width="54.28515625" style="462" customWidth="1"/>
    <col min="7171" max="7249" width="0" style="462" hidden="1" customWidth="1"/>
    <col min="7250" max="7262" width="10.7109375" style="462" customWidth="1"/>
    <col min="7263" max="7424" width="9.140625" style="462"/>
    <col min="7425" max="7425" width="5.85546875" style="462" customWidth="1"/>
    <col min="7426" max="7426" width="54.28515625" style="462" customWidth="1"/>
    <col min="7427" max="7505" width="0" style="462" hidden="1" customWidth="1"/>
    <col min="7506" max="7518" width="10.7109375" style="462" customWidth="1"/>
    <col min="7519" max="7680" width="9.140625" style="462"/>
    <col min="7681" max="7681" width="5.85546875" style="462" customWidth="1"/>
    <col min="7682" max="7682" width="54.28515625" style="462" customWidth="1"/>
    <col min="7683" max="7761" width="0" style="462" hidden="1" customWidth="1"/>
    <col min="7762" max="7774" width="10.7109375" style="462" customWidth="1"/>
    <col min="7775" max="7936" width="9.140625" style="462"/>
    <col min="7937" max="7937" width="5.85546875" style="462" customWidth="1"/>
    <col min="7938" max="7938" width="54.28515625" style="462" customWidth="1"/>
    <col min="7939" max="8017" width="0" style="462" hidden="1" customWidth="1"/>
    <col min="8018" max="8030" width="10.7109375" style="462" customWidth="1"/>
    <col min="8031" max="8192" width="9.140625" style="462"/>
    <col min="8193" max="8193" width="5.85546875" style="462" customWidth="1"/>
    <col min="8194" max="8194" width="54.28515625" style="462" customWidth="1"/>
    <col min="8195" max="8273" width="0" style="462" hidden="1" customWidth="1"/>
    <col min="8274" max="8286" width="10.7109375" style="462" customWidth="1"/>
    <col min="8287" max="8448" width="9.140625" style="462"/>
    <col min="8449" max="8449" width="5.85546875" style="462" customWidth="1"/>
    <col min="8450" max="8450" width="54.28515625" style="462" customWidth="1"/>
    <col min="8451" max="8529" width="0" style="462" hidden="1" customWidth="1"/>
    <col min="8530" max="8542" width="10.7109375" style="462" customWidth="1"/>
    <col min="8543" max="8704" width="9.140625" style="462"/>
    <col min="8705" max="8705" width="5.85546875" style="462" customWidth="1"/>
    <col min="8706" max="8706" width="54.28515625" style="462" customWidth="1"/>
    <col min="8707" max="8785" width="0" style="462" hidden="1" customWidth="1"/>
    <col min="8786" max="8798" width="10.7109375" style="462" customWidth="1"/>
    <col min="8799" max="8960" width="9.140625" style="462"/>
    <col min="8961" max="8961" width="5.85546875" style="462" customWidth="1"/>
    <col min="8962" max="8962" width="54.28515625" style="462" customWidth="1"/>
    <col min="8963" max="9041" width="0" style="462" hidden="1" customWidth="1"/>
    <col min="9042" max="9054" width="10.7109375" style="462" customWidth="1"/>
    <col min="9055" max="9216" width="9.140625" style="462"/>
    <col min="9217" max="9217" width="5.85546875" style="462" customWidth="1"/>
    <col min="9218" max="9218" width="54.28515625" style="462" customWidth="1"/>
    <col min="9219" max="9297" width="0" style="462" hidden="1" customWidth="1"/>
    <col min="9298" max="9310" width="10.7109375" style="462" customWidth="1"/>
    <col min="9311" max="9472" width="9.140625" style="462"/>
    <col min="9473" max="9473" width="5.85546875" style="462" customWidth="1"/>
    <col min="9474" max="9474" width="54.28515625" style="462" customWidth="1"/>
    <col min="9475" max="9553" width="0" style="462" hidden="1" customWidth="1"/>
    <col min="9554" max="9566" width="10.7109375" style="462" customWidth="1"/>
    <col min="9567" max="9728" width="9.140625" style="462"/>
    <col min="9729" max="9729" width="5.85546875" style="462" customWidth="1"/>
    <col min="9730" max="9730" width="54.28515625" style="462" customWidth="1"/>
    <col min="9731" max="9809" width="0" style="462" hidden="1" customWidth="1"/>
    <col min="9810" max="9822" width="10.7109375" style="462" customWidth="1"/>
    <col min="9823" max="9984" width="9.140625" style="462"/>
    <col min="9985" max="9985" width="5.85546875" style="462" customWidth="1"/>
    <col min="9986" max="9986" width="54.28515625" style="462" customWidth="1"/>
    <col min="9987" max="10065" width="0" style="462" hidden="1" customWidth="1"/>
    <col min="10066" max="10078" width="10.7109375" style="462" customWidth="1"/>
    <col min="10079" max="10240" width="9.140625" style="462"/>
    <col min="10241" max="10241" width="5.85546875" style="462" customWidth="1"/>
    <col min="10242" max="10242" width="54.28515625" style="462" customWidth="1"/>
    <col min="10243" max="10321" width="0" style="462" hidden="1" customWidth="1"/>
    <col min="10322" max="10334" width="10.7109375" style="462" customWidth="1"/>
    <col min="10335" max="10496" width="9.140625" style="462"/>
    <col min="10497" max="10497" width="5.85546875" style="462" customWidth="1"/>
    <col min="10498" max="10498" width="54.28515625" style="462" customWidth="1"/>
    <col min="10499" max="10577" width="0" style="462" hidden="1" customWidth="1"/>
    <col min="10578" max="10590" width="10.7109375" style="462" customWidth="1"/>
    <col min="10591" max="10752" width="9.140625" style="462"/>
    <col min="10753" max="10753" width="5.85546875" style="462" customWidth="1"/>
    <col min="10754" max="10754" width="54.28515625" style="462" customWidth="1"/>
    <col min="10755" max="10833" width="0" style="462" hidden="1" customWidth="1"/>
    <col min="10834" max="10846" width="10.7109375" style="462" customWidth="1"/>
    <col min="10847" max="11008" width="9.140625" style="462"/>
    <col min="11009" max="11009" width="5.85546875" style="462" customWidth="1"/>
    <col min="11010" max="11010" width="54.28515625" style="462" customWidth="1"/>
    <col min="11011" max="11089" width="0" style="462" hidden="1" customWidth="1"/>
    <col min="11090" max="11102" width="10.7109375" style="462" customWidth="1"/>
    <col min="11103" max="11264" width="9.140625" style="462"/>
    <col min="11265" max="11265" width="5.85546875" style="462" customWidth="1"/>
    <col min="11266" max="11266" width="54.28515625" style="462" customWidth="1"/>
    <col min="11267" max="11345" width="0" style="462" hidden="1" customWidth="1"/>
    <col min="11346" max="11358" width="10.7109375" style="462" customWidth="1"/>
    <col min="11359" max="11520" width="9.140625" style="462"/>
    <col min="11521" max="11521" width="5.85546875" style="462" customWidth="1"/>
    <col min="11522" max="11522" width="54.28515625" style="462" customWidth="1"/>
    <col min="11523" max="11601" width="0" style="462" hidden="1" customWidth="1"/>
    <col min="11602" max="11614" width="10.7109375" style="462" customWidth="1"/>
    <col min="11615" max="11776" width="9.140625" style="462"/>
    <col min="11777" max="11777" width="5.85546875" style="462" customWidth="1"/>
    <col min="11778" max="11778" width="54.28515625" style="462" customWidth="1"/>
    <col min="11779" max="11857" width="0" style="462" hidden="1" customWidth="1"/>
    <col min="11858" max="11870" width="10.7109375" style="462" customWidth="1"/>
    <col min="11871" max="12032" width="9.140625" style="462"/>
    <col min="12033" max="12033" width="5.85546875" style="462" customWidth="1"/>
    <col min="12034" max="12034" width="54.28515625" style="462" customWidth="1"/>
    <col min="12035" max="12113" width="0" style="462" hidden="1" customWidth="1"/>
    <col min="12114" max="12126" width="10.7109375" style="462" customWidth="1"/>
    <col min="12127" max="12288" width="9.140625" style="462"/>
    <col min="12289" max="12289" width="5.85546875" style="462" customWidth="1"/>
    <col min="12290" max="12290" width="54.28515625" style="462" customWidth="1"/>
    <col min="12291" max="12369" width="0" style="462" hidden="1" customWidth="1"/>
    <col min="12370" max="12382" width="10.7109375" style="462" customWidth="1"/>
    <col min="12383" max="12544" width="9.140625" style="462"/>
    <col min="12545" max="12545" width="5.85546875" style="462" customWidth="1"/>
    <col min="12546" max="12546" width="54.28515625" style="462" customWidth="1"/>
    <col min="12547" max="12625" width="0" style="462" hidden="1" customWidth="1"/>
    <col min="12626" max="12638" width="10.7109375" style="462" customWidth="1"/>
    <col min="12639" max="12800" width="9.140625" style="462"/>
    <col min="12801" max="12801" width="5.85546875" style="462" customWidth="1"/>
    <col min="12802" max="12802" width="54.28515625" style="462" customWidth="1"/>
    <col min="12803" max="12881" width="0" style="462" hidden="1" customWidth="1"/>
    <col min="12882" max="12894" width="10.7109375" style="462" customWidth="1"/>
    <col min="12895" max="13056" width="9.140625" style="462"/>
    <col min="13057" max="13057" width="5.85546875" style="462" customWidth="1"/>
    <col min="13058" max="13058" width="54.28515625" style="462" customWidth="1"/>
    <col min="13059" max="13137" width="0" style="462" hidden="1" customWidth="1"/>
    <col min="13138" max="13150" width="10.7109375" style="462" customWidth="1"/>
    <col min="13151" max="13312" width="9.140625" style="462"/>
    <col min="13313" max="13313" width="5.85546875" style="462" customWidth="1"/>
    <col min="13314" max="13314" width="54.28515625" style="462" customWidth="1"/>
    <col min="13315" max="13393" width="0" style="462" hidden="1" customWidth="1"/>
    <col min="13394" max="13406" width="10.7109375" style="462" customWidth="1"/>
    <col min="13407" max="13568" width="9.140625" style="462"/>
    <col min="13569" max="13569" width="5.85546875" style="462" customWidth="1"/>
    <col min="13570" max="13570" width="54.28515625" style="462" customWidth="1"/>
    <col min="13571" max="13649" width="0" style="462" hidden="1" customWidth="1"/>
    <col min="13650" max="13662" width="10.7109375" style="462" customWidth="1"/>
    <col min="13663" max="13824" width="9.140625" style="462"/>
    <col min="13825" max="13825" width="5.85546875" style="462" customWidth="1"/>
    <col min="13826" max="13826" width="54.28515625" style="462" customWidth="1"/>
    <col min="13827" max="13905" width="0" style="462" hidden="1" customWidth="1"/>
    <col min="13906" max="13918" width="10.7109375" style="462" customWidth="1"/>
    <col min="13919" max="14080" width="9.140625" style="462"/>
    <col min="14081" max="14081" width="5.85546875" style="462" customWidth="1"/>
    <col min="14082" max="14082" width="54.28515625" style="462" customWidth="1"/>
    <col min="14083" max="14161" width="0" style="462" hidden="1" customWidth="1"/>
    <col min="14162" max="14174" width="10.7109375" style="462" customWidth="1"/>
    <col min="14175" max="14336" width="9.140625" style="462"/>
    <col min="14337" max="14337" width="5.85546875" style="462" customWidth="1"/>
    <col min="14338" max="14338" width="54.28515625" style="462" customWidth="1"/>
    <col min="14339" max="14417" width="0" style="462" hidden="1" customWidth="1"/>
    <col min="14418" max="14430" width="10.7109375" style="462" customWidth="1"/>
    <col min="14431" max="14592" width="9.140625" style="462"/>
    <col min="14593" max="14593" width="5.85546875" style="462" customWidth="1"/>
    <col min="14594" max="14594" width="54.28515625" style="462" customWidth="1"/>
    <col min="14595" max="14673" width="0" style="462" hidden="1" customWidth="1"/>
    <col min="14674" max="14686" width="10.7109375" style="462" customWidth="1"/>
    <col min="14687" max="14848" width="9.140625" style="462"/>
    <col min="14849" max="14849" width="5.85546875" style="462" customWidth="1"/>
    <col min="14850" max="14850" width="54.28515625" style="462" customWidth="1"/>
    <col min="14851" max="14929" width="0" style="462" hidden="1" customWidth="1"/>
    <col min="14930" max="14942" width="10.7109375" style="462" customWidth="1"/>
    <col min="14943" max="15104" width="9.140625" style="462"/>
    <col min="15105" max="15105" width="5.85546875" style="462" customWidth="1"/>
    <col min="15106" max="15106" width="54.28515625" style="462" customWidth="1"/>
    <col min="15107" max="15185" width="0" style="462" hidden="1" customWidth="1"/>
    <col min="15186" max="15198" width="10.7109375" style="462" customWidth="1"/>
    <col min="15199" max="15360" width="9.140625" style="462"/>
    <col min="15361" max="15361" width="5.85546875" style="462" customWidth="1"/>
    <col min="15362" max="15362" width="54.28515625" style="462" customWidth="1"/>
    <col min="15363" max="15441" width="0" style="462" hidden="1" customWidth="1"/>
    <col min="15442" max="15454" width="10.7109375" style="462" customWidth="1"/>
    <col min="15455" max="15616" width="9.140625" style="462"/>
    <col min="15617" max="15617" width="5.85546875" style="462" customWidth="1"/>
    <col min="15618" max="15618" width="54.28515625" style="462" customWidth="1"/>
    <col min="15619" max="15697" width="0" style="462" hidden="1" customWidth="1"/>
    <col min="15698" max="15710" width="10.7109375" style="462" customWidth="1"/>
    <col min="15711" max="15872" width="9.140625" style="462"/>
    <col min="15873" max="15873" width="5.85546875" style="462" customWidth="1"/>
    <col min="15874" max="15874" width="54.28515625" style="462" customWidth="1"/>
    <col min="15875" max="15953" width="0" style="462" hidden="1" customWidth="1"/>
    <col min="15954" max="15966" width="10.7109375" style="462" customWidth="1"/>
    <col min="15967" max="16128" width="9.140625" style="462"/>
    <col min="16129" max="16129" width="5.85546875" style="462" customWidth="1"/>
    <col min="16130" max="16130" width="54.28515625" style="462" customWidth="1"/>
    <col min="16131" max="16209" width="0" style="462" hidden="1" customWidth="1"/>
    <col min="16210" max="16222" width="10.7109375" style="462" customWidth="1"/>
    <col min="16223" max="16384" width="9.140625" style="462"/>
  </cols>
  <sheetData>
    <row r="1" spans="1:94" ht="16.5">
      <c r="A1" s="418" t="s">
        <v>574</v>
      </c>
      <c r="B1" s="419"/>
      <c r="C1" s="461"/>
      <c r="D1" s="129"/>
      <c r="E1" s="129"/>
      <c r="F1" s="129"/>
      <c r="G1" s="129"/>
      <c r="H1" s="129"/>
      <c r="I1" s="129"/>
      <c r="J1" s="129"/>
      <c r="K1" s="129"/>
      <c r="L1" s="129"/>
      <c r="M1" s="129"/>
      <c r="N1" s="129"/>
      <c r="O1" s="129"/>
      <c r="P1" s="129"/>
      <c r="Q1" s="129"/>
      <c r="R1" s="129"/>
      <c r="S1" s="129"/>
      <c r="T1" s="129"/>
      <c r="U1" s="129"/>
      <c r="V1" s="129"/>
      <c r="W1" s="129"/>
      <c r="X1" s="129"/>
      <c r="Y1" s="129"/>
      <c r="Z1" s="129"/>
      <c r="AA1" s="129"/>
      <c r="AB1" s="129"/>
    </row>
    <row r="2" spans="1:94" ht="15.75" hidden="1">
      <c r="A2" s="464"/>
      <c r="B2" s="465"/>
      <c r="C2" s="466"/>
      <c r="D2" s="129"/>
      <c r="E2" s="129"/>
      <c r="F2" s="129"/>
      <c r="G2" s="129"/>
      <c r="H2" s="129"/>
      <c r="I2" s="129"/>
      <c r="J2" s="129"/>
      <c r="K2" s="129"/>
      <c r="L2" s="129"/>
      <c r="M2" s="129"/>
      <c r="N2" s="129"/>
      <c r="O2" s="129"/>
      <c r="P2" s="129"/>
      <c r="Q2" s="129"/>
      <c r="R2" s="129"/>
      <c r="S2" s="129"/>
      <c r="T2" s="129"/>
      <c r="U2" s="129"/>
      <c r="V2" s="129"/>
      <c r="W2" s="129"/>
      <c r="X2" s="129"/>
      <c r="Y2" s="129"/>
      <c r="Z2" s="129"/>
      <c r="AA2" s="129"/>
      <c r="AB2" s="129"/>
    </row>
    <row r="3" spans="1:94" ht="13.5" thickBot="1">
      <c r="A3" s="420"/>
      <c r="B3" s="420"/>
      <c r="C3" s="129"/>
      <c r="D3" s="129"/>
      <c r="E3" s="129"/>
      <c r="F3" s="129"/>
      <c r="G3" s="129"/>
      <c r="H3" s="129"/>
      <c r="I3" s="129"/>
      <c r="J3" s="129"/>
      <c r="K3" s="129"/>
      <c r="L3" s="129"/>
      <c r="M3" s="129"/>
      <c r="N3" s="129"/>
      <c r="O3" s="129"/>
      <c r="P3" s="129"/>
      <c r="Q3" s="129"/>
      <c r="R3" s="129"/>
      <c r="S3" s="129"/>
      <c r="T3" s="129"/>
      <c r="V3" s="129"/>
      <c r="W3" s="129"/>
      <c r="X3" s="129"/>
      <c r="Y3" s="129"/>
      <c r="Z3" s="129"/>
      <c r="AA3" s="129"/>
      <c r="AB3" s="129"/>
      <c r="AC3" s="141"/>
      <c r="AD3" s="141"/>
      <c r="AG3" s="141"/>
      <c r="AN3" s="3262"/>
      <c r="AO3" s="3262"/>
      <c r="AQ3" s="3262"/>
      <c r="AR3" s="3262"/>
      <c r="AT3" s="3262"/>
      <c r="AU3" s="3262"/>
      <c r="AZ3" s="3262"/>
      <c r="BA3" s="3262"/>
      <c r="BB3" s="3262"/>
      <c r="BC3" s="3262"/>
      <c r="BI3" s="3262"/>
      <c r="BJ3" s="3262"/>
      <c r="BK3" s="467"/>
      <c r="BL3" s="467"/>
      <c r="BM3" s="469"/>
      <c r="BN3" s="469"/>
      <c r="BO3" s="3262"/>
      <c r="BP3" s="3262"/>
      <c r="BQ3" s="469"/>
      <c r="BR3" s="469"/>
      <c r="BV3" s="508"/>
      <c r="BX3" s="509"/>
      <c r="BY3" s="509"/>
      <c r="BZ3" s="509"/>
      <c r="CA3" s="509"/>
      <c r="CB3" s="509"/>
      <c r="CC3" s="509"/>
      <c r="CD3" s="509"/>
      <c r="CE3" s="509"/>
      <c r="CF3" s="509"/>
      <c r="CG3" s="509"/>
      <c r="CH3" s="509"/>
      <c r="CI3" s="509"/>
      <c r="CJ3" s="509"/>
      <c r="CK3" s="509"/>
      <c r="CL3" s="509"/>
      <c r="CM3" s="509"/>
      <c r="CN3" s="509"/>
      <c r="CO3" s="509"/>
      <c r="CP3" s="509" t="s">
        <v>575</v>
      </c>
    </row>
    <row r="4" spans="1:94" ht="14.25" thickTop="1" thickBot="1">
      <c r="A4" s="421" t="s">
        <v>506</v>
      </c>
      <c r="B4" s="422" t="s">
        <v>507</v>
      </c>
      <c r="C4" s="425">
        <v>38504</v>
      </c>
      <c r="D4" s="425">
        <v>38534</v>
      </c>
      <c r="E4" s="425">
        <v>38565</v>
      </c>
      <c r="F4" s="470">
        <v>38596</v>
      </c>
      <c r="G4" s="425">
        <v>38626</v>
      </c>
      <c r="H4" s="471">
        <v>38657</v>
      </c>
      <c r="I4" s="425">
        <v>38687</v>
      </c>
      <c r="J4" s="425">
        <v>38718</v>
      </c>
      <c r="K4" s="425">
        <v>38749</v>
      </c>
      <c r="L4" s="425">
        <v>38777</v>
      </c>
      <c r="M4" s="470">
        <v>38808</v>
      </c>
      <c r="N4" s="425">
        <v>38838</v>
      </c>
      <c r="O4" s="425">
        <v>38869</v>
      </c>
      <c r="P4" s="425">
        <v>38899</v>
      </c>
      <c r="Q4" s="425">
        <v>38930</v>
      </c>
      <c r="R4" s="425">
        <v>38961</v>
      </c>
      <c r="S4" s="425">
        <v>38991</v>
      </c>
      <c r="T4" s="425">
        <v>39022</v>
      </c>
      <c r="U4" s="425">
        <v>39052</v>
      </c>
      <c r="V4" s="425">
        <v>39083</v>
      </c>
      <c r="W4" s="425">
        <v>39114</v>
      </c>
      <c r="X4" s="425">
        <v>39142</v>
      </c>
      <c r="Y4" s="425">
        <v>39173</v>
      </c>
      <c r="Z4" s="425">
        <v>39203</v>
      </c>
      <c r="AA4" s="425">
        <v>39234</v>
      </c>
      <c r="AB4" s="425">
        <v>39264</v>
      </c>
      <c r="AC4" s="425">
        <v>39295</v>
      </c>
      <c r="AD4" s="425">
        <v>39326</v>
      </c>
      <c r="AE4" s="425">
        <v>39356</v>
      </c>
      <c r="AF4" s="425">
        <v>39387</v>
      </c>
      <c r="AG4" s="425">
        <v>39417</v>
      </c>
      <c r="AH4" s="425">
        <v>39448</v>
      </c>
      <c r="AI4" s="425">
        <v>39479</v>
      </c>
      <c r="AJ4" s="425">
        <v>39508</v>
      </c>
      <c r="AK4" s="425">
        <v>39539</v>
      </c>
      <c r="AL4" s="425">
        <v>39569</v>
      </c>
      <c r="AM4" s="425">
        <v>39600</v>
      </c>
      <c r="AN4" s="425">
        <v>39630</v>
      </c>
      <c r="AO4" s="425">
        <v>39661</v>
      </c>
      <c r="AP4" s="471">
        <v>39692</v>
      </c>
      <c r="AQ4" s="471">
        <v>39722</v>
      </c>
      <c r="AR4" s="425">
        <v>39753</v>
      </c>
      <c r="AS4" s="425">
        <v>39783</v>
      </c>
      <c r="AT4" s="425">
        <v>39814</v>
      </c>
      <c r="AU4" s="425">
        <v>39845</v>
      </c>
      <c r="AV4" s="425">
        <v>39881</v>
      </c>
      <c r="AW4" s="425">
        <v>39904</v>
      </c>
      <c r="AX4" s="425">
        <v>39934</v>
      </c>
      <c r="AY4" s="425">
        <v>39965</v>
      </c>
      <c r="AZ4" s="425">
        <v>39995</v>
      </c>
      <c r="BA4" s="425">
        <v>40026</v>
      </c>
      <c r="BB4" s="425">
        <v>40057</v>
      </c>
      <c r="BC4" s="425">
        <v>40087</v>
      </c>
      <c r="BD4" s="425">
        <v>40118</v>
      </c>
      <c r="BE4" s="425">
        <v>40148</v>
      </c>
      <c r="BF4" s="425">
        <v>40179</v>
      </c>
      <c r="BG4" s="425">
        <v>40210</v>
      </c>
      <c r="BH4" s="425">
        <v>40238</v>
      </c>
      <c r="BI4" s="425">
        <v>40269</v>
      </c>
      <c r="BJ4" s="425">
        <v>40299</v>
      </c>
      <c r="BK4" s="425">
        <v>40330</v>
      </c>
      <c r="BL4" s="425">
        <v>40360</v>
      </c>
      <c r="BM4" s="425">
        <v>40391</v>
      </c>
      <c r="BN4" s="425">
        <v>40422</v>
      </c>
      <c r="BO4" s="425">
        <v>40452</v>
      </c>
      <c r="BP4" s="425">
        <v>40483</v>
      </c>
      <c r="BQ4" s="425">
        <v>40513</v>
      </c>
      <c r="BR4" s="425">
        <v>40544</v>
      </c>
      <c r="BS4" s="425">
        <v>40575</v>
      </c>
      <c r="BT4" s="425">
        <v>40603</v>
      </c>
      <c r="BU4" s="425">
        <v>40634</v>
      </c>
      <c r="BV4" s="425">
        <v>40664</v>
      </c>
      <c r="BW4" s="425">
        <v>40695</v>
      </c>
      <c r="BX4" s="425">
        <v>40725</v>
      </c>
      <c r="BY4" s="425">
        <v>40756</v>
      </c>
      <c r="BZ4" s="425">
        <v>40787</v>
      </c>
      <c r="CA4" s="425">
        <v>40817</v>
      </c>
      <c r="CB4" s="425">
        <v>40848</v>
      </c>
      <c r="CC4" s="425">
        <v>40878</v>
      </c>
      <c r="CD4" s="425">
        <v>40909</v>
      </c>
      <c r="CE4" s="425">
        <v>40940</v>
      </c>
      <c r="CF4" s="425">
        <v>40969</v>
      </c>
      <c r="CG4" s="425">
        <v>41000</v>
      </c>
      <c r="CH4" s="425">
        <v>41030</v>
      </c>
      <c r="CI4" s="425">
        <v>41061</v>
      </c>
      <c r="CJ4" s="425">
        <v>41091</v>
      </c>
      <c r="CK4" s="425">
        <v>41122</v>
      </c>
      <c r="CL4" s="425">
        <v>41153</v>
      </c>
      <c r="CM4" s="425">
        <v>41183</v>
      </c>
      <c r="CN4" s="425">
        <v>41214</v>
      </c>
      <c r="CO4" s="425">
        <v>41244</v>
      </c>
      <c r="CP4" s="423">
        <v>41275</v>
      </c>
    </row>
    <row r="5" spans="1:94" ht="13.5" thickTop="1">
      <c r="A5" s="427"/>
      <c r="B5" s="428"/>
      <c r="C5" s="472"/>
      <c r="D5" s="472"/>
      <c r="E5" s="472"/>
      <c r="F5" s="135"/>
      <c r="G5" s="472"/>
      <c r="H5" s="473"/>
      <c r="I5" s="472"/>
      <c r="J5" s="472"/>
      <c r="K5" s="472"/>
      <c r="L5" s="472"/>
      <c r="M5" s="135"/>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502"/>
      <c r="AQ5" s="502"/>
      <c r="AR5" s="472"/>
      <c r="AS5" s="472"/>
      <c r="AT5" s="472"/>
      <c r="AU5" s="472"/>
      <c r="AV5" s="472"/>
      <c r="AW5" s="472"/>
      <c r="AX5" s="472"/>
      <c r="AY5" s="472"/>
      <c r="AZ5" s="472"/>
      <c r="BA5" s="472"/>
      <c r="BB5" s="474"/>
      <c r="BC5" s="474"/>
      <c r="BD5" s="474"/>
      <c r="BE5" s="474"/>
      <c r="BF5" s="474"/>
      <c r="BG5" s="474"/>
      <c r="BH5" s="474"/>
      <c r="BI5" s="474"/>
      <c r="BJ5" s="474"/>
      <c r="BK5" s="474"/>
      <c r="BL5" s="474"/>
      <c r="BM5" s="474"/>
      <c r="BN5" s="474"/>
      <c r="BO5" s="474"/>
      <c r="BP5" s="474"/>
      <c r="BQ5" s="474"/>
      <c r="BR5" s="474"/>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4"/>
    </row>
    <row r="6" spans="1:94">
      <c r="A6" s="433" t="s">
        <v>508</v>
      </c>
      <c r="B6" s="434" t="s">
        <v>509</v>
      </c>
      <c r="C6" s="476">
        <f>[106]Sheet1!$C$8/1000000</f>
        <v>0</v>
      </c>
      <c r="D6" s="476">
        <f>[107]Sheet1!$C$5/1000000</f>
        <v>0</v>
      </c>
      <c r="E6" s="476">
        <f>[108]Sheet1!$C$5/1000000</f>
        <v>0</v>
      </c>
      <c r="F6" s="400">
        <f>[109]Sheet1!$C$5/1000000</f>
        <v>0</v>
      </c>
      <c r="G6" s="476">
        <f>[110]Sheet1!$C$5/1000000</f>
        <v>0</v>
      </c>
      <c r="H6" s="477">
        <f>[111]Sheet1!$C$5/1000000</f>
        <v>0</v>
      </c>
      <c r="I6" s="476">
        <f>[112]Sheet1!$C$5/1000000</f>
        <v>0</v>
      </c>
      <c r="J6" s="476">
        <f>[113]Sheet1!$C$5/1000000</f>
        <v>0</v>
      </c>
      <c r="K6" s="476">
        <f>[114]Sheet1!$C$5/1000000</f>
        <v>0</v>
      </c>
      <c r="L6" s="476">
        <f>[115]Sheet1!$C$5/1000000</f>
        <v>0</v>
      </c>
      <c r="M6" s="400">
        <f>[116]Sheet1!$C$5/1000000</f>
        <v>0</v>
      </c>
      <c r="N6" s="476">
        <f>[117]Sheet1!$C$5/1000000</f>
        <v>0</v>
      </c>
      <c r="O6" s="476">
        <f>[118]Sheet1!$C$5/1000000</f>
        <v>0</v>
      </c>
      <c r="P6" s="476">
        <f>[119]Sheet1!$C$5/1000000</f>
        <v>0</v>
      </c>
      <c r="Q6" s="476">
        <f>[120]Sheet1!$C$5/1000000</f>
        <v>0</v>
      </c>
      <c r="R6" s="476">
        <f>[121]Sheet1!$C$5/1000000</f>
        <v>0</v>
      </c>
      <c r="S6" s="476">
        <f>[122]Sheet1!$C$5/1000000</f>
        <v>0</v>
      </c>
      <c r="T6" s="476">
        <f>[123]Sheet1!$C$5/1000000</f>
        <v>0</v>
      </c>
      <c r="U6" s="476">
        <f>[124]Sheet1!$C$5/1000000</f>
        <v>0</v>
      </c>
      <c r="V6" s="476">
        <f>[125]Sheet1!$C$5/1000000</f>
        <v>0</v>
      </c>
      <c r="W6" s="476">
        <f>[126]Sheet1!$C$5/1000000</f>
        <v>0</v>
      </c>
      <c r="X6" s="476">
        <f>[127]Sheet1!$C$5/1000000</f>
        <v>0</v>
      </c>
      <c r="Y6" s="476">
        <f>[128]Sheet1!$C$5/1000000</f>
        <v>0</v>
      </c>
      <c r="Z6" s="476">
        <f>[129]Sheet1!$C$5/1000000</f>
        <v>0</v>
      </c>
      <c r="AA6" s="476">
        <f>[130]Sheet1!$C$5/1000000</f>
        <v>0</v>
      </c>
      <c r="AB6" s="476">
        <f>[131]Sheet1!$C$5/1000000</f>
        <v>0</v>
      </c>
      <c r="AC6" s="476">
        <f>[132]Sheet1!$C$5/1000000</f>
        <v>0</v>
      </c>
      <c r="AD6" s="476">
        <f>[133]Sheet1!$C$5/1000000</f>
        <v>0</v>
      </c>
      <c r="AE6" s="476">
        <f>[134]Sheet1!$C$5/1000000</f>
        <v>0</v>
      </c>
      <c r="AF6" s="476">
        <f>[134]Sheet1!$C$5/1000000</f>
        <v>0</v>
      </c>
      <c r="AG6" s="476">
        <f>[134]Sheet1!$C$5/1000000</f>
        <v>0</v>
      </c>
      <c r="AH6" s="476">
        <f>[134]Sheet1!$C$5/1000000</f>
        <v>0</v>
      </c>
      <c r="AI6" s="476">
        <f>[134]Sheet1!$C$5/1000000</f>
        <v>0</v>
      </c>
      <c r="AJ6" s="476">
        <f>[134]Sheet1!$C$5/1000000</f>
        <v>0</v>
      </c>
      <c r="AK6" s="476">
        <f>[134]Sheet1!$C$5/1000000</f>
        <v>0</v>
      </c>
      <c r="AL6" s="476">
        <f>[134]Sheet1!$C$5/1000000</f>
        <v>0</v>
      </c>
      <c r="AM6" s="476">
        <f>[134]Sheet1!$C$5/1000000</f>
        <v>0</v>
      </c>
      <c r="AN6" s="476">
        <f>[134]Sheet1!$C$5/1000000</f>
        <v>0</v>
      </c>
      <c r="AO6" s="476">
        <f>[134]Sheet1!$C$5/1000000</f>
        <v>0</v>
      </c>
      <c r="AP6" s="476">
        <f>[135]Sheet1!$C$5/1000000</f>
        <v>0</v>
      </c>
      <c r="AQ6" s="476">
        <f>[136]Sheet1!$C$5/1000000</f>
        <v>0</v>
      </c>
      <c r="AR6" s="476">
        <f>[137]Sheet1!$C$5/1000000</f>
        <v>0</v>
      </c>
      <c r="AS6" s="476">
        <f>[138]Sheet1!$C$5/1000000</f>
        <v>0</v>
      </c>
      <c r="AT6" s="476">
        <f>[139]Sheet1!$C$5/1000000</f>
        <v>0</v>
      </c>
      <c r="AU6" s="476">
        <f>[140]Sheet1!$C$5/1000000</f>
        <v>0</v>
      </c>
      <c r="AV6" s="476">
        <f>[140]Sheet1!$C$5/1000000</f>
        <v>0</v>
      </c>
      <c r="AW6" s="476">
        <f>[140]Sheet1!$C$5/1000000</f>
        <v>0</v>
      </c>
      <c r="AX6" s="476">
        <f>[140]Sheet1!$C$5/1000000</f>
        <v>0</v>
      </c>
      <c r="AY6" s="476">
        <f>[140]Sheet1!$C$5/1000000</f>
        <v>0</v>
      </c>
      <c r="AZ6" s="476">
        <f>[140]Sheet1!$C$5/1000000</f>
        <v>0</v>
      </c>
      <c r="BA6" s="476">
        <f>[141]Sheet1!$C$5/1000000</f>
        <v>0</v>
      </c>
      <c r="BB6" s="476">
        <f>[142]Sheet1!$C$5/1000000</f>
        <v>0</v>
      </c>
      <c r="BC6" s="476">
        <f>[143]Sheet1!$C$5/1000000</f>
        <v>0</v>
      </c>
      <c r="BD6" s="476">
        <f>[144]Sheet1!$C$5/1000000</f>
        <v>0</v>
      </c>
      <c r="BE6" s="476">
        <f>[145]Sheet1!$C$5/1000000</f>
        <v>0</v>
      </c>
      <c r="BF6" s="476">
        <f>[146]Sheet1!$C$5/1000000</f>
        <v>0</v>
      </c>
      <c r="BG6" s="476">
        <f>[147]Sheet1!$C$5/1000000</f>
        <v>0</v>
      </c>
      <c r="BH6" s="476">
        <f>[148]Sheet1!$C$5/1000000</f>
        <v>0</v>
      </c>
      <c r="BI6" s="476">
        <f>[149]Sheet1!$C$5/1000000</f>
        <v>0</v>
      </c>
      <c r="BJ6" s="476">
        <f>[150]Sheet1!$C$5/1000000</f>
        <v>0</v>
      </c>
      <c r="BK6" s="476">
        <f>[151]Sheet1!$C$5/1000000</f>
        <v>0</v>
      </c>
      <c r="BL6" s="476">
        <f>[152]Sheet1!$C$5/1000000</f>
        <v>0</v>
      </c>
      <c r="BM6" s="476">
        <f>[153]Sheet1!$C$5/1000000</f>
        <v>0</v>
      </c>
      <c r="BN6" s="476">
        <f>[154]Sheet1!$C$5/1000000</f>
        <v>0</v>
      </c>
      <c r="BO6" s="476">
        <f>[155]Sheet1!$C$5/1000000</f>
        <v>0</v>
      </c>
      <c r="BP6" s="476">
        <f>[155]Sheet1!$C$5/1000000</f>
        <v>0</v>
      </c>
      <c r="BQ6" s="476">
        <f>[155]Sheet1!$C$5/1000000</f>
        <v>0</v>
      </c>
      <c r="BR6" s="476">
        <f>[155]Sheet1!$C$5/1000000</f>
        <v>0</v>
      </c>
      <c r="BS6" s="476">
        <f>[155]Sheet1!$C$5/1000000</f>
        <v>0</v>
      </c>
      <c r="BT6" s="476">
        <f>[155]Sheet1!$C$5/1000000</f>
        <v>0</v>
      </c>
      <c r="BU6" s="476">
        <f>[155]Sheet1!$C$5/1000000</f>
        <v>0</v>
      </c>
      <c r="BV6" s="476">
        <f>[155]Sheet1!$C$5/1000000</f>
        <v>0</v>
      </c>
      <c r="BW6" s="476">
        <f>[155]Sheet1!$C$5/1000000</f>
        <v>0</v>
      </c>
      <c r="BX6" s="476">
        <f>[155]Sheet1!$C$5/1000000</f>
        <v>0</v>
      </c>
      <c r="BY6" s="476">
        <f>[155]Sheet1!$C$5/1000000</f>
        <v>0</v>
      </c>
      <c r="BZ6" s="476">
        <f>[155]Sheet1!$C$5/1000000</f>
        <v>0</v>
      </c>
      <c r="CA6" s="476">
        <f>[155]Sheet1!$C$5/1000000</f>
        <v>0</v>
      </c>
      <c r="CB6" s="476">
        <f>[156]Sheet1!$C$5/1000000</f>
        <v>0</v>
      </c>
      <c r="CC6" s="476">
        <f>[157]Sheet1!$C$5/1000000</f>
        <v>0</v>
      </c>
      <c r="CD6" s="476">
        <f>[158]Sheet1!$C$5/1000000</f>
        <v>0</v>
      </c>
      <c r="CE6" s="476">
        <f>[159]Sheet1!$C$5/1000000</f>
        <v>0</v>
      </c>
      <c r="CF6" s="476">
        <f>[160]Sheet1!$C$5/1000000</f>
        <v>0</v>
      </c>
      <c r="CG6" s="476">
        <f>[161]Sheet1!$C$5/1000000</f>
        <v>0</v>
      </c>
      <c r="CH6" s="476">
        <f>[162]Sheet1!$C$5/1000000</f>
        <v>0</v>
      </c>
      <c r="CI6" s="476">
        <f>[163]Sheet1!$C$5/1000000</f>
        <v>0</v>
      </c>
      <c r="CJ6" s="476">
        <f>[164]Sheet1!$C$5/1000000</f>
        <v>0</v>
      </c>
      <c r="CK6" s="476">
        <f>[165]Sheet1!$C$5/1000000</f>
        <v>0</v>
      </c>
      <c r="CL6" s="476">
        <f>[166]Sheet1!$C$5/1000000</f>
        <v>0</v>
      </c>
      <c r="CM6" s="476">
        <f>[167]Sheet1!$C$5/1000000</f>
        <v>0</v>
      </c>
      <c r="CN6" s="476">
        <f>[168]Sheet1!$C$5/1000000</f>
        <v>0</v>
      </c>
      <c r="CO6" s="476">
        <f>[169]Sheet1!$C$5/1000000</f>
        <v>0</v>
      </c>
      <c r="CP6" s="435">
        <f>[170]Sheet1!$C$5/1000000</f>
        <v>0</v>
      </c>
    </row>
    <row r="7" spans="1:94">
      <c r="A7" s="436"/>
      <c r="B7" s="437"/>
      <c r="C7" s="478"/>
      <c r="D7" s="478"/>
      <c r="E7" s="478"/>
      <c r="F7" s="479"/>
      <c r="G7" s="478"/>
      <c r="H7" s="480"/>
      <c r="I7" s="478"/>
      <c r="J7" s="478"/>
      <c r="K7" s="478"/>
      <c r="L7" s="478"/>
      <c r="M7" s="479"/>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38"/>
    </row>
    <row r="8" spans="1:94">
      <c r="A8" s="433" t="s">
        <v>510</v>
      </c>
      <c r="B8" s="434" t="s">
        <v>511</v>
      </c>
      <c r="C8" s="476">
        <f t="shared" ref="C8:BN8" si="0">C9+C10+C11+C12</f>
        <v>137386.0341277422</v>
      </c>
      <c r="D8" s="476">
        <f t="shared" si="0"/>
        <v>117399.348093801</v>
      </c>
      <c r="E8" s="476">
        <f t="shared" si="0"/>
        <v>131125.28454545111</v>
      </c>
      <c r="F8" s="400">
        <f t="shared" si="0"/>
        <v>140720.59705364634</v>
      </c>
      <c r="G8" s="476">
        <f t="shared" si="0"/>
        <v>141011.62746160629</v>
      </c>
      <c r="H8" s="477">
        <f t="shared" si="0"/>
        <v>159497.48855781881</v>
      </c>
      <c r="I8" s="476">
        <f t="shared" si="0"/>
        <v>145285.62479737948</v>
      </c>
      <c r="J8" s="476">
        <f t="shared" si="0"/>
        <v>150117.14150413964</v>
      </c>
      <c r="K8" s="476">
        <f t="shared" si="0"/>
        <v>180139.24913477548</v>
      </c>
      <c r="L8" s="476">
        <f t="shared" si="0"/>
        <v>185596.64168305803</v>
      </c>
      <c r="M8" s="400">
        <f t="shared" si="0"/>
        <v>171768.35285375925</v>
      </c>
      <c r="N8" s="476">
        <f t="shared" si="0"/>
        <v>197853.7032548814</v>
      </c>
      <c r="O8" s="476">
        <f t="shared" si="0"/>
        <v>189741.42472981042</v>
      </c>
      <c r="P8" s="476">
        <f t="shared" si="0"/>
        <v>201220.75243668648</v>
      </c>
      <c r="Q8" s="476">
        <f t="shared" si="0"/>
        <v>207376.85327395448</v>
      </c>
      <c r="R8" s="476">
        <f t="shared" si="0"/>
        <v>232379.02466321187</v>
      </c>
      <c r="S8" s="476">
        <f t="shared" si="0"/>
        <v>235220.29024859404</v>
      </c>
      <c r="T8" s="476">
        <f t="shared" si="0"/>
        <v>253038.36976652572</v>
      </c>
      <c r="U8" s="476">
        <f t="shared" si="0"/>
        <v>278446.37739369058</v>
      </c>
      <c r="V8" s="476">
        <f t="shared" si="0"/>
        <v>245272.14790840913</v>
      </c>
      <c r="W8" s="476">
        <f t="shared" si="0"/>
        <v>242442.3100011294</v>
      </c>
      <c r="X8" s="476">
        <f t="shared" si="0"/>
        <v>241406.61946127925</v>
      </c>
      <c r="Y8" s="476">
        <f t="shared" si="0"/>
        <v>230874.92979168013</v>
      </c>
      <c r="Z8" s="476">
        <f t="shared" si="0"/>
        <v>229179.90703698719</v>
      </c>
      <c r="AA8" s="476">
        <f t="shared" si="0"/>
        <v>236414.29466614086</v>
      </c>
      <c r="AB8" s="476">
        <f t="shared" si="0"/>
        <v>262561.77986380341</v>
      </c>
      <c r="AC8" s="476">
        <f t="shared" si="0"/>
        <v>275642.83616328746</v>
      </c>
      <c r="AD8" s="476">
        <f t="shared" si="0"/>
        <v>279192.4884326607</v>
      </c>
      <c r="AE8" s="476">
        <f t="shared" si="0"/>
        <v>266967.41221147869</v>
      </c>
      <c r="AF8" s="476">
        <f t="shared" si="0"/>
        <v>298101.25039353222</v>
      </c>
      <c r="AG8" s="476">
        <f t="shared" si="0"/>
        <v>280388.48017139942</v>
      </c>
      <c r="AH8" s="476">
        <f t="shared" si="0"/>
        <v>297271.43602694536</v>
      </c>
      <c r="AI8" s="476">
        <f t="shared" si="0"/>
        <v>272698.01819091185</v>
      </c>
      <c r="AJ8" s="476">
        <f t="shared" si="0"/>
        <v>263998.76533190883</v>
      </c>
      <c r="AK8" s="476">
        <f t="shared" si="0"/>
        <v>241307.58789939963</v>
      </c>
      <c r="AL8" s="476">
        <f t="shared" si="0"/>
        <v>248295.76869701056</v>
      </c>
      <c r="AM8" s="476">
        <f t="shared" si="0"/>
        <v>260348.38627041283</v>
      </c>
      <c r="AN8" s="476">
        <f t="shared" si="0"/>
        <v>284965.82628359669</v>
      </c>
      <c r="AO8" s="476">
        <f t="shared" si="0"/>
        <v>262508.99074876745</v>
      </c>
      <c r="AP8" s="476">
        <f t="shared" si="0"/>
        <v>240133.13641787361</v>
      </c>
      <c r="AQ8" s="476">
        <f t="shared" si="0"/>
        <v>247172.15100666095</v>
      </c>
      <c r="AR8" s="476">
        <f t="shared" si="0"/>
        <v>247318.16636269708</v>
      </c>
      <c r="AS8" s="476">
        <f t="shared" si="0"/>
        <v>226472.68194759256</v>
      </c>
      <c r="AT8" s="476">
        <f t="shared" si="0"/>
        <v>248498.39609261439</v>
      </c>
      <c r="AU8" s="476">
        <f t="shared" si="0"/>
        <v>255750.81632148125</v>
      </c>
      <c r="AV8" s="476">
        <f t="shared" si="0"/>
        <v>261668.2340031841</v>
      </c>
      <c r="AW8" s="476">
        <f t="shared" si="0"/>
        <v>250963.08280641586</v>
      </c>
      <c r="AX8" s="476">
        <f t="shared" si="0"/>
        <v>247165.85171388794</v>
      </c>
      <c r="AY8" s="476">
        <f t="shared" si="0"/>
        <v>239066.4802707693</v>
      </c>
      <c r="AZ8" s="476">
        <f t="shared" si="0"/>
        <v>222235.0930853264</v>
      </c>
      <c r="BA8" s="476">
        <f t="shared" si="0"/>
        <v>213157.40076199675</v>
      </c>
      <c r="BB8" s="476">
        <f t="shared" si="0"/>
        <v>221243.51232874728</v>
      </c>
      <c r="BC8" s="476">
        <f t="shared" si="0"/>
        <v>230038.60302393045</v>
      </c>
      <c r="BD8" s="476">
        <f t="shared" si="0"/>
        <v>225281.30221427255</v>
      </c>
      <c r="BE8" s="476">
        <f t="shared" si="0"/>
        <v>242699.68803018064</v>
      </c>
      <c r="BF8" s="476">
        <f t="shared" si="0"/>
        <v>252608.18815209827</v>
      </c>
      <c r="BG8" s="476">
        <f t="shared" si="0"/>
        <v>246450.13653262565</v>
      </c>
      <c r="BH8" s="476">
        <f t="shared" si="0"/>
        <v>257805.51736637356</v>
      </c>
      <c r="BI8" s="476">
        <f t="shared" si="0"/>
        <v>240144.475173174</v>
      </c>
      <c r="BJ8" s="476">
        <f t="shared" si="0"/>
        <v>273052.42501328693</v>
      </c>
      <c r="BK8" s="476">
        <f t="shared" si="0"/>
        <v>258250.54107368217</v>
      </c>
      <c r="BL8" s="476">
        <f t="shared" si="0"/>
        <v>213353.58345542761</v>
      </c>
      <c r="BM8" s="476">
        <f t="shared" si="0"/>
        <v>240985.29380027275</v>
      </c>
      <c r="BN8" s="476">
        <f t="shared" si="0"/>
        <v>244599.46316346692</v>
      </c>
      <c r="BO8" s="476">
        <f t="shared" ref="BO8:CK8" si="1">BO9+BO10+BO11+BO12</f>
        <v>251201.50909209871</v>
      </c>
      <c r="BP8" s="476">
        <f t="shared" si="1"/>
        <v>257937.35828741209</v>
      </c>
      <c r="BQ8" s="476">
        <f t="shared" si="1"/>
        <v>254678.39536562684</v>
      </c>
      <c r="BR8" s="476">
        <f t="shared" si="1"/>
        <v>255903.56181570969</v>
      </c>
      <c r="BS8" s="476">
        <f t="shared" si="1"/>
        <v>256948.65902961243</v>
      </c>
      <c r="BT8" s="476">
        <f t="shared" si="1"/>
        <v>216110.11891233135</v>
      </c>
      <c r="BU8" s="476">
        <f t="shared" si="1"/>
        <v>252412.87371397743</v>
      </c>
      <c r="BV8" s="476">
        <f t="shared" si="1"/>
        <v>211799.71538531585</v>
      </c>
      <c r="BW8" s="476">
        <f t="shared" si="1"/>
        <v>243411.21701593651</v>
      </c>
      <c r="BX8" s="476">
        <f t="shared" si="1"/>
        <v>218376.56731882371</v>
      </c>
      <c r="BY8" s="476">
        <f t="shared" si="1"/>
        <v>205178.3766125745</v>
      </c>
      <c r="BZ8" s="476">
        <f t="shared" si="1"/>
        <v>217597.39724131243</v>
      </c>
      <c r="CA8" s="476">
        <f t="shared" si="1"/>
        <v>217877.85670702509</v>
      </c>
      <c r="CB8" s="476">
        <f t="shared" si="1"/>
        <v>264835.77243650565</v>
      </c>
      <c r="CC8" s="476">
        <f t="shared" si="1"/>
        <v>214652.98685543862</v>
      </c>
      <c r="CD8" s="476">
        <f t="shared" si="1"/>
        <v>175112.90033093217</v>
      </c>
      <c r="CE8" s="476">
        <f t="shared" si="1"/>
        <v>196333.64010481746</v>
      </c>
      <c r="CF8" s="476">
        <f t="shared" si="1"/>
        <v>245776.2354906844</v>
      </c>
      <c r="CG8" s="476">
        <f t="shared" si="1"/>
        <v>243471.86069752497</v>
      </c>
      <c r="CH8" s="476">
        <f t="shared" si="1"/>
        <v>250375.97247934691</v>
      </c>
      <c r="CI8" s="476">
        <f t="shared" si="1"/>
        <v>191631.19084373233</v>
      </c>
      <c r="CJ8" s="476">
        <f t="shared" si="1"/>
        <v>234311.0357581196</v>
      </c>
      <c r="CK8" s="476">
        <f t="shared" si="1"/>
        <v>203931.27148979629</v>
      </c>
      <c r="CL8" s="476">
        <f>CL9+CL10+CL11+CL12</f>
        <v>213939.94777051674</v>
      </c>
      <c r="CM8" s="476">
        <f>CM9+CM10+CM11+CM12</f>
        <v>222561.47313528575</v>
      </c>
      <c r="CN8" s="476">
        <f>CN9+CN10+CN11+CN12</f>
        <v>222971.41418918199</v>
      </c>
      <c r="CO8" s="476">
        <f>CO9+CO10+CO11+CO12</f>
        <v>246823.32745835738</v>
      </c>
      <c r="CP8" s="435">
        <f>CP9+CP10+CP11+CP12</f>
        <v>261840.31835304777</v>
      </c>
    </row>
    <row r="9" spans="1:94">
      <c r="A9" s="436" t="s">
        <v>512</v>
      </c>
      <c r="B9" s="437" t="s">
        <v>381</v>
      </c>
      <c r="C9" s="450">
        <f>[106]Sheet1!$C$13/1000000</f>
        <v>2411.6448719245864</v>
      </c>
      <c r="D9" s="450">
        <f>[107]Sheet1!$C$10/1000000</f>
        <v>2374.4042479120635</v>
      </c>
      <c r="E9" s="450">
        <f>[108]Sheet1!$C$10/1000000</f>
        <v>2689.557767122385</v>
      </c>
      <c r="F9" s="390">
        <f>[109]Sheet1!$C$10/1000000</f>
        <v>2609.4719283896675</v>
      </c>
      <c r="G9" s="450">
        <f>[110]Sheet1!$C$10/1000000</f>
        <v>2830.1345873619593</v>
      </c>
      <c r="H9" s="481">
        <f>[111]Sheet1!$C$10/1000000</f>
        <v>3422.5043247995222</v>
      </c>
      <c r="I9" s="450">
        <f>[112]Sheet1!$C$10/1000000</f>
        <v>3857.1887310018651</v>
      </c>
      <c r="J9" s="450">
        <f>[113]Sheet1!$C$10/1000000</f>
        <v>2834.8099402158277</v>
      </c>
      <c r="K9" s="450">
        <f>[114]Sheet1!$C$10/1000000</f>
        <v>2471.336450793483</v>
      </c>
      <c r="L9" s="450">
        <f>[115]Sheet1!$C$10/1000000</f>
        <v>2243.0124421296227</v>
      </c>
      <c r="M9" s="390">
        <f>[116]Sheet1!$C$10/1000000</f>
        <v>2325.8836747241262</v>
      </c>
      <c r="N9" s="450">
        <f>[117]Sheet1!$C$10/1000000</f>
        <v>2201.271461872574</v>
      </c>
      <c r="O9" s="450">
        <f>[118]Sheet1!$C$10/1000000</f>
        <v>2000.5660083582759</v>
      </c>
      <c r="P9" s="450">
        <f>[119]Sheet1!$C$10/1000000</f>
        <v>2248.3279587485636</v>
      </c>
      <c r="Q9" s="450">
        <f>[120]Sheet1!$C$10/1000000</f>
        <v>2611.3851675302876</v>
      </c>
      <c r="R9" s="450">
        <f>[121]Sheet1!$C$10/1000000</f>
        <v>2145.5334598244067</v>
      </c>
      <c r="S9" s="450">
        <f>[122]Sheet1!$C$10/1000000</f>
        <v>2471.2829387531992</v>
      </c>
      <c r="T9" s="450">
        <f>[123]Sheet1!$C$10/1000000</f>
        <v>2775.8332068863997</v>
      </c>
      <c r="U9" s="450">
        <f>[124]Sheet1!$C$10/1000000</f>
        <v>3733.53284045079</v>
      </c>
      <c r="V9" s="450">
        <f>[125]Sheet1!$C$10/1000000</f>
        <v>2768.4633993110911</v>
      </c>
      <c r="W9" s="450">
        <f>[126]Sheet1!$C$10/1000000</f>
        <v>2662.2735426748309</v>
      </c>
      <c r="X9" s="450">
        <f>[127]Sheet1!$C$10/1000000</f>
        <v>2443.9914995117688</v>
      </c>
      <c r="Y9" s="450">
        <f>[128]Sheet1!$C$10/1000000</f>
        <v>2448.4930247718553</v>
      </c>
      <c r="Z9" s="450">
        <f>[129]Sheet1!$C$10/1000000</f>
        <v>2350.2080557019381</v>
      </c>
      <c r="AA9" s="450">
        <f>[130]Sheet1!$C$10/1000000</f>
        <v>2179.9660078971137</v>
      </c>
      <c r="AB9" s="450">
        <f>[131]Sheet1!$C$10/1000000</f>
        <v>2431.050977735094</v>
      </c>
      <c r="AC9" s="450">
        <f>[132]Sheet1!$C$10/1000000</f>
        <v>2273.008936529533</v>
      </c>
      <c r="AD9" s="450">
        <f>[133]Sheet1!$C$10/1000000</f>
        <v>2236.9975068954045</v>
      </c>
      <c r="AE9" s="450">
        <f>[134]Sheet1!$C$10/1000000</f>
        <v>2654.2667859085932</v>
      </c>
      <c r="AF9" s="450">
        <f>[171]Sheet1!$C$10/1000000</f>
        <v>2637.1692764746685</v>
      </c>
      <c r="AG9" s="450">
        <f>[172]Sheet1!$C$10/1000000</f>
        <v>4080.571408117969</v>
      </c>
      <c r="AH9" s="450">
        <f>[173]Sheet1!$C$10/1000000</f>
        <v>3184.2296227115567</v>
      </c>
      <c r="AI9" s="450">
        <f>[174]Sheet1!$C$10/1000000</f>
        <v>2678.3764082254934</v>
      </c>
      <c r="AJ9" s="450">
        <f>[175]Sheet1!$C$10/1000000</f>
        <v>2471.1708194960197</v>
      </c>
      <c r="AK9" s="450">
        <f>[176]Sheet1!$C$10/1000000</f>
        <v>2611.5033620126337</v>
      </c>
      <c r="AL9" s="450">
        <f>[177]Sheet1!$C$10/1000000</f>
        <v>2543.5802629821205</v>
      </c>
      <c r="AM9" s="450">
        <f>[178]Sheet1!$C$10/1000000</f>
        <v>2419.5564327564121</v>
      </c>
      <c r="AN9" s="450">
        <f>[179]Sheet1!$C$10/1000000</f>
        <v>2828.8218833200708</v>
      </c>
      <c r="AO9" s="450">
        <f>[180]Sheet1!$C$10/1000000</f>
        <v>2636.1945565999749</v>
      </c>
      <c r="AP9" s="450">
        <f>[135]Sheet1!$C$10/1000000</f>
        <v>2433.2374582085795</v>
      </c>
      <c r="AQ9" s="450">
        <f>[136]Sheet1!$C$10/1000000</f>
        <v>2728.3825553319652</v>
      </c>
      <c r="AR9" s="450">
        <f>[137]Sheet1!$C$10/1000000</f>
        <v>2743.7347612636531</v>
      </c>
      <c r="AS9" s="450">
        <f>[138]Sheet1!$C$10/1000000</f>
        <v>4920.3742663607209</v>
      </c>
      <c r="AT9" s="450">
        <f>[139]Sheet1!$C$10/1000000</f>
        <v>3158.0098267541052</v>
      </c>
      <c r="AU9" s="450">
        <f>[140]Sheet1!$C$10/1000000</f>
        <v>2932.2880551760159</v>
      </c>
      <c r="AV9" s="450">
        <f>[181]Sheet1!$C$10/1000000</f>
        <v>2636.3657891956341</v>
      </c>
      <c r="AW9" s="450">
        <f>[182]Sheet1!$C$10/1000000</f>
        <v>2803.1081531132422</v>
      </c>
      <c r="AX9" s="450">
        <f>[183]Sheet1!$C$10/1000000</f>
        <v>2501.6318487829526</v>
      </c>
      <c r="AY9" s="450">
        <f>[184]Sheet1!$C$10/1000000</f>
        <v>2639.8834569233595</v>
      </c>
      <c r="AZ9" s="450">
        <f>[185]Sheet1!$C$10/1000000</f>
        <v>2766.7236381778416</v>
      </c>
      <c r="BA9" s="450">
        <f>[141]Sheet1!$C$10/1000000</f>
        <v>2763.7267800536069</v>
      </c>
      <c r="BB9" s="450">
        <f>[142]Sheet1!$C$10/1000000</f>
        <v>2588.0230722182687</v>
      </c>
      <c r="BC9" s="450">
        <f>[143]Sheet1!$C$10/1000000</f>
        <v>2616.4069659249826</v>
      </c>
      <c r="BD9" s="450">
        <f>[144]Sheet1!$C$10/1000000</f>
        <v>2906.4401303405753</v>
      </c>
      <c r="BE9" s="450">
        <f>[145]Sheet1!$C$10/1000000</f>
        <v>4540.8459481838481</v>
      </c>
      <c r="BF9" s="450">
        <f>[146]Sheet1!$C$10/1000000</f>
        <v>3193.9353958894894</v>
      </c>
      <c r="BG9" s="450">
        <f>[147]Sheet1!$C$10/1000000</f>
        <v>3014.0849166912244</v>
      </c>
      <c r="BH9" s="450">
        <f>[148]Sheet1!$C$10/1000000</f>
        <v>3331.4921098954283</v>
      </c>
      <c r="BI9" s="450">
        <f>[149]Sheet1!$C$10/1000000</f>
        <v>3034.892107271859</v>
      </c>
      <c r="BJ9" s="450">
        <f>[150]Sheet1!$C$10/1000000</f>
        <v>3058.530793599246</v>
      </c>
      <c r="BK9" s="450">
        <f>[151]Sheet1!$C$10/1000000</f>
        <v>3044.7412596029767</v>
      </c>
      <c r="BL9" s="450">
        <f>[152]Sheet1!$C$10/1000000</f>
        <v>2922.8846427241333</v>
      </c>
      <c r="BM9" s="450">
        <f>[153]Sheet1!$C$10/1000000</f>
        <v>3204.4366829432884</v>
      </c>
      <c r="BN9" s="450">
        <f>[154]Sheet1!$C$10/1000000</f>
        <v>3270.9799411855515</v>
      </c>
      <c r="BO9" s="450">
        <f>[155]Sheet1!$C$10/1000000</f>
        <v>3170.9120614312574</v>
      </c>
      <c r="BP9" s="450">
        <f>[186]Sheet1!$C$10/1000000</f>
        <v>3235.7485965076662</v>
      </c>
      <c r="BQ9" s="450">
        <f>[187]Sheet1!$C$10/1000000</f>
        <v>4206.4172802693201</v>
      </c>
      <c r="BR9" s="450">
        <f>[188]Sheet1!$C$10/1000000</f>
        <v>3861.5959101247977</v>
      </c>
      <c r="BS9" s="450">
        <f>[189]Sheet1!$C$10/1000000</f>
        <v>3248.3862172234908</v>
      </c>
      <c r="BT9" s="450">
        <f>[190]Sheet1!$C$10/1000000</f>
        <v>3401.9818232472849</v>
      </c>
      <c r="BU9" s="450">
        <f>[191]Sheet1!$C$10/1000000</f>
        <v>3143.5539530932256</v>
      </c>
      <c r="BV9" s="450">
        <f>[192]Sheet1!$C$10/1000000</f>
        <v>3348.1496243326078</v>
      </c>
      <c r="BW9" s="450">
        <f>[193]Sheet1!$C$10/1000000</f>
        <v>3196.0201372805332</v>
      </c>
      <c r="BX9" s="450">
        <f>[194]Sheet1!$C$10/1000000</f>
        <v>3271.0530970156478</v>
      </c>
      <c r="BY9" s="450">
        <f>[195]Sheet1!$C$10/1000000</f>
        <v>3723.4052513859419</v>
      </c>
      <c r="BZ9" s="450">
        <f>[196]Sheet1!$C$10/1000000</f>
        <v>3523.040140670726</v>
      </c>
      <c r="CA9" s="450">
        <f>[197]Sheet1!$C$10/1000000</f>
        <v>3952.8994427882349</v>
      </c>
      <c r="CB9" s="450">
        <f>[156]Sheet1!$C$10/1000000</f>
        <v>3990.452736690575</v>
      </c>
      <c r="CC9" s="450">
        <f>[157]Sheet1!$C$10/1000000</f>
        <v>4740.9176379585651</v>
      </c>
      <c r="CD9" s="450">
        <f>[158]Sheet1!$C$10/1000000</f>
        <v>3776.1984780613684</v>
      </c>
      <c r="CE9" s="450">
        <f>[159]Sheet1!$C$10/1000000</f>
        <v>3640.6363961059837</v>
      </c>
      <c r="CF9" s="450">
        <f>[160]Sheet1!$C$10/1000000</f>
        <v>3312.0465586532928</v>
      </c>
      <c r="CG9" s="450">
        <f>[161]Sheet1!$C$10/1000000</f>
        <v>3394.6748425060241</v>
      </c>
      <c r="CH9" s="450">
        <f>[162]Sheet1!$C$10/1000000</f>
        <v>3669.5814846955191</v>
      </c>
      <c r="CI9" s="450">
        <f>[163]Sheet1!$C$10/1000000</f>
        <v>3071.6160394472058</v>
      </c>
      <c r="CJ9" s="450">
        <f>[164]Sheet1!$C$10/1000000</f>
        <v>3325.7167871601114</v>
      </c>
      <c r="CK9" s="450">
        <f>[165]Sheet1!$C$10/1000000</f>
        <v>3592.0347304622965</v>
      </c>
      <c r="CL9" s="450">
        <f>[166]Sheet1!$C$10/1000000</f>
        <v>3576.0201575213905</v>
      </c>
      <c r="CM9" s="450">
        <f>[167]Sheet1!$C$10/1000000</f>
        <v>4228.9072712417847</v>
      </c>
      <c r="CN9" s="450">
        <f>[168]Sheet1!$C$10/1000000</f>
        <v>3980.6171380319374</v>
      </c>
      <c r="CO9" s="450">
        <f>[169]Sheet1!$C$10/1000000</f>
        <v>5632.117172286582</v>
      </c>
      <c r="CP9" s="439">
        <f>[170]Sheet1!$C$10/1000000</f>
        <v>4741.4006917473353</v>
      </c>
    </row>
    <row r="10" spans="1:94">
      <c r="A10" s="436" t="s">
        <v>514</v>
      </c>
      <c r="B10" s="437" t="s">
        <v>564</v>
      </c>
      <c r="C10" s="450">
        <f>[106]Sheet1!$C$16/1000000</f>
        <v>19975.080293458301</v>
      </c>
      <c r="D10" s="450">
        <f>[107]Sheet1!$C$13/1000000</f>
        <v>22346.902759003209</v>
      </c>
      <c r="E10" s="450">
        <f>[108]Sheet1!$C$13/1000000</f>
        <v>20475.947543321927</v>
      </c>
      <c r="F10" s="390">
        <f>[109]Sheet1!$C$13/1000000</f>
        <v>22877.597539004928</v>
      </c>
      <c r="G10" s="450">
        <f>[110]Sheet1!$C$13/1000000</f>
        <v>21847.663648703674</v>
      </c>
      <c r="H10" s="481">
        <f>[111]Sheet1!$C$13/1000000</f>
        <v>34663.355402387118</v>
      </c>
      <c r="I10" s="450">
        <f>[112]Sheet1!$C$13/1000000</f>
        <v>17902.909454611141</v>
      </c>
      <c r="J10" s="450">
        <f>[113]Sheet1!$C$13/1000000</f>
        <v>25677.515168207792</v>
      </c>
      <c r="K10" s="450">
        <f>[114]Sheet1!$C$13/1000000</f>
        <v>21561.612577053904</v>
      </c>
      <c r="L10" s="450">
        <f>[115]Sheet1!$C$13/1000000</f>
        <v>22323.829189218744</v>
      </c>
      <c r="M10" s="390">
        <f>[116]Sheet1!$C$13/1000000</f>
        <v>21509.83215564246</v>
      </c>
      <c r="N10" s="450">
        <f>[117]Sheet1!$C$13/1000000</f>
        <v>22200.380501133372</v>
      </c>
      <c r="O10" s="450">
        <f>[118]Sheet1!$C$13/1000000</f>
        <v>30343.168662323718</v>
      </c>
      <c r="P10" s="450">
        <f>[119]Sheet1!$C$13/1000000</f>
        <v>73088.583959607771</v>
      </c>
      <c r="Q10" s="450">
        <f>[120]Sheet1!$C$13/1000000</f>
        <v>20138.284316349331</v>
      </c>
      <c r="R10" s="450">
        <f>[121]Sheet1!$C$13/1000000</f>
        <v>24953.663398915643</v>
      </c>
      <c r="S10" s="450">
        <f>[122]Sheet1!$C$13/1000000</f>
        <v>24222.421543240973</v>
      </c>
      <c r="T10" s="450">
        <f>[123]Sheet1!$C$13/1000000</f>
        <v>79514.592170465985</v>
      </c>
      <c r="U10" s="450">
        <f>[124]Sheet1!$C$13/1000000</f>
        <v>90611.003020587581</v>
      </c>
      <c r="V10" s="450">
        <f>[125]Sheet1!$C$13/1000000</f>
        <v>85868.06333871161</v>
      </c>
      <c r="W10" s="450">
        <f>[126]Sheet1!$C$13/1000000</f>
        <v>86225.300003184399</v>
      </c>
      <c r="X10" s="450">
        <f>[127]Sheet1!$C$13/1000000</f>
        <v>87306.730941753791</v>
      </c>
      <c r="Y10" s="450">
        <f>[128]Sheet1!$C$13/1000000</f>
        <v>73307.135789904234</v>
      </c>
      <c r="Z10" s="450">
        <f>[129]Sheet1!$C$13/1000000</f>
        <v>75156.728640008048</v>
      </c>
      <c r="AA10" s="450">
        <f>[130]Sheet1!$C$13/1000000</f>
        <v>85896.07315991525</v>
      </c>
      <c r="AB10" s="450">
        <f>[131]Sheet1!$C$13/1000000</f>
        <v>95706.061487670566</v>
      </c>
      <c r="AC10" s="450">
        <f>[132]Sheet1!$C$13/1000000</f>
        <v>100024.42352192786</v>
      </c>
      <c r="AD10" s="450">
        <f>[133]Sheet1!$C$13/1000000</f>
        <v>106983.1036179873</v>
      </c>
      <c r="AE10" s="450">
        <f>[134]Sheet1!$C$13/1000000</f>
        <v>105272.22278386854</v>
      </c>
      <c r="AF10" s="450">
        <f>[171]Sheet1!$C$13/1000000</f>
        <v>128581.35657862392</v>
      </c>
      <c r="AG10" s="450">
        <f>[172]Sheet1!$C$13/1000000</f>
        <v>119614.38863466259</v>
      </c>
      <c r="AH10" s="450">
        <f>[173]Sheet1!$C$13/1000000</f>
        <v>116901.70349935519</v>
      </c>
      <c r="AI10" s="450">
        <f>[174]Sheet1!$C$13/1000000</f>
        <v>122889.85854175108</v>
      </c>
      <c r="AJ10" s="450">
        <f>[175]Sheet1!$C$13/1000000</f>
        <v>116413.52518368076</v>
      </c>
      <c r="AK10" s="450">
        <f>[176]Sheet1!$C$13/1000000</f>
        <v>104087.51083708563</v>
      </c>
      <c r="AL10" s="450">
        <f>[177]Sheet1!$C$13/1000000</f>
        <v>116160.66223781955</v>
      </c>
      <c r="AM10" s="450">
        <f>[178]Sheet1!$C$13/1000000</f>
        <v>117149.00051827468</v>
      </c>
      <c r="AN10" s="450">
        <f>[179]Sheet1!$C$13/1000000</f>
        <v>125242.36273515598</v>
      </c>
      <c r="AO10" s="450">
        <f>[180]Sheet1!$C$13/1000000</f>
        <v>123449.53393194849</v>
      </c>
      <c r="AP10" s="450">
        <f>[135]Sheet1!$C$13/1000000</f>
        <v>103228.08979591788</v>
      </c>
      <c r="AQ10" s="450">
        <f>[136]Sheet1!$C$13/1000000</f>
        <v>106145.31807003192</v>
      </c>
      <c r="AR10" s="450">
        <f>[137]Sheet1!$C$13/1000000</f>
        <v>111695.80547703271</v>
      </c>
      <c r="AS10" s="450">
        <f>[138]Sheet1!$C$13/1000000</f>
        <v>94127.095238527792</v>
      </c>
      <c r="AT10" s="450">
        <f>[139]Sheet1!$C$13/1000000</f>
        <v>109408.71932217915</v>
      </c>
      <c r="AU10" s="450">
        <f>[140]Sheet1!$C$13/1000000</f>
        <v>116582.52539816564</v>
      </c>
      <c r="AV10" s="450">
        <f>[181]Sheet1!$C$13/1000000</f>
        <v>121635.64622612936</v>
      </c>
      <c r="AW10" s="450">
        <f>[182]Sheet1!$C$13/1000000</f>
        <v>116678.60981528788</v>
      </c>
      <c r="AX10" s="450">
        <f>[183]Sheet1!$C$13/1000000</f>
        <v>129243.60248592439</v>
      </c>
      <c r="AY10" s="450">
        <f>[184]Sheet1!$C$13/1000000</f>
        <v>116942.44460790638</v>
      </c>
      <c r="AZ10" s="450">
        <f>[185]Sheet1!$C$13/1000000</f>
        <v>113403.86664098399</v>
      </c>
      <c r="BA10" s="450">
        <f>[141]Sheet1!$C$13/1000000</f>
        <v>93559.366855159329</v>
      </c>
      <c r="BB10" s="450">
        <f>[142]Sheet1!$C$13/1000000</f>
        <v>112313.31301834264</v>
      </c>
      <c r="BC10" s="450">
        <f>[143]Sheet1!$C$13/1000000</f>
        <v>127555.66274654098</v>
      </c>
      <c r="BD10" s="450">
        <f>[144]Sheet1!$C$13/1000000</f>
        <v>118620.74633788063</v>
      </c>
      <c r="BE10" s="450">
        <f>[145]Sheet1!$C$13/1000000</f>
        <v>132849.31107179535</v>
      </c>
      <c r="BF10" s="450">
        <f>[146]Sheet1!$C$13/1000000</f>
        <v>85469.596649490719</v>
      </c>
      <c r="BG10" s="450">
        <f>[147]Sheet1!$C$13/1000000</f>
        <v>111904.64422547795</v>
      </c>
      <c r="BH10" s="450">
        <f>[148]Sheet1!$C$13/1000000</f>
        <v>117164.47701259931</v>
      </c>
      <c r="BI10" s="450">
        <f>[149]Sheet1!$C$13/1000000</f>
        <v>124509.89209567537</v>
      </c>
      <c r="BJ10" s="450">
        <f>[150]Sheet1!$C$13/1000000</f>
        <v>130066.30620843144</v>
      </c>
      <c r="BK10" s="450">
        <f>[151]Sheet1!$C$13/1000000</f>
        <v>120171.29273877224</v>
      </c>
      <c r="BL10" s="450">
        <f>[152]Sheet1!$C$13/1000000</f>
        <v>107286.74789194504</v>
      </c>
      <c r="BM10" s="450">
        <f>[153]Sheet1!$C$13/1000000</f>
        <v>112166.31690164335</v>
      </c>
      <c r="BN10" s="450">
        <f>[154]Sheet1!$C$13/1000000</f>
        <v>126786.72434546983</v>
      </c>
      <c r="BO10" s="450">
        <f>[155]Sheet1!$C$13/1000000</f>
        <v>121092.10067095078</v>
      </c>
      <c r="BP10" s="450">
        <f>[186]Sheet1!$C$13/1000000</f>
        <v>141326.79744404394</v>
      </c>
      <c r="BQ10" s="450">
        <f>[187]Sheet1!$C$13/1000000</f>
        <v>131412.7484882109</v>
      </c>
      <c r="BR10" s="450">
        <f>[188]Sheet1!$C$13/1000000</f>
        <v>113844.89811462261</v>
      </c>
      <c r="BS10" s="450">
        <f>[189]Sheet1!$C$13/1000000</f>
        <v>127472.02314959349</v>
      </c>
      <c r="BT10" s="450">
        <f>[190]Sheet1!$C$13/1000000</f>
        <v>106409.80316978128</v>
      </c>
      <c r="BU10" s="450">
        <f>[191]Sheet1!$C$13/1000000</f>
        <v>100178.15867654752</v>
      </c>
      <c r="BV10" s="450">
        <f>[192]Sheet1!$C$13/1000000</f>
        <v>95285.305464231365</v>
      </c>
      <c r="BW10" s="450">
        <f>[193]Sheet1!$C$13/1000000</f>
        <v>112379.86962005035</v>
      </c>
      <c r="BX10" s="450">
        <f>[194]Sheet1!$C$13/1000000</f>
        <v>96368.938647299103</v>
      </c>
      <c r="BY10" s="450">
        <f>[195]Sheet1!$C$13/1000000</f>
        <v>97993.702883231395</v>
      </c>
      <c r="BZ10" s="450">
        <f>[196]Sheet1!$C$13/1000000</f>
        <v>95265.289534892945</v>
      </c>
      <c r="CA10" s="450">
        <f>[197]Sheet1!$C$13/1000000</f>
        <v>76726.773073888238</v>
      </c>
      <c r="CB10" s="450">
        <f>[156]Sheet1!$C$13/1000000</f>
        <v>89010.888355937175</v>
      </c>
      <c r="CC10" s="450">
        <f>[157]Sheet1!$C$13/1000000</f>
        <v>81702.210347968896</v>
      </c>
      <c r="CD10" s="450">
        <f>[158]Sheet1!$C$13/1000000</f>
        <v>75748.717375522581</v>
      </c>
      <c r="CE10" s="450">
        <f>[159]Sheet1!$C$13/1000000</f>
        <v>96946.295553742704</v>
      </c>
      <c r="CF10" s="450">
        <f>[160]Sheet1!$C$13/1000000</f>
        <v>153645.87541378877</v>
      </c>
      <c r="CG10" s="450">
        <f>[161]Sheet1!$C$13/1000000</f>
        <v>139707.75868664263</v>
      </c>
      <c r="CH10" s="450">
        <f>[162]Sheet1!$C$13/1000000</f>
        <v>160857.2852431722</v>
      </c>
      <c r="CI10" s="450">
        <f>[163]Sheet1!$C$13/1000000</f>
        <v>102410.46502473236</v>
      </c>
      <c r="CJ10" s="450">
        <f>[164]Sheet1!$C$13/1000000</f>
        <v>141983.86840759171</v>
      </c>
      <c r="CK10" s="450">
        <f>[165]Sheet1!$C$13/1000000</f>
        <v>101094.19029405949</v>
      </c>
      <c r="CL10" s="450">
        <f>[166]Sheet1!$C$13/1000000</f>
        <v>114787.49756484</v>
      </c>
      <c r="CM10" s="450">
        <f>[167]Sheet1!$C$13/1000000</f>
        <v>122996.08724202342</v>
      </c>
      <c r="CN10" s="450">
        <f>[168]Sheet1!$C$13/1000000</f>
        <v>124265.81529070709</v>
      </c>
      <c r="CO10" s="450">
        <f>[169]Sheet1!$C$13/1000000</f>
        <v>143331.1175241709</v>
      </c>
      <c r="CP10" s="439">
        <f>[170]Sheet1!$C$13/1000000</f>
        <v>152212.84297757698</v>
      </c>
    </row>
    <row r="11" spans="1:94">
      <c r="A11" s="436" t="s">
        <v>516</v>
      </c>
      <c r="B11" s="437" t="s">
        <v>571</v>
      </c>
      <c r="C11" s="450">
        <f>[106]Sheet1!$C$35/1000000</f>
        <v>218.78021294999994</v>
      </c>
      <c r="D11" s="450">
        <f>[107]Sheet1!$C$30/1000000</f>
        <v>479.12523298420001</v>
      </c>
      <c r="E11" s="450">
        <f>[108]Sheet1!$C$30/1000000</f>
        <v>701.29248116420001</v>
      </c>
      <c r="F11" s="390">
        <f>[109]Sheet1!$C$30/1000000</f>
        <v>385.54954311239999</v>
      </c>
      <c r="G11" s="450">
        <f>[110]Sheet1!$C$30/1000000</f>
        <v>361.83599612679996</v>
      </c>
      <c r="H11" s="481">
        <f>[111]Sheet1!$C$30/1000000</f>
        <v>1017.6780878194</v>
      </c>
      <c r="I11" s="450">
        <f>[112]Sheet1!$C$30/1000000</f>
        <v>892.30805765639991</v>
      </c>
      <c r="J11" s="450">
        <f>[113]Sheet1!$C$30/1000000</f>
        <v>1636.4558734556001</v>
      </c>
      <c r="K11" s="450">
        <f>[114]Sheet1!$C$30/1000000</f>
        <v>918.29561470860006</v>
      </c>
      <c r="L11" s="450">
        <f>[115]Sheet1!$C$30/1000000</f>
        <v>583.53288016479996</v>
      </c>
      <c r="M11" s="390">
        <f>[116]Sheet1!$C$30/1000000</f>
        <v>797.90734200079999</v>
      </c>
      <c r="N11" s="450">
        <f>[117]Sheet1!$C$30/1000000</f>
        <v>567.79508362299998</v>
      </c>
      <c r="O11" s="450">
        <f>[118]Sheet1!$C$30/1000000</f>
        <v>404.05200875619988</v>
      </c>
      <c r="P11" s="450">
        <f>[119]Sheet1!$C$30/1000000</f>
        <v>670.92330815859975</v>
      </c>
      <c r="Q11" s="450">
        <f>[120]Sheet1!$C$30/1000000</f>
        <v>351.8244658915998</v>
      </c>
      <c r="R11" s="450">
        <f>[121]Sheet1!$C$30/1000000</f>
        <v>360.95612798829973</v>
      </c>
      <c r="S11" s="450">
        <f>[122]Sheet1!$C$30/1000000</f>
        <v>419.07166179979976</v>
      </c>
      <c r="T11" s="450">
        <f>[123]Sheet1!$C$30/1000000</f>
        <v>407.1469993419999</v>
      </c>
      <c r="U11" s="450">
        <f>[124]Sheet1!$C$30/1000000</f>
        <v>253.83415127499975</v>
      </c>
      <c r="V11" s="450">
        <f>[125]Sheet1!$C$30/1000000</f>
        <v>398.89524168839989</v>
      </c>
      <c r="W11" s="450">
        <f>[126]Sheet1!$C$30/1000000</f>
        <v>422.57914170369997</v>
      </c>
      <c r="X11" s="450">
        <f>[127]Sheet1!$C$30/1000000</f>
        <v>344.25226376949979</v>
      </c>
      <c r="Y11" s="450">
        <f>[128]Sheet1!$C$30/1000000</f>
        <v>327.54693126949985</v>
      </c>
      <c r="Z11" s="450">
        <f>[129]Sheet1!$C$30/1000000</f>
        <v>345.70045700549986</v>
      </c>
      <c r="AA11" s="450">
        <f>[130]Sheet1!$C$30/1000000</f>
        <v>415.78733357549993</v>
      </c>
      <c r="AB11" s="450">
        <f>[131]Sheet1!$C$30/1000000</f>
        <v>322.57316390549983</v>
      </c>
      <c r="AC11" s="450">
        <f>[132]Sheet1!$C$30/1000000</f>
        <v>381.24796877549994</v>
      </c>
      <c r="AD11" s="450">
        <f>[133]Sheet1!$C$30/1000000</f>
        <v>342.66218756549989</v>
      </c>
      <c r="AE11" s="450">
        <f>[134]Sheet1!$C$30/1000000</f>
        <v>415.11937078549983</v>
      </c>
      <c r="AF11" s="450">
        <f>[171]Sheet1!$C$30/1000000</f>
        <v>463.51516345549982</v>
      </c>
      <c r="AG11" s="450">
        <f>[172]Sheet1!$C$30/1000000</f>
        <v>415.43479584749974</v>
      </c>
      <c r="AH11" s="450">
        <f>[173]Sheet1!$C$30/1000000</f>
        <v>815.05812312750004</v>
      </c>
      <c r="AI11" s="450">
        <f>[174]Sheet1!$C$30/1000000</f>
        <v>802.83032962549987</v>
      </c>
      <c r="AJ11" s="450">
        <f>[175]Sheet1!$C$30/1000000</f>
        <v>1135.1767810254998</v>
      </c>
      <c r="AK11" s="450">
        <f>[176]Sheet1!$C$30/1000000</f>
        <v>886.41189388749979</v>
      </c>
      <c r="AL11" s="450">
        <f>[177]Sheet1!$C$30/1000000</f>
        <v>840.51549616949967</v>
      </c>
      <c r="AM11" s="450">
        <f>[178]Sheet1!$C$30/1000000</f>
        <v>970.02344611949979</v>
      </c>
      <c r="AN11" s="450">
        <f>[179]Sheet1!$C$30/1000000</f>
        <v>891.52603242949999</v>
      </c>
      <c r="AO11" s="450">
        <f>[180]Sheet1!$C$30/1000000</f>
        <v>895.08640470949979</v>
      </c>
      <c r="AP11" s="450">
        <f>[135]Sheet1!$C$30/1000000</f>
        <v>670.43637266999997</v>
      </c>
      <c r="AQ11" s="450">
        <f>[136]Sheet1!$C$30/1000000</f>
        <v>671.15422126999988</v>
      </c>
      <c r="AR11" s="450">
        <f>[137]Sheet1!$C$30/1000000</f>
        <v>820.21852910999985</v>
      </c>
      <c r="AS11" s="450">
        <f>[138]Sheet1!$C$30/1000000</f>
        <v>679.80989671999976</v>
      </c>
      <c r="AT11" s="450">
        <f>[139]Sheet1!$C$30/1000000</f>
        <v>708.72556519999978</v>
      </c>
      <c r="AU11" s="450">
        <f>[140]Sheet1!$C$30/1000000</f>
        <v>358.72875690999996</v>
      </c>
      <c r="AV11" s="450">
        <f>[181]Sheet1!$C$30/1000000</f>
        <v>519.43095133999998</v>
      </c>
      <c r="AW11" s="450">
        <f>[182]Sheet1!$C$30/1000000</f>
        <v>564.67693534000023</v>
      </c>
      <c r="AX11" s="450">
        <f>[183]Sheet1!$C$30/1000000</f>
        <v>574.11750810000024</v>
      </c>
      <c r="AY11" s="450">
        <f>[184]Sheet1!$C$30/1000000</f>
        <v>714.27319077120444</v>
      </c>
      <c r="AZ11" s="450">
        <f>[185]Sheet1!$C$30/1000000</f>
        <v>901.16196808000018</v>
      </c>
      <c r="BA11" s="450">
        <f>[141]Sheet1!$C$30/1000000</f>
        <v>943.81252893999977</v>
      </c>
      <c r="BB11" s="450">
        <f>[142]Sheet1!$C$30/1000000</f>
        <v>703.73942211999997</v>
      </c>
      <c r="BC11" s="450">
        <f>[143]Sheet1!$C$30/1000000</f>
        <v>930.61532617000012</v>
      </c>
      <c r="BD11" s="450">
        <f>[144]Sheet1!$C$30/1000000</f>
        <v>769.33369759000016</v>
      </c>
      <c r="BE11" s="450">
        <f>[145]Sheet1!$C$30/1000000</f>
        <v>874.56711007299998</v>
      </c>
      <c r="BF11" s="450">
        <f>[146]Sheet1!$C$30/1000000</f>
        <v>731.51162923300001</v>
      </c>
      <c r="BG11" s="450">
        <f>[147]Sheet1!$C$30/1000000</f>
        <v>1090.8223261130004</v>
      </c>
      <c r="BH11" s="450">
        <f>[148]Sheet1!$C$30/1000000</f>
        <v>1327.5394631030001</v>
      </c>
      <c r="BI11" s="450">
        <f>[149]Sheet1!$C$30/1000000</f>
        <v>1112.3969502259999</v>
      </c>
      <c r="BJ11" s="450">
        <f>[150]Sheet1!$C$30/1000000</f>
        <v>1296.6844534877525</v>
      </c>
      <c r="BK11" s="450">
        <f>[151]Sheet1!$C$30/1000000</f>
        <v>1198.1438791159997</v>
      </c>
      <c r="BL11" s="450">
        <f>[152]Sheet1!$C$30/1000000</f>
        <v>981.85332459775259</v>
      </c>
      <c r="BM11" s="450">
        <f>[153]Sheet1!$C$30/1000000</f>
        <v>1058.9843746860001</v>
      </c>
      <c r="BN11" s="450">
        <f>[154]Sheet1!$C$30/1000000</f>
        <v>1092.9500498259999</v>
      </c>
      <c r="BO11" s="450">
        <f>[155]Sheet1!$C$30/1000000</f>
        <v>1516.8234844930005</v>
      </c>
      <c r="BP11" s="450">
        <f>[186]Sheet1!$C$30/1000000</f>
        <v>910.01958114300021</v>
      </c>
      <c r="BQ11" s="450">
        <f>[187]Sheet1!$C$30/1000000</f>
        <v>879.76789356300003</v>
      </c>
      <c r="BR11" s="450">
        <f>[188]Sheet1!$C$30/1000000</f>
        <v>1102.2721801730004</v>
      </c>
      <c r="BS11" s="450">
        <f>[189]Sheet1!$C$30/1000000</f>
        <v>1165.3789722830002</v>
      </c>
      <c r="BT11" s="450">
        <f>[190]Sheet1!$C$30/1000000</f>
        <v>1379.4388065599999</v>
      </c>
      <c r="BU11" s="450">
        <f>[191]Sheet1!$C$30/1000000</f>
        <v>1828.9585669699998</v>
      </c>
      <c r="BV11" s="450">
        <f>[192]Sheet1!$C$30/1000000</f>
        <v>1846.1887993699995</v>
      </c>
      <c r="BW11" s="450">
        <f>[193]Sheet1!$C$30/1000000</f>
        <v>1020.9280029099999</v>
      </c>
      <c r="BX11" s="450">
        <f>[194]Sheet1!$C$30/1000000</f>
        <v>1489.1784517899998</v>
      </c>
      <c r="BY11" s="450">
        <f>[195]Sheet1!$C$30/1000000</f>
        <v>1295.146992332787</v>
      </c>
      <c r="BZ11" s="450">
        <f>[196]Sheet1!$C$30/1000000</f>
        <v>1236.6824080599997</v>
      </c>
      <c r="CA11" s="450">
        <f>[197]Sheet1!$C$30/1000000</f>
        <v>1188.6795859400006</v>
      </c>
      <c r="CB11" s="450">
        <f>[156]Sheet1!$C$30/1000000</f>
        <v>1147.8261792799999</v>
      </c>
      <c r="CC11" s="450">
        <f>[157]Sheet1!$C$30/1000000</f>
        <v>1151.2427044000001</v>
      </c>
      <c r="CD11" s="450">
        <f>[158]Sheet1!$C$30/1000000</f>
        <v>1167.7523538799999</v>
      </c>
      <c r="CE11" s="450">
        <f>[159]Sheet1!$C$30/1000000</f>
        <v>1052.5402204800002</v>
      </c>
      <c r="CF11" s="450">
        <f>[160]Sheet1!$C$30/1000000</f>
        <v>1165.4846706000008</v>
      </c>
      <c r="CG11" s="450">
        <f>[161]Sheet1!$C$30/1000000</f>
        <v>1374.7085454199998</v>
      </c>
      <c r="CH11" s="450">
        <f>[162]Sheet1!$C$30/1000000</f>
        <v>904.32682813999952</v>
      </c>
      <c r="CI11" s="450">
        <f>[163]Sheet1!$C$30/1000000</f>
        <v>1243.4650270600007</v>
      </c>
      <c r="CJ11" s="450">
        <f>[164]Sheet1!$C$30/1000000</f>
        <v>893.48213018000001</v>
      </c>
      <c r="CK11" s="450">
        <f>[165]Sheet1!$C$30/1000000</f>
        <v>930.23218397999926</v>
      </c>
      <c r="CL11" s="450">
        <f>[166]Sheet1!$C$30/1000000</f>
        <v>960.76329350999958</v>
      </c>
      <c r="CM11" s="450">
        <f>[167]Sheet1!$C$30/1000000</f>
        <v>998.74835851000023</v>
      </c>
      <c r="CN11" s="450">
        <f>[168]Sheet1!$C$30/1000000</f>
        <v>887.46812767155393</v>
      </c>
      <c r="CO11" s="450">
        <f>[169]Sheet1!$C$30/1000000</f>
        <v>891.35222507000015</v>
      </c>
      <c r="CP11" s="439">
        <f>[170]Sheet1!$C$30/1000000</f>
        <v>742.26391527000021</v>
      </c>
    </row>
    <row r="12" spans="1:94">
      <c r="A12" s="436" t="s">
        <v>518</v>
      </c>
      <c r="B12" s="437" t="s">
        <v>572</v>
      </c>
      <c r="C12" s="450">
        <f>[106]Sheet1!$C$54/1000000</f>
        <v>114780.52874940931</v>
      </c>
      <c r="D12" s="450">
        <f>[107]Sheet1!$C$47/1000000</f>
        <v>92198.915853901533</v>
      </c>
      <c r="E12" s="450">
        <f>[108]Sheet1!$C$47/1000000</f>
        <v>107258.48675384259</v>
      </c>
      <c r="F12" s="390">
        <f>[109]Sheet1!$C$47/1000000</f>
        <v>114847.97804313936</v>
      </c>
      <c r="G12" s="450">
        <f>[110]Sheet1!$C$47/1000000</f>
        <v>115971.99322941387</v>
      </c>
      <c r="H12" s="481">
        <f>[111]Sheet1!$C$47/1000000</f>
        <v>120393.95074281278</v>
      </c>
      <c r="I12" s="450">
        <f>[112]Sheet1!$C$47/1000000</f>
        <v>122633.21855411009</v>
      </c>
      <c r="J12" s="450">
        <f>[113]Sheet1!$C$47/1000000</f>
        <v>119968.36052226041</v>
      </c>
      <c r="K12" s="450">
        <f>[114]Sheet1!$C$47/1000000</f>
        <v>155188.00449221951</v>
      </c>
      <c r="L12" s="450">
        <f>[115]Sheet1!$C$47/1000000</f>
        <v>160446.26717154487</v>
      </c>
      <c r="M12" s="390">
        <f>[116]Sheet1!$C$47/1000000</f>
        <v>147134.72968139185</v>
      </c>
      <c r="N12" s="450">
        <f>[117]Sheet1!$C$47/1000000</f>
        <v>172884.25620825245</v>
      </c>
      <c r="O12" s="450">
        <f>[118]Sheet1!$C$47/1000000</f>
        <v>156993.63805037222</v>
      </c>
      <c r="P12" s="450">
        <f>[119]Sheet1!$C$47/1000000</f>
        <v>125212.91721017154</v>
      </c>
      <c r="Q12" s="450">
        <f>[120]Sheet1!$C$47/1000000</f>
        <v>184275.35932418326</v>
      </c>
      <c r="R12" s="450">
        <f>[121]Sheet1!$C$47/1000000</f>
        <v>204918.87167648351</v>
      </c>
      <c r="S12" s="450">
        <f>[122]Sheet1!$C$47/1000000</f>
        <v>208107.51410480007</v>
      </c>
      <c r="T12" s="450">
        <f>[123]Sheet1!$C$47/1000000</f>
        <v>170340.79738983134</v>
      </c>
      <c r="U12" s="450">
        <f>[124]Sheet1!$C$47/1000000</f>
        <v>183848.00738137719</v>
      </c>
      <c r="V12" s="450">
        <f>[125]Sheet1!$C$47/1000000</f>
        <v>156236.72592869803</v>
      </c>
      <c r="W12" s="450">
        <f>[126]Sheet1!$C$47/1000000</f>
        <v>153132.15731356648</v>
      </c>
      <c r="X12" s="450">
        <f>[127]Sheet1!$C$47/1000000</f>
        <v>151311.64475624418</v>
      </c>
      <c r="Y12" s="450">
        <f>[128]Sheet1!$C$47/1000000</f>
        <v>154791.75404573453</v>
      </c>
      <c r="Z12" s="450">
        <f>[129]Sheet1!$C$47/1000000</f>
        <v>151327.26988427169</v>
      </c>
      <c r="AA12" s="450">
        <f>[130]Sheet1!$C$47/1000000</f>
        <v>147922.46816475302</v>
      </c>
      <c r="AB12" s="450">
        <f>[131]Sheet1!$C$47/1000000</f>
        <v>164102.09423449222</v>
      </c>
      <c r="AC12" s="450">
        <f>[132]Sheet1!$C$47/1000000</f>
        <v>172964.15573605456</v>
      </c>
      <c r="AD12" s="450">
        <f>[133]Sheet1!$C$47/1000000</f>
        <v>169629.7251202125</v>
      </c>
      <c r="AE12" s="450">
        <f>[134]Sheet1!$C$47/1000000</f>
        <v>158625.80327091605</v>
      </c>
      <c r="AF12" s="450">
        <f>[171]Sheet1!$C$47/1000000</f>
        <v>166419.20937497812</v>
      </c>
      <c r="AG12" s="450">
        <f>[172]Sheet1!$C$47/1000000</f>
        <v>156278.08533277138</v>
      </c>
      <c r="AH12" s="450">
        <f>[173]Sheet1!$C$47/1000000</f>
        <v>176370.44478175111</v>
      </c>
      <c r="AI12" s="450">
        <f>[174]Sheet1!$C$47/1000000</f>
        <v>146326.95291130981</v>
      </c>
      <c r="AJ12" s="450">
        <f>[175]Sheet1!$C$47/1000000</f>
        <v>143978.89254770655</v>
      </c>
      <c r="AK12" s="450">
        <f>[176]Sheet1!$C$47/1000000</f>
        <v>133722.16180641385</v>
      </c>
      <c r="AL12" s="450">
        <f>[177]Sheet1!$C$47/1000000</f>
        <v>128751.01070003939</v>
      </c>
      <c r="AM12" s="450">
        <f>[178]Sheet1!$C$47/1000000</f>
        <v>139809.80587326223</v>
      </c>
      <c r="AN12" s="450">
        <f>[179]Sheet1!$C$47/1000000</f>
        <v>156003.11563269113</v>
      </c>
      <c r="AO12" s="450">
        <f>[180]Sheet1!$C$47/1000000</f>
        <v>135528.1758555095</v>
      </c>
      <c r="AP12" s="450">
        <f>[135]Sheet1!$C$47/1000000</f>
        <v>133801.37279107716</v>
      </c>
      <c r="AQ12" s="450">
        <f>[136]Sheet1!$C$47/1000000</f>
        <v>137627.29616002706</v>
      </c>
      <c r="AR12" s="450">
        <f>[137]Sheet1!$C$47/1000000</f>
        <v>132058.40759529072</v>
      </c>
      <c r="AS12" s="450">
        <f>[138]Sheet1!$C$47/1000000</f>
        <v>126745.40254598403</v>
      </c>
      <c r="AT12" s="450">
        <f>[139]Sheet1!$C$47/1000000</f>
        <v>135222.94137848113</v>
      </c>
      <c r="AU12" s="450">
        <f>[140]Sheet1!$C$47/1000000</f>
        <v>135877.27411122961</v>
      </c>
      <c r="AV12" s="450">
        <f>[181]Sheet1!$C$47/1000000</f>
        <v>136876.79103651911</v>
      </c>
      <c r="AW12" s="450">
        <f>[182]Sheet1!$C$47/1000000</f>
        <v>130916.68790267475</v>
      </c>
      <c r="AX12" s="450">
        <f>[183]Sheet1!$C$47/1000000</f>
        <v>114846.4998710806</v>
      </c>
      <c r="AY12" s="450">
        <f>[184]Sheet1!$C$47/1000000</f>
        <v>118769.87901516836</v>
      </c>
      <c r="AZ12" s="450">
        <f>[185]Sheet1!$C$47/1000000</f>
        <v>105163.34083808456</v>
      </c>
      <c r="BA12" s="450">
        <f>[141]Sheet1!$C$47/1000000</f>
        <v>115890.49459784379</v>
      </c>
      <c r="BB12" s="450">
        <f>[142]Sheet1!$C$47/1000000</f>
        <v>105638.43681606637</v>
      </c>
      <c r="BC12" s="450">
        <f>[143]Sheet1!$C$47/1000000</f>
        <v>98935.917985294494</v>
      </c>
      <c r="BD12" s="450">
        <f>[144]Sheet1!$C$47/1000000</f>
        <v>102984.78204846136</v>
      </c>
      <c r="BE12" s="450">
        <f>[145]Sheet1!$C$47/1000000</f>
        <v>104434.96390012844</v>
      </c>
      <c r="BF12" s="450">
        <f>[146]Sheet1!$C$47/1000000</f>
        <v>163213.14447748504</v>
      </c>
      <c r="BG12" s="450">
        <f>[147]Sheet1!$C$47/1000000</f>
        <v>130440.58506434348</v>
      </c>
      <c r="BH12" s="450">
        <f>[148]Sheet1!$C$47/1000000</f>
        <v>135982.00878077582</v>
      </c>
      <c r="BI12" s="450">
        <f>[149]Sheet1!$C$47/1000000</f>
        <v>111487.29402000074</v>
      </c>
      <c r="BJ12" s="450">
        <f>[150]Sheet1!$C$47/1000000</f>
        <v>138630.9035577685</v>
      </c>
      <c r="BK12" s="450">
        <f>[151]Sheet1!$C$47/1000000</f>
        <v>133836.36319619094</v>
      </c>
      <c r="BL12" s="450">
        <f>[152]Sheet1!$C$47/1000000</f>
        <v>102162.09759616066</v>
      </c>
      <c r="BM12" s="450">
        <f>[153]Sheet1!$C$47/1000000</f>
        <v>124555.55584100011</v>
      </c>
      <c r="BN12" s="450">
        <f>[154]Sheet1!$C$47/1000000</f>
        <v>113448.80882698554</v>
      </c>
      <c r="BO12" s="450">
        <f>[155]Sheet1!$C$47/1000000</f>
        <v>125421.67287522368</v>
      </c>
      <c r="BP12" s="450">
        <f>[186]Sheet1!$C$47/1000000</f>
        <v>112464.7926657175</v>
      </c>
      <c r="BQ12" s="450">
        <f>[187]Sheet1!$C$47/1000000</f>
        <v>118179.46170358364</v>
      </c>
      <c r="BR12" s="450">
        <f>[188]Sheet1!$C$47/1000000</f>
        <v>137094.79561078927</v>
      </c>
      <c r="BS12" s="450">
        <f>[189]Sheet1!$C$47/1000000</f>
        <v>125062.87069051244</v>
      </c>
      <c r="BT12" s="450">
        <f>[190]Sheet1!$C$47/1000000</f>
        <v>104918.89511274277</v>
      </c>
      <c r="BU12" s="450">
        <f>[191]Sheet1!$C$47/1000000</f>
        <v>147262.20251736668</v>
      </c>
      <c r="BV12" s="450">
        <f>[192]Sheet1!$C$47/1000000</f>
        <v>111320.07149738188</v>
      </c>
      <c r="BW12" s="450">
        <f>[193]Sheet1!$C$47/1000000</f>
        <v>126814.39925569562</v>
      </c>
      <c r="BX12" s="450">
        <f>[194]Sheet1!$C$47/1000000</f>
        <v>117247.39712271896</v>
      </c>
      <c r="BY12" s="450">
        <f>[195]Sheet1!$C$47/1000000</f>
        <v>102166.1214856244</v>
      </c>
      <c r="BZ12" s="450">
        <f>[196]Sheet1!$C$47/1000000</f>
        <v>117572.38515768877</v>
      </c>
      <c r="CA12" s="450">
        <f>[197]Sheet1!$C$47/1000000</f>
        <v>136009.50460440863</v>
      </c>
      <c r="CB12" s="450">
        <f>[156]Sheet1!$C$47/1000000</f>
        <v>170686.60516459792</v>
      </c>
      <c r="CC12" s="450">
        <f>[157]Sheet1!$C$47/1000000</f>
        <v>127058.61616511113</v>
      </c>
      <c r="CD12" s="450">
        <f>[158]Sheet1!$C$47/1000000</f>
        <v>94420.232123468231</v>
      </c>
      <c r="CE12" s="450">
        <f>[159]Sheet1!$C$47/1000000</f>
        <v>94694.167934488767</v>
      </c>
      <c r="CF12" s="450">
        <f>[160]Sheet1!$C$47/1000000</f>
        <v>87652.828847642333</v>
      </c>
      <c r="CG12" s="450">
        <f>[161]Sheet1!$C$47/1000000</f>
        <v>98994.718622956323</v>
      </c>
      <c r="CH12" s="450">
        <f>[162]Sheet1!$C$47/1000000</f>
        <v>84944.778923339196</v>
      </c>
      <c r="CI12" s="450">
        <f>[163]Sheet1!$C$47/1000000</f>
        <v>84905.64475249275</v>
      </c>
      <c r="CJ12" s="450">
        <f>[164]Sheet1!$C$47/1000000</f>
        <v>88107.968433187765</v>
      </c>
      <c r="CK12" s="450">
        <f>[165]Sheet1!$C$47/1000000</f>
        <v>98314.814281294501</v>
      </c>
      <c r="CL12" s="450">
        <f>[166]Sheet1!$C$47/1000000</f>
        <v>94615.666754645339</v>
      </c>
      <c r="CM12" s="450">
        <f>[167]Sheet1!$C$47/1000000</f>
        <v>94337.730263510544</v>
      </c>
      <c r="CN12" s="450">
        <f>[168]Sheet1!$C$47/1000000</f>
        <v>93837.513632771414</v>
      </c>
      <c r="CO12" s="450">
        <f>[169]Sheet1!$C$47/1000000</f>
        <v>96968.740536829879</v>
      </c>
      <c r="CP12" s="439">
        <f>[170]Sheet1!$C$47/1000000</f>
        <v>104143.81076845342</v>
      </c>
    </row>
    <row r="13" spans="1:94">
      <c r="A13" s="436"/>
      <c r="B13" s="437"/>
      <c r="C13" s="478"/>
      <c r="D13" s="478"/>
      <c r="E13" s="478"/>
      <c r="F13" s="479"/>
      <c r="G13" s="478"/>
      <c r="H13" s="480"/>
      <c r="I13" s="478"/>
      <c r="J13" s="478"/>
      <c r="K13" s="478"/>
      <c r="L13" s="478"/>
      <c r="M13" s="479"/>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38"/>
    </row>
    <row r="14" spans="1:94">
      <c r="A14" s="433" t="s">
        <v>520</v>
      </c>
      <c r="B14" s="434" t="s">
        <v>521</v>
      </c>
      <c r="C14" s="476">
        <f>[106]Sheet1!$C$75/1000000</f>
        <v>85768.101618001616</v>
      </c>
      <c r="D14" s="476">
        <f>[107]Sheet1!$C$65/1000000</f>
        <v>86725.799356485091</v>
      </c>
      <c r="E14" s="476">
        <f>[108]Sheet1!$C$65/1000000</f>
        <v>84956.440768187036</v>
      </c>
      <c r="F14" s="400">
        <f>[109]Sheet1!$C$65/1000000</f>
        <v>81904.329046623796</v>
      </c>
      <c r="G14" s="476">
        <f>[110]Sheet1!$C$65/1000000</f>
        <v>81098.844307442909</v>
      </c>
      <c r="H14" s="477">
        <f>[111]Sheet1!$C$65/1000000</f>
        <v>77922.091213270891</v>
      </c>
      <c r="I14" s="476">
        <f>[112]Sheet1!$C$65/1000000</f>
        <v>77836.155041532154</v>
      </c>
      <c r="J14" s="476">
        <f>[113]Sheet1!$C$65/1000000</f>
        <v>81628.329868855144</v>
      </c>
      <c r="K14" s="476">
        <f>[114]Sheet1!$C$65/1000000</f>
        <v>80483.982146845359</v>
      </c>
      <c r="L14" s="476">
        <f>[115]Sheet1!$C$65/1000000</f>
        <v>79601.826141637634</v>
      </c>
      <c r="M14" s="400">
        <f>[116]Sheet1!$C$65/1000000</f>
        <v>77293.845814212837</v>
      </c>
      <c r="N14" s="476">
        <f>[117]Sheet1!$C$65/1000000</f>
        <v>81197.003264282714</v>
      </c>
      <c r="O14" s="476">
        <f>[118]Sheet1!$C$65/1000000</f>
        <v>80414.083177176522</v>
      </c>
      <c r="P14" s="476">
        <f>[119]Sheet1!$C$65/1000000</f>
        <v>82165.709417242309</v>
      </c>
      <c r="Q14" s="476">
        <f>[120]Sheet1!$C$65/1000000</f>
        <v>81879.003795156183</v>
      </c>
      <c r="R14" s="476">
        <f>[121]Sheet1!$C$65/1000000</f>
        <v>77790.34492112766</v>
      </c>
      <c r="S14" s="476">
        <f>[122]Sheet1!$C$65/1000000</f>
        <v>75679.422153171807</v>
      </c>
      <c r="T14" s="476">
        <f>[123]Sheet1!$C$65/1000000</f>
        <v>75242.739826202829</v>
      </c>
      <c r="U14" s="476">
        <f>[124]Sheet1!$C$65/1000000</f>
        <v>74950.694285117264</v>
      </c>
      <c r="V14" s="476">
        <f>[125]Sheet1!$C$65/1000000</f>
        <v>73817.490238368322</v>
      </c>
      <c r="W14" s="476">
        <f>[126]Sheet1!$C$65/1000000</f>
        <v>73793.102170893326</v>
      </c>
      <c r="X14" s="476">
        <f>[127]Sheet1!$C$65/1000000</f>
        <v>76649.205505761129</v>
      </c>
      <c r="Y14" s="476">
        <f>[128]Sheet1!$C$65/1000000</f>
        <v>82416.771496184316</v>
      </c>
      <c r="Z14" s="476">
        <f>[129]Sheet1!$C$65/1000000</f>
        <v>82709.379905860493</v>
      </c>
      <c r="AA14" s="476">
        <f>[130]Sheet1!$C$65/1000000</f>
        <v>83753.22513865566</v>
      </c>
      <c r="AB14" s="476">
        <f>[131]Sheet1!$C$65/1000000</f>
        <v>82097.369034867952</v>
      </c>
      <c r="AC14" s="476">
        <f>[132]Sheet1!$C$65/1000000</f>
        <v>84682.888815698796</v>
      </c>
      <c r="AD14" s="476">
        <f>[133]Sheet1!$C$65/1000000</f>
        <v>83395.484899504401</v>
      </c>
      <c r="AE14" s="476">
        <f>[134]Sheet1!$C$65/1000000</f>
        <v>82814.570828131255</v>
      </c>
      <c r="AF14" s="476">
        <f>[171]Sheet1!$C$65/1000000</f>
        <v>86235.736855679963</v>
      </c>
      <c r="AG14" s="476">
        <f>[172]Sheet1!$C$65/1000000</f>
        <v>85592.699238705725</v>
      </c>
      <c r="AH14" s="476">
        <f>[173]Sheet1!$C$65/1000000</f>
        <v>86847.866583002033</v>
      </c>
      <c r="AI14" s="476">
        <f>[174]Sheet1!$C$65/1000000</f>
        <v>87935.646434789407</v>
      </c>
      <c r="AJ14" s="476">
        <f>[175]Sheet1!$C$65/1000000</f>
        <v>75792.299272587217</v>
      </c>
      <c r="AK14" s="476">
        <f>[176]Sheet1!$C$65/1000000</f>
        <v>82780.492313511859</v>
      </c>
      <c r="AL14" s="476">
        <f>[177]Sheet1!$C$65/1000000</f>
        <v>92953.9536492482</v>
      </c>
      <c r="AM14" s="476">
        <f>[178]Sheet1!$C$65/1000000</f>
        <v>98168.8645630721</v>
      </c>
      <c r="AN14" s="476">
        <f>[179]Sheet1!$C$65/1000000</f>
        <v>87532.163223141804</v>
      </c>
      <c r="AO14" s="476">
        <f>[180]Sheet1!$C$65/1000000</f>
        <v>83537.093903936533</v>
      </c>
      <c r="AP14" s="476">
        <f>[135]Sheet1!$C$65/1000000</f>
        <v>81121.660092495367</v>
      </c>
      <c r="AQ14" s="476">
        <f>[136]Sheet1!$C$65/1000000</f>
        <v>78695.590004808691</v>
      </c>
      <c r="AR14" s="476">
        <f>[137]Sheet1!$C$65/1000000</f>
        <v>77595.451426086671</v>
      </c>
      <c r="AS14" s="476">
        <f>[138]Sheet1!$C$65/1000000</f>
        <v>95724.537910414336</v>
      </c>
      <c r="AT14" s="476">
        <f>[139]Sheet1!$C$65/1000000</f>
        <v>79497.849259822455</v>
      </c>
      <c r="AU14" s="476">
        <f>[140]Sheet1!$C$65/1000000</f>
        <v>80101.791451565427</v>
      </c>
      <c r="AV14" s="476">
        <f>[181]Sheet1!$C$65/1000000</f>
        <v>81027.962760390219</v>
      </c>
      <c r="AW14" s="476">
        <f>[182]Sheet1!$C$65/1000000</f>
        <v>86810.682307831783</v>
      </c>
      <c r="AX14" s="476">
        <f>[183]Sheet1!$C$65/1000000</f>
        <v>88311.381266260389</v>
      </c>
      <c r="AY14" s="476">
        <f>[184]Sheet1!$C$65/1000000</f>
        <v>98378.730677803658</v>
      </c>
      <c r="AZ14" s="476">
        <f>[185]Sheet1!$C$65/1000000</f>
        <v>106751.2103873233</v>
      </c>
      <c r="BA14" s="476">
        <f>[141]Sheet1!$C$65/1000000</f>
        <v>105095.83186605357</v>
      </c>
      <c r="BB14" s="476">
        <f>[142]Sheet1!$C$65/1000000</f>
        <v>102090.4187805697</v>
      </c>
      <c r="BC14" s="476">
        <f>[143]Sheet1!$C$65/1000000</f>
        <v>104504.09536311703</v>
      </c>
      <c r="BD14" s="476">
        <f>[144]Sheet1!$C$65/1000000</f>
        <v>107636.63077667206</v>
      </c>
      <c r="BE14" s="476">
        <f>[145]Sheet1!$C$65/1000000</f>
        <v>112580.29737774999</v>
      </c>
      <c r="BF14" s="476">
        <f>[146]Sheet1!$C$65/1000000</f>
        <v>113283.95283699065</v>
      </c>
      <c r="BG14" s="476">
        <f>[147]Sheet1!$C$65/1000000</f>
        <v>123425.61055936545</v>
      </c>
      <c r="BH14" s="476">
        <f>[148]Sheet1!$C$65/1000000</f>
        <v>125147.82091468478</v>
      </c>
      <c r="BI14" s="476">
        <f>[149]Sheet1!$C$65/1000000</f>
        <v>131099.95932432913</v>
      </c>
      <c r="BJ14" s="476">
        <f>[150]Sheet1!$C$65/1000000</f>
        <v>149411.28451591876</v>
      </c>
      <c r="BK14" s="476">
        <f>[151]Sheet1!$C$65/1000000</f>
        <v>145894.76729189398</v>
      </c>
      <c r="BL14" s="476">
        <f>[152]Sheet1!$C$65/1000000</f>
        <v>140521.48015151516</v>
      </c>
      <c r="BM14" s="476">
        <f>[153]Sheet1!$C$65/1000000</f>
        <v>141984.81507186859</v>
      </c>
      <c r="BN14" s="476">
        <f>[154]Sheet1!$C$65/1000000</f>
        <v>148152.31360519517</v>
      </c>
      <c r="BO14" s="476">
        <f>[155]Sheet1!$C$65/1000000</f>
        <v>145244.71763102073</v>
      </c>
      <c r="BP14" s="476">
        <f>[186]Sheet1!$C$65/1000000</f>
        <v>145300.04737531042</v>
      </c>
      <c r="BQ14" s="476">
        <f>[187]Sheet1!$C$65/1000000</f>
        <v>142236.58001312456</v>
      </c>
      <c r="BR14" s="476">
        <f>[188]Sheet1!$C$65/1000000</f>
        <v>133650.78699992941</v>
      </c>
      <c r="BS14" s="476">
        <f>[189]Sheet1!$C$65/1000000</f>
        <v>129806.03437077765</v>
      </c>
      <c r="BT14" s="476">
        <f>[190]Sheet1!$C$65/1000000</f>
        <v>130737.22348823029</v>
      </c>
      <c r="BU14" s="476">
        <f>[191]Sheet1!$C$65/1000000</f>
        <v>129580.16269868378</v>
      </c>
      <c r="BV14" s="476">
        <f>[192]Sheet1!$C$65/1000000</f>
        <v>122182.56104689998</v>
      </c>
      <c r="BW14" s="476">
        <f>[193]Sheet1!$C$65/1000000</f>
        <v>132378.82492657253</v>
      </c>
      <c r="BX14" s="476">
        <f>[194]Sheet1!$C$65/1000000</f>
        <v>136296.67640350119</v>
      </c>
      <c r="BY14" s="476">
        <f>[195]Sheet1!$C$65/1000000</f>
        <v>138176.53691638046</v>
      </c>
      <c r="BZ14" s="476">
        <f>[196]Sheet1!$C$65/1000000</f>
        <v>134900.86854621588</v>
      </c>
      <c r="CA14" s="476">
        <f>[197]Sheet1!$C$65/1000000</f>
        <v>136433.58327222336</v>
      </c>
      <c r="CB14" s="476">
        <f>[156]Sheet1!$C$65/1000000</f>
        <v>129162.57147044834</v>
      </c>
      <c r="CC14" s="476">
        <f>[157]Sheet1!$C$65/1000000</f>
        <v>125800.19534152022</v>
      </c>
      <c r="CD14" s="476">
        <f>[158]Sheet1!$C$65/1000000</f>
        <v>137594.30727903513</v>
      </c>
      <c r="CE14" s="476">
        <f>[159]Sheet1!$C$65/1000000</f>
        <v>132341.8026527745</v>
      </c>
      <c r="CF14" s="476">
        <f>[160]Sheet1!$C$65/1000000</f>
        <v>135432.31771875036</v>
      </c>
      <c r="CG14" s="476">
        <f>[161]Sheet1!$C$65/1000000</f>
        <v>139169.0883524252</v>
      </c>
      <c r="CH14" s="476">
        <f>[162]Sheet1!$C$65/1000000</f>
        <v>135179.96924033374</v>
      </c>
      <c r="CI14" s="476">
        <f>[163]Sheet1!$C$65/1000000</f>
        <v>145398.66199286413</v>
      </c>
      <c r="CJ14" s="476">
        <f>[164]Sheet1!$C$65/1000000</f>
        <v>137592.6133651961</v>
      </c>
      <c r="CK14" s="476">
        <f>[165]Sheet1!$C$65/1000000</f>
        <v>142779.8234122046</v>
      </c>
      <c r="CL14" s="476">
        <f>[166]Sheet1!$C$65/1000000</f>
        <v>145313.72486497837</v>
      </c>
      <c r="CM14" s="476">
        <f>[167]Sheet1!$C$65/1000000</f>
        <v>146552.84723938318</v>
      </c>
      <c r="CN14" s="476">
        <f>[168]Sheet1!$C$65/1000000</f>
        <v>153501.3643928185</v>
      </c>
      <c r="CO14" s="476">
        <f>[169]Sheet1!$C$65/1000000</f>
        <v>133773.74684271324</v>
      </c>
      <c r="CP14" s="435">
        <f>[170]Sheet1!$C$65/1000000</f>
        <v>138524.56655245015</v>
      </c>
    </row>
    <row r="15" spans="1:94">
      <c r="A15" s="436"/>
      <c r="B15" s="437"/>
      <c r="C15" s="478"/>
      <c r="D15" s="478"/>
      <c r="E15" s="478"/>
      <c r="F15" s="479"/>
      <c r="G15" s="478"/>
      <c r="H15" s="480"/>
      <c r="I15" s="478"/>
      <c r="J15" s="478"/>
      <c r="K15" s="478"/>
      <c r="L15" s="478"/>
      <c r="M15" s="479"/>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8"/>
      <c r="CM15" s="478"/>
      <c r="CN15" s="478"/>
      <c r="CO15" s="478"/>
      <c r="CP15" s="438"/>
    </row>
    <row r="16" spans="1:94">
      <c r="A16" s="433" t="s">
        <v>522</v>
      </c>
      <c r="B16" s="434" t="s">
        <v>322</v>
      </c>
      <c r="C16" s="476">
        <f>[106]Sheet1!$C$95/1000000</f>
        <v>199044.86807115094</v>
      </c>
      <c r="D16" s="476">
        <f>[107]Sheet1!$C$84/1000000</f>
        <v>199273.87546531469</v>
      </c>
      <c r="E16" s="476">
        <f>[108]Sheet1!$C$84/1000000</f>
        <v>200495.96875494719</v>
      </c>
      <c r="F16" s="400">
        <f>[109]Sheet1!$C$84/1000000</f>
        <v>211374.12298909877</v>
      </c>
      <c r="G16" s="476">
        <f>[110]Sheet1!$C$84/1000000</f>
        <v>209511.00246092153</v>
      </c>
      <c r="H16" s="477">
        <f>[111]Sheet1!$C$84/1000000</f>
        <v>214380.85127147011</v>
      </c>
      <c r="I16" s="476">
        <f>[112]Sheet1!$C$84/1000000</f>
        <v>216970.39499971044</v>
      </c>
      <c r="J16" s="476">
        <f>[113]Sheet1!$C$84/1000000</f>
        <v>213131.13359317151</v>
      </c>
      <c r="K16" s="476">
        <f>[114]Sheet1!$C$84/1000000</f>
        <v>210940.86692220892</v>
      </c>
      <c r="L16" s="476">
        <f>[115]Sheet1!$C$84/1000000</f>
        <v>213698.30339226313</v>
      </c>
      <c r="M16" s="400">
        <f>[116]Sheet1!$C$84/1000000</f>
        <v>222588.12279015593</v>
      </c>
      <c r="N16" s="476">
        <f>[117]Sheet1!$C$84/1000000</f>
        <v>224021.10441421121</v>
      </c>
      <c r="O16" s="476">
        <f>[118]Sheet1!$C$84/1000000</f>
        <v>224723.73570730275</v>
      </c>
      <c r="P16" s="476">
        <f>[119]Sheet1!$C$84/1000000</f>
        <v>229838.18915842168</v>
      </c>
      <c r="Q16" s="476">
        <f>[120]Sheet1!$C$84/1000000</f>
        <v>235868.75987431384</v>
      </c>
      <c r="R16" s="476">
        <f>[121]Sheet1!$C$84/1000000</f>
        <v>240171.76476980947</v>
      </c>
      <c r="S16" s="476">
        <f>[122]Sheet1!$C$84/1000000</f>
        <v>244440.67127370514</v>
      </c>
      <c r="T16" s="476">
        <f>[123]Sheet1!$C$84/1000000</f>
        <v>252325.20331988618</v>
      </c>
      <c r="U16" s="476">
        <f>[124]Sheet1!$C$84/1000000</f>
        <v>257409.18419898144</v>
      </c>
      <c r="V16" s="476">
        <f>[125]Sheet1!$C$84/1000000</f>
        <v>262165.68204397318</v>
      </c>
      <c r="W16" s="476">
        <f>[126]Sheet1!$C$84/1000000</f>
        <v>267493.53941010131</v>
      </c>
      <c r="X16" s="476">
        <f>[127]Sheet1!$C$84/1000000</f>
        <v>281565.6706634998</v>
      </c>
      <c r="Y16" s="476">
        <f>[128]Sheet1!$C$84/1000000</f>
        <v>286015.18726825056</v>
      </c>
      <c r="Z16" s="476">
        <f>[129]Sheet1!$C$84/1000000</f>
        <v>293370.46462622704</v>
      </c>
      <c r="AA16" s="476">
        <f>[130]Sheet1!$C$84/1000000</f>
        <v>304210.65120580251</v>
      </c>
      <c r="AB16" s="476">
        <f>[131]Sheet1!$C$84/1000000</f>
        <v>302206.42017566657</v>
      </c>
      <c r="AC16" s="476">
        <f>[132]Sheet1!$C$84/1000000</f>
        <v>304231.07448118116</v>
      </c>
      <c r="AD16" s="476">
        <f>[133]Sheet1!$C$84/1000000</f>
        <v>311040.32277567685</v>
      </c>
      <c r="AE16" s="476">
        <f>[134]Sheet1!$C$84/1000000</f>
        <v>320397.54983698472</v>
      </c>
      <c r="AF16" s="476">
        <f>[171]Sheet1!$C$84/1000000</f>
        <v>331158.09054063866</v>
      </c>
      <c r="AG16" s="476">
        <f>[172]Sheet1!$C$84/1000000</f>
        <v>331584.08298876742</v>
      </c>
      <c r="AH16" s="476">
        <f>[173]Sheet1!$C$84/1000000</f>
        <v>342869.78521438804</v>
      </c>
      <c r="AI16" s="476">
        <f>[174]Sheet1!$C$84/1000000</f>
        <v>348051.61166220682</v>
      </c>
      <c r="AJ16" s="476">
        <f>[175]Sheet1!$C$84/1000000</f>
        <v>351947.5163436741</v>
      </c>
      <c r="AK16" s="476">
        <f>[176]Sheet1!$C$84/1000000</f>
        <v>361502.89571217826</v>
      </c>
      <c r="AL16" s="476">
        <f>[177]Sheet1!$C$84/1000000</f>
        <v>381153.23289374856</v>
      </c>
      <c r="AM16" s="476">
        <f>[178]Sheet1!$C$84/1000000</f>
        <v>372472.46521316923</v>
      </c>
      <c r="AN16" s="476">
        <f>[179]Sheet1!$C$84/1000000</f>
        <v>379003.75121309294</v>
      </c>
      <c r="AO16" s="476">
        <f>[180]Sheet1!$C$84/1000000</f>
        <v>395775.9335207729</v>
      </c>
      <c r="AP16" s="476">
        <f>[135]Sheet1!$C$84/1000000</f>
        <v>406834.60189462733</v>
      </c>
      <c r="AQ16" s="476">
        <f>[136]Sheet1!$C$84/1000000</f>
        <v>436364.27636165597</v>
      </c>
      <c r="AR16" s="476">
        <f>[137]Sheet1!$C$84/1000000</f>
        <v>438699.17790112528</v>
      </c>
      <c r="AS16" s="476">
        <f>[138]Sheet1!$C$84/1000000</f>
        <v>437685.23793102987</v>
      </c>
      <c r="AT16" s="476">
        <f>[139]Sheet1!$C$84/1000000</f>
        <v>437963.12173500529</v>
      </c>
      <c r="AU16" s="476">
        <f>[140]Sheet1!$C$84/1000000</f>
        <v>439346.65455416957</v>
      </c>
      <c r="AV16" s="476">
        <f>[181]Sheet1!$C$84/1000000</f>
        <v>424656.87682331202</v>
      </c>
      <c r="AW16" s="476">
        <f>[182]Sheet1!$C$84/1000000</f>
        <v>419404.1463423876</v>
      </c>
      <c r="AX16" s="476">
        <f>[183]Sheet1!$C$84/1000000</f>
        <v>414458.31451376568</v>
      </c>
      <c r="AY16" s="476">
        <f>[184]Sheet1!$C$84/1000000</f>
        <v>410554.79309852852</v>
      </c>
      <c r="AZ16" s="476">
        <f>[185]Sheet1!$C$84/1000000</f>
        <v>416485.54505075578</v>
      </c>
      <c r="BA16" s="476">
        <f>[141]Sheet1!$C$84/1000000</f>
        <v>424937.65203636384</v>
      </c>
      <c r="BB16" s="476">
        <f>[142]Sheet1!$C$84/1000000</f>
        <v>422625.32893888786</v>
      </c>
      <c r="BC16" s="476">
        <f>[143]Sheet1!$C$84/1000000</f>
        <v>407640.50574806577</v>
      </c>
      <c r="BD16" s="476">
        <f>[144]Sheet1!$C$84/1000000</f>
        <v>401543.06341815571</v>
      </c>
      <c r="BE16" s="476">
        <f>[145]Sheet1!$C$84/1000000</f>
        <v>401376.81859416811</v>
      </c>
      <c r="BF16" s="476">
        <f>[146]Sheet1!$C$84/1000000</f>
        <v>399243.52598673524</v>
      </c>
      <c r="BG16" s="476">
        <f>[147]Sheet1!$C$84/1000000</f>
        <v>405466.44113927928</v>
      </c>
      <c r="BH16" s="476">
        <f>[148]Sheet1!$C$84/1000000</f>
        <v>400972.46744072455</v>
      </c>
      <c r="BI16" s="476">
        <f>[149]Sheet1!$C$84/1000000</f>
        <v>406537.31378205703</v>
      </c>
      <c r="BJ16" s="476">
        <f>[150]Sheet1!$C$84/1000000</f>
        <v>433189.61248306325</v>
      </c>
      <c r="BK16" s="476">
        <f>[151]Sheet1!$C$84/1000000</f>
        <v>442087.62024915137</v>
      </c>
      <c r="BL16" s="476">
        <f>[152]Sheet1!$C$84/1000000</f>
        <v>441283.6088587023</v>
      </c>
      <c r="BM16" s="476">
        <f>[153]Sheet1!$C$84/1000000</f>
        <v>450408.83801341825</v>
      </c>
      <c r="BN16" s="476">
        <f>[154]Sheet1!$C$84/1000000</f>
        <v>445690.54504195182</v>
      </c>
      <c r="BO16" s="476">
        <f>[155]Sheet1!$C$84/1000000</f>
        <v>443414.1225878126</v>
      </c>
      <c r="BP16" s="476">
        <f>[186]Sheet1!$C$84/1000000</f>
        <v>446137.76658484689</v>
      </c>
      <c r="BQ16" s="476">
        <f>[187]Sheet1!$C$84/1000000</f>
        <v>459466.78179734439</v>
      </c>
      <c r="BR16" s="476">
        <f>[188]Sheet1!$C$84/1000000</f>
        <v>454961.55947965285</v>
      </c>
      <c r="BS16" s="476">
        <f>[189]Sheet1!$C$84/1000000</f>
        <v>460404.29006142786</v>
      </c>
      <c r="BT16" s="476">
        <f>[190]Sheet1!$C$84/1000000</f>
        <v>464652.66967792017</v>
      </c>
      <c r="BU16" s="476">
        <f>[191]Sheet1!$C$84/1000000</f>
        <v>462654.02410401317</v>
      </c>
      <c r="BV16" s="476">
        <f>[192]Sheet1!$C$84/1000000</f>
        <v>479648.43227309361</v>
      </c>
      <c r="BW16" s="476">
        <f>[193]Sheet1!$C$84/1000000</f>
        <v>488435.90139164717</v>
      </c>
      <c r="BX16" s="476">
        <f>[194]Sheet1!$C$84/1000000</f>
        <v>493550.4179817565</v>
      </c>
      <c r="BY16" s="476">
        <f>[195]Sheet1!$C$84/1000000</f>
        <v>502263.41366293386</v>
      </c>
      <c r="BZ16" s="476">
        <f>[196]Sheet1!$C$84/1000000</f>
        <v>509989.11698373855</v>
      </c>
      <c r="CA16" s="476">
        <f>[197]Sheet1!$C$84/1000000</f>
        <v>512171.04834408086</v>
      </c>
      <c r="CB16" s="476">
        <f>[156]Sheet1!$C$84/1000000</f>
        <v>521216.10183510539</v>
      </c>
      <c r="CC16" s="476">
        <f>[157]Sheet1!$C$84/1000000</f>
        <v>533230.02726011456</v>
      </c>
      <c r="CD16" s="476">
        <f>[158]Sheet1!$C$84/1000000</f>
        <v>536867.2763463913</v>
      </c>
      <c r="CE16" s="476">
        <f>[159]Sheet1!$C$84/1000000</f>
        <v>525394.7975881641</v>
      </c>
      <c r="CF16" s="476">
        <f>[160]Sheet1!$C$84/1000000</f>
        <v>526865.93319035333</v>
      </c>
      <c r="CG16" s="476">
        <f>[161]Sheet1!$C$84/1000000</f>
        <v>527549.37775482878</v>
      </c>
      <c r="CH16" s="476">
        <f>[162]Sheet1!$C$84/1000000</f>
        <v>536956.54280896531</v>
      </c>
      <c r="CI16" s="476">
        <f>[163]Sheet1!$C$84/1000000</f>
        <v>557198.28514259751</v>
      </c>
      <c r="CJ16" s="476">
        <f>[164]Sheet1!$C$84/1000000</f>
        <v>549969.14302484749</v>
      </c>
      <c r="CK16" s="476">
        <f>[165]Sheet1!$C$84/1000000</f>
        <v>542636.02177314542</v>
      </c>
      <c r="CL16" s="476">
        <f>[166]Sheet1!$C$84/1000000</f>
        <v>547270.4549938601</v>
      </c>
      <c r="CM16" s="476">
        <f>[167]Sheet1!$C$84/1000000</f>
        <v>562688.6582219745</v>
      </c>
      <c r="CN16" s="476">
        <f>[168]Sheet1!$C$84/1000000</f>
        <v>573128.48870609084</v>
      </c>
      <c r="CO16" s="476">
        <f>[169]Sheet1!$C$84/1000000</f>
        <v>572836.64611042477</v>
      </c>
      <c r="CP16" s="435">
        <f>[170]Sheet1!$C$84/1000000</f>
        <v>567285.89485305955</v>
      </c>
    </row>
    <row r="17" spans="1:94">
      <c r="A17" s="436"/>
      <c r="B17" s="437"/>
      <c r="C17" s="478"/>
      <c r="D17" s="478"/>
      <c r="E17" s="478"/>
      <c r="F17" s="479"/>
      <c r="G17" s="478"/>
      <c r="H17" s="480"/>
      <c r="I17" s="478"/>
      <c r="J17" s="478"/>
      <c r="K17" s="478"/>
      <c r="L17" s="478"/>
      <c r="M17" s="479"/>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38"/>
    </row>
    <row r="18" spans="1:94">
      <c r="A18" s="433" t="s">
        <v>523</v>
      </c>
      <c r="B18" s="434" t="s">
        <v>524</v>
      </c>
      <c r="C18" s="476">
        <f>[106]Sheet1!$C$110/1000000</f>
        <v>5531.3803072675273</v>
      </c>
      <c r="D18" s="476">
        <f>[107]Sheet1!$C$98/1000000</f>
        <v>6387.5791570814499</v>
      </c>
      <c r="E18" s="476">
        <f>[108]Sheet1!$C$98/1000000</f>
        <v>6435.8123346383036</v>
      </c>
      <c r="F18" s="400">
        <f>[109]Sheet1!$C$98/1000000</f>
        <v>6358.3726471190885</v>
      </c>
      <c r="G18" s="476">
        <f>[110]Sheet1!$C$98/1000000</f>
        <v>6542.0766587614062</v>
      </c>
      <c r="H18" s="477">
        <f>[111]Sheet1!$C$98/1000000</f>
        <v>6668.0273447598711</v>
      </c>
      <c r="I18" s="476">
        <f>[112]Sheet1!$C$98/1000000</f>
        <v>6894.7895552277487</v>
      </c>
      <c r="J18" s="476">
        <f>[113]Sheet1!$C$98/1000000</f>
        <v>6210.6469639805737</v>
      </c>
      <c r="K18" s="476">
        <f>[114]Sheet1!$C$98/1000000</f>
        <v>6506.7939579539252</v>
      </c>
      <c r="L18" s="476">
        <f>[115]Sheet1!$C$98/1000000</f>
        <v>6725.2691993683256</v>
      </c>
      <c r="M18" s="400">
        <f>[116]Sheet1!$C$98/1000000</f>
        <v>6598.1875387907567</v>
      </c>
      <c r="N18" s="476">
        <f>[117]Sheet1!$C$98/1000000</f>
        <v>6278.6362166460058</v>
      </c>
      <c r="O18" s="476">
        <f>[118]Sheet1!$C$98/1000000</f>
        <v>7148.2176707650815</v>
      </c>
      <c r="P18" s="476">
        <f>[119]Sheet1!$C$98/1000000</f>
        <v>7908.8866773073569</v>
      </c>
      <c r="Q18" s="476">
        <f>[120]Sheet1!$C$98/1000000</f>
        <v>8262.1763758011475</v>
      </c>
      <c r="R18" s="476">
        <f>[121]Sheet1!$C$98/1000000</f>
        <v>8439.8508473656493</v>
      </c>
      <c r="S18" s="476">
        <f>[122]Sheet1!$C$98/1000000</f>
        <v>8876.5765234594801</v>
      </c>
      <c r="T18" s="476">
        <f>[123]Sheet1!$C$98/1000000</f>
        <v>9159.1296191671809</v>
      </c>
      <c r="U18" s="476">
        <f>[124]Sheet1!$C$98/1000000</f>
        <v>9227.589290234595</v>
      </c>
      <c r="V18" s="476">
        <f>[125]Sheet1!$C$98/1000000</f>
        <v>8978.897620083173</v>
      </c>
      <c r="W18" s="476">
        <f>[126]Sheet1!$C$98/1000000</f>
        <v>8949.6615872760776</v>
      </c>
      <c r="X18" s="476">
        <f>[127]Sheet1!$C$98/1000000</f>
        <v>9163.1837597375415</v>
      </c>
      <c r="Y18" s="476">
        <f>[128]Sheet1!$C$98/1000000</f>
        <v>9007.7821756606354</v>
      </c>
      <c r="Z18" s="476">
        <f>[129]Sheet1!$C$98/1000000</f>
        <v>9274.506712431059</v>
      </c>
      <c r="AA18" s="476">
        <f>[130]Sheet1!$C$98/1000000</f>
        <v>9830.2076527208119</v>
      </c>
      <c r="AB18" s="476">
        <f>[131]Sheet1!$C$98/1000000</f>
        <v>9838.630834851343</v>
      </c>
      <c r="AC18" s="476">
        <f>[132]Sheet1!$C$98/1000000</f>
        <v>9756.1844034573533</v>
      </c>
      <c r="AD18" s="476">
        <f>[133]Sheet1!$C$98/1000000</f>
        <v>10025.473527816757</v>
      </c>
      <c r="AE18" s="476">
        <f>[134]Sheet1!$C$98/1000000</f>
        <v>10193.467147840891</v>
      </c>
      <c r="AF18" s="476">
        <f>[171]Sheet1!$C$98/1000000</f>
        <v>10055.262286736246</v>
      </c>
      <c r="AG18" s="476">
        <f>[172]Sheet1!$C$98/1000000</f>
        <v>9654.0002269930301</v>
      </c>
      <c r="AH18" s="476">
        <f>[173]Sheet1!$C$98/1000000</f>
        <v>9300.7369838365121</v>
      </c>
      <c r="AI18" s="476">
        <f>[174]Sheet1!$C$98/1000000</f>
        <v>9242.7451026681883</v>
      </c>
      <c r="AJ18" s="476">
        <f>[175]Sheet1!$C$98/1000000</f>
        <v>9192.6543237565475</v>
      </c>
      <c r="AK18" s="476">
        <f>[176]Sheet1!$C$98/1000000</f>
        <v>9730.5789755466085</v>
      </c>
      <c r="AL18" s="476">
        <f>[177]Sheet1!$C$98/1000000</f>
        <v>10188.353875013227</v>
      </c>
      <c r="AM18" s="476">
        <f>[178]Sheet1!$C$98/1000000</f>
        <v>10558.961892640469</v>
      </c>
      <c r="AN18" s="476">
        <f>[179]Sheet1!$C$98/1000000</f>
        <v>10430.709256339031</v>
      </c>
      <c r="AO18" s="476">
        <f>[180]Sheet1!$C$98/1000000</f>
        <v>10420.232326054505</v>
      </c>
      <c r="AP18" s="476">
        <f>[135]Sheet1!$C$98/1000000</f>
        <v>10283.576908598152</v>
      </c>
      <c r="AQ18" s="476">
        <f>[136]Sheet1!$C$98/1000000</f>
        <v>10541.917578099252</v>
      </c>
      <c r="AR18" s="476">
        <f>[137]Sheet1!$C$98/1000000</f>
        <v>10406.70067774412</v>
      </c>
      <c r="AS18" s="476">
        <f>[138]Sheet1!$C$98/1000000</f>
        <v>10191.067582308317</v>
      </c>
      <c r="AT18" s="476">
        <f>[139]Sheet1!$C$98/1000000</f>
        <v>10658.039614393652</v>
      </c>
      <c r="AU18" s="476">
        <f>[140]Sheet1!$C$98/1000000</f>
        <v>10623.769803176141</v>
      </c>
      <c r="AV18" s="476">
        <f>[181]Sheet1!$C$98/1000000</f>
        <v>10520.695410769431</v>
      </c>
      <c r="AW18" s="476">
        <f>[182]Sheet1!$C$98/1000000</f>
        <v>10959.411512755578</v>
      </c>
      <c r="AX18" s="476">
        <f>[183]Sheet1!$C$98/1000000</f>
        <v>11109.244786260213</v>
      </c>
      <c r="AY18" s="476">
        <f>[184]Sheet1!$C$98/1000000</f>
        <v>11333.925216700934</v>
      </c>
      <c r="AZ18" s="476">
        <f>[185]Sheet1!$C$98/1000000</f>
        <v>11142.604930165548</v>
      </c>
      <c r="BA18" s="476">
        <f>[141]Sheet1!$C$98/1000000</f>
        <v>11197.881889352053</v>
      </c>
      <c r="BB18" s="476">
        <f>[142]Sheet1!$C$98/1000000</f>
        <v>11521.457824656423</v>
      </c>
      <c r="BC18" s="476">
        <f>[143]Sheet1!$C$98/1000000</f>
        <v>11428.483071625669</v>
      </c>
      <c r="BD18" s="476">
        <f>[144]Sheet1!$C$98/1000000</f>
        <v>10972.59682197724</v>
      </c>
      <c r="BE18" s="476">
        <f>[145]Sheet1!$C$98/1000000</f>
        <v>10744.865053888021</v>
      </c>
      <c r="BF18" s="476">
        <f>[146]Sheet1!$C$98/1000000</f>
        <v>10824.733215237027</v>
      </c>
      <c r="BG18" s="476">
        <f>[147]Sheet1!$C$98/1000000</f>
        <v>10314.152701945242</v>
      </c>
      <c r="BH18" s="476">
        <f>[148]Sheet1!$C$98/1000000</f>
        <v>10598.433889664768</v>
      </c>
      <c r="BI18" s="476">
        <f>[149]Sheet1!$C$98/1000000</f>
        <v>10538.736307325125</v>
      </c>
      <c r="BJ18" s="476">
        <f>[150]Sheet1!$C$98/1000000</f>
        <v>10865.438622063248</v>
      </c>
      <c r="BK18" s="476">
        <f>[151]Sheet1!$C$98/1000000</f>
        <v>11011.583328469778</v>
      </c>
      <c r="BL18" s="476">
        <f>[152]Sheet1!$C$98/1000000</f>
        <v>10717.871770146487</v>
      </c>
      <c r="BM18" s="476">
        <f>[153]Sheet1!$C$98/1000000</f>
        <v>10656.442933645629</v>
      </c>
      <c r="BN18" s="476">
        <f>[154]Sheet1!$C$98/1000000</f>
        <v>10802.052404263091</v>
      </c>
      <c r="BO18" s="476">
        <f>[155]Sheet1!$C$98/1000000</f>
        <v>10651.057622400416</v>
      </c>
      <c r="BP18" s="476">
        <f>[186]Sheet1!$C$98/1000000</f>
        <v>10829.986002679034</v>
      </c>
      <c r="BQ18" s="476">
        <f>[187]Sheet1!$C$98/1000000</f>
        <v>11359.467919985384</v>
      </c>
      <c r="BR18" s="476">
        <f>[188]Sheet1!$C$98/1000000</f>
        <v>11304.982898396216</v>
      </c>
      <c r="BS18" s="476">
        <f>[189]Sheet1!$C$98/1000000</f>
        <v>14357.840949577105</v>
      </c>
      <c r="BT18" s="476">
        <f>[190]Sheet1!$C$98/1000000</f>
        <v>14343.210789106744</v>
      </c>
      <c r="BU18" s="476">
        <f>[191]Sheet1!$C$98/1000000</f>
        <v>14222.00636356217</v>
      </c>
      <c r="BV18" s="476">
        <f>[192]Sheet1!$C$98/1000000</f>
        <v>14480.126228350526</v>
      </c>
      <c r="BW18" s="476">
        <f>[193]Sheet1!$C$98/1000000</f>
        <v>14898.04368517014</v>
      </c>
      <c r="BX18" s="476">
        <f>[194]Sheet1!$C$98/1000000</f>
        <v>14758.578493405426</v>
      </c>
      <c r="BY18" s="476">
        <f>[195]Sheet1!$C$98/1000000</f>
        <v>14517.367938910365</v>
      </c>
      <c r="BZ18" s="476">
        <f>[196]Sheet1!$C$98/1000000</f>
        <v>15764.188411157973</v>
      </c>
      <c r="CA18" s="476">
        <f>[197]Sheet1!$C$98/1000000</f>
        <v>15580.806845007333</v>
      </c>
      <c r="CB18" s="476">
        <f>[156]Sheet1!$C$98/1000000</f>
        <v>15687.677436771995</v>
      </c>
      <c r="CC18" s="476">
        <f>[157]Sheet1!$C$98/1000000</f>
        <v>13019.25104160525</v>
      </c>
      <c r="CD18" s="476">
        <f>[158]Sheet1!$C$98/1000000</f>
        <v>12516.397201959582</v>
      </c>
      <c r="CE18" s="476">
        <f>[159]Sheet1!$C$98/1000000</f>
        <v>13010.489896758496</v>
      </c>
      <c r="CF18" s="476">
        <f>[160]Sheet1!$C$98/1000000</f>
        <v>14424.495194139741</v>
      </c>
      <c r="CG18" s="476">
        <f>[161]Sheet1!$C$98/1000000</f>
        <v>15094.444195205204</v>
      </c>
      <c r="CH18" s="476">
        <f>[162]Sheet1!$C$98/1000000</f>
        <v>15158.76710254092</v>
      </c>
      <c r="CI18" s="476">
        <f>[163]Sheet1!$C$98/1000000</f>
        <v>15562.900465170398</v>
      </c>
      <c r="CJ18" s="476">
        <f>[164]Sheet1!$C$98/1000000</f>
        <v>13910.043776192188</v>
      </c>
      <c r="CK18" s="476">
        <f>[165]Sheet1!$C$98/1000000</f>
        <v>14241.144984327355</v>
      </c>
      <c r="CL18" s="476">
        <f>[166]Sheet1!$C$98/1000000</f>
        <v>13492.500500712837</v>
      </c>
      <c r="CM18" s="476">
        <f>[167]Sheet1!$C$98/1000000</f>
        <v>14024.466817268953</v>
      </c>
      <c r="CN18" s="476">
        <f>[168]Sheet1!$C$98/1000000</f>
        <v>13762.226982812961</v>
      </c>
      <c r="CO18" s="476">
        <f>[169]Sheet1!$C$98/1000000</f>
        <v>14506.032264859767</v>
      </c>
      <c r="CP18" s="435">
        <f>[170]Sheet1!$C$98/1000000</f>
        <v>14008.857242580611</v>
      </c>
    </row>
    <row r="19" spans="1:94">
      <c r="A19" s="436"/>
      <c r="B19" s="440"/>
      <c r="C19" s="478"/>
      <c r="D19" s="478"/>
      <c r="E19" s="478"/>
      <c r="F19" s="479"/>
      <c r="G19" s="478"/>
      <c r="H19" s="480"/>
      <c r="I19" s="478"/>
      <c r="J19" s="478"/>
      <c r="K19" s="478"/>
      <c r="L19" s="478"/>
      <c r="M19" s="479"/>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38"/>
    </row>
    <row r="20" spans="1:94">
      <c r="A20" s="433" t="s">
        <v>525</v>
      </c>
      <c r="B20" s="434" t="s">
        <v>526</v>
      </c>
      <c r="C20" s="476">
        <f>[106]Sheet1!$C$123/1000000</f>
        <v>0</v>
      </c>
      <c r="D20" s="476">
        <f>[107]Sheet1!$C$110/1000000</f>
        <v>0</v>
      </c>
      <c r="E20" s="476">
        <f>[108]Sheet1!$C$110/1000000</f>
        <v>0</v>
      </c>
      <c r="F20" s="400">
        <f>[109]Sheet1!$C$110/1000000</f>
        <v>0</v>
      </c>
      <c r="G20" s="476">
        <f>[110]Sheet1!$C$110/1000000</f>
        <v>0</v>
      </c>
      <c r="H20" s="477">
        <f>[111]Sheet1!$C$110/1000000</f>
        <v>0</v>
      </c>
      <c r="I20" s="476">
        <f>[112]Sheet1!$C$110/1000000</f>
        <v>0</v>
      </c>
      <c r="J20" s="476">
        <f>[113]Sheet1!$C$110/1000000</f>
        <v>0</v>
      </c>
      <c r="K20" s="476">
        <f>[114]Sheet1!$C$110/1000000</f>
        <v>0</v>
      </c>
      <c r="L20" s="476">
        <f>[115]Sheet1!$C$110/1000000</f>
        <v>0</v>
      </c>
      <c r="M20" s="400">
        <f>[116]Sheet1!$C$110/1000000</f>
        <v>0</v>
      </c>
      <c r="N20" s="476">
        <f>[117]Sheet1!$C$110/1000000</f>
        <v>0</v>
      </c>
      <c r="O20" s="476">
        <f>[118]Sheet1!$C$110/1000000</f>
        <v>0</v>
      </c>
      <c r="P20" s="476">
        <f>[119]Sheet1!$C$110/1000000</f>
        <v>0</v>
      </c>
      <c r="Q20" s="476">
        <f>[120]Sheet1!$C$110/1000000</f>
        <v>0</v>
      </c>
      <c r="R20" s="476">
        <f>[121]Sheet1!$C$110/1000000</f>
        <v>0</v>
      </c>
      <c r="S20" s="476">
        <f>[122]Sheet1!$C$110/1000000</f>
        <v>0</v>
      </c>
      <c r="T20" s="476">
        <f>[123]Sheet1!$C$110/1000000</f>
        <v>0</v>
      </c>
      <c r="U20" s="476">
        <f>[124]Sheet1!$C$110/1000000</f>
        <v>0</v>
      </c>
      <c r="V20" s="476">
        <f>[125]Sheet1!$C$110/1000000</f>
        <v>0</v>
      </c>
      <c r="W20" s="476">
        <f>[126]Sheet1!$C$110/1000000</f>
        <v>0</v>
      </c>
      <c r="X20" s="476">
        <f>[127]Sheet1!$C$110/1000000</f>
        <v>0</v>
      </c>
      <c r="Y20" s="476">
        <f>[128]Sheet1!$C$110/1000000</f>
        <v>0</v>
      </c>
      <c r="Z20" s="476">
        <f>[129]Sheet1!$C$110/1000000</f>
        <v>0</v>
      </c>
      <c r="AA20" s="476">
        <f>[130]Sheet1!$C$110/1000000</f>
        <v>0</v>
      </c>
      <c r="AB20" s="476">
        <f>[131]Sheet1!$C$110/1000000</f>
        <v>0</v>
      </c>
      <c r="AC20" s="476">
        <f>[132]Sheet1!$C$110/1000000</f>
        <v>0</v>
      </c>
      <c r="AD20" s="476">
        <f>[133]Sheet1!$C$110/1000000</f>
        <v>0</v>
      </c>
      <c r="AE20" s="476">
        <f>[134]Sheet1!$C$110/1000000</f>
        <v>0</v>
      </c>
      <c r="AF20" s="476">
        <f>[171]Sheet1!$C$110/1000000</f>
        <v>0</v>
      </c>
      <c r="AG20" s="476">
        <f>[172]Sheet1!$C$110/1000000</f>
        <v>0</v>
      </c>
      <c r="AH20" s="476">
        <f>[173]Sheet1!$C$110/1000000</f>
        <v>0</v>
      </c>
      <c r="AI20" s="476">
        <f>[174]Sheet1!$C$110/1000000</f>
        <v>0</v>
      </c>
      <c r="AJ20" s="476">
        <f>[175]Sheet1!$C$110/1000000</f>
        <v>0</v>
      </c>
      <c r="AK20" s="476">
        <f>[176]Sheet1!$C$110/1000000</f>
        <v>0</v>
      </c>
      <c r="AL20" s="476">
        <f>[177]Sheet1!$C$110/1000000</f>
        <v>0</v>
      </c>
      <c r="AM20" s="476">
        <f>[178]Sheet1!$C$110/1000000</f>
        <v>0</v>
      </c>
      <c r="AN20" s="476">
        <f>[179]Sheet1!$C$110/1000000</f>
        <v>0</v>
      </c>
      <c r="AO20" s="476">
        <f>[180]Sheet1!$C$110/1000000</f>
        <v>0</v>
      </c>
      <c r="AP20" s="476">
        <f>[135]Sheet1!$C$110/1000000</f>
        <v>0</v>
      </c>
      <c r="AQ20" s="476">
        <f>[136]Sheet1!$C$110/1000000</f>
        <v>0</v>
      </c>
      <c r="AR20" s="476">
        <f>[137]Sheet1!$C$110/1000000</f>
        <v>0</v>
      </c>
      <c r="AS20" s="476">
        <f>[138]Sheet1!$C$110/1000000</f>
        <v>0</v>
      </c>
      <c r="AT20" s="476">
        <f>[139]Sheet1!$C$110/1000000</f>
        <v>0</v>
      </c>
      <c r="AU20" s="476">
        <f>[140]Sheet1!$C$110/1000000</f>
        <v>0</v>
      </c>
      <c r="AV20" s="476">
        <f>[181]Sheet1!$C$110/1000000</f>
        <v>0</v>
      </c>
      <c r="AW20" s="476">
        <f>[182]Sheet1!$C$110/1000000</f>
        <v>0</v>
      </c>
      <c r="AX20" s="476">
        <f>[183]Sheet1!$C$110/1000000</f>
        <v>0</v>
      </c>
      <c r="AY20" s="476">
        <f>[184]Sheet1!$C$110/1000000</f>
        <v>0</v>
      </c>
      <c r="AZ20" s="476">
        <f>[185]Sheet1!$C$110/1000000</f>
        <v>0</v>
      </c>
      <c r="BA20" s="476">
        <f>[141]Sheet1!$C$110/1000000</f>
        <v>0</v>
      </c>
      <c r="BB20" s="476">
        <f>[142]Sheet1!$C$110/1000000</f>
        <v>0</v>
      </c>
      <c r="BC20" s="476">
        <f>[143]Sheet1!$C$110/1000000</f>
        <v>0</v>
      </c>
      <c r="BD20" s="476">
        <f>[144]Sheet1!$C$110/1000000</f>
        <v>0</v>
      </c>
      <c r="BE20" s="476">
        <f>[145]Sheet1!$C$110/1000000</f>
        <v>0</v>
      </c>
      <c r="BF20" s="476">
        <f>[146]Sheet1!$C$110/1000000</f>
        <v>0</v>
      </c>
      <c r="BG20" s="476">
        <f>[147]Sheet1!$C$110/1000000</f>
        <v>0</v>
      </c>
      <c r="BH20" s="476">
        <f>[148]Sheet1!$C$110/1000000</f>
        <v>0</v>
      </c>
      <c r="BI20" s="476">
        <f>[149]Sheet1!$C$110/1000000</f>
        <v>0</v>
      </c>
      <c r="BJ20" s="476">
        <f>[150]Sheet1!$C$110/1000000</f>
        <v>0</v>
      </c>
      <c r="BK20" s="476">
        <f>[151]Sheet1!$C$110/1000000</f>
        <v>0</v>
      </c>
      <c r="BL20" s="476">
        <f>[152]Sheet1!$C$110/1000000</f>
        <v>0</v>
      </c>
      <c r="BM20" s="476">
        <f>[153]Sheet1!$C$110/1000000</f>
        <v>0</v>
      </c>
      <c r="BN20" s="476">
        <f>[154]Sheet1!$C$110/1000000</f>
        <v>0</v>
      </c>
      <c r="BO20" s="476">
        <f>[155]Sheet1!$C$110/1000000</f>
        <v>0</v>
      </c>
      <c r="BP20" s="476">
        <f>[186]Sheet1!$C$110/1000000</f>
        <v>0</v>
      </c>
      <c r="BQ20" s="476">
        <f>[187]Sheet1!$C$110/1000000</f>
        <v>0</v>
      </c>
      <c r="BR20" s="476">
        <f>[188]Sheet1!$C$110/1000000</f>
        <v>0</v>
      </c>
      <c r="BS20" s="476">
        <f>[189]Sheet1!$C$110/1000000</f>
        <v>0</v>
      </c>
      <c r="BT20" s="476">
        <f>[190]Sheet1!$C$110/1000000</f>
        <v>0</v>
      </c>
      <c r="BU20" s="476">
        <f>[191]Sheet1!$C$110/1000000</f>
        <v>0</v>
      </c>
      <c r="BV20" s="476">
        <f>[192]Sheet1!$C$110/1000000</f>
        <v>0</v>
      </c>
      <c r="BW20" s="476">
        <f>[193]Sheet1!$C$110/1000000</f>
        <v>0</v>
      </c>
      <c r="BX20" s="476">
        <f>[194]Sheet1!$C$110/1000000</f>
        <v>0</v>
      </c>
      <c r="BY20" s="476">
        <f>[195]Sheet1!$C$110/1000000</f>
        <v>0</v>
      </c>
      <c r="BZ20" s="476">
        <f>[196]Sheet1!$C$110/1000000</f>
        <v>0</v>
      </c>
      <c r="CA20" s="476">
        <f>[197]Sheet1!$C$110/1000000</f>
        <v>0</v>
      </c>
      <c r="CB20" s="476">
        <f>[156]Sheet1!$C$110/1000000</f>
        <v>0</v>
      </c>
      <c r="CC20" s="476">
        <f>[157]Sheet1!$C$110/1000000</f>
        <v>0</v>
      </c>
      <c r="CD20" s="476">
        <f>[158]Sheet1!$C$110/1000000</f>
        <v>0</v>
      </c>
      <c r="CE20" s="476">
        <f>[159]Sheet1!$C$110/1000000</f>
        <v>0</v>
      </c>
      <c r="CF20" s="476">
        <f>[160]Sheet1!$C$110/1000000</f>
        <v>0</v>
      </c>
      <c r="CG20" s="476">
        <f>[161]Sheet1!$C$110/1000000</f>
        <v>0</v>
      </c>
      <c r="CH20" s="476">
        <f>[162]Sheet1!$C$110/1000000</f>
        <v>0</v>
      </c>
      <c r="CI20" s="476">
        <f>[163]Sheet1!$C$110/1000000</f>
        <v>0</v>
      </c>
      <c r="CJ20" s="476">
        <f>[164]Sheet1!$C$110/1000000</f>
        <v>0</v>
      </c>
      <c r="CK20" s="476">
        <f>[165]Sheet1!$C$110/1000000</f>
        <v>0</v>
      </c>
      <c r="CL20" s="476">
        <f>[166]Sheet1!$C$110/1000000</f>
        <v>0</v>
      </c>
      <c r="CM20" s="476">
        <f>[167]Sheet1!$C$110/1000000</f>
        <v>0</v>
      </c>
      <c r="CN20" s="476">
        <f>[168]Sheet1!$C$110/1000000</f>
        <v>0</v>
      </c>
      <c r="CO20" s="476">
        <f>[169]Sheet1!$C$110/1000000</f>
        <v>0</v>
      </c>
      <c r="CP20" s="435">
        <f>[170]Sheet1!$C$110/1000000</f>
        <v>0</v>
      </c>
    </row>
    <row r="21" spans="1:94">
      <c r="A21" s="436"/>
      <c r="B21" s="437"/>
      <c r="C21" s="478"/>
      <c r="D21" s="478"/>
      <c r="E21" s="478"/>
      <c r="F21" s="479"/>
      <c r="G21" s="478"/>
      <c r="H21" s="480"/>
      <c r="I21" s="478"/>
      <c r="J21" s="478"/>
      <c r="K21" s="478"/>
      <c r="L21" s="478"/>
      <c r="M21" s="479"/>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38"/>
    </row>
    <row r="22" spans="1:94">
      <c r="A22" s="433" t="s">
        <v>527</v>
      </c>
      <c r="B22" s="434" t="s">
        <v>528</v>
      </c>
      <c r="C22" s="476">
        <f>[106]Sheet1!$C$129/1000000</f>
        <v>26183.901282920287</v>
      </c>
      <c r="D22" s="476">
        <f>[107]Sheet1!$C$115/1000000</f>
        <v>30920.629340638301</v>
      </c>
      <c r="E22" s="476">
        <f>[108]Sheet1!$C$115/1000000</f>
        <v>30127.544491920886</v>
      </c>
      <c r="F22" s="400">
        <f>[109]Sheet1!$C$115/1000000</f>
        <v>27572.021538983245</v>
      </c>
      <c r="G22" s="476">
        <f>[110]Sheet1!$C$115/1000000</f>
        <v>33933.736539922735</v>
      </c>
      <c r="H22" s="477">
        <f>[111]Sheet1!$C$115/1000000</f>
        <v>32760.140197956243</v>
      </c>
      <c r="I22" s="476">
        <f>[112]Sheet1!$C$115/1000000</f>
        <v>30932.200626476388</v>
      </c>
      <c r="J22" s="476">
        <f>[113]Sheet1!$C$115/1000000</f>
        <v>36789.194293661276</v>
      </c>
      <c r="K22" s="476">
        <f>[114]Sheet1!$C$115/1000000</f>
        <v>38716.69300264043</v>
      </c>
      <c r="L22" s="476">
        <f>[115]Sheet1!$C$115/1000000</f>
        <v>35113.899233169977</v>
      </c>
      <c r="M22" s="400">
        <f>[116]Sheet1!$C$115/1000000</f>
        <v>38261.367843577915</v>
      </c>
      <c r="N22" s="476">
        <f>[117]Sheet1!$C$115/1000000</f>
        <v>35373.730196793753</v>
      </c>
      <c r="O22" s="476">
        <f>[118]Sheet1!$C$115/1000000</f>
        <v>30702.881672898991</v>
      </c>
      <c r="P22" s="476">
        <f>[119]Sheet1!$C$115/1000000</f>
        <v>24608.514195546501</v>
      </c>
      <c r="Q22" s="476">
        <f>[120]Sheet1!$C$115/1000000</f>
        <v>23590.456271051909</v>
      </c>
      <c r="R22" s="476">
        <f>[121]Sheet1!$C$115/1000000</f>
        <v>26051.634146052649</v>
      </c>
      <c r="S22" s="476">
        <f>[122]Sheet1!$C$115/1000000</f>
        <v>23754.468337843799</v>
      </c>
      <c r="T22" s="476">
        <f>[123]Sheet1!$C$115/1000000</f>
        <v>26204.682153106383</v>
      </c>
      <c r="U22" s="476">
        <f>[124]Sheet1!$C$115/1000000</f>
        <v>20675.033267786333</v>
      </c>
      <c r="V22" s="476">
        <f>[125]Sheet1!$C$115/1000000</f>
        <v>22950.153968386727</v>
      </c>
      <c r="W22" s="476">
        <f>[126]Sheet1!$C$115/1000000</f>
        <v>23418.528605273306</v>
      </c>
      <c r="X22" s="476">
        <f>[127]Sheet1!$C$115/1000000</f>
        <v>25423.366629636468</v>
      </c>
      <c r="Y22" s="476">
        <f>[128]Sheet1!$C$115/1000000</f>
        <v>29513.872719127681</v>
      </c>
      <c r="Z22" s="476">
        <f>[129]Sheet1!$C$115/1000000</f>
        <v>23818.396172333396</v>
      </c>
      <c r="AA22" s="476">
        <f>[130]Sheet1!$C$115/1000000</f>
        <v>34451.741724165789</v>
      </c>
      <c r="AB22" s="476">
        <f>[131]Sheet1!$C$115/1000000</f>
        <v>33222.715717653664</v>
      </c>
      <c r="AC22" s="476">
        <f>[132]Sheet1!$C$115/1000000</f>
        <v>30110.290967177945</v>
      </c>
      <c r="AD22" s="476">
        <f>[133]Sheet1!$C$115/1000000</f>
        <v>28922.717702781105</v>
      </c>
      <c r="AE22" s="476">
        <f>[134]Sheet1!$C$115/1000000</f>
        <v>34532.161147931627</v>
      </c>
      <c r="AF22" s="476">
        <f>[171]Sheet1!$C$115/1000000</f>
        <v>30103.844928940875</v>
      </c>
      <c r="AG22" s="476">
        <f>[172]Sheet1!$C$115/1000000</f>
        <v>26603.276718278383</v>
      </c>
      <c r="AH22" s="476">
        <f>[173]Sheet1!$C$115/1000000</f>
        <v>26714.359443100075</v>
      </c>
      <c r="AI22" s="476">
        <f>[174]Sheet1!$C$115/1000000</f>
        <v>40370.62161006096</v>
      </c>
      <c r="AJ22" s="476">
        <f>[175]Sheet1!$C$115/1000000</f>
        <v>42571.506750741144</v>
      </c>
      <c r="AK22" s="476">
        <f>[176]Sheet1!$C$115/1000000</f>
        <v>34963.558149141951</v>
      </c>
      <c r="AL22" s="476">
        <f>[177]Sheet1!$C$115/1000000</f>
        <v>38700.580017500237</v>
      </c>
      <c r="AM22" s="476">
        <f>[178]Sheet1!$C$115/1000000</f>
        <v>38769.383876147826</v>
      </c>
      <c r="AN22" s="476">
        <f>[179]Sheet1!$C$115/1000000</f>
        <v>38750.924156272849</v>
      </c>
      <c r="AO22" s="476">
        <f>[180]Sheet1!$C$115/1000000</f>
        <v>41982.447517360888</v>
      </c>
      <c r="AP22" s="476">
        <f>[135]Sheet1!$C$115/1000000</f>
        <v>37091.78975061958</v>
      </c>
      <c r="AQ22" s="476">
        <f>[136]Sheet1!$C$115/1000000</f>
        <v>57479.341437148803</v>
      </c>
      <c r="AR22" s="476">
        <f>[137]Sheet1!$C$115/1000000</f>
        <v>42436.091494125823</v>
      </c>
      <c r="AS22" s="476">
        <f>[138]Sheet1!$C$115/1000000</f>
        <v>48467.510631874728</v>
      </c>
      <c r="AT22" s="476">
        <f>[139]Sheet1!$C$115/1000000</f>
        <v>43766.19374855388</v>
      </c>
      <c r="AU22" s="476">
        <f>[140]Sheet1!$C$115/1000000</f>
        <v>43751.220261671922</v>
      </c>
      <c r="AV22" s="476">
        <f>[181]Sheet1!$C$115/1000000</f>
        <v>43168.524312416805</v>
      </c>
      <c r="AW22" s="476">
        <f>[182]Sheet1!$C$115/1000000</f>
        <v>54777.149352958186</v>
      </c>
      <c r="AX22" s="476">
        <f>[183]Sheet1!$C$115/1000000</f>
        <v>56565.334847755534</v>
      </c>
      <c r="AY22" s="476">
        <f>[184]Sheet1!$C$115/1000000</f>
        <v>70806.799089933018</v>
      </c>
      <c r="AZ22" s="476">
        <f>[185]Sheet1!$C$115/1000000</f>
        <v>90527.344397130335</v>
      </c>
      <c r="BA22" s="476">
        <f>[141]Sheet1!$C$115/1000000</f>
        <v>96028.651392077169</v>
      </c>
      <c r="BB22" s="476">
        <f>[142]Sheet1!$C$115/1000000</f>
        <v>76118.656717261925</v>
      </c>
      <c r="BC22" s="476">
        <f>[143]Sheet1!$C$115/1000000</f>
        <v>80474.430639867147</v>
      </c>
      <c r="BD22" s="476">
        <f>[144]Sheet1!$C$115/1000000</f>
        <v>77218.847195249997</v>
      </c>
      <c r="BE22" s="476">
        <f>[145]Sheet1!$C$115/1000000</f>
        <v>98721.071718576917</v>
      </c>
      <c r="BF22" s="476">
        <f>[146]Sheet1!$C$115/1000000</f>
        <v>111246.1864692542</v>
      </c>
      <c r="BG22" s="476">
        <f>[147]Sheet1!$C$115/1000000</f>
        <v>123630.10038815008</v>
      </c>
      <c r="BH22" s="476">
        <f>[148]Sheet1!$C$115/1000000</f>
        <v>137628.01191243459</v>
      </c>
      <c r="BI22" s="476">
        <f>[149]Sheet1!$C$115/1000000</f>
        <v>145174.68787323617</v>
      </c>
      <c r="BJ22" s="476">
        <f>[150]Sheet1!$C$115/1000000</f>
        <v>179768.03997429187</v>
      </c>
      <c r="BK22" s="476">
        <f>[151]Sheet1!$C$115/1000000</f>
        <v>170478.7823330292</v>
      </c>
      <c r="BL22" s="476">
        <f>[152]Sheet1!$C$115/1000000</f>
        <v>161000.1806050069</v>
      </c>
      <c r="BM22" s="476">
        <f>[153]Sheet1!$C$115/1000000</f>
        <v>164772.99928111248</v>
      </c>
      <c r="BN22" s="476">
        <f>[154]Sheet1!$C$115/1000000</f>
        <v>180117.91477136695</v>
      </c>
      <c r="BO22" s="476">
        <f>[155]Sheet1!$C$115/1000000</f>
        <v>196966.81957067244</v>
      </c>
      <c r="BP22" s="476">
        <f>[186]Sheet1!$C$115/1000000</f>
        <v>164974.35568354317</v>
      </c>
      <c r="BQ22" s="476">
        <f>[187]Sheet1!$C$115/1000000</f>
        <v>205532.71512867292</v>
      </c>
      <c r="BR22" s="476">
        <f>[188]Sheet1!$C$115/1000000</f>
        <v>233615.43440302191</v>
      </c>
      <c r="BS22" s="476">
        <f>[189]Sheet1!$C$115/1000000</f>
        <v>237429.01184841729</v>
      </c>
      <c r="BT22" s="476">
        <f>[190]Sheet1!$C$115/1000000</f>
        <v>229439.60619730927</v>
      </c>
      <c r="BU22" s="476">
        <f>[191]Sheet1!$C$115/1000000</f>
        <v>264086.64914514747</v>
      </c>
      <c r="BV22" s="476">
        <f>[192]Sheet1!$C$115/1000000</f>
        <v>227132.10828651127</v>
      </c>
      <c r="BW22" s="476">
        <f>[193]Sheet1!$C$115/1000000</f>
        <v>243937.36260248709</v>
      </c>
      <c r="BX22" s="476">
        <f>[194]Sheet1!$C$115/1000000</f>
        <v>234468.511852241</v>
      </c>
      <c r="BY22" s="476">
        <f>[195]Sheet1!$C$115/1000000</f>
        <v>223431.57729376826</v>
      </c>
      <c r="BZ22" s="476">
        <f>[196]Sheet1!$C$115/1000000</f>
        <v>280749.98540102836</v>
      </c>
      <c r="CA22" s="476">
        <f>[197]Sheet1!$C$115/1000000</f>
        <v>259276.10367702376</v>
      </c>
      <c r="CB22" s="476">
        <f>[156]Sheet1!$C$115/1000000</f>
        <v>238813.20075755485</v>
      </c>
      <c r="CC22" s="476">
        <f>[157]Sheet1!$C$115/1000000</f>
        <v>291326.19892175758</v>
      </c>
      <c r="CD22" s="476">
        <f>[158]Sheet1!$C$115/1000000</f>
        <v>332228.6903683822</v>
      </c>
      <c r="CE22" s="476">
        <f>[159]Sheet1!$C$115/1000000</f>
        <v>366057.60420105705</v>
      </c>
      <c r="CF22" s="476">
        <f>[160]Sheet1!$C$115/1000000</f>
        <v>332692.92225448351</v>
      </c>
      <c r="CG22" s="476">
        <f>[161]Sheet1!$C$115/1000000</f>
        <v>306885.93879038072</v>
      </c>
      <c r="CH22" s="476">
        <f>[162]Sheet1!$C$115/1000000</f>
        <v>326897.43717744708</v>
      </c>
      <c r="CI22" s="476">
        <f>[163]Sheet1!$C$115/1000000</f>
        <v>345977.21981359209</v>
      </c>
      <c r="CJ22" s="476">
        <f>[164]Sheet1!$C$115/1000000</f>
        <v>356196.03470418812</v>
      </c>
      <c r="CK22" s="476">
        <f>[165]Sheet1!$C$115/1000000</f>
        <v>345138.7756166319</v>
      </c>
      <c r="CL22" s="476">
        <f>[166]Sheet1!$C$115/1000000</f>
        <v>352278.96527660429</v>
      </c>
      <c r="CM22" s="476">
        <f>[167]Sheet1!$C$115/1000000</f>
        <v>331072.12614123517</v>
      </c>
      <c r="CN22" s="476">
        <f>[168]Sheet1!$C$115/1000000</f>
        <v>288516.44618739793</v>
      </c>
      <c r="CO22" s="476">
        <f>[169]Sheet1!$C$115/1000000</f>
        <v>281109.40385980502</v>
      </c>
      <c r="CP22" s="435">
        <f>[170]Sheet1!$C$115/1000000</f>
        <v>298079.43139751867</v>
      </c>
    </row>
    <row r="23" spans="1:94">
      <c r="A23" s="436"/>
      <c r="B23" s="437"/>
      <c r="C23" s="478"/>
      <c r="D23" s="478"/>
      <c r="E23" s="478"/>
      <c r="F23" s="479"/>
      <c r="G23" s="478"/>
      <c r="H23" s="480"/>
      <c r="I23" s="478"/>
      <c r="J23" s="478"/>
      <c r="K23" s="478"/>
      <c r="L23" s="478"/>
      <c r="M23" s="479"/>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8"/>
      <c r="CM23" s="478"/>
      <c r="CN23" s="478"/>
      <c r="CO23" s="478"/>
      <c r="CP23" s="438"/>
    </row>
    <row r="24" spans="1:94">
      <c r="A24" s="433" t="s">
        <v>529</v>
      </c>
      <c r="B24" s="434" t="s">
        <v>530</v>
      </c>
      <c r="C24" s="476">
        <f>[106]Sheet1!$C$144/1000000</f>
        <v>6383.2490385549081</v>
      </c>
      <c r="D24" s="476">
        <f>[107]Sheet1!$C$129/1000000</f>
        <v>6649.8405896661707</v>
      </c>
      <c r="E24" s="476">
        <f>[108]Sheet1!$C$129/1000000</f>
        <v>7114.2721878804759</v>
      </c>
      <c r="F24" s="400">
        <f>[109]Sheet1!$C$129/1000000</f>
        <v>8514.2723916826089</v>
      </c>
      <c r="G24" s="476">
        <f>[110]Sheet1!$C$129/1000000</f>
        <v>7303.9531977657052</v>
      </c>
      <c r="H24" s="477">
        <f>[111]Sheet1!$C$129/1000000</f>
        <v>6915.06683532226</v>
      </c>
      <c r="I24" s="476">
        <f>[112]Sheet1!$C$129/1000000</f>
        <v>7351.6898221375768</v>
      </c>
      <c r="J24" s="476">
        <f>[113]Sheet1!$C$129/1000000</f>
        <v>7413.8849713734871</v>
      </c>
      <c r="K24" s="476">
        <f>[114]Sheet1!$C$129/1000000</f>
        <v>7834.4323220745764</v>
      </c>
      <c r="L24" s="476">
        <f>[115]Sheet1!$C$129/1000000</f>
        <v>7607.2765266712577</v>
      </c>
      <c r="M24" s="400">
        <f>[116]Sheet1!$C$129/1000000</f>
        <v>8447.5385416162244</v>
      </c>
      <c r="N24" s="476">
        <f>[117]Sheet1!$C$129/1000000</f>
        <v>8554.2135511803626</v>
      </c>
      <c r="O24" s="476">
        <f>[118]Sheet1!$C$129/1000000</f>
        <v>9073.511018862926</v>
      </c>
      <c r="P24" s="476">
        <f>[119]Sheet1!$C$129/1000000</f>
        <v>5899.4864869296798</v>
      </c>
      <c r="Q24" s="476">
        <f>[120]Sheet1!$C$129/1000000</f>
        <v>6416.5738889620161</v>
      </c>
      <c r="R24" s="476">
        <f>[121]Sheet1!$C$129/1000000</f>
        <v>8286.586384338043</v>
      </c>
      <c r="S24" s="476">
        <f>[122]Sheet1!$C$129/1000000</f>
        <v>8298.6934993518025</v>
      </c>
      <c r="T24" s="476">
        <f>[123]Sheet1!$C$129/1000000</f>
        <v>8975.7309610712982</v>
      </c>
      <c r="U24" s="476">
        <f>[124]Sheet1!$C$129/1000000</f>
        <v>8215.2288523839616</v>
      </c>
      <c r="V24" s="476">
        <f>[125]Sheet1!$C$129/1000000</f>
        <v>7728.3014778496608</v>
      </c>
      <c r="W24" s="476">
        <f>[126]Sheet1!$C$129/1000000</f>
        <v>8629.2179477669088</v>
      </c>
      <c r="X24" s="476">
        <f>[127]Sheet1!$C$129/1000000</f>
        <v>9340.7354288686456</v>
      </c>
      <c r="Y24" s="476">
        <f>[128]Sheet1!$C$129/1000000</f>
        <v>12455.983672407905</v>
      </c>
      <c r="Z24" s="476">
        <f>[129]Sheet1!$C$129/1000000</f>
        <v>13814.342736707898</v>
      </c>
      <c r="AA24" s="476">
        <f>[130]Sheet1!$C$129/1000000</f>
        <v>14568.723427268338</v>
      </c>
      <c r="AB24" s="476">
        <f>[131]Sheet1!$C$129/1000000</f>
        <v>12229.331331489073</v>
      </c>
      <c r="AC24" s="476">
        <f>[132]Sheet1!$C$129/1000000</f>
        <v>12616.693411344611</v>
      </c>
      <c r="AD24" s="476">
        <f>[133]Sheet1!$C$129/1000000</f>
        <v>11780.312898310107</v>
      </c>
      <c r="AE24" s="476">
        <f>[134]Sheet1!$C$129/1000000</f>
        <v>12642.616229038504</v>
      </c>
      <c r="AF24" s="476">
        <f>[171]Sheet1!$C$129/1000000</f>
        <v>11514.791850246491</v>
      </c>
      <c r="AG24" s="476">
        <f>[172]Sheet1!$C$129/1000000</f>
        <v>11408.89432211054</v>
      </c>
      <c r="AH24" s="476">
        <f>[173]Sheet1!$C$129/1000000</f>
        <v>12066.10625621072</v>
      </c>
      <c r="AI24" s="476">
        <f>[174]Sheet1!$C$129/1000000</f>
        <v>12795.007061236227</v>
      </c>
      <c r="AJ24" s="476">
        <f>[175]Sheet1!$C$129/1000000</f>
        <v>13327.70138321153</v>
      </c>
      <c r="AK24" s="476">
        <f>[176]Sheet1!$C$129/1000000</f>
        <v>12470.688510267537</v>
      </c>
      <c r="AL24" s="476">
        <f>[177]Sheet1!$C$129/1000000</f>
        <v>12401.375957310336</v>
      </c>
      <c r="AM24" s="476">
        <f>[178]Sheet1!$C$129/1000000</f>
        <v>16578.990062358636</v>
      </c>
      <c r="AN24" s="476">
        <f>[179]Sheet1!$C$129/1000000</f>
        <v>14233.110935510573</v>
      </c>
      <c r="AO24" s="476">
        <f>[180]Sheet1!$C$129/1000000</f>
        <v>11871.338927178003</v>
      </c>
      <c r="AP24" s="476">
        <f>[135]Sheet1!$C$129/1000000</f>
        <v>13742.275090813202</v>
      </c>
      <c r="AQ24" s="476">
        <f>[136]Sheet1!$C$129/1000000</f>
        <v>16301.614131301429</v>
      </c>
      <c r="AR24" s="476">
        <f>[137]Sheet1!$C$129/1000000</f>
        <v>14028.447093499477</v>
      </c>
      <c r="AS24" s="476">
        <f>[138]Sheet1!$C$129/1000000</f>
        <v>14139.58602274734</v>
      </c>
      <c r="AT24" s="476">
        <f>[139]Sheet1!$C$129/1000000</f>
        <v>11506.650629684891</v>
      </c>
      <c r="AU24" s="476">
        <f>[140]Sheet1!$C$129/1000000</f>
        <v>12165.676450732737</v>
      </c>
      <c r="AV24" s="476">
        <f>[181]Sheet1!$C$129/1000000</f>
        <v>13579.916542724737</v>
      </c>
      <c r="AW24" s="476">
        <f>[182]Sheet1!$C$129/1000000</f>
        <v>12725.279247709694</v>
      </c>
      <c r="AX24" s="476">
        <f>[183]Sheet1!$C$129/1000000</f>
        <v>12737.41604833714</v>
      </c>
      <c r="AY24" s="476">
        <f>[184]Sheet1!$C$129/1000000</f>
        <v>12124.612961108782</v>
      </c>
      <c r="AZ24" s="476">
        <f>[185]Sheet1!$C$129/1000000</f>
        <v>11017.24773704162</v>
      </c>
      <c r="BA24" s="476">
        <f>[141]Sheet1!$C$129/1000000</f>
        <v>11875.871985426129</v>
      </c>
      <c r="BB24" s="476">
        <f>[142]Sheet1!$C$129/1000000</f>
        <v>11104.933083112432</v>
      </c>
      <c r="BC24" s="476">
        <f>[143]Sheet1!$C$129/1000000</f>
        <v>10153.916028146237</v>
      </c>
      <c r="BD24" s="476">
        <f>[144]Sheet1!$C$129/1000000</f>
        <v>10149.670348070938</v>
      </c>
      <c r="BE24" s="476">
        <f>[145]Sheet1!$C$129/1000000</f>
        <v>12306.792525007198</v>
      </c>
      <c r="BF24" s="476">
        <f>[146]Sheet1!$C$129/1000000</f>
        <v>12112.721526070703</v>
      </c>
      <c r="BG24" s="476">
        <f>[147]Sheet1!$C$129/1000000</f>
        <v>11582.558207341845</v>
      </c>
      <c r="BH24" s="476">
        <f>[148]Sheet1!$C$129/1000000</f>
        <v>9518.4790455101702</v>
      </c>
      <c r="BI24" s="476">
        <f>[149]Sheet1!$C$129/1000000</f>
        <v>8681.0042345374677</v>
      </c>
      <c r="BJ24" s="476">
        <f>[150]Sheet1!$C$129/1000000</f>
        <v>7713.9847456788284</v>
      </c>
      <c r="BK24" s="476">
        <f>[151]Sheet1!$C$129/1000000</f>
        <v>10163.115702151084</v>
      </c>
      <c r="BL24" s="476">
        <f>[152]Sheet1!$C$129/1000000</f>
        <v>12977.486856481886</v>
      </c>
      <c r="BM24" s="476">
        <f>[153]Sheet1!$C$129/1000000</f>
        <v>9168.8171159211252</v>
      </c>
      <c r="BN24" s="476">
        <f>[154]Sheet1!$C$129/1000000</f>
        <v>8811.5464913536125</v>
      </c>
      <c r="BO24" s="476">
        <f>[155]Sheet1!$C$129/1000000</f>
        <v>11821.644279738002</v>
      </c>
      <c r="BP24" s="476">
        <f>[186]Sheet1!$C$129/1000000</f>
        <v>13645.589335515086</v>
      </c>
      <c r="BQ24" s="476">
        <f>[187]Sheet1!$C$129/1000000</f>
        <v>13612.214057874427</v>
      </c>
      <c r="BR24" s="476">
        <f>[188]Sheet1!$C$129/1000000</f>
        <v>13680.717392060966</v>
      </c>
      <c r="BS24" s="476">
        <f>[189]Sheet1!$C$129/1000000</f>
        <v>12760.772569695599</v>
      </c>
      <c r="BT24" s="476">
        <f>[190]Sheet1!$C$129/1000000</f>
        <v>24013.506030372882</v>
      </c>
      <c r="BU24" s="476">
        <f>[191]Sheet1!$C$129/1000000</f>
        <v>23013.201073529097</v>
      </c>
      <c r="BV24" s="476">
        <f>[192]Sheet1!$C$129/1000000</f>
        <v>18677.003819306119</v>
      </c>
      <c r="BW24" s="476">
        <f>[193]Sheet1!$C$129/1000000</f>
        <v>16736.971253524825</v>
      </c>
      <c r="BX24" s="476">
        <f>[194]Sheet1!$C$129/1000000</f>
        <v>16341.12426787452</v>
      </c>
      <c r="BY24" s="476">
        <f>[195]Sheet1!$C$129/1000000</f>
        <v>8331.8106840226228</v>
      </c>
      <c r="BZ24" s="476">
        <f>[196]Sheet1!$C$129/1000000</f>
        <v>18461.318596219749</v>
      </c>
      <c r="CA24" s="476">
        <f>[197]Sheet1!$C$129/1000000</f>
        <v>18557.850228962649</v>
      </c>
      <c r="CB24" s="476">
        <f>[156]Sheet1!$C$129/1000000</f>
        <v>20120.93315196945</v>
      </c>
      <c r="CC24" s="476">
        <f>[157]Sheet1!$C$129/1000000</f>
        <v>21892.161488708211</v>
      </c>
      <c r="CD24" s="476">
        <f>[158]Sheet1!$C$129/1000000</f>
        <v>19769.976753474097</v>
      </c>
      <c r="CE24" s="476">
        <f>[159]Sheet1!$C$129/1000000</f>
        <v>19424.047709338327</v>
      </c>
      <c r="CF24" s="476">
        <f>[160]Sheet1!$C$129/1000000</f>
        <v>18861.794187661322</v>
      </c>
      <c r="CG24" s="476">
        <f>[161]Sheet1!$C$129/1000000</f>
        <v>20053.202827854817</v>
      </c>
      <c r="CH24" s="476">
        <f>[162]Sheet1!$C$129/1000000</f>
        <v>25084.961723414857</v>
      </c>
      <c r="CI24" s="476">
        <f>[163]Sheet1!$C$129/1000000</f>
        <v>24469.048413259949</v>
      </c>
      <c r="CJ24" s="476">
        <f>[164]Sheet1!$C$129/1000000</f>
        <v>23530.975873098447</v>
      </c>
      <c r="CK24" s="476">
        <f>[165]Sheet1!$C$129/1000000</f>
        <v>22241.974738439789</v>
      </c>
      <c r="CL24" s="476">
        <f>[166]Sheet1!$C$129/1000000</f>
        <v>21840.044962163753</v>
      </c>
      <c r="CM24" s="476">
        <f>[167]Sheet1!$C$129/1000000</f>
        <v>20331.502870957593</v>
      </c>
      <c r="CN24" s="476">
        <f>[168]Sheet1!$C$129/1000000</f>
        <v>19280.85071621116</v>
      </c>
      <c r="CO24" s="476">
        <f>[169]Sheet1!$C$129/1000000</f>
        <v>27604.694450787036</v>
      </c>
      <c r="CP24" s="435">
        <f>[170]Sheet1!$C$129/1000000</f>
        <v>26935.272888946314</v>
      </c>
    </row>
    <row r="25" spans="1:94">
      <c r="A25" s="436"/>
      <c r="B25" s="437"/>
      <c r="C25" s="478"/>
      <c r="D25" s="478"/>
      <c r="E25" s="478"/>
      <c r="F25" s="479"/>
      <c r="G25" s="478"/>
      <c r="H25" s="480"/>
      <c r="I25" s="478"/>
      <c r="J25" s="478"/>
      <c r="K25" s="478"/>
      <c r="L25" s="478"/>
      <c r="M25" s="479"/>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38"/>
    </row>
    <row r="26" spans="1:94">
      <c r="A26" s="433" t="s">
        <v>531</v>
      </c>
      <c r="B26" s="434" t="s">
        <v>532</v>
      </c>
      <c r="C26" s="476">
        <f>[106]Sheet1!$C$166/1000000</f>
        <v>11014.033481526913</v>
      </c>
      <c r="D26" s="476">
        <f>[107]Sheet1!$C$150/1000000</f>
        <v>11048.727608207602</v>
      </c>
      <c r="E26" s="476">
        <f>[108]Sheet1!$C$150/1000000</f>
        <v>11113.043092204985</v>
      </c>
      <c r="F26" s="400">
        <f>[109]Sheet1!$C$150/1000000</f>
        <v>11153.496667586149</v>
      </c>
      <c r="G26" s="476">
        <f>[110]Sheet1!$C$150/1000000</f>
        <v>11298.29312364251</v>
      </c>
      <c r="H26" s="477">
        <f>[111]Sheet1!$C$150/1000000</f>
        <v>11278.38058623231</v>
      </c>
      <c r="I26" s="476">
        <f>[112]Sheet1!$C$150/1000000</f>
        <v>11519.591591549974</v>
      </c>
      <c r="J26" s="476">
        <f>[113]Sheet1!$C$150/1000000</f>
        <v>11540.759456266354</v>
      </c>
      <c r="K26" s="476">
        <f>[114]Sheet1!$C$150/1000000</f>
        <v>11567.307409254552</v>
      </c>
      <c r="L26" s="476">
        <f>[115]Sheet1!$C$150/1000000</f>
        <v>11603.499793669256</v>
      </c>
      <c r="M26" s="400">
        <f>[116]Sheet1!$C$150/1000000</f>
        <v>11633.93335772253</v>
      </c>
      <c r="N26" s="476">
        <f>[117]Sheet1!$C$150/1000000</f>
        <v>11807.799435036495</v>
      </c>
      <c r="O26" s="476">
        <f>[118]Sheet1!$C$150/1000000</f>
        <v>11950.837410409435</v>
      </c>
      <c r="P26" s="476">
        <f>[119]Sheet1!$C$150/1000000</f>
        <v>11977.17019824984</v>
      </c>
      <c r="Q26" s="476">
        <f>[120]Sheet1!$C$150/1000000</f>
        <v>12000.18354502578</v>
      </c>
      <c r="R26" s="476">
        <f>[121]Sheet1!$C$150/1000000</f>
        <v>12139.855507300956</v>
      </c>
      <c r="S26" s="476">
        <f>[122]Sheet1!$C$150/1000000</f>
        <v>12169.938106646932</v>
      </c>
      <c r="T26" s="476">
        <f>[123]Sheet1!$C$150/1000000</f>
        <v>12150.793829544418</v>
      </c>
      <c r="U26" s="476">
        <f>[124]Sheet1!$C$150/1000000</f>
        <v>12221.782184337251</v>
      </c>
      <c r="V26" s="476">
        <f>[125]Sheet1!$C$150/1000000</f>
        <v>12246.514085820239</v>
      </c>
      <c r="W26" s="476">
        <f>[126]Sheet1!$C$150/1000000</f>
        <v>12221.421608163026</v>
      </c>
      <c r="X26" s="476">
        <f>[127]Sheet1!$C$150/1000000</f>
        <v>12295.28914683382</v>
      </c>
      <c r="Y26" s="476">
        <f>[128]Sheet1!$C$150/1000000</f>
        <v>12382.660895437844</v>
      </c>
      <c r="Z26" s="476">
        <f>[129]Sheet1!$C$150/1000000</f>
        <v>12461.038735059528</v>
      </c>
      <c r="AA26" s="476">
        <f>[130]Sheet1!$C$150/1000000</f>
        <v>12616.279351228695</v>
      </c>
      <c r="AB26" s="476">
        <f>[131]Sheet1!$C$150/1000000</f>
        <v>12624.981711947359</v>
      </c>
      <c r="AC26" s="476">
        <f>[132]Sheet1!$C$150/1000000</f>
        <v>12635.224624657145</v>
      </c>
      <c r="AD26" s="476">
        <f>[133]Sheet1!$C$150/1000000</f>
        <v>12732.488328174561</v>
      </c>
      <c r="AE26" s="476">
        <f>[134]Sheet1!$C$150/1000000</f>
        <v>12803.934268793244</v>
      </c>
      <c r="AF26" s="476">
        <f>[171]Sheet1!$C$150/1000000</f>
        <v>12914.352655954235</v>
      </c>
      <c r="AG26" s="476">
        <f>[172]Sheet1!$C$150/1000000</f>
        <v>13034.980613430849</v>
      </c>
      <c r="AH26" s="476">
        <f>[173]Sheet1!$C$150/1000000</f>
        <v>13065.772707911896</v>
      </c>
      <c r="AI26" s="476">
        <f>[174]Sheet1!$C$150/1000000</f>
        <v>13111.795636254179</v>
      </c>
      <c r="AJ26" s="476">
        <f>[175]Sheet1!$C$150/1000000</f>
        <v>13135.517572718358</v>
      </c>
      <c r="AK26" s="476">
        <f>[176]Sheet1!$C$150/1000000</f>
        <v>13340.71964781003</v>
      </c>
      <c r="AL26" s="476">
        <f>[177]Sheet1!$C$150/1000000</f>
        <v>13385.633625959959</v>
      </c>
      <c r="AM26" s="476">
        <f>[178]Sheet1!$C$150/1000000</f>
        <v>13497.897804176378</v>
      </c>
      <c r="AN26" s="476">
        <f>[179]Sheet1!$C$150/1000000</f>
        <v>13542.863819914795</v>
      </c>
      <c r="AO26" s="476">
        <f>[180]Sheet1!$C$150/1000000</f>
        <v>13847.265824195511</v>
      </c>
      <c r="AP26" s="476">
        <f>[135]Sheet1!$C$150/1000000</f>
        <v>13895.378361877878</v>
      </c>
      <c r="AQ26" s="476">
        <f>[136]Sheet1!$C$150/1000000</f>
        <v>14061.225677049795</v>
      </c>
      <c r="AR26" s="476">
        <f>[137]Sheet1!$C$150/1000000</f>
        <v>14129.948875812004</v>
      </c>
      <c r="AS26" s="476">
        <f>[138]Sheet1!$C$150/1000000</f>
        <v>14867.49662544334</v>
      </c>
      <c r="AT26" s="476">
        <f>[139]Sheet1!$C$150/1000000</f>
        <v>15016.376592499861</v>
      </c>
      <c r="AU26" s="476">
        <f>[140]Sheet1!$C$150/1000000</f>
        <v>14883.294521875829</v>
      </c>
      <c r="AV26" s="476">
        <f>[181]Sheet1!$C$150/1000000</f>
        <v>15041.956249365756</v>
      </c>
      <c r="AW26" s="476">
        <f>[182]Sheet1!$C$150/1000000</f>
        <v>15235.583839148105</v>
      </c>
      <c r="AX26" s="476">
        <f>[183]Sheet1!$C$150/1000000</f>
        <v>15416.093372723208</v>
      </c>
      <c r="AY26" s="476">
        <f>[184]Sheet1!$C$150/1000000</f>
        <v>15511.952693063038</v>
      </c>
      <c r="AZ26" s="476">
        <f>[185]Sheet1!$C$150/1000000</f>
        <v>15628.316686064878</v>
      </c>
      <c r="BA26" s="476">
        <f>[141]Sheet1!$C$150/1000000</f>
        <v>15724.480587961425</v>
      </c>
      <c r="BB26" s="476">
        <f>[142]Sheet1!$C$150/1000000</f>
        <v>15728.165902294089</v>
      </c>
      <c r="BC26" s="476">
        <f>[143]Sheet1!$C$150/1000000</f>
        <v>15948.920227210907</v>
      </c>
      <c r="BD26" s="476">
        <f>[144]Sheet1!$C$150/1000000</f>
        <v>16046.530928559725</v>
      </c>
      <c r="BE26" s="476">
        <f>[145]Sheet1!$C$150/1000000</f>
        <v>16179.164306182563</v>
      </c>
      <c r="BF26" s="476">
        <f>[146]Sheet1!$C$150/1000000</f>
        <v>16186.430466736743</v>
      </c>
      <c r="BG26" s="476">
        <f>[147]Sheet1!$C$150/1000000</f>
        <v>16268.813904278057</v>
      </c>
      <c r="BH26" s="476">
        <f>[148]Sheet1!$C$150/1000000</f>
        <v>16370.446699364229</v>
      </c>
      <c r="BI26" s="476">
        <f>[149]Sheet1!$C$150/1000000</f>
        <v>16665.968852907914</v>
      </c>
      <c r="BJ26" s="476">
        <f>[150]Sheet1!$C$150/1000000</f>
        <v>16991.67181004403</v>
      </c>
      <c r="BK26" s="476">
        <f>[151]Sheet1!$C$150/1000000</f>
        <v>17384.710621928669</v>
      </c>
      <c r="BL26" s="476">
        <f>[152]Sheet1!$C$150/1000000</f>
        <v>17365.152191463854</v>
      </c>
      <c r="BM26" s="476">
        <f>[153]Sheet1!$C$150/1000000</f>
        <v>17523.195378059605</v>
      </c>
      <c r="BN26" s="476">
        <f>[154]Sheet1!$C$150/1000000</f>
        <v>17892.213160755415</v>
      </c>
      <c r="BO26" s="476">
        <f>[155]Sheet1!$C$150/1000000</f>
        <v>17974.062573762763</v>
      </c>
      <c r="BP26" s="476">
        <f>[186]Sheet1!$C$150/1000000</f>
        <v>19541.268493632055</v>
      </c>
      <c r="BQ26" s="476">
        <f>[187]Sheet1!$C$150/1000000</f>
        <v>19839.07444869414</v>
      </c>
      <c r="BR26" s="476">
        <f>[188]Sheet1!$C$150/1000000</f>
        <v>19881.415035014634</v>
      </c>
      <c r="BS26" s="476">
        <f>[189]Sheet1!$C$150/1000000</f>
        <v>19895.270451295564</v>
      </c>
      <c r="BT26" s="476">
        <f>[190]Sheet1!$C$150/1000000</f>
        <v>20065.058771296935</v>
      </c>
      <c r="BU26" s="476">
        <f>[191]Sheet1!$C$150/1000000</f>
        <v>20064.027496214749</v>
      </c>
      <c r="BV26" s="476">
        <f>[192]Sheet1!$C$150/1000000</f>
        <v>20196.003639849067</v>
      </c>
      <c r="BW26" s="476">
        <f>[193]Sheet1!$C$150/1000000</f>
        <v>20558.658169025657</v>
      </c>
      <c r="BX26" s="476">
        <f>[194]Sheet1!$C$150/1000000</f>
        <v>20793.085392956549</v>
      </c>
      <c r="BY26" s="476">
        <f>[195]Sheet1!$C$150/1000000</f>
        <v>21056.009486298484</v>
      </c>
      <c r="BZ26" s="476">
        <f>[196]Sheet1!$C$150/1000000</f>
        <v>21211.197226594864</v>
      </c>
      <c r="CA26" s="476">
        <f>[197]Sheet1!$C$150/1000000</f>
        <v>21326.651264443</v>
      </c>
      <c r="CB26" s="476">
        <f>[156]Sheet1!$C$150/1000000</f>
        <v>21456.918350381893</v>
      </c>
      <c r="CC26" s="476">
        <f>[157]Sheet1!$C$150/1000000</f>
        <v>21790.382353207417</v>
      </c>
      <c r="CD26" s="476">
        <f>[158]Sheet1!$C$150/1000000</f>
        <v>21813.765446692763</v>
      </c>
      <c r="CE26" s="476">
        <f>[159]Sheet1!$C$150/1000000</f>
        <v>21821.621603021606</v>
      </c>
      <c r="CF26" s="476">
        <f>[160]Sheet1!$C$150/1000000</f>
        <v>21858.585494262614</v>
      </c>
      <c r="CG26" s="476">
        <f>[161]Sheet1!$C$150/1000000</f>
        <v>21896.466863457536</v>
      </c>
      <c r="CH26" s="476">
        <f>[162]Sheet1!$C$150/1000000</f>
        <v>22339.695730386007</v>
      </c>
      <c r="CI26" s="476">
        <f>[163]Sheet1!$C$150/1000000</f>
        <v>22562.627234666605</v>
      </c>
      <c r="CJ26" s="476">
        <f>[164]Sheet1!$C$150/1000000</f>
        <v>21198.993556181529</v>
      </c>
      <c r="CK26" s="476">
        <f>[165]Sheet1!$C$150/1000000</f>
        <v>20989.900446220578</v>
      </c>
      <c r="CL26" s="476">
        <f>[166]Sheet1!$C$150/1000000</f>
        <v>20999.00918223854</v>
      </c>
      <c r="CM26" s="476">
        <f>[167]Sheet1!$C$150/1000000</f>
        <v>21074.540085685647</v>
      </c>
      <c r="CN26" s="476">
        <f>[168]Sheet1!$C$150/1000000</f>
        <v>21108.568285388013</v>
      </c>
      <c r="CO26" s="476">
        <f>[169]Sheet1!$C$150/1000000</f>
        <v>21466.921812800294</v>
      </c>
      <c r="CP26" s="435">
        <f>[170]Sheet1!$C$150/1000000</f>
        <v>21670.397031735833</v>
      </c>
    </row>
    <row r="27" spans="1:94">
      <c r="A27" s="436"/>
      <c r="B27" s="437"/>
      <c r="C27" s="450"/>
      <c r="D27" s="450"/>
      <c r="E27" s="450"/>
      <c r="F27" s="390"/>
      <c r="G27" s="450"/>
      <c r="H27" s="481"/>
      <c r="I27" s="450"/>
      <c r="J27" s="450"/>
      <c r="K27" s="450"/>
      <c r="L27" s="450"/>
      <c r="M27" s="39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39"/>
    </row>
    <row r="28" spans="1:94">
      <c r="A28" s="433"/>
      <c r="B28" s="434" t="s">
        <v>533</v>
      </c>
      <c r="C28" s="476">
        <f>C6+C8+C14+C16+C18+C20+C22+C24+C26</f>
        <v>471311.56792716432</v>
      </c>
      <c r="D28" s="476">
        <f>D6+D8+D14+D16+D18+D20+D22+D24+D26</f>
        <v>458405.79961119429</v>
      </c>
      <c r="E28" s="476">
        <f>E6+E8+E14+E16+E18+E20+E22+E24+E26</f>
        <v>471368.36617523001</v>
      </c>
      <c r="F28" s="400">
        <f>F6+F8+F14+F16+F18+F20+F22+F24+F26</f>
        <v>487597.21233473998</v>
      </c>
      <c r="G28" s="476">
        <f>G6+G8+G14+G16+G18+G20+G22+G24+G26</f>
        <v>490699.53375006304</v>
      </c>
      <c r="H28" s="477">
        <f t="shared" ref="H28:BS28" si="2">H6+H8+H14+H16+H18+H20+H22+H24+H26</f>
        <v>509422.04600683041</v>
      </c>
      <c r="I28" s="476">
        <f t="shared" si="2"/>
        <v>496790.44643401378</v>
      </c>
      <c r="J28" s="476">
        <f t="shared" si="2"/>
        <v>506831.090651448</v>
      </c>
      <c r="K28" s="476">
        <f t="shared" si="2"/>
        <v>536189.32489575329</v>
      </c>
      <c r="L28" s="476">
        <f t="shared" si="2"/>
        <v>539946.7159698375</v>
      </c>
      <c r="M28" s="400">
        <f t="shared" si="2"/>
        <v>536591.34873983543</v>
      </c>
      <c r="N28" s="476">
        <f t="shared" si="2"/>
        <v>565086.19033303193</v>
      </c>
      <c r="O28" s="476">
        <f t="shared" si="2"/>
        <v>553754.69138722611</v>
      </c>
      <c r="P28" s="476">
        <f t="shared" si="2"/>
        <v>563618.70857038384</v>
      </c>
      <c r="Q28" s="476">
        <f t="shared" si="2"/>
        <v>575394.00702426536</v>
      </c>
      <c r="R28" s="476">
        <f t="shared" si="2"/>
        <v>605259.06123920635</v>
      </c>
      <c r="S28" s="476">
        <f t="shared" si="2"/>
        <v>608440.06014277297</v>
      </c>
      <c r="T28" s="476">
        <f t="shared" si="2"/>
        <v>637096.64947550418</v>
      </c>
      <c r="U28" s="476">
        <f t="shared" si="2"/>
        <v>661145.8894725315</v>
      </c>
      <c r="V28" s="476">
        <f t="shared" si="2"/>
        <v>633159.18734289054</v>
      </c>
      <c r="W28" s="476">
        <f t="shared" si="2"/>
        <v>636947.78133060329</v>
      </c>
      <c r="X28" s="476">
        <f t="shared" si="2"/>
        <v>655844.07059561671</v>
      </c>
      <c r="Y28" s="476">
        <f t="shared" si="2"/>
        <v>662667.18801874912</v>
      </c>
      <c r="Z28" s="476">
        <f t="shared" si="2"/>
        <v>664628.03592560661</v>
      </c>
      <c r="AA28" s="476">
        <f t="shared" si="2"/>
        <v>695845.12316598266</v>
      </c>
      <c r="AB28" s="476">
        <f t="shared" si="2"/>
        <v>714781.22867027926</v>
      </c>
      <c r="AC28" s="476">
        <f t="shared" si="2"/>
        <v>729675.19286680454</v>
      </c>
      <c r="AD28" s="476">
        <f t="shared" si="2"/>
        <v>737089.28856492438</v>
      </c>
      <c r="AE28" s="476">
        <f t="shared" si="2"/>
        <v>740351.71167019883</v>
      </c>
      <c r="AF28" s="476">
        <f t="shared" si="2"/>
        <v>780083.3295117286</v>
      </c>
      <c r="AG28" s="476">
        <f t="shared" si="2"/>
        <v>758266.41427968536</v>
      </c>
      <c r="AH28" s="476">
        <f t="shared" si="2"/>
        <v>788136.06321539462</v>
      </c>
      <c r="AI28" s="476">
        <f t="shared" si="2"/>
        <v>784205.4456981275</v>
      </c>
      <c r="AJ28" s="476">
        <f t="shared" si="2"/>
        <v>769965.96097859775</v>
      </c>
      <c r="AK28" s="476">
        <f t="shared" si="2"/>
        <v>756096.5212078559</v>
      </c>
      <c r="AL28" s="476">
        <f t="shared" si="2"/>
        <v>797078.89871579094</v>
      </c>
      <c r="AM28" s="476">
        <f t="shared" si="2"/>
        <v>810394.94968197751</v>
      </c>
      <c r="AN28" s="476">
        <f t="shared" si="2"/>
        <v>828459.34888786869</v>
      </c>
      <c r="AO28" s="476">
        <f t="shared" si="2"/>
        <v>819943.30276826583</v>
      </c>
      <c r="AP28" s="476">
        <f t="shared" si="2"/>
        <v>803102.41851690516</v>
      </c>
      <c r="AQ28" s="476">
        <f t="shared" si="2"/>
        <v>860616.11619672494</v>
      </c>
      <c r="AR28" s="476">
        <f t="shared" si="2"/>
        <v>844613.98383109039</v>
      </c>
      <c r="AS28" s="476">
        <f t="shared" si="2"/>
        <v>847548.11865141056</v>
      </c>
      <c r="AT28" s="476">
        <f t="shared" si="2"/>
        <v>846906.62767257448</v>
      </c>
      <c r="AU28" s="476">
        <f t="shared" si="2"/>
        <v>856623.22336467297</v>
      </c>
      <c r="AV28" s="476">
        <f t="shared" si="2"/>
        <v>849664.16610216291</v>
      </c>
      <c r="AW28" s="476">
        <f t="shared" si="2"/>
        <v>850875.33540920669</v>
      </c>
      <c r="AX28" s="476">
        <f t="shared" si="2"/>
        <v>845763.63654899003</v>
      </c>
      <c r="AY28" s="476">
        <f t="shared" si="2"/>
        <v>857777.29400790727</v>
      </c>
      <c r="AZ28" s="476">
        <f t="shared" si="2"/>
        <v>873787.36227380787</v>
      </c>
      <c r="BA28" s="476">
        <f t="shared" si="2"/>
        <v>878017.7705192311</v>
      </c>
      <c r="BB28" s="476">
        <f t="shared" si="2"/>
        <v>860432.47357552964</v>
      </c>
      <c r="BC28" s="476">
        <f t="shared" si="2"/>
        <v>860188.9541019632</v>
      </c>
      <c r="BD28" s="476">
        <f t="shared" si="2"/>
        <v>848848.64170295815</v>
      </c>
      <c r="BE28" s="476">
        <f t="shared" si="2"/>
        <v>894608.69760575343</v>
      </c>
      <c r="BF28" s="476">
        <f t="shared" si="2"/>
        <v>915505.73865312291</v>
      </c>
      <c r="BG28" s="476">
        <f t="shared" si="2"/>
        <v>937137.81343298568</v>
      </c>
      <c r="BH28" s="476">
        <f t="shared" si="2"/>
        <v>958041.17726875655</v>
      </c>
      <c r="BI28" s="476">
        <f t="shared" si="2"/>
        <v>958842.1455475667</v>
      </c>
      <c r="BJ28" s="476">
        <f t="shared" si="2"/>
        <v>1070992.4571643467</v>
      </c>
      <c r="BK28" s="476">
        <f t="shared" si="2"/>
        <v>1055271.1206003062</v>
      </c>
      <c r="BL28" s="476">
        <f t="shared" si="2"/>
        <v>997219.36388874415</v>
      </c>
      <c r="BM28" s="476">
        <f t="shared" si="2"/>
        <v>1035500.4015942985</v>
      </c>
      <c r="BN28" s="476">
        <f t="shared" si="2"/>
        <v>1056066.0486383529</v>
      </c>
      <c r="BO28" s="476">
        <f t="shared" si="2"/>
        <v>1077273.9333575058</v>
      </c>
      <c r="BP28" s="476">
        <f t="shared" si="2"/>
        <v>1058366.3717629386</v>
      </c>
      <c r="BQ28" s="476">
        <f t="shared" si="2"/>
        <v>1106725.2287313228</v>
      </c>
      <c r="BR28" s="476">
        <f t="shared" si="2"/>
        <v>1122998.4580237856</v>
      </c>
      <c r="BS28" s="476">
        <f t="shared" si="2"/>
        <v>1131601.8792808035</v>
      </c>
      <c r="BT28" s="476">
        <f t="shared" ref="BT28:CM28" si="3">BT6+BT8+BT14+BT16+BT18+BT20+BT22+BT24+BT26</f>
        <v>1099361.3938665676</v>
      </c>
      <c r="BU28" s="476">
        <f t="shared" si="3"/>
        <v>1166032.9445951278</v>
      </c>
      <c r="BV28" s="476">
        <f t="shared" si="3"/>
        <v>1094115.9506793264</v>
      </c>
      <c r="BW28" s="476">
        <f t="shared" si="3"/>
        <v>1160356.9790443636</v>
      </c>
      <c r="BX28" s="476">
        <f t="shared" si="3"/>
        <v>1134584.961710559</v>
      </c>
      <c r="BY28" s="476">
        <f t="shared" si="3"/>
        <v>1112955.0925948888</v>
      </c>
      <c r="BZ28" s="476">
        <f t="shared" si="3"/>
        <v>1198674.0724062677</v>
      </c>
      <c r="CA28" s="476">
        <f t="shared" si="3"/>
        <v>1181223.9003387662</v>
      </c>
      <c r="CB28" s="476">
        <f t="shared" si="3"/>
        <v>1211293.1754387375</v>
      </c>
      <c r="CC28" s="476">
        <f t="shared" si="3"/>
        <v>1221711.2032623517</v>
      </c>
      <c r="CD28" s="476">
        <f t="shared" si="3"/>
        <v>1235903.3137268671</v>
      </c>
      <c r="CE28" s="476">
        <f t="shared" si="3"/>
        <v>1274384.0037559315</v>
      </c>
      <c r="CF28" s="476">
        <f t="shared" si="3"/>
        <v>1295912.2835303352</v>
      </c>
      <c r="CG28" s="476">
        <f t="shared" si="3"/>
        <v>1274120.3794816772</v>
      </c>
      <c r="CH28" s="476">
        <f t="shared" si="3"/>
        <v>1311993.346262435</v>
      </c>
      <c r="CI28" s="476">
        <f t="shared" si="3"/>
        <v>1302799.933905883</v>
      </c>
      <c r="CJ28" s="476">
        <f t="shared" si="3"/>
        <v>1336708.8400578236</v>
      </c>
      <c r="CK28" s="476">
        <f t="shared" si="3"/>
        <v>1291958.9124607658</v>
      </c>
      <c r="CL28" s="476">
        <f t="shared" si="3"/>
        <v>1315134.6475510746</v>
      </c>
      <c r="CM28" s="476">
        <f t="shared" si="3"/>
        <v>1318305.6145117909</v>
      </c>
      <c r="CN28" s="476">
        <f>CN6+CN8+CN14+CN16+CN18+CN20+CN22+CN24+CN26</f>
        <v>1292269.3594599015</v>
      </c>
      <c r="CO28" s="476">
        <f>CO6+CO8+CO14+CO16+CO18+CO20+CO22+CO24+CO26</f>
        <v>1298120.7727997475</v>
      </c>
      <c r="CP28" s="435">
        <f>CP6+CP8+CP14+CP16+CP18+CP20+CP22+CP24+CP26</f>
        <v>1328344.738319339</v>
      </c>
    </row>
    <row r="29" spans="1:94" ht="13.5" thickBot="1">
      <c r="A29" s="441"/>
      <c r="B29" s="442"/>
      <c r="C29" s="482"/>
      <c r="D29" s="482"/>
      <c r="E29" s="482"/>
      <c r="F29" s="483"/>
      <c r="G29" s="482"/>
      <c r="H29" s="484"/>
      <c r="I29" s="482"/>
      <c r="J29" s="482"/>
      <c r="K29" s="482"/>
      <c r="L29" s="482"/>
      <c r="M29" s="483"/>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5"/>
    </row>
    <row r="30" spans="1:94" s="350" customFormat="1" ht="13.5" hidden="1" thickTop="1">
      <c r="A30" s="447"/>
      <c r="B30" s="447"/>
      <c r="C30" s="447"/>
      <c r="D30" s="447"/>
      <c r="E30" s="447"/>
      <c r="F30" s="447"/>
      <c r="G30" s="447"/>
      <c r="H30" s="486"/>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129"/>
      <c r="AW30" s="447"/>
      <c r="AX30" s="447"/>
      <c r="AY30" s="447"/>
      <c r="AZ30" s="447"/>
      <c r="BA30" s="447"/>
      <c r="BB30" s="447"/>
      <c r="BC30" s="447"/>
      <c r="BD30" s="447"/>
      <c r="BE30" s="447"/>
      <c r="BF30" s="447"/>
      <c r="BG30" s="447"/>
      <c r="BH30" s="447"/>
      <c r="BI30" s="447"/>
      <c r="BJ30" s="447"/>
      <c r="BK30" s="447"/>
      <c r="BL30" s="447"/>
      <c r="BM30" s="447"/>
      <c r="BN30" s="447"/>
      <c r="BO30" s="447"/>
      <c r="BP30" s="447"/>
      <c r="BQ30" s="447"/>
      <c r="BR30" s="447"/>
      <c r="BS30" s="447"/>
      <c r="BT30" s="447"/>
      <c r="BU30" s="447"/>
      <c r="BV30" s="447"/>
      <c r="BW30" s="447"/>
      <c r="BX30" s="447"/>
      <c r="BY30" s="447"/>
      <c r="BZ30" s="447"/>
      <c r="CA30" s="447"/>
      <c r="CB30" s="447"/>
      <c r="CC30" s="447"/>
      <c r="CD30" s="447"/>
      <c r="CE30" s="447"/>
      <c r="CF30" s="447"/>
      <c r="CG30" s="447"/>
      <c r="CH30" s="447"/>
      <c r="CI30" s="447"/>
      <c r="CJ30" s="447"/>
      <c r="CK30" s="447"/>
      <c r="CL30" s="447"/>
      <c r="CM30" s="447"/>
      <c r="CN30" s="447"/>
      <c r="CO30" s="447"/>
      <c r="CP30" s="447"/>
    </row>
    <row r="31" spans="1:94" s="350" customFormat="1" ht="13.5" thickTop="1">
      <c r="A31" s="447"/>
      <c r="B31" s="447"/>
      <c r="C31" s="447"/>
      <c r="D31" s="447"/>
      <c r="E31" s="447"/>
      <c r="F31" s="447"/>
      <c r="G31" s="447"/>
      <c r="H31" s="420"/>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129"/>
      <c r="AW31" s="447"/>
      <c r="AX31" s="447"/>
      <c r="AY31" s="447"/>
      <c r="AZ31" s="447"/>
      <c r="BA31" s="447"/>
      <c r="BB31" s="447"/>
      <c r="BC31" s="447"/>
      <c r="BD31" s="447"/>
      <c r="BE31" s="447"/>
      <c r="BF31" s="447"/>
      <c r="BG31" s="447"/>
      <c r="BH31" s="447"/>
      <c r="BI31" s="447"/>
      <c r="BJ31" s="447"/>
      <c r="BK31" s="447"/>
      <c r="BL31" s="447"/>
      <c r="BM31" s="447"/>
      <c r="BN31" s="447"/>
      <c r="BO31" s="447"/>
      <c r="BP31" s="447"/>
      <c r="BQ31" s="447"/>
      <c r="BR31" s="447"/>
      <c r="BS31" s="447"/>
      <c r="BT31" s="447"/>
      <c r="BU31" s="447"/>
      <c r="BV31" s="447"/>
      <c r="BW31" s="447"/>
      <c r="BX31" s="447"/>
      <c r="BY31" s="447"/>
      <c r="BZ31" s="447"/>
      <c r="CA31" s="447"/>
      <c r="CB31" s="447"/>
      <c r="CC31" s="447"/>
      <c r="CD31" s="447"/>
      <c r="CE31" s="447"/>
      <c r="CF31" s="447"/>
      <c r="CG31" s="447"/>
      <c r="CH31" s="447"/>
      <c r="CI31" s="447"/>
      <c r="CJ31" s="447"/>
      <c r="CK31" s="447"/>
      <c r="CL31" s="447"/>
      <c r="CM31" s="447"/>
      <c r="CN31" s="447"/>
      <c r="CO31" s="447"/>
      <c r="CP31" s="447"/>
    </row>
    <row r="32" spans="1:94" s="350" customFormat="1" ht="13.5" thickBot="1">
      <c r="A32" s="447"/>
      <c r="B32" s="447"/>
      <c r="C32" s="487"/>
      <c r="D32" s="487"/>
      <c r="E32" s="487"/>
      <c r="F32" s="487"/>
      <c r="G32" s="487"/>
      <c r="H32" s="488"/>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352"/>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row>
    <row r="33" spans="1:94" ht="14.25" thickTop="1" thickBot="1">
      <c r="A33" s="421" t="s">
        <v>506</v>
      </c>
      <c r="B33" s="422" t="s">
        <v>534</v>
      </c>
      <c r="C33" s="425">
        <f t="shared" ref="C33:AR33" si="4">C4</f>
        <v>38504</v>
      </c>
      <c r="D33" s="425">
        <f t="shared" si="4"/>
        <v>38534</v>
      </c>
      <c r="E33" s="425">
        <f t="shared" si="4"/>
        <v>38565</v>
      </c>
      <c r="F33" s="470">
        <f t="shared" si="4"/>
        <v>38596</v>
      </c>
      <c r="G33" s="425">
        <f t="shared" si="4"/>
        <v>38626</v>
      </c>
      <c r="H33" s="471">
        <f t="shared" si="4"/>
        <v>38657</v>
      </c>
      <c r="I33" s="425">
        <f t="shared" si="4"/>
        <v>38687</v>
      </c>
      <c r="J33" s="425">
        <f t="shared" si="4"/>
        <v>38718</v>
      </c>
      <c r="K33" s="425">
        <f t="shared" si="4"/>
        <v>38749</v>
      </c>
      <c r="L33" s="425">
        <f t="shared" si="4"/>
        <v>38777</v>
      </c>
      <c r="M33" s="470">
        <f t="shared" si="4"/>
        <v>38808</v>
      </c>
      <c r="N33" s="425">
        <f t="shared" si="4"/>
        <v>38838</v>
      </c>
      <c r="O33" s="425">
        <f t="shared" si="4"/>
        <v>38869</v>
      </c>
      <c r="P33" s="425">
        <f t="shared" si="4"/>
        <v>38899</v>
      </c>
      <c r="Q33" s="425">
        <f t="shared" si="4"/>
        <v>38930</v>
      </c>
      <c r="R33" s="425">
        <f t="shared" si="4"/>
        <v>38961</v>
      </c>
      <c r="S33" s="425">
        <f t="shared" si="4"/>
        <v>38991</v>
      </c>
      <c r="T33" s="425">
        <f t="shared" si="4"/>
        <v>39022</v>
      </c>
      <c r="U33" s="425">
        <f t="shared" si="4"/>
        <v>39052</v>
      </c>
      <c r="V33" s="425">
        <f t="shared" si="4"/>
        <v>39083</v>
      </c>
      <c r="W33" s="425">
        <f t="shared" si="4"/>
        <v>39114</v>
      </c>
      <c r="X33" s="425">
        <f t="shared" si="4"/>
        <v>39142</v>
      </c>
      <c r="Y33" s="425">
        <f t="shared" si="4"/>
        <v>39173</v>
      </c>
      <c r="Z33" s="425">
        <f t="shared" si="4"/>
        <v>39203</v>
      </c>
      <c r="AA33" s="425">
        <f t="shared" si="4"/>
        <v>39234</v>
      </c>
      <c r="AB33" s="425">
        <f t="shared" si="4"/>
        <v>39264</v>
      </c>
      <c r="AC33" s="425">
        <f t="shared" si="4"/>
        <v>39295</v>
      </c>
      <c r="AD33" s="425">
        <f t="shared" si="4"/>
        <v>39326</v>
      </c>
      <c r="AE33" s="423">
        <f t="shared" si="4"/>
        <v>39356</v>
      </c>
      <c r="AF33" s="423">
        <f t="shared" si="4"/>
        <v>39387</v>
      </c>
      <c r="AG33" s="424">
        <f t="shared" si="4"/>
        <v>39417</v>
      </c>
      <c r="AH33" s="425">
        <f t="shared" si="4"/>
        <v>39448</v>
      </c>
      <c r="AI33" s="425">
        <f t="shared" si="4"/>
        <v>39479</v>
      </c>
      <c r="AJ33" s="425">
        <f t="shared" si="4"/>
        <v>39508</v>
      </c>
      <c r="AK33" s="425">
        <f t="shared" si="4"/>
        <v>39539</v>
      </c>
      <c r="AL33" s="425">
        <f t="shared" si="4"/>
        <v>39569</v>
      </c>
      <c r="AM33" s="425">
        <f t="shared" si="4"/>
        <v>39600</v>
      </c>
      <c r="AN33" s="425">
        <f t="shared" si="4"/>
        <v>39630</v>
      </c>
      <c r="AO33" s="425">
        <f t="shared" si="4"/>
        <v>39661</v>
      </c>
      <c r="AP33" s="425">
        <f t="shared" si="4"/>
        <v>39692</v>
      </c>
      <c r="AQ33" s="425">
        <f t="shared" si="4"/>
        <v>39722</v>
      </c>
      <c r="AR33" s="425">
        <f t="shared" si="4"/>
        <v>39753</v>
      </c>
      <c r="AS33" s="425">
        <f>AS4</f>
        <v>39783</v>
      </c>
      <c r="AT33" s="425">
        <f>AT4</f>
        <v>39814</v>
      </c>
      <c r="AU33" s="425">
        <f>AU4</f>
        <v>39845</v>
      </c>
      <c r="AV33" s="425" t="s">
        <v>576</v>
      </c>
      <c r="AW33" s="425">
        <f t="shared" ref="AW33:CP33" si="5">AW4</f>
        <v>39904</v>
      </c>
      <c r="AX33" s="425">
        <f t="shared" si="5"/>
        <v>39934</v>
      </c>
      <c r="AY33" s="425">
        <f t="shared" si="5"/>
        <v>39965</v>
      </c>
      <c r="AZ33" s="425">
        <f t="shared" si="5"/>
        <v>39995</v>
      </c>
      <c r="BA33" s="425">
        <f t="shared" si="5"/>
        <v>40026</v>
      </c>
      <c r="BB33" s="425">
        <f t="shared" si="5"/>
        <v>40057</v>
      </c>
      <c r="BC33" s="425">
        <f t="shared" si="5"/>
        <v>40087</v>
      </c>
      <c r="BD33" s="425">
        <f t="shared" si="5"/>
        <v>40118</v>
      </c>
      <c r="BE33" s="425">
        <f t="shared" si="5"/>
        <v>40148</v>
      </c>
      <c r="BF33" s="425">
        <f t="shared" si="5"/>
        <v>40179</v>
      </c>
      <c r="BG33" s="425">
        <f t="shared" si="5"/>
        <v>40210</v>
      </c>
      <c r="BH33" s="425">
        <f t="shared" si="5"/>
        <v>40238</v>
      </c>
      <c r="BI33" s="425">
        <f t="shared" si="5"/>
        <v>40269</v>
      </c>
      <c r="BJ33" s="425">
        <f t="shared" si="5"/>
        <v>40299</v>
      </c>
      <c r="BK33" s="425">
        <f t="shared" si="5"/>
        <v>40330</v>
      </c>
      <c r="BL33" s="425">
        <f t="shared" si="5"/>
        <v>40360</v>
      </c>
      <c r="BM33" s="425">
        <f t="shared" si="5"/>
        <v>40391</v>
      </c>
      <c r="BN33" s="425">
        <f t="shared" si="5"/>
        <v>40422</v>
      </c>
      <c r="BO33" s="425">
        <f t="shared" si="5"/>
        <v>40452</v>
      </c>
      <c r="BP33" s="425">
        <f t="shared" si="5"/>
        <v>40483</v>
      </c>
      <c r="BQ33" s="425">
        <f t="shared" si="5"/>
        <v>40513</v>
      </c>
      <c r="BR33" s="425">
        <f t="shared" si="5"/>
        <v>40544</v>
      </c>
      <c r="BS33" s="425">
        <f t="shared" si="5"/>
        <v>40575</v>
      </c>
      <c r="BT33" s="425">
        <f t="shared" si="5"/>
        <v>40603</v>
      </c>
      <c r="BU33" s="425">
        <f t="shared" si="5"/>
        <v>40634</v>
      </c>
      <c r="BV33" s="425">
        <f t="shared" si="5"/>
        <v>40664</v>
      </c>
      <c r="BW33" s="425">
        <f t="shared" si="5"/>
        <v>40695</v>
      </c>
      <c r="BX33" s="425">
        <f t="shared" si="5"/>
        <v>40725</v>
      </c>
      <c r="BY33" s="425">
        <f t="shared" si="5"/>
        <v>40756</v>
      </c>
      <c r="BZ33" s="425">
        <f t="shared" si="5"/>
        <v>40787</v>
      </c>
      <c r="CA33" s="425">
        <f t="shared" si="5"/>
        <v>40817</v>
      </c>
      <c r="CB33" s="425">
        <f t="shared" si="5"/>
        <v>40848</v>
      </c>
      <c r="CC33" s="425">
        <f t="shared" si="5"/>
        <v>40878</v>
      </c>
      <c r="CD33" s="425">
        <f t="shared" si="5"/>
        <v>40909</v>
      </c>
      <c r="CE33" s="425">
        <f t="shared" si="5"/>
        <v>40940</v>
      </c>
      <c r="CF33" s="425">
        <f t="shared" si="5"/>
        <v>40969</v>
      </c>
      <c r="CG33" s="425">
        <f t="shared" si="5"/>
        <v>41000</v>
      </c>
      <c r="CH33" s="425">
        <f t="shared" si="5"/>
        <v>41030</v>
      </c>
      <c r="CI33" s="425">
        <f t="shared" si="5"/>
        <v>41061</v>
      </c>
      <c r="CJ33" s="425">
        <f t="shared" si="5"/>
        <v>41091</v>
      </c>
      <c r="CK33" s="425">
        <f t="shared" si="5"/>
        <v>41122</v>
      </c>
      <c r="CL33" s="425">
        <f t="shared" si="5"/>
        <v>41153</v>
      </c>
      <c r="CM33" s="425">
        <f t="shared" si="5"/>
        <v>41183</v>
      </c>
      <c r="CN33" s="425">
        <f t="shared" si="5"/>
        <v>41214</v>
      </c>
      <c r="CO33" s="425">
        <f t="shared" si="5"/>
        <v>41244</v>
      </c>
      <c r="CP33" s="423">
        <f t="shared" si="5"/>
        <v>41275</v>
      </c>
    </row>
    <row r="34" spans="1:94" ht="13.5" thickTop="1">
      <c r="A34" s="436"/>
      <c r="B34" s="448"/>
      <c r="C34" s="450"/>
      <c r="D34" s="450"/>
      <c r="E34" s="450"/>
      <c r="F34" s="390"/>
      <c r="G34" s="450"/>
      <c r="H34" s="481"/>
      <c r="I34" s="450"/>
      <c r="J34" s="450"/>
      <c r="K34" s="450"/>
      <c r="L34" s="450"/>
      <c r="M34" s="390"/>
      <c r="N34" s="450"/>
      <c r="O34" s="450"/>
      <c r="P34" s="450"/>
      <c r="Q34" s="450"/>
      <c r="R34" s="450"/>
      <c r="S34" s="450"/>
      <c r="T34" s="450"/>
      <c r="U34" s="450"/>
      <c r="V34" s="450"/>
      <c r="W34" s="450"/>
      <c r="X34" s="450"/>
      <c r="Y34" s="450"/>
      <c r="Z34" s="450"/>
      <c r="AA34" s="450"/>
      <c r="AB34" s="450"/>
      <c r="AC34" s="450"/>
      <c r="AD34" s="450"/>
      <c r="AE34" s="439"/>
      <c r="AF34" s="439"/>
      <c r="AG34" s="449"/>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39"/>
    </row>
    <row r="35" spans="1:94">
      <c r="A35" s="433" t="s">
        <v>535</v>
      </c>
      <c r="B35" s="434" t="s">
        <v>536</v>
      </c>
      <c r="C35" s="476">
        <f>[106]Sheet1!$C$175/1000000</f>
        <v>0</v>
      </c>
      <c r="D35" s="476">
        <f>[107]Sheet1!$C$160/1000000</f>
        <v>0</v>
      </c>
      <c r="E35" s="476">
        <f>[108]Sheet1!$C$160/1000000</f>
        <v>0</v>
      </c>
      <c r="F35" s="400">
        <f>[109]Sheet1!$C$160/1000000</f>
        <v>0</v>
      </c>
      <c r="G35" s="476">
        <f>[110]Sheet1!$C$160/1000000</f>
        <v>0</v>
      </c>
      <c r="H35" s="477">
        <f>[111]Sheet1!$C$160/1000000</f>
        <v>0</v>
      </c>
      <c r="I35" s="476">
        <f>[112]Sheet1!$C$160/1000000</f>
        <v>0</v>
      </c>
      <c r="J35" s="476">
        <f>[113]Sheet1!$C$160/1000000</f>
        <v>0</v>
      </c>
      <c r="K35" s="476">
        <f>[114]Sheet1!$C$160/1000000</f>
        <v>0</v>
      </c>
      <c r="L35" s="476">
        <f>[115]Sheet1!$C$160/1000000</f>
        <v>0</v>
      </c>
      <c r="M35" s="400">
        <f>[116]Sheet1!$C$160/1000000</f>
        <v>0</v>
      </c>
      <c r="N35" s="476">
        <f>[117]Sheet1!$C$160/1000000</f>
        <v>0</v>
      </c>
      <c r="O35" s="476">
        <f>[118]Sheet1!$C$160/1000000</f>
        <v>0</v>
      </c>
      <c r="P35" s="476">
        <f>[119]Sheet1!$C$160/1000000</f>
        <v>0</v>
      </c>
      <c r="Q35" s="476">
        <f>[120]Sheet1!$C$160/1000000</f>
        <v>0</v>
      </c>
      <c r="R35" s="476">
        <f>[121]Sheet1!$C$160/1000000</f>
        <v>0</v>
      </c>
      <c r="S35" s="476">
        <f>[122]Sheet1!$C$160/1000000</f>
        <v>0</v>
      </c>
      <c r="T35" s="476">
        <f>[123]Sheet1!$C$160/1000000</f>
        <v>0</v>
      </c>
      <c r="U35" s="476">
        <f>[124]Sheet1!$C$160/1000000</f>
        <v>0</v>
      </c>
      <c r="V35" s="476">
        <f>[125]Sheet1!$C$160/1000000</f>
        <v>0</v>
      </c>
      <c r="W35" s="476">
        <f>[126]Sheet1!$C$160/1000000</f>
        <v>0</v>
      </c>
      <c r="X35" s="476">
        <f>[127]Sheet1!$C$160/1000000</f>
        <v>0</v>
      </c>
      <c r="Y35" s="476">
        <f>[128]Sheet1!$C$160/1000000</f>
        <v>0</v>
      </c>
      <c r="Z35" s="476">
        <f>[129]Sheet1!$C$160/1000000</f>
        <v>0</v>
      </c>
      <c r="AA35" s="476">
        <f>[130]Sheet1!$C$160/1000000</f>
        <v>0</v>
      </c>
      <c r="AB35" s="476">
        <f>[131]Sheet1!$C$160/1000000</f>
        <v>0</v>
      </c>
      <c r="AC35" s="476">
        <f>[132]Sheet1!$C$160/1000000</f>
        <v>0</v>
      </c>
      <c r="AD35" s="476">
        <f>[133]Sheet1!$C$160/1000000</f>
        <v>0</v>
      </c>
      <c r="AE35" s="435">
        <f>[134]Sheet1!$C$160/1000000</f>
        <v>0</v>
      </c>
      <c r="AF35" s="435">
        <f>[171]Sheet1!$C$160/1000000</f>
        <v>0</v>
      </c>
      <c r="AG35" s="491">
        <f>[172]Sheet1!$C$160/1000000</f>
        <v>0</v>
      </c>
      <c r="AH35" s="476">
        <f>[173]Sheet1!$C$160/1000000</f>
        <v>0</v>
      </c>
      <c r="AI35" s="476">
        <f>[174]Sheet1!$C$160/1000000</f>
        <v>0</v>
      </c>
      <c r="AJ35" s="476">
        <f>[175]Sheet1!$C$160/1000000</f>
        <v>0</v>
      </c>
      <c r="AK35" s="476">
        <f>[176]Sheet1!$C$160/1000000</f>
        <v>0</v>
      </c>
      <c r="AL35" s="476">
        <f>[177]Sheet1!$C$160/1000000</f>
        <v>0</v>
      </c>
      <c r="AM35" s="476">
        <f>[178]Sheet1!$C$160/1000000</f>
        <v>0</v>
      </c>
      <c r="AN35" s="476">
        <f>[179]Sheet1!$C$160/1000000</f>
        <v>0</v>
      </c>
      <c r="AO35" s="476">
        <f>[180]Sheet1!$C$160/1000000</f>
        <v>0</v>
      </c>
      <c r="AP35" s="476">
        <f>[135]Sheet1!$C$160/1000000</f>
        <v>0</v>
      </c>
      <c r="AQ35" s="476">
        <f>[136]Sheet1!$C$160/1000000</f>
        <v>0</v>
      </c>
      <c r="AR35" s="476">
        <f>[137]Sheet1!$C$160/1000000</f>
        <v>0</v>
      </c>
      <c r="AS35" s="476">
        <f>[138]Sheet1!$C$160/1000000</f>
        <v>0</v>
      </c>
      <c r="AT35" s="476">
        <f>[139]Sheet1!$C$160/1000000</f>
        <v>0</v>
      </c>
      <c r="AU35" s="476">
        <f>[140]Sheet1!$C$160/1000000</f>
        <v>0</v>
      </c>
      <c r="AV35" s="476">
        <f>[181]Sheet1!$C$160/1000000</f>
        <v>0</v>
      </c>
      <c r="AW35" s="476">
        <f>[182]Sheet1!$C$160/1000000</f>
        <v>0</v>
      </c>
      <c r="AX35" s="476">
        <f>[183]Sheet1!$C$160/1000000</f>
        <v>0</v>
      </c>
      <c r="AY35" s="476">
        <f>[184]Sheet1!$C$160/1000000</f>
        <v>0</v>
      </c>
      <c r="AZ35" s="476">
        <f>[185]Sheet1!$C$160/1000000</f>
        <v>0</v>
      </c>
      <c r="BA35" s="476">
        <f>[141]Sheet1!$C$160/1000000</f>
        <v>0</v>
      </c>
      <c r="BB35" s="476">
        <f>[142]Sheet1!$C$160/1000000</f>
        <v>0</v>
      </c>
      <c r="BC35" s="476">
        <f>[143]Sheet1!$C$160/1000000</f>
        <v>0</v>
      </c>
      <c r="BD35" s="476">
        <f>[144]Sheet1!$C$160/1000000</f>
        <v>0</v>
      </c>
      <c r="BE35" s="476">
        <f>[145]Sheet1!$C$160/1000000</f>
        <v>0</v>
      </c>
      <c r="BF35" s="476">
        <f>[146]Sheet1!$C$160/1000000</f>
        <v>0</v>
      </c>
      <c r="BG35" s="476">
        <f>[147]Sheet1!$C$160/1000000</f>
        <v>0</v>
      </c>
      <c r="BH35" s="476">
        <f>[148]Sheet1!$C$160/1000000</f>
        <v>0</v>
      </c>
      <c r="BI35" s="476">
        <f>[149]Sheet1!$C$160/1000000</f>
        <v>0</v>
      </c>
      <c r="BJ35" s="476">
        <f>[150]Sheet1!$C$160/1000000</f>
        <v>0</v>
      </c>
      <c r="BK35" s="476">
        <f>[151]Sheet1!$C$160/1000000</f>
        <v>0</v>
      </c>
      <c r="BL35" s="476">
        <f>[152]Sheet1!$C$160/1000000</f>
        <v>0</v>
      </c>
      <c r="BM35" s="476">
        <f>[153]Sheet1!$C$160/1000000</f>
        <v>0</v>
      </c>
      <c r="BN35" s="476">
        <f>[154]Sheet1!$C$160/1000000</f>
        <v>0</v>
      </c>
      <c r="BO35" s="476">
        <f>[155]Sheet1!$C$160/1000000</f>
        <v>0</v>
      </c>
      <c r="BP35" s="476">
        <f>[186]Sheet1!$C$160/1000000</f>
        <v>0</v>
      </c>
      <c r="BQ35" s="476">
        <f>[187]Sheet1!$C$160/1000000</f>
        <v>0</v>
      </c>
      <c r="BR35" s="476">
        <f>[188]Sheet1!$C$160/1000000</f>
        <v>0</v>
      </c>
      <c r="BS35" s="476">
        <f>[189]Sheet1!$C$160/1000000</f>
        <v>0</v>
      </c>
      <c r="BT35" s="476">
        <f>[190]Sheet1!$C$160/1000000</f>
        <v>0</v>
      </c>
      <c r="BU35" s="476">
        <f>[191]Sheet1!$C$160/1000000</f>
        <v>0</v>
      </c>
      <c r="BV35" s="476">
        <f>[192]Sheet1!$C$160/1000000</f>
        <v>0</v>
      </c>
      <c r="BW35" s="476">
        <f>[193]Sheet1!$C$160/1000000</f>
        <v>0</v>
      </c>
      <c r="BX35" s="476">
        <f>[194]Sheet1!$C$160/1000000</f>
        <v>0</v>
      </c>
      <c r="BY35" s="476">
        <f>[195]Sheet1!$C$160/1000000</f>
        <v>0</v>
      </c>
      <c r="BZ35" s="476">
        <f>[196]Sheet1!$C$160/1000000</f>
        <v>0</v>
      </c>
      <c r="CA35" s="476">
        <f>[197]Sheet1!$C$160/1000000</f>
        <v>0</v>
      </c>
      <c r="CB35" s="476">
        <f>[156]Sheet1!$C$160/1000000</f>
        <v>0</v>
      </c>
      <c r="CC35" s="476">
        <f>[157]Sheet1!$C$160/1000000</f>
        <v>0</v>
      </c>
      <c r="CD35" s="476">
        <f>[158]Sheet1!$C$160/1000000</f>
        <v>0</v>
      </c>
      <c r="CE35" s="476">
        <f>[159]Sheet1!$C$160/1000000</f>
        <v>0</v>
      </c>
      <c r="CF35" s="476">
        <f>[160]Sheet1!$C$160/1000000</f>
        <v>0</v>
      </c>
      <c r="CG35" s="476">
        <f>[161]Sheet1!$C$160/1000000</f>
        <v>0</v>
      </c>
      <c r="CH35" s="476">
        <f>[162]Sheet1!$C$160/1000000</f>
        <v>0</v>
      </c>
      <c r="CI35" s="476">
        <f>[163]Sheet1!$C$160/1000000</f>
        <v>0</v>
      </c>
      <c r="CJ35" s="476">
        <f>[164]Sheet1!$C$160/1000000</f>
        <v>0</v>
      </c>
      <c r="CK35" s="476">
        <f>[165]Sheet1!$C$160/1000000</f>
        <v>0</v>
      </c>
      <c r="CL35" s="476">
        <f>[166]Sheet1!$C$160/1000000</f>
        <v>0</v>
      </c>
      <c r="CM35" s="476">
        <f>[167]Sheet1!$C$160/1000000</f>
        <v>0</v>
      </c>
      <c r="CN35" s="476">
        <f>[168]Sheet1!$C$160/1000000</f>
        <v>0</v>
      </c>
      <c r="CO35" s="476">
        <f>[169]Sheet1!$C$160/1000000</f>
        <v>0</v>
      </c>
      <c r="CP35" s="435">
        <f>[170]Sheet1!$C$160/1000000</f>
        <v>0</v>
      </c>
    </row>
    <row r="36" spans="1:94">
      <c r="A36" s="436"/>
      <c r="B36" s="437"/>
      <c r="C36" s="492"/>
      <c r="D36" s="492"/>
      <c r="E36" s="492"/>
      <c r="F36" s="493"/>
      <c r="G36" s="492"/>
      <c r="H36" s="494"/>
      <c r="I36" s="492"/>
      <c r="J36" s="492"/>
      <c r="K36" s="492"/>
      <c r="L36" s="492"/>
      <c r="M36" s="493"/>
      <c r="N36" s="492"/>
      <c r="O36" s="492"/>
      <c r="P36" s="492"/>
      <c r="Q36" s="492"/>
      <c r="R36" s="492"/>
      <c r="S36" s="492"/>
      <c r="T36" s="492"/>
      <c r="U36" s="492"/>
      <c r="V36" s="492"/>
      <c r="W36" s="492"/>
      <c r="X36" s="492"/>
      <c r="Y36" s="492"/>
      <c r="Z36" s="492"/>
      <c r="AA36" s="492"/>
      <c r="AB36" s="492"/>
      <c r="AC36" s="492"/>
      <c r="AD36" s="492"/>
      <c r="AE36" s="495"/>
      <c r="AF36" s="495"/>
      <c r="AG36" s="496"/>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5"/>
    </row>
    <row r="37" spans="1:94">
      <c r="A37" s="433" t="s">
        <v>537</v>
      </c>
      <c r="B37" s="434" t="s">
        <v>538</v>
      </c>
      <c r="C37" s="476">
        <f t="shared" ref="C37:BN37" si="6">C38+C39+C40</f>
        <v>250458.84323342523</v>
      </c>
      <c r="D37" s="476">
        <f t="shared" si="6"/>
        <v>232344.37571881473</v>
      </c>
      <c r="E37" s="476">
        <f t="shared" si="6"/>
        <v>228235.39118466986</v>
      </c>
      <c r="F37" s="400">
        <f t="shared" si="6"/>
        <v>238102.012621676</v>
      </c>
      <c r="G37" s="476">
        <f t="shared" si="6"/>
        <v>241945.84697592363</v>
      </c>
      <c r="H37" s="477">
        <f t="shared" si="6"/>
        <v>257530.96081466269</v>
      </c>
      <c r="I37" s="476">
        <f t="shared" si="6"/>
        <v>257623.06344593974</v>
      </c>
      <c r="J37" s="476">
        <f t="shared" si="6"/>
        <v>256496.45372474135</v>
      </c>
      <c r="K37" s="476">
        <f t="shared" si="6"/>
        <v>266363.06062173715</v>
      </c>
      <c r="L37" s="476">
        <f t="shared" si="6"/>
        <v>273240.13640816254</v>
      </c>
      <c r="M37" s="400">
        <f t="shared" si="6"/>
        <v>271081.39112987602</v>
      </c>
      <c r="N37" s="476">
        <f t="shared" si="6"/>
        <v>291097.30383042991</v>
      </c>
      <c r="O37" s="476">
        <f t="shared" si="6"/>
        <v>288151.83005216735</v>
      </c>
      <c r="P37" s="476">
        <f t="shared" si="6"/>
        <v>297918.84544162243</v>
      </c>
      <c r="Q37" s="476">
        <f t="shared" si="6"/>
        <v>299555.12527521281</v>
      </c>
      <c r="R37" s="476">
        <f t="shared" si="6"/>
        <v>312892.8379162114</v>
      </c>
      <c r="S37" s="476">
        <f t="shared" si="6"/>
        <v>312515.85639029462</v>
      </c>
      <c r="T37" s="476">
        <f t="shared" si="6"/>
        <v>319055.78120631597</v>
      </c>
      <c r="U37" s="476">
        <f t="shared" si="6"/>
        <v>351509.22976781055</v>
      </c>
      <c r="V37" s="476">
        <f t="shared" si="6"/>
        <v>336198.90510089661</v>
      </c>
      <c r="W37" s="476">
        <f t="shared" si="6"/>
        <v>334056.8722718244</v>
      </c>
      <c r="X37" s="476">
        <f t="shared" si="6"/>
        <v>345204.18698770378</v>
      </c>
      <c r="Y37" s="476">
        <f t="shared" si="6"/>
        <v>339100.00185046456</v>
      </c>
      <c r="Z37" s="476">
        <f t="shared" si="6"/>
        <v>343243.54984322423</v>
      </c>
      <c r="AA37" s="476">
        <f t="shared" si="6"/>
        <v>358543.0601197778</v>
      </c>
      <c r="AB37" s="476">
        <f t="shared" si="6"/>
        <v>373286.11364297924</v>
      </c>
      <c r="AC37" s="476">
        <f t="shared" si="6"/>
        <v>374521.69560020615</v>
      </c>
      <c r="AD37" s="476">
        <f t="shared" si="6"/>
        <v>387184.87756857043</v>
      </c>
      <c r="AE37" s="435">
        <f t="shared" si="6"/>
        <v>391272.4695004368</v>
      </c>
      <c r="AF37" s="435">
        <f t="shared" si="6"/>
        <v>421208.54206902086</v>
      </c>
      <c r="AG37" s="491">
        <f t="shared" si="6"/>
        <v>401734.97128093918</v>
      </c>
      <c r="AH37" s="476">
        <f t="shared" si="6"/>
        <v>433883.31707653031</v>
      </c>
      <c r="AI37" s="476">
        <f t="shared" si="6"/>
        <v>420367.22269114229</v>
      </c>
      <c r="AJ37" s="476">
        <f t="shared" si="6"/>
        <v>408014.73015083134</v>
      </c>
      <c r="AK37" s="476">
        <f t="shared" si="6"/>
        <v>401309.23228438455</v>
      </c>
      <c r="AL37" s="476">
        <f t="shared" si="6"/>
        <v>434604.45687616104</v>
      </c>
      <c r="AM37" s="476">
        <f t="shared" si="6"/>
        <v>446231.22637777217</v>
      </c>
      <c r="AN37" s="476">
        <f t="shared" si="6"/>
        <v>467892.65871725255</v>
      </c>
      <c r="AO37" s="476">
        <f t="shared" si="6"/>
        <v>453509.44685149851</v>
      </c>
      <c r="AP37" s="476">
        <f t="shared" si="6"/>
        <v>442464.53634706739</v>
      </c>
      <c r="AQ37" s="476">
        <f t="shared" si="6"/>
        <v>449069.69028428837</v>
      </c>
      <c r="AR37" s="476">
        <f t="shared" si="6"/>
        <v>452010.91733216215</v>
      </c>
      <c r="AS37" s="476">
        <f t="shared" si="6"/>
        <v>450075.27047679329</v>
      </c>
      <c r="AT37" s="476">
        <f t="shared" si="6"/>
        <v>453393.31970747019</v>
      </c>
      <c r="AU37" s="476">
        <f t="shared" si="6"/>
        <v>460107.41472062981</v>
      </c>
      <c r="AV37" s="476">
        <f t="shared" si="6"/>
        <v>459064.63089732453</v>
      </c>
      <c r="AW37" s="476">
        <f t="shared" si="6"/>
        <v>463010.61895082297</v>
      </c>
      <c r="AX37" s="476">
        <f t="shared" si="6"/>
        <v>471326.59715211438</v>
      </c>
      <c r="AY37" s="476">
        <f t="shared" si="6"/>
        <v>470412.89928072237</v>
      </c>
      <c r="AZ37" s="476">
        <f t="shared" si="6"/>
        <v>473336.31794361444</v>
      </c>
      <c r="BA37" s="476">
        <f t="shared" si="6"/>
        <v>467026.51013994718</v>
      </c>
      <c r="BB37" s="476">
        <f t="shared" si="6"/>
        <v>477372.11456896149</v>
      </c>
      <c r="BC37" s="476">
        <f t="shared" si="6"/>
        <v>478651.28298538964</v>
      </c>
      <c r="BD37" s="476">
        <f t="shared" si="6"/>
        <v>487447.76954633754</v>
      </c>
      <c r="BE37" s="476">
        <f t="shared" si="6"/>
        <v>502634.61776737764</v>
      </c>
      <c r="BF37" s="476">
        <f t="shared" si="6"/>
        <v>524230.97142096853</v>
      </c>
      <c r="BG37" s="476">
        <f t="shared" si="6"/>
        <v>527845.64946072246</v>
      </c>
      <c r="BH37" s="476">
        <f t="shared" si="6"/>
        <v>535092.36629862385</v>
      </c>
      <c r="BI37" s="476">
        <f t="shared" si="6"/>
        <v>518088.96985501703</v>
      </c>
      <c r="BJ37" s="476">
        <f t="shared" si="6"/>
        <v>569427.28420735314</v>
      </c>
      <c r="BK37" s="476">
        <f t="shared" si="6"/>
        <v>566747.13613899588</v>
      </c>
      <c r="BL37" s="476">
        <f t="shared" si="6"/>
        <v>526730.61480739736</v>
      </c>
      <c r="BM37" s="476">
        <f t="shared" si="6"/>
        <v>549887.63141466305</v>
      </c>
      <c r="BN37" s="476">
        <f t="shared" si="6"/>
        <v>552391.26138741407</v>
      </c>
      <c r="BO37" s="476">
        <f t="shared" ref="BO37:CK37" si="7">BO38+BO39+BO40</f>
        <v>555741.30023550731</v>
      </c>
      <c r="BP37" s="476">
        <f t="shared" si="7"/>
        <v>564920.64286760148</v>
      </c>
      <c r="BQ37" s="476">
        <f t="shared" si="7"/>
        <v>578900.95919625671</v>
      </c>
      <c r="BR37" s="476">
        <f t="shared" si="7"/>
        <v>578819.25118008675</v>
      </c>
      <c r="BS37" s="476">
        <f t="shared" si="7"/>
        <v>574059.2310141545</v>
      </c>
      <c r="BT37" s="476">
        <f t="shared" si="7"/>
        <v>543670.68089811946</v>
      </c>
      <c r="BU37" s="476">
        <f t="shared" si="7"/>
        <v>562040.55001311097</v>
      </c>
      <c r="BV37" s="476">
        <f t="shared" si="7"/>
        <v>553963.14019487565</v>
      </c>
      <c r="BW37" s="476">
        <f t="shared" si="7"/>
        <v>584700.86251400737</v>
      </c>
      <c r="BX37" s="476">
        <f t="shared" si="7"/>
        <v>571978.46058021334</v>
      </c>
      <c r="BY37" s="476">
        <f t="shared" si="7"/>
        <v>557158.7642709401</v>
      </c>
      <c r="BZ37" s="476">
        <f t="shared" si="7"/>
        <v>562006.82047325955</v>
      </c>
      <c r="CA37" s="476">
        <f t="shared" si="7"/>
        <v>564711.89723256102</v>
      </c>
      <c r="CB37" s="476">
        <f t="shared" si="7"/>
        <v>617615.43948026793</v>
      </c>
      <c r="CC37" s="476">
        <f t="shared" si="7"/>
        <v>565582.70624645427</v>
      </c>
      <c r="CD37" s="476">
        <f t="shared" si="7"/>
        <v>539500.78679740021</v>
      </c>
      <c r="CE37" s="476">
        <f t="shared" si="7"/>
        <v>544676.60483027366</v>
      </c>
      <c r="CF37" s="476">
        <f t="shared" si="7"/>
        <v>594606.38741712971</v>
      </c>
      <c r="CG37" s="476">
        <f t="shared" si="7"/>
        <v>595417.81737846974</v>
      </c>
      <c r="CH37" s="476">
        <f t="shared" si="7"/>
        <v>615520.59286046412</v>
      </c>
      <c r="CI37" s="476">
        <f t="shared" si="7"/>
        <v>554581.58495534596</v>
      </c>
      <c r="CJ37" s="476">
        <f t="shared" si="7"/>
        <v>583839.66747363354</v>
      </c>
      <c r="CK37" s="476">
        <f t="shared" si="7"/>
        <v>544720.87648373784</v>
      </c>
      <c r="CL37" s="476">
        <f>CL38+CL39+CL40</f>
        <v>568865.35817346</v>
      </c>
      <c r="CM37" s="476">
        <f>CM38+CM39+CM40</f>
        <v>590119.2052139343</v>
      </c>
      <c r="CN37" s="476">
        <f>CN38+CN39+CN40</f>
        <v>593019.77146263747</v>
      </c>
      <c r="CO37" s="476">
        <f>CO38+CO39+CO40</f>
        <v>602521.53799288091</v>
      </c>
      <c r="CP37" s="435">
        <f>CP38+CP39+CP40</f>
        <v>621679.87125581503</v>
      </c>
    </row>
    <row r="38" spans="1:94">
      <c r="A38" s="436" t="s">
        <v>539</v>
      </c>
      <c r="B38" s="437" t="s">
        <v>540</v>
      </c>
      <c r="C38" s="450">
        <f>[106]Sheet1!$C$178/1000000</f>
        <v>85971.344917090784</v>
      </c>
      <c r="D38" s="450">
        <f>[107]Sheet1!$C$163/1000000</f>
        <v>56233.825152112688</v>
      </c>
      <c r="E38" s="450">
        <f>[108]Sheet1!$C$163/1000000</f>
        <v>60252.107619653412</v>
      </c>
      <c r="F38" s="390">
        <f>[109]Sheet1!$C$163/1000000</f>
        <v>64917.25499278737</v>
      </c>
      <c r="G38" s="450">
        <f>[110]Sheet1!$C$163/1000000</f>
        <v>67143.919556244378</v>
      </c>
      <c r="H38" s="481">
        <f>[111]Sheet1!$C$163/1000000</f>
        <v>70429.597058082552</v>
      </c>
      <c r="I38" s="450">
        <f>[112]Sheet1!$C$163/1000000</f>
        <v>73115.848879623896</v>
      </c>
      <c r="J38" s="450">
        <f>[113]Sheet1!$C$163/1000000</f>
        <v>70584.508932084369</v>
      </c>
      <c r="K38" s="450">
        <f>[114]Sheet1!$C$163/1000000</f>
        <v>72388.476477591976</v>
      </c>
      <c r="L38" s="450">
        <f>[115]Sheet1!$C$163/1000000</f>
        <v>71006.542502962737</v>
      </c>
      <c r="M38" s="390">
        <f>[116]Sheet1!$C$163/1000000</f>
        <v>64762.956991548017</v>
      </c>
      <c r="N38" s="450">
        <f>[117]Sheet1!$C$163/1000000</f>
        <v>71376.843475018992</v>
      </c>
      <c r="O38" s="450">
        <f>[118]Sheet1!$C$163/1000000</f>
        <v>70370.849442147213</v>
      </c>
      <c r="P38" s="450">
        <f>[119]Sheet1!$C$163/1000000</f>
        <v>77834.490277323697</v>
      </c>
      <c r="Q38" s="450">
        <f>[120]Sheet1!$C$163/1000000</f>
        <v>75479.578502125776</v>
      </c>
      <c r="R38" s="450">
        <f>[121]Sheet1!$C$163/1000000</f>
        <v>75715.975696240974</v>
      </c>
      <c r="S38" s="450">
        <f>[122]Sheet1!$C$163/1000000</f>
        <v>76501.098940951473</v>
      </c>
      <c r="T38" s="450">
        <f>[123]Sheet1!$C$163/1000000</f>
        <v>83317.123458625007</v>
      </c>
      <c r="U38" s="450">
        <f>[124]Sheet1!$C$163/1000000</f>
        <v>94783.297528469324</v>
      </c>
      <c r="V38" s="450">
        <f>[125]Sheet1!$C$163/1000000</f>
        <v>97807.679188481052</v>
      </c>
      <c r="W38" s="450">
        <f>[126]Sheet1!$C$163/1000000</f>
        <v>102541.53625631204</v>
      </c>
      <c r="X38" s="450">
        <f>[127]Sheet1!$C$163/1000000</f>
        <v>104937.78384865716</v>
      </c>
      <c r="Y38" s="450">
        <f>[128]Sheet1!$C$163/1000000</f>
        <v>102759.74497819504</v>
      </c>
      <c r="Z38" s="450">
        <f>[129]Sheet1!$C$163/1000000</f>
        <v>98156.099633431339</v>
      </c>
      <c r="AA38" s="450">
        <f>[130]Sheet1!$C$163/1000000</f>
        <v>108098.47599634138</v>
      </c>
      <c r="AB38" s="450">
        <f>[131]Sheet1!$C$163/1000000</f>
        <v>113433.44803029559</v>
      </c>
      <c r="AC38" s="450">
        <f>[132]Sheet1!$C$163/1000000</f>
        <v>107036.0017067583</v>
      </c>
      <c r="AD38" s="450">
        <f>[133]Sheet1!$C$163/1000000</f>
        <v>123742.79734739376</v>
      </c>
      <c r="AE38" s="439">
        <f>[134]Sheet1!$C$163/1000000</f>
        <v>120595.07091522172</v>
      </c>
      <c r="AF38" s="439">
        <f>[171]Sheet1!$C$163/1000000</f>
        <v>136796.36000051288</v>
      </c>
      <c r="AG38" s="449">
        <f>[172]Sheet1!$C$163/1000000</f>
        <v>126677.09650045166</v>
      </c>
      <c r="AH38" s="450">
        <f>[173]Sheet1!$C$163/1000000</f>
        <v>132787.34762984278</v>
      </c>
      <c r="AI38" s="450">
        <f>[174]Sheet1!$C$163/1000000</f>
        <v>121694.13096946044</v>
      </c>
      <c r="AJ38" s="450">
        <f>[175]Sheet1!$C$163/1000000</f>
        <v>119716.94916424096</v>
      </c>
      <c r="AK38" s="450">
        <f>[176]Sheet1!$C$163/1000000</f>
        <v>115913.87573404826</v>
      </c>
      <c r="AL38" s="450">
        <f>[177]Sheet1!$C$163/1000000</f>
        <v>120037.92474904569</v>
      </c>
      <c r="AM38" s="450">
        <f>[178]Sheet1!$C$163/1000000</f>
        <v>136102.50982904684</v>
      </c>
      <c r="AN38" s="450">
        <f>[179]Sheet1!$C$163/1000000</f>
        <v>137760.12289358673</v>
      </c>
      <c r="AO38" s="450">
        <f>[180]Sheet1!$C$163/1000000</f>
        <v>132653.62250465617</v>
      </c>
      <c r="AP38" s="450">
        <f>[135]Sheet1!$C$163/1000000</f>
        <v>130313.38993089984</v>
      </c>
      <c r="AQ38" s="450">
        <f>[136]Sheet1!$C$163/1000000</f>
        <v>140758.29932319175</v>
      </c>
      <c r="AR38" s="450">
        <f>[137]Sheet1!$C$163/1000000</f>
        <v>141554.31136313253</v>
      </c>
      <c r="AS38" s="450">
        <f>[138]Sheet1!$C$163/1000000</f>
        <v>143107.30549762354</v>
      </c>
      <c r="AT38" s="450">
        <f>[139]Sheet1!$C$163/1000000</f>
        <v>150046.43147167374</v>
      </c>
      <c r="AU38" s="450">
        <f>[140]Sheet1!$C$163/1000000</f>
        <v>155851.9510543645</v>
      </c>
      <c r="AV38" s="450">
        <f>[181]Sheet1!$C$163/1000000</f>
        <v>160566.56518537708</v>
      </c>
      <c r="AW38" s="450">
        <f>[182]Sheet1!$C$163/1000000</f>
        <v>158720.16497322492</v>
      </c>
      <c r="AX38" s="450">
        <f>[183]Sheet1!$C$163/1000000</f>
        <v>164232.75667122781</v>
      </c>
      <c r="AY38" s="450">
        <f>[184]Sheet1!$C$163/1000000</f>
        <v>170748.1548239853</v>
      </c>
      <c r="AZ38" s="450">
        <f>[185]Sheet1!$C$163/1000000</f>
        <v>171344.24881251989</v>
      </c>
      <c r="BA38" s="450">
        <f>[141]Sheet1!$C$163/1000000</f>
        <v>164099.5067574085</v>
      </c>
      <c r="BB38" s="450">
        <f>[142]Sheet1!$C$163/1000000</f>
        <v>172846.76150691375</v>
      </c>
      <c r="BC38" s="450">
        <f>[143]Sheet1!$C$163/1000000</f>
        <v>172189.43734370044</v>
      </c>
      <c r="BD38" s="450">
        <f>[144]Sheet1!$C$163/1000000</f>
        <v>174265.05114018475</v>
      </c>
      <c r="BE38" s="450">
        <f>[145]Sheet1!$C$163/1000000</f>
        <v>191048.92176675834</v>
      </c>
      <c r="BF38" s="450">
        <f>[146]Sheet1!$C$163/1000000</f>
        <v>179915.97869980364</v>
      </c>
      <c r="BG38" s="450">
        <f>[147]Sheet1!$C$163/1000000</f>
        <v>192180.69027072741</v>
      </c>
      <c r="BH38" s="450">
        <f>[148]Sheet1!$C$163/1000000</f>
        <v>208788.97038426899</v>
      </c>
      <c r="BI38" s="450">
        <f>[149]Sheet1!$C$163/1000000</f>
        <v>194250.10949376694</v>
      </c>
      <c r="BJ38" s="450">
        <f>[150]Sheet1!$C$163/1000000</f>
        <v>208407.65075018074</v>
      </c>
      <c r="BK38" s="450">
        <f>[151]Sheet1!$C$163/1000000</f>
        <v>208555.91568728545</v>
      </c>
      <c r="BL38" s="450">
        <f>[152]Sheet1!$C$163/1000000</f>
        <v>182576.24376396686</v>
      </c>
      <c r="BM38" s="450">
        <f>[153]Sheet1!$C$163/1000000</f>
        <v>191037.94546439327</v>
      </c>
      <c r="BN38" s="450">
        <f>[154]Sheet1!$C$163/1000000</f>
        <v>204607.59015881389</v>
      </c>
      <c r="BO38" s="450">
        <f>[155]Sheet1!$C$163/1000000</f>
        <v>200360.84813562041</v>
      </c>
      <c r="BP38" s="450">
        <f>[186]Sheet1!$C$163/1000000</f>
        <v>209518.89747008457</v>
      </c>
      <c r="BQ38" s="450">
        <f>[187]Sheet1!$C$163/1000000</f>
        <v>209295.6548992754</v>
      </c>
      <c r="BR38" s="450">
        <f>[188]Sheet1!$C$163/1000000</f>
        <v>209637.39292402792</v>
      </c>
      <c r="BS38" s="450">
        <f>[189]Sheet1!$C$163/1000000</f>
        <v>210767.21309718012</v>
      </c>
      <c r="BT38" s="450">
        <f>[190]Sheet1!$C$163/1000000</f>
        <v>207308.49139739011</v>
      </c>
      <c r="BU38" s="450">
        <f>[191]Sheet1!$C$163/1000000</f>
        <v>192464.96509982963</v>
      </c>
      <c r="BV38" s="450">
        <f>[192]Sheet1!$C$163/1000000</f>
        <v>188726.39556423103</v>
      </c>
      <c r="BW38" s="450">
        <f>[193]Sheet1!$C$163/1000000</f>
        <v>205308.35758070156</v>
      </c>
      <c r="BX38" s="450">
        <f>[194]Sheet1!$C$163/1000000</f>
        <v>188313.19618431921</v>
      </c>
      <c r="BY38" s="450">
        <f>[195]Sheet1!$C$163/1000000</f>
        <v>200419.60044157729</v>
      </c>
      <c r="BZ38" s="450">
        <f>[196]Sheet1!$C$163/1000000</f>
        <v>198422.70198409588</v>
      </c>
      <c r="CA38" s="450">
        <f>[197]Sheet1!$C$163/1000000</f>
        <v>201743.29043449453</v>
      </c>
      <c r="CB38" s="450">
        <f>[156]Sheet1!$C$163/1000000</f>
        <v>214088.36141710865</v>
      </c>
      <c r="CC38" s="450">
        <f>[157]Sheet1!$C$163/1000000</f>
        <v>205537.91356101009</v>
      </c>
      <c r="CD38" s="450">
        <f>[158]Sheet1!$C$163/1000000</f>
        <v>205231.05536734877</v>
      </c>
      <c r="CE38" s="450">
        <f>[159]Sheet1!$C$163/1000000</f>
        <v>206772.43078668762</v>
      </c>
      <c r="CF38" s="450">
        <f>[160]Sheet1!$C$163/1000000</f>
        <v>259119.8327835619</v>
      </c>
      <c r="CG38" s="450">
        <f>[161]Sheet1!$C$163/1000000</f>
        <v>256831.62678008329</v>
      </c>
      <c r="CH38" s="450">
        <f>[162]Sheet1!$C$163/1000000</f>
        <v>266347.0832634134</v>
      </c>
      <c r="CI38" s="450">
        <f>[163]Sheet1!$C$163/1000000</f>
        <v>185588.34878833563</v>
      </c>
      <c r="CJ38" s="450">
        <f>[164]Sheet1!$C$163/1000000</f>
        <v>229789.48133857647</v>
      </c>
      <c r="CK38" s="450">
        <f>[165]Sheet1!$C$163/1000000</f>
        <v>191664.32839531542</v>
      </c>
      <c r="CL38" s="450">
        <f>[166]Sheet1!$C$163/1000000</f>
        <v>195659.65666632872</v>
      </c>
      <c r="CM38" s="450">
        <f>[167]Sheet1!$C$163/1000000</f>
        <v>206437.66452216063</v>
      </c>
      <c r="CN38" s="450">
        <f>[168]Sheet1!$C$163/1000000</f>
        <v>226858.78085671514</v>
      </c>
      <c r="CO38" s="450">
        <f>[169]Sheet1!$C$163/1000000</f>
        <v>232397.77744178093</v>
      </c>
      <c r="CP38" s="439">
        <f>[170]Sheet1!$C$163/1000000</f>
        <v>253266.41093040814</v>
      </c>
    </row>
    <row r="39" spans="1:94">
      <c r="A39" s="436" t="s">
        <v>541</v>
      </c>
      <c r="B39" s="437" t="s">
        <v>542</v>
      </c>
      <c r="C39" s="450">
        <f>[106]Sheet1!$C$195/1000000</f>
        <v>55456.766540586381</v>
      </c>
      <c r="D39" s="450">
        <f>[107]Sheet1!$C$180/1000000</f>
        <v>56409.558026902225</v>
      </c>
      <c r="E39" s="450">
        <f>[108]Sheet1!$C$180/1000000</f>
        <v>56676.916913203575</v>
      </c>
      <c r="F39" s="390">
        <f>[109]Sheet1!$C$180/1000000</f>
        <v>56446.331932011293</v>
      </c>
      <c r="G39" s="450">
        <f>[110]Sheet1!$C$180/1000000</f>
        <v>57023.894498805021</v>
      </c>
      <c r="H39" s="481">
        <f>[111]Sheet1!$C$180/1000000</f>
        <v>57907.788493609805</v>
      </c>
      <c r="I39" s="450">
        <f>[112]Sheet1!$C$180/1000000</f>
        <v>62650.892724799902</v>
      </c>
      <c r="J39" s="450">
        <f>[113]Sheet1!$C$180/1000000</f>
        <v>63024.610843555834</v>
      </c>
      <c r="K39" s="450">
        <f>[114]Sheet1!$C$180/1000000</f>
        <v>61368.13042007175</v>
      </c>
      <c r="L39" s="450">
        <f>[115]Sheet1!$C$180/1000000</f>
        <v>61053.283205791515</v>
      </c>
      <c r="M39" s="390">
        <f>[116]Sheet1!$C$180/1000000</f>
        <v>60661.301301923188</v>
      </c>
      <c r="N39" s="450">
        <f>[117]Sheet1!$C$180/1000000</f>
        <v>60978.126222878513</v>
      </c>
      <c r="O39" s="450">
        <f>[118]Sheet1!$C$180/1000000</f>
        <v>60695.757939274074</v>
      </c>
      <c r="P39" s="450">
        <f>[119]Sheet1!$C$180/1000000</f>
        <v>61009.736416268446</v>
      </c>
      <c r="Q39" s="450">
        <f>[120]Sheet1!$C$180/1000000</f>
        <v>61732.874148325602</v>
      </c>
      <c r="R39" s="450">
        <f>[121]Sheet1!$C$180/1000000</f>
        <v>61868.283133865785</v>
      </c>
      <c r="S39" s="450">
        <f>[122]Sheet1!$C$180/1000000</f>
        <v>61522.229134000823</v>
      </c>
      <c r="T39" s="450">
        <f>[123]Sheet1!$C$180/1000000</f>
        <v>62711.695908190661</v>
      </c>
      <c r="U39" s="450">
        <f>[124]Sheet1!$C$180/1000000</f>
        <v>63729.516027608399</v>
      </c>
      <c r="V39" s="450">
        <f>[125]Sheet1!$C$180/1000000</f>
        <v>64056.650559507521</v>
      </c>
      <c r="W39" s="450">
        <f>[126]Sheet1!$C$180/1000000</f>
        <v>63638.572947251698</v>
      </c>
      <c r="X39" s="450">
        <f>[127]Sheet1!$C$180/1000000</f>
        <v>65376.081047683816</v>
      </c>
      <c r="Y39" s="450">
        <f>[128]Sheet1!$C$180/1000000</f>
        <v>65259.079659228315</v>
      </c>
      <c r="Z39" s="450">
        <f>[129]Sheet1!$C$180/1000000</f>
        <v>64221.929274373069</v>
      </c>
      <c r="AA39" s="450">
        <f>[130]Sheet1!$C$180/1000000</f>
        <v>66095.544656614788</v>
      </c>
      <c r="AB39" s="450">
        <f>[131]Sheet1!$C$180/1000000</f>
        <v>65476.390059388992</v>
      </c>
      <c r="AC39" s="450">
        <f>[132]Sheet1!$C$180/1000000</f>
        <v>65524.031192194372</v>
      </c>
      <c r="AD39" s="450">
        <f>[133]Sheet1!$C$180/1000000</f>
        <v>61639.513680147509</v>
      </c>
      <c r="AE39" s="439">
        <f>[134]Sheet1!$C$180/1000000</f>
        <v>61266.200567152599</v>
      </c>
      <c r="AF39" s="439">
        <f>[171]Sheet1!$C$180/1000000</f>
        <v>62427.347630855766</v>
      </c>
      <c r="AG39" s="449">
        <f>[172]Sheet1!$C$180/1000000</f>
        <v>65109.481147923419</v>
      </c>
      <c r="AH39" s="450">
        <f>[173]Sheet1!$C$180/1000000</f>
        <v>66235.347691635165</v>
      </c>
      <c r="AI39" s="450">
        <f>[174]Sheet1!$C$180/1000000</f>
        <v>67541.612313420977</v>
      </c>
      <c r="AJ39" s="450">
        <f>[175]Sheet1!$C$180/1000000</f>
        <v>68108.303640445869</v>
      </c>
      <c r="AK39" s="450">
        <f>[176]Sheet1!$C$180/1000000</f>
        <v>68869.179737235681</v>
      </c>
      <c r="AL39" s="450">
        <f>[177]Sheet1!$C$180/1000000</f>
        <v>70219.272296007737</v>
      </c>
      <c r="AM39" s="450">
        <f>[178]Sheet1!$C$180/1000000</f>
        <v>72298.326680456827</v>
      </c>
      <c r="AN39" s="450">
        <f>[179]Sheet1!$C$180/1000000</f>
        <v>72576.095937727485</v>
      </c>
      <c r="AO39" s="450">
        <f>[180]Sheet1!$C$180/1000000</f>
        <v>72458.780755457192</v>
      </c>
      <c r="AP39" s="450">
        <f>[135]Sheet1!$C$180/1000000</f>
        <v>72977.193008200804</v>
      </c>
      <c r="AQ39" s="450">
        <f>[136]Sheet1!$C$180/1000000</f>
        <v>72899.072392498012</v>
      </c>
      <c r="AR39" s="450">
        <f>[137]Sheet1!$C$180/1000000</f>
        <v>74037.375257457243</v>
      </c>
      <c r="AS39" s="450">
        <f>[138]Sheet1!$C$180/1000000</f>
        <v>75741.779815326096</v>
      </c>
      <c r="AT39" s="450">
        <f>[139]Sheet1!$C$180/1000000</f>
        <v>76733.620682598455</v>
      </c>
      <c r="AU39" s="450">
        <f>[140]Sheet1!$C$180/1000000</f>
        <v>78546.715695242718</v>
      </c>
      <c r="AV39" s="450">
        <f>[181]Sheet1!$C$180/1000000</f>
        <v>79373.583615378142</v>
      </c>
      <c r="AW39" s="450">
        <f>[182]Sheet1!$C$180/1000000</f>
        <v>78286.506441269856</v>
      </c>
      <c r="AX39" s="450">
        <f>[183]Sheet1!$C$180/1000000</f>
        <v>79232.876773291457</v>
      </c>
      <c r="AY39" s="450">
        <f>[184]Sheet1!$C$180/1000000</f>
        <v>81184.456778495878</v>
      </c>
      <c r="AZ39" s="450">
        <f>[185]Sheet1!$C$180/1000000</f>
        <v>80487.755268852343</v>
      </c>
      <c r="BA39" s="450">
        <f>[141]Sheet1!$C$180/1000000</f>
        <v>81476.260017902969</v>
      </c>
      <c r="BB39" s="450">
        <f>[142]Sheet1!$C$180/1000000</f>
        <v>82165.97893315494</v>
      </c>
      <c r="BC39" s="450">
        <f>[143]Sheet1!$C$180/1000000</f>
        <v>82772.057491794549</v>
      </c>
      <c r="BD39" s="450">
        <f>[144]Sheet1!$C$180/1000000</f>
        <v>83498.608520614493</v>
      </c>
      <c r="BE39" s="450">
        <f>[145]Sheet1!$C$180/1000000</f>
        <v>86281.150663870008</v>
      </c>
      <c r="BF39" s="450">
        <f>[146]Sheet1!$C$180/1000000</f>
        <v>88129.266809014298</v>
      </c>
      <c r="BG39" s="450">
        <f>[147]Sheet1!$C$180/1000000</f>
        <v>88038.78346473517</v>
      </c>
      <c r="BH39" s="450">
        <f>[148]Sheet1!$C$180/1000000</f>
        <v>91457.634472638601</v>
      </c>
      <c r="BI39" s="450">
        <f>[149]Sheet1!$C$180/1000000</f>
        <v>91898.67339562827</v>
      </c>
      <c r="BJ39" s="450">
        <f>[150]Sheet1!$C$180/1000000</f>
        <v>91946.587501666989</v>
      </c>
      <c r="BK39" s="450">
        <f>[151]Sheet1!$C$180/1000000</f>
        <v>93117.177439518855</v>
      </c>
      <c r="BL39" s="450">
        <f>[152]Sheet1!$C$180/1000000</f>
        <v>93437.863100276925</v>
      </c>
      <c r="BM39" s="450">
        <f>[153]Sheet1!$C$180/1000000</f>
        <v>98462.572505369142</v>
      </c>
      <c r="BN39" s="450">
        <f>[154]Sheet1!$C$180/1000000</f>
        <v>99298.158751124836</v>
      </c>
      <c r="BO39" s="450">
        <f>[155]Sheet1!$C$180/1000000</f>
        <v>102824.66932761139</v>
      </c>
      <c r="BP39" s="450">
        <f>[186]Sheet1!$C$180/1000000</f>
        <v>102517.31023425236</v>
      </c>
      <c r="BQ39" s="450">
        <f>[187]Sheet1!$C$180/1000000</f>
        <v>107483.18354177562</v>
      </c>
      <c r="BR39" s="450">
        <f>[188]Sheet1!$C$180/1000000</f>
        <v>107065.91005206616</v>
      </c>
      <c r="BS39" s="450">
        <f>[189]Sheet1!$C$180/1000000</f>
        <v>109948.37318606768</v>
      </c>
      <c r="BT39" s="450">
        <f>[190]Sheet1!$C$180/1000000</f>
        <v>111176.82874093382</v>
      </c>
      <c r="BU39" s="450">
        <f>[191]Sheet1!$C$180/1000000</f>
        <v>112551.09675535634</v>
      </c>
      <c r="BV39" s="450">
        <f>[192]Sheet1!$C$180/1000000</f>
        <v>109592.48049322369</v>
      </c>
      <c r="BW39" s="450">
        <f>[193]Sheet1!$C$180/1000000</f>
        <v>111080.41143256948</v>
      </c>
      <c r="BX39" s="450">
        <f>[194]Sheet1!$C$180/1000000</f>
        <v>111393.18539564757</v>
      </c>
      <c r="BY39" s="450">
        <f>[195]Sheet1!$C$180/1000000</f>
        <v>113241.97139249006</v>
      </c>
      <c r="BZ39" s="450">
        <f>[196]Sheet1!$C$180/1000000</f>
        <v>110891.86366255653</v>
      </c>
      <c r="CA39" s="450">
        <f>[197]Sheet1!$C$180/1000000</f>
        <v>112639.88002488608</v>
      </c>
      <c r="CB39" s="450">
        <f>[156]Sheet1!$C$180/1000000</f>
        <v>111886.48328748738</v>
      </c>
      <c r="CC39" s="450">
        <f>[157]Sheet1!$C$180/1000000</f>
        <v>115797.38828890627</v>
      </c>
      <c r="CD39" s="450">
        <f>[158]Sheet1!$C$180/1000000</f>
        <v>115690.50203494569</v>
      </c>
      <c r="CE39" s="450">
        <f>[159]Sheet1!$C$180/1000000</f>
        <v>117900.182190494</v>
      </c>
      <c r="CF39" s="450">
        <f>[160]Sheet1!$C$180/1000000</f>
        <v>118773.81156699044</v>
      </c>
      <c r="CG39" s="450">
        <f>[161]Sheet1!$C$180/1000000</f>
        <v>117546.4122682593</v>
      </c>
      <c r="CH39" s="450">
        <f>[162]Sheet1!$C$180/1000000</f>
        <v>117387.25336958896</v>
      </c>
      <c r="CI39" s="450">
        <f>[163]Sheet1!$C$180/1000000</f>
        <v>119606.41901363849</v>
      </c>
      <c r="CJ39" s="450">
        <f>[164]Sheet1!$C$180/1000000</f>
        <v>119171.18732266128</v>
      </c>
      <c r="CK39" s="450">
        <f>[165]Sheet1!$C$180/1000000</f>
        <v>118554.92876637385</v>
      </c>
      <c r="CL39" s="450">
        <f>[166]Sheet1!$C$180/1000000</f>
        <v>121203.67452061395</v>
      </c>
      <c r="CM39" s="450">
        <f>[167]Sheet1!$C$180/1000000</f>
        <v>119785.97243249523</v>
      </c>
      <c r="CN39" s="450">
        <f>[168]Sheet1!$C$180/1000000</f>
        <v>121459.92141209303</v>
      </c>
      <c r="CO39" s="450">
        <f>[169]Sheet1!$C$180/1000000</f>
        <v>125248.1103539145</v>
      </c>
      <c r="CP39" s="439">
        <f>[170]Sheet1!$C$180/1000000</f>
        <v>128076.82253925536</v>
      </c>
    </row>
    <row r="40" spans="1:94">
      <c r="A40" s="436" t="s">
        <v>543</v>
      </c>
      <c r="B40" s="437" t="s">
        <v>544</v>
      </c>
      <c r="C40" s="450">
        <f>[106]Sheet1!$C$212/1000000</f>
        <v>109030.73177574809</v>
      </c>
      <c r="D40" s="450">
        <f>[107]Sheet1!$C$197/1000000</f>
        <v>119700.9925397998</v>
      </c>
      <c r="E40" s="450">
        <f>[108]Sheet1!$C$197/1000000</f>
        <v>111306.36665181286</v>
      </c>
      <c r="F40" s="390">
        <f>[109]Sheet1!$C$197/1000000</f>
        <v>116738.42569687733</v>
      </c>
      <c r="G40" s="450">
        <f>[110]Sheet1!$C$197/1000000</f>
        <v>117778.03292087425</v>
      </c>
      <c r="H40" s="481">
        <f>[111]Sheet1!$C$197/1000000</f>
        <v>129193.57526297031</v>
      </c>
      <c r="I40" s="450">
        <f>[112]Sheet1!$C$197/1000000</f>
        <v>121856.32184151594</v>
      </c>
      <c r="J40" s="450">
        <f>[113]Sheet1!$C$197/1000000</f>
        <v>122887.33394910117</v>
      </c>
      <c r="K40" s="450">
        <f>[114]Sheet1!$C$197/1000000</f>
        <v>132606.45372407339</v>
      </c>
      <c r="L40" s="450">
        <f>[115]Sheet1!$C$197/1000000</f>
        <v>141180.31069940826</v>
      </c>
      <c r="M40" s="390">
        <f>[116]Sheet1!$C$197/1000000</f>
        <v>145657.13283640481</v>
      </c>
      <c r="N40" s="450">
        <f>[117]Sheet1!$C$197/1000000</f>
        <v>158742.33413253239</v>
      </c>
      <c r="O40" s="450">
        <f>[118]Sheet1!$C$197/1000000</f>
        <v>157085.22267074606</v>
      </c>
      <c r="P40" s="450">
        <f>[119]Sheet1!$C$197/1000000</f>
        <v>159074.61874803028</v>
      </c>
      <c r="Q40" s="450">
        <f>[120]Sheet1!$C$197/1000000</f>
        <v>162342.67262476141</v>
      </c>
      <c r="R40" s="450">
        <f>[121]Sheet1!$C$197/1000000</f>
        <v>175308.57908610464</v>
      </c>
      <c r="S40" s="450">
        <f>[122]Sheet1!$C$197/1000000</f>
        <v>174492.52831534229</v>
      </c>
      <c r="T40" s="450">
        <f>[123]Sheet1!$C$197/1000000</f>
        <v>173026.96183950026</v>
      </c>
      <c r="U40" s="450">
        <f>[124]Sheet1!$C$197/1000000</f>
        <v>192996.41621173284</v>
      </c>
      <c r="V40" s="450">
        <f>[125]Sheet1!$C$197/1000000</f>
        <v>174334.57535290802</v>
      </c>
      <c r="W40" s="450">
        <f>[126]Sheet1!$C$197/1000000</f>
        <v>167876.76306826068</v>
      </c>
      <c r="X40" s="450">
        <f>[127]Sheet1!$C$197/1000000</f>
        <v>174890.32209136282</v>
      </c>
      <c r="Y40" s="450">
        <f>[128]Sheet1!$C$197/1000000</f>
        <v>171081.1772130412</v>
      </c>
      <c r="Z40" s="450">
        <f>[129]Sheet1!$C$197/1000000</f>
        <v>180865.5209354198</v>
      </c>
      <c r="AA40" s="450">
        <f>[130]Sheet1!$C$197/1000000</f>
        <v>184349.03946682162</v>
      </c>
      <c r="AB40" s="450">
        <f>[131]Sheet1!$C$197/1000000</f>
        <v>194376.27555329466</v>
      </c>
      <c r="AC40" s="450">
        <f>[132]Sheet1!$C$197/1000000</f>
        <v>201961.66270125346</v>
      </c>
      <c r="AD40" s="450">
        <f>[133]Sheet1!$C$197/1000000</f>
        <v>201802.5665410292</v>
      </c>
      <c r="AE40" s="439">
        <f>[134]Sheet1!$C$197/1000000</f>
        <v>209411.19801806248</v>
      </c>
      <c r="AF40" s="439">
        <f>[171]Sheet1!$C$197/1000000</f>
        <v>221984.8344376522</v>
      </c>
      <c r="AG40" s="449">
        <f>[172]Sheet1!$C$197/1000000</f>
        <v>209948.39363256414</v>
      </c>
      <c r="AH40" s="450">
        <f>[173]Sheet1!$C$197/1000000</f>
        <v>234860.62175505236</v>
      </c>
      <c r="AI40" s="450">
        <f>[174]Sheet1!$C$197/1000000</f>
        <v>231131.47940826087</v>
      </c>
      <c r="AJ40" s="450">
        <f>[175]Sheet1!$C$197/1000000</f>
        <v>220189.4773461445</v>
      </c>
      <c r="AK40" s="450">
        <f>[176]Sheet1!$C$197/1000000</f>
        <v>216526.17681310058</v>
      </c>
      <c r="AL40" s="450">
        <f>[177]Sheet1!$C$197/1000000</f>
        <v>244347.2598311076</v>
      </c>
      <c r="AM40" s="450">
        <f>[178]Sheet1!$C$197/1000000</f>
        <v>237830.38986826851</v>
      </c>
      <c r="AN40" s="450">
        <f>[179]Sheet1!$C$197/1000000</f>
        <v>257556.43988593834</v>
      </c>
      <c r="AO40" s="450">
        <f>[180]Sheet1!$C$197/1000000</f>
        <v>248397.04359138513</v>
      </c>
      <c r="AP40" s="450">
        <f>[135]Sheet1!$C$197/1000000</f>
        <v>239173.95340796676</v>
      </c>
      <c r="AQ40" s="450">
        <f>[136]Sheet1!$C$197/1000000</f>
        <v>235412.31856859857</v>
      </c>
      <c r="AR40" s="450">
        <f>[137]Sheet1!$C$197/1000000</f>
        <v>236419.23071157237</v>
      </c>
      <c r="AS40" s="450">
        <f>[138]Sheet1!$C$197/1000000</f>
        <v>231226.18516384368</v>
      </c>
      <c r="AT40" s="450">
        <f>[139]Sheet1!$C$197/1000000</f>
        <v>226613.26755319798</v>
      </c>
      <c r="AU40" s="450">
        <f>[140]Sheet1!$C$197/1000000</f>
        <v>225708.74797102256</v>
      </c>
      <c r="AV40" s="450">
        <f>[181]Sheet1!$C$197/1000000</f>
        <v>219124.48209656932</v>
      </c>
      <c r="AW40" s="450">
        <f>[182]Sheet1!$C$197/1000000</f>
        <v>226003.94753632817</v>
      </c>
      <c r="AX40" s="450">
        <f>[183]Sheet1!$C$197/1000000</f>
        <v>227860.9637075951</v>
      </c>
      <c r="AY40" s="450">
        <f>[184]Sheet1!$C$197/1000000</f>
        <v>218480.28767824118</v>
      </c>
      <c r="AZ40" s="450">
        <f>[185]Sheet1!$C$197/1000000</f>
        <v>221504.31386224221</v>
      </c>
      <c r="BA40" s="450">
        <f>[141]Sheet1!$C$197/1000000</f>
        <v>221450.74336463574</v>
      </c>
      <c r="BB40" s="450">
        <f>[142]Sheet1!$C$197/1000000</f>
        <v>222359.37412889278</v>
      </c>
      <c r="BC40" s="450">
        <f>[143]Sheet1!$C$197/1000000</f>
        <v>223689.78814989465</v>
      </c>
      <c r="BD40" s="450">
        <f>[144]Sheet1!$C$197/1000000</f>
        <v>229684.10988553832</v>
      </c>
      <c r="BE40" s="450">
        <f>[145]Sheet1!$C$197/1000000</f>
        <v>225304.54533674929</v>
      </c>
      <c r="BF40" s="450">
        <f>[146]Sheet1!$C$197/1000000</f>
        <v>256185.72591215058</v>
      </c>
      <c r="BG40" s="450">
        <f>[147]Sheet1!$C$197/1000000</f>
        <v>247626.17572525988</v>
      </c>
      <c r="BH40" s="450">
        <f>[148]Sheet1!$C$197/1000000</f>
        <v>234845.7614417162</v>
      </c>
      <c r="BI40" s="450">
        <f>[149]Sheet1!$C$197/1000000</f>
        <v>231940.18696562186</v>
      </c>
      <c r="BJ40" s="450">
        <f>[150]Sheet1!$C$197/1000000</f>
        <v>269073.04595550534</v>
      </c>
      <c r="BK40" s="450">
        <f>[151]Sheet1!$C$197/1000000</f>
        <v>265074.04301219148</v>
      </c>
      <c r="BL40" s="450">
        <f>[152]Sheet1!$C$197/1000000</f>
        <v>250716.5079431535</v>
      </c>
      <c r="BM40" s="450">
        <f>[153]Sheet1!$C$197/1000000</f>
        <v>260387.11344490063</v>
      </c>
      <c r="BN40" s="450">
        <f>[154]Sheet1!$C$197/1000000</f>
        <v>248485.51247747539</v>
      </c>
      <c r="BO40" s="450">
        <f>[155]Sheet1!$C$197/1000000</f>
        <v>252555.7827722755</v>
      </c>
      <c r="BP40" s="450">
        <f>[186]Sheet1!$C$197/1000000</f>
        <v>252884.43516326445</v>
      </c>
      <c r="BQ40" s="450">
        <f>[187]Sheet1!$C$197/1000000</f>
        <v>262122.12075520572</v>
      </c>
      <c r="BR40" s="450">
        <f>[188]Sheet1!$C$197/1000000</f>
        <v>262115.94820399274</v>
      </c>
      <c r="BS40" s="450">
        <f>[189]Sheet1!$C$197/1000000</f>
        <v>253343.64473090673</v>
      </c>
      <c r="BT40" s="450">
        <f>[190]Sheet1!$C$197/1000000</f>
        <v>225185.36075979553</v>
      </c>
      <c r="BU40" s="450">
        <f>[191]Sheet1!$C$197/1000000</f>
        <v>257024.48815792499</v>
      </c>
      <c r="BV40" s="450">
        <f>[192]Sheet1!$C$197/1000000</f>
        <v>255644.26413742092</v>
      </c>
      <c r="BW40" s="450">
        <f>[193]Sheet1!$C$197/1000000</f>
        <v>268312.09350073629</v>
      </c>
      <c r="BX40" s="450">
        <f>[194]Sheet1!$C$197/1000000</f>
        <v>272272.07900024659</v>
      </c>
      <c r="BY40" s="450">
        <f>[195]Sheet1!$C$197/1000000</f>
        <v>243497.19243687281</v>
      </c>
      <c r="BZ40" s="450">
        <f>[196]Sheet1!$C$197/1000000</f>
        <v>252692.25482660718</v>
      </c>
      <c r="CA40" s="450">
        <f>[197]Sheet1!$C$197/1000000</f>
        <v>250328.72677318042</v>
      </c>
      <c r="CB40" s="450">
        <f>[156]Sheet1!$C$197/1000000</f>
        <v>291640.59477567184</v>
      </c>
      <c r="CC40" s="450">
        <f>[157]Sheet1!$C$197/1000000</f>
        <v>244247.40439653795</v>
      </c>
      <c r="CD40" s="450">
        <f>[158]Sheet1!$C$197/1000000</f>
        <v>218579.22939510574</v>
      </c>
      <c r="CE40" s="450">
        <f>[159]Sheet1!$C$197/1000000</f>
        <v>220003.99185309198</v>
      </c>
      <c r="CF40" s="450">
        <f>[160]Sheet1!$C$197/1000000</f>
        <v>216712.74306657736</v>
      </c>
      <c r="CG40" s="450">
        <f>[161]Sheet1!$C$197/1000000</f>
        <v>221039.77833012716</v>
      </c>
      <c r="CH40" s="450">
        <f>[162]Sheet1!$C$197/1000000</f>
        <v>231786.25622746177</v>
      </c>
      <c r="CI40" s="450">
        <f>[163]Sheet1!$C$197/1000000</f>
        <v>249386.81715337187</v>
      </c>
      <c r="CJ40" s="450">
        <f>[164]Sheet1!$C$197/1000000</f>
        <v>234878.99881239576</v>
      </c>
      <c r="CK40" s="450">
        <f>[165]Sheet1!$C$197/1000000</f>
        <v>234501.61932204853</v>
      </c>
      <c r="CL40" s="450">
        <f>[166]Sheet1!$C$197/1000000</f>
        <v>252002.02698651736</v>
      </c>
      <c r="CM40" s="450">
        <f>[167]Sheet1!$C$197/1000000</f>
        <v>263895.56825927843</v>
      </c>
      <c r="CN40" s="450">
        <f>[168]Sheet1!$C$197/1000000</f>
        <v>244701.06919382926</v>
      </c>
      <c r="CO40" s="450">
        <f>[169]Sheet1!$C$197/1000000</f>
        <v>244875.65019718549</v>
      </c>
      <c r="CP40" s="439">
        <f>[170]Sheet1!$C$197/1000000</f>
        <v>240336.63778615158</v>
      </c>
    </row>
    <row r="41" spans="1:94">
      <c r="A41" s="436"/>
      <c r="B41" s="437"/>
      <c r="C41" s="492"/>
      <c r="D41" s="492"/>
      <c r="E41" s="492"/>
      <c r="F41" s="493"/>
      <c r="G41" s="492"/>
      <c r="H41" s="494"/>
      <c r="I41" s="492"/>
      <c r="J41" s="492"/>
      <c r="K41" s="492"/>
      <c r="L41" s="492"/>
      <c r="M41" s="493"/>
      <c r="N41" s="492"/>
      <c r="O41" s="492"/>
      <c r="P41" s="492"/>
      <c r="Q41" s="492"/>
      <c r="R41" s="492"/>
      <c r="S41" s="492"/>
      <c r="T41" s="492"/>
      <c r="U41" s="492"/>
      <c r="V41" s="492"/>
      <c r="W41" s="492"/>
      <c r="X41" s="492"/>
      <c r="Y41" s="492"/>
      <c r="Z41" s="492"/>
      <c r="AA41" s="492"/>
      <c r="AB41" s="492"/>
      <c r="AC41" s="492"/>
      <c r="AD41" s="492"/>
      <c r="AE41" s="495"/>
      <c r="AF41" s="495"/>
      <c r="AG41" s="496"/>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2"/>
      <c r="CG41" s="492"/>
      <c r="CH41" s="492"/>
      <c r="CI41" s="492"/>
      <c r="CJ41" s="492"/>
      <c r="CK41" s="492"/>
      <c r="CL41" s="492"/>
      <c r="CM41" s="492"/>
      <c r="CN41" s="492"/>
      <c r="CO41" s="492"/>
      <c r="CP41" s="495"/>
    </row>
    <row r="42" spans="1:94">
      <c r="A42" s="433" t="s">
        <v>545</v>
      </c>
      <c r="B42" s="434" t="s">
        <v>568</v>
      </c>
      <c r="C42" s="476">
        <f t="shared" ref="C42:BN42" si="8">C43+C44+C45</f>
        <v>80491.5790556188</v>
      </c>
      <c r="D42" s="476">
        <f t="shared" si="8"/>
        <v>80697.809106184024</v>
      </c>
      <c r="E42" s="476">
        <f t="shared" si="8"/>
        <v>87705.678274143997</v>
      </c>
      <c r="F42" s="400">
        <f t="shared" si="8"/>
        <v>73784.756130328082</v>
      </c>
      <c r="G42" s="476">
        <f t="shared" si="8"/>
        <v>72490.460604305175</v>
      </c>
      <c r="H42" s="477">
        <f t="shared" si="8"/>
        <v>77427.406255812166</v>
      </c>
      <c r="I42" s="476">
        <f t="shared" si="8"/>
        <v>66099.699093659015</v>
      </c>
      <c r="J42" s="476">
        <f t="shared" si="8"/>
        <v>70833.680370135378</v>
      </c>
      <c r="K42" s="476">
        <f t="shared" si="8"/>
        <v>88120.068275375394</v>
      </c>
      <c r="L42" s="476">
        <f t="shared" si="8"/>
        <v>85019.088950657184</v>
      </c>
      <c r="M42" s="400">
        <f t="shared" si="8"/>
        <v>73327.205655888421</v>
      </c>
      <c r="N42" s="476">
        <f t="shared" si="8"/>
        <v>71069.375960490041</v>
      </c>
      <c r="O42" s="476">
        <f t="shared" si="8"/>
        <v>77230.859836294956</v>
      </c>
      <c r="P42" s="476">
        <f t="shared" si="8"/>
        <v>78255.409937428543</v>
      </c>
      <c r="Q42" s="476">
        <f t="shared" si="8"/>
        <v>83007.09680195454</v>
      </c>
      <c r="R42" s="476">
        <f t="shared" si="8"/>
        <v>93373.797255076002</v>
      </c>
      <c r="S42" s="476">
        <f t="shared" si="8"/>
        <v>96481.845470338289</v>
      </c>
      <c r="T42" s="476">
        <f t="shared" si="8"/>
        <v>114964.85499125741</v>
      </c>
      <c r="U42" s="476">
        <f t="shared" si="8"/>
        <v>111645.24791947874</v>
      </c>
      <c r="V42" s="476">
        <f t="shared" si="8"/>
        <v>99942.546984468252</v>
      </c>
      <c r="W42" s="476">
        <f t="shared" si="8"/>
        <v>106620.44209692487</v>
      </c>
      <c r="X42" s="476">
        <f t="shared" si="8"/>
        <v>105632.61913818453</v>
      </c>
      <c r="Y42" s="476">
        <f t="shared" si="8"/>
        <v>111745.27884125496</v>
      </c>
      <c r="Z42" s="476">
        <f t="shared" si="8"/>
        <v>103575.80796826008</v>
      </c>
      <c r="AA42" s="476">
        <f t="shared" si="8"/>
        <v>99741.828133381481</v>
      </c>
      <c r="AB42" s="476">
        <f t="shared" si="8"/>
        <v>119569.0172397062</v>
      </c>
      <c r="AC42" s="476">
        <f t="shared" si="8"/>
        <v>127180.72113339081</v>
      </c>
      <c r="AD42" s="476">
        <f t="shared" si="8"/>
        <v>121899.28328782997</v>
      </c>
      <c r="AE42" s="435">
        <f t="shared" si="8"/>
        <v>120843.8192943973</v>
      </c>
      <c r="AF42" s="435">
        <f t="shared" si="8"/>
        <v>131575.3054988909</v>
      </c>
      <c r="AG42" s="491">
        <f t="shared" si="8"/>
        <v>129517.69597165757</v>
      </c>
      <c r="AH42" s="476">
        <f t="shared" si="8"/>
        <v>128257.47232984914</v>
      </c>
      <c r="AI42" s="476">
        <f t="shared" si="8"/>
        <v>122215.01007093082</v>
      </c>
      <c r="AJ42" s="476">
        <f t="shared" si="8"/>
        <v>121890.88919858025</v>
      </c>
      <c r="AK42" s="476">
        <f t="shared" si="8"/>
        <v>121794.56796619685</v>
      </c>
      <c r="AL42" s="476">
        <f t="shared" si="8"/>
        <v>126312.25483534057</v>
      </c>
      <c r="AM42" s="476">
        <f t="shared" si="8"/>
        <v>118841.74642610786</v>
      </c>
      <c r="AN42" s="476">
        <f t="shared" si="8"/>
        <v>117863.20924431557</v>
      </c>
      <c r="AO42" s="476">
        <f t="shared" si="8"/>
        <v>116355.45662098803</v>
      </c>
      <c r="AP42" s="476">
        <f t="shared" si="8"/>
        <v>115587.07566438038</v>
      </c>
      <c r="AQ42" s="476">
        <f t="shared" si="8"/>
        <v>133111.1564387317</v>
      </c>
      <c r="AR42" s="476">
        <f t="shared" si="8"/>
        <v>131663.11318076306</v>
      </c>
      <c r="AS42" s="476">
        <f t="shared" si="8"/>
        <v>128065.81607268049</v>
      </c>
      <c r="AT42" s="476">
        <f t="shared" si="8"/>
        <v>131799.72708023948</v>
      </c>
      <c r="AU42" s="476">
        <f t="shared" si="8"/>
        <v>131086.67195544034</v>
      </c>
      <c r="AV42" s="476">
        <f t="shared" si="8"/>
        <v>128665.46387125392</v>
      </c>
      <c r="AW42" s="476">
        <f t="shared" si="8"/>
        <v>123297.80121491598</v>
      </c>
      <c r="AX42" s="476">
        <f t="shared" si="8"/>
        <v>116791.89378671935</v>
      </c>
      <c r="AY42" s="476">
        <f t="shared" si="8"/>
        <v>108415.04497313853</v>
      </c>
      <c r="AZ42" s="476">
        <f t="shared" si="8"/>
        <v>104289.99226519052</v>
      </c>
      <c r="BA42" s="476">
        <f t="shared" si="8"/>
        <v>102716.08842777211</v>
      </c>
      <c r="BB42" s="476">
        <f t="shared" si="8"/>
        <v>101757.81214174069</v>
      </c>
      <c r="BC42" s="476">
        <f t="shared" si="8"/>
        <v>99433.722607934236</v>
      </c>
      <c r="BD42" s="476">
        <f t="shared" si="8"/>
        <v>82944.729221307134</v>
      </c>
      <c r="BE42" s="476">
        <f t="shared" si="8"/>
        <v>90309.277111334784</v>
      </c>
      <c r="BF42" s="476">
        <f t="shared" si="8"/>
        <v>78667.024526159774</v>
      </c>
      <c r="BG42" s="476">
        <f t="shared" si="8"/>
        <v>80554.354239733191</v>
      </c>
      <c r="BH42" s="476">
        <f t="shared" si="8"/>
        <v>84690.225909486326</v>
      </c>
      <c r="BI42" s="476">
        <f t="shared" si="8"/>
        <v>85623.26794906109</v>
      </c>
      <c r="BJ42" s="476">
        <f t="shared" si="8"/>
        <v>96156.265010870848</v>
      </c>
      <c r="BK42" s="476">
        <f t="shared" si="8"/>
        <v>91807.748033646349</v>
      </c>
      <c r="BL42" s="476">
        <f t="shared" si="8"/>
        <v>90778.265086634579</v>
      </c>
      <c r="BM42" s="476">
        <f t="shared" si="8"/>
        <v>93282.964628330083</v>
      </c>
      <c r="BN42" s="476">
        <f t="shared" si="8"/>
        <v>98468.279970911579</v>
      </c>
      <c r="BO42" s="476">
        <f t="shared" ref="BO42:CK42" si="9">BO43+BO44+BO45</f>
        <v>99069.431729936943</v>
      </c>
      <c r="BP42" s="476">
        <f t="shared" si="9"/>
        <v>98610.640375597839</v>
      </c>
      <c r="BQ42" s="476">
        <f t="shared" si="9"/>
        <v>94524.236984010495</v>
      </c>
      <c r="BR42" s="476">
        <f t="shared" si="9"/>
        <v>92182.966555755789</v>
      </c>
      <c r="BS42" s="476">
        <f t="shared" si="9"/>
        <v>96030.450212167765</v>
      </c>
      <c r="BT42" s="476">
        <f t="shared" si="9"/>
        <v>94772.472537003501</v>
      </c>
      <c r="BU42" s="476">
        <f t="shared" si="9"/>
        <v>107690.070906644</v>
      </c>
      <c r="BV42" s="476">
        <f t="shared" si="9"/>
        <v>93879.980016062153</v>
      </c>
      <c r="BW42" s="476">
        <f t="shared" si="9"/>
        <v>103502.69653744902</v>
      </c>
      <c r="BX42" s="476">
        <f t="shared" si="9"/>
        <v>91631.185972174542</v>
      </c>
      <c r="BY42" s="476">
        <f t="shared" si="9"/>
        <v>96996.300713116405</v>
      </c>
      <c r="BZ42" s="476">
        <f t="shared" si="9"/>
        <v>96954.886827257025</v>
      </c>
      <c r="CA42" s="476">
        <f t="shared" si="9"/>
        <v>91673.207968479444</v>
      </c>
      <c r="CB42" s="476">
        <f t="shared" si="9"/>
        <v>93348.601159788828</v>
      </c>
      <c r="CC42" s="476">
        <f t="shared" si="9"/>
        <v>93697.154047417454</v>
      </c>
      <c r="CD42" s="476">
        <f t="shared" si="9"/>
        <v>91501.42869486702</v>
      </c>
      <c r="CE42" s="476">
        <f t="shared" si="9"/>
        <v>92537.9906437475</v>
      </c>
      <c r="CF42" s="476">
        <f t="shared" si="9"/>
        <v>103149.97996094101</v>
      </c>
      <c r="CG42" s="476">
        <f t="shared" si="9"/>
        <v>102551.27243887875</v>
      </c>
      <c r="CH42" s="476">
        <f t="shared" si="9"/>
        <v>96419.683389639715</v>
      </c>
      <c r="CI42" s="476">
        <f t="shared" si="9"/>
        <v>117452.8730538902</v>
      </c>
      <c r="CJ42" s="476">
        <f t="shared" si="9"/>
        <v>115149.9011788893</v>
      </c>
      <c r="CK42" s="476">
        <f t="shared" si="9"/>
        <v>124903.59743968595</v>
      </c>
      <c r="CL42" s="476">
        <f>CL43+CL44+CL45</f>
        <v>113407.32885407397</v>
      </c>
      <c r="CM42" s="476">
        <f>CM43+CM44+CM45</f>
        <v>118507.85262060841</v>
      </c>
      <c r="CN42" s="476">
        <f>CN43+CN44+CN45</f>
        <v>125593.84637196726</v>
      </c>
      <c r="CO42" s="476">
        <f>CO43+CO44+CO45</f>
        <v>139817.43680827963</v>
      </c>
      <c r="CP42" s="435">
        <f>CP43+CP44+CP45</f>
        <v>142519.73521105712</v>
      </c>
    </row>
    <row r="43" spans="1:94">
      <c r="A43" s="436" t="s">
        <v>547</v>
      </c>
      <c r="B43" s="437" t="s">
        <v>540</v>
      </c>
      <c r="C43" s="450">
        <f>[106]Sheet1!$C$232/1000000</f>
        <v>14022.40692473679</v>
      </c>
      <c r="D43" s="450">
        <f>[107]Sheet1!$C$216/1000000</f>
        <v>8614.9470122550247</v>
      </c>
      <c r="E43" s="450">
        <f>[108]Sheet1!$C$216/1000000</f>
        <v>9046.7667947900245</v>
      </c>
      <c r="F43" s="390">
        <f>[109]Sheet1!$C$216/1000000</f>
        <v>8253.3560588930486</v>
      </c>
      <c r="G43" s="450">
        <f>[110]Sheet1!$C$216/1000000</f>
        <v>8243.8970227649188</v>
      </c>
      <c r="H43" s="481">
        <f>[111]Sheet1!$C$216/1000000</f>
        <v>14222.774405428938</v>
      </c>
      <c r="I43" s="450">
        <f>[112]Sheet1!$C$216/1000000</f>
        <v>9773.4685437383559</v>
      </c>
      <c r="J43" s="450">
        <f>[113]Sheet1!$C$216/1000000</f>
        <v>8464.5785294334873</v>
      </c>
      <c r="K43" s="450">
        <f>[114]Sheet1!$C$216/1000000</f>
        <v>8618.9981428776773</v>
      </c>
      <c r="L43" s="450">
        <f>[115]Sheet1!$C$216/1000000</f>
        <v>9444.8388877828729</v>
      </c>
      <c r="M43" s="390">
        <f>[116]Sheet1!$C$216/1000000</f>
        <v>9352.6658480040496</v>
      </c>
      <c r="N43" s="450">
        <f>[117]Sheet1!$C$216/1000000</f>
        <v>9078.0655663321577</v>
      </c>
      <c r="O43" s="450">
        <f>[118]Sheet1!$C$216/1000000</f>
        <v>9420.9177350316659</v>
      </c>
      <c r="P43" s="450">
        <f>[119]Sheet1!$C$216/1000000</f>
        <v>10747.092222015226</v>
      </c>
      <c r="Q43" s="450">
        <f>[120]Sheet1!$C$216/1000000</f>
        <v>14520.159524510929</v>
      </c>
      <c r="R43" s="450">
        <f>[121]Sheet1!$C$216/1000000</f>
        <v>9991.7010285336255</v>
      </c>
      <c r="S43" s="450">
        <f>[122]Sheet1!$C$216/1000000</f>
        <v>9092.5564867792127</v>
      </c>
      <c r="T43" s="450">
        <f>[123]Sheet1!$C$216/1000000</f>
        <v>10165.907027228755</v>
      </c>
      <c r="U43" s="450">
        <f>[124]Sheet1!$C$216/1000000</f>
        <v>12983.843000142246</v>
      </c>
      <c r="V43" s="450">
        <f>[125]Sheet1!$C$216/1000000</f>
        <v>11715.407392950861</v>
      </c>
      <c r="W43" s="450">
        <f>[126]Sheet1!$C$216/1000000</f>
        <v>14475.547831222679</v>
      </c>
      <c r="X43" s="450">
        <f>[127]Sheet1!$C$216/1000000</f>
        <v>19425.925564734509</v>
      </c>
      <c r="Y43" s="450">
        <f>[128]Sheet1!$C$216/1000000</f>
        <v>13960.249322756885</v>
      </c>
      <c r="Z43" s="450">
        <f>[129]Sheet1!$C$216/1000000</f>
        <v>15702.057529997388</v>
      </c>
      <c r="AA43" s="450">
        <f>[130]Sheet1!$C$216/1000000</f>
        <v>11437.244710425246</v>
      </c>
      <c r="AB43" s="450">
        <f>[131]Sheet1!$C$216/1000000</f>
        <v>13168.735278215197</v>
      </c>
      <c r="AC43" s="450">
        <f>[132]Sheet1!$C$216/1000000</f>
        <v>13759.003379766453</v>
      </c>
      <c r="AD43" s="450">
        <f>[133]Sheet1!$C$216/1000000</f>
        <v>13364.164291648372</v>
      </c>
      <c r="AE43" s="439">
        <f>[134]Sheet1!$C$216/1000000</f>
        <v>14167.006895148679</v>
      </c>
      <c r="AF43" s="439">
        <f>[171]Sheet1!$C$216/1000000</f>
        <v>13712.581781453029</v>
      </c>
      <c r="AG43" s="449">
        <f>[172]Sheet1!$C$216/1000000</f>
        <v>15904.570471189527</v>
      </c>
      <c r="AH43" s="450">
        <f>[173]Sheet1!$C$216/1000000</f>
        <v>15992.788304569956</v>
      </c>
      <c r="AI43" s="450">
        <f>[174]Sheet1!$C$216/1000000</f>
        <v>19694.302836123796</v>
      </c>
      <c r="AJ43" s="450">
        <f>[175]Sheet1!$C$216/1000000</f>
        <v>20611.516611396997</v>
      </c>
      <c r="AK43" s="450">
        <f>[176]Sheet1!$C$216/1000000</f>
        <v>18384.805904107274</v>
      </c>
      <c r="AL43" s="450">
        <f>[177]Sheet1!$C$216/1000000</f>
        <v>17418.271259703048</v>
      </c>
      <c r="AM43" s="450">
        <f>[178]Sheet1!$C$216/1000000</f>
        <v>19673.09198335043</v>
      </c>
      <c r="AN43" s="450">
        <f>[179]Sheet1!$C$216/1000000</f>
        <v>17490.392421126409</v>
      </c>
      <c r="AO43" s="450">
        <f>[180]Sheet1!$C$216/1000000</f>
        <v>15789.829679464565</v>
      </c>
      <c r="AP43" s="450">
        <f>[135]Sheet1!$C$216/1000000</f>
        <v>14897.063393489851</v>
      </c>
      <c r="AQ43" s="450">
        <f>[136]Sheet1!$C$216/1000000</f>
        <v>17855.386396686707</v>
      </c>
      <c r="AR43" s="450">
        <f>[137]Sheet1!$C$216/1000000</f>
        <v>19704.477664288788</v>
      </c>
      <c r="AS43" s="450">
        <f>[138]Sheet1!$C$216/1000000</f>
        <v>19322.249388112468</v>
      </c>
      <c r="AT43" s="450">
        <f>[139]Sheet1!$C$216/1000000</f>
        <v>19671.520938299513</v>
      </c>
      <c r="AU43" s="450">
        <f>[140]Sheet1!$C$216/1000000</f>
        <v>21946.174337752516</v>
      </c>
      <c r="AV43" s="450">
        <f>[181]Sheet1!$C$216/1000000</f>
        <v>22545.557014126411</v>
      </c>
      <c r="AW43" s="450">
        <f>[182]Sheet1!$C$216/1000000</f>
        <v>22877.404338369684</v>
      </c>
      <c r="AX43" s="450">
        <f>[183]Sheet1!$C$216/1000000</f>
        <v>25594.387499068926</v>
      </c>
      <c r="AY43" s="450">
        <f>[184]Sheet1!$C$216/1000000</f>
        <v>24263.926402553021</v>
      </c>
      <c r="AZ43" s="450">
        <f>[185]Sheet1!$C$216/1000000</f>
        <v>22543.248311728195</v>
      </c>
      <c r="BA43" s="450">
        <f>[141]Sheet1!$C$216/1000000</f>
        <v>21234.901128839534</v>
      </c>
      <c r="BB43" s="450">
        <f>[142]Sheet1!$C$216/1000000</f>
        <v>30290.441198478788</v>
      </c>
      <c r="BC43" s="450">
        <f>[143]Sheet1!$C$216/1000000</f>
        <v>24337.911634397216</v>
      </c>
      <c r="BD43" s="450">
        <f>[144]Sheet1!$C$216/1000000</f>
        <v>23016.085451020259</v>
      </c>
      <c r="BE43" s="450">
        <f>[145]Sheet1!$C$216/1000000</f>
        <v>26127.521209808598</v>
      </c>
      <c r="BF43" s="450">
        <f>[146]Sheet1!$C$216/1000000</f>
        <v>23921.084562984011</v>
      </c>
      <c r="BG43" s="450">
        <f>[147]Sheet1!$C$216/1000000</f>
        <v>22208.752819936391</v>
      </c>
      <c r="BH43" s="450">
        <f>[148]Sheet1!$C$216/1000000</f>
        <v>23156.253562813843</v>
      </c>
      <c r="BI43" s="450">
        <f>[149]Sheet1!$C$216/1000000</f>
        <v>23121.383518245995</v>
      </c>
      <c r="BJ43" s="450">
        <f>[150]Sheet1!$C$216/1000000</f>
        <v>24590.031698467454</v>
      </c>
      <c r="BK43" s="450">
        <f>[151]Sheet1!$C$216/1000000</f>
        <v>23916.522247080891</v>
      </c>
      <c r="BL43" s="450">
        <f>[152]Sheet1!$C$216/1000000</f>
        <v>23742.905440807965</v>
      </c>
      <c r="BM43" s="450">
        <f>[153]Sheet1!$C$216/1000000</f>
        <v>24232.956685809291</v>
      </c>
      <c r="BN43" s="450">
        <f>[154]Sheet1!$C$216/1000000</f>
        <v>26599.446508762252</v>
      </c>
      <c r="BO43" s="450">
        <f>[155]Sheet1!$C$216/1000000</f>
        <v>29024.633317296066</v>
      </c>
      <c r="BP43" s="450">
        <f>[186]Sheet1!$C$216/1000000</f>
        <v>27333.616765043411</v>
      </c>
      <c r="BQ43" s="450">
        <f>[187]Sheet1!$C$216/1000000</f>
        <v>25716.207911377434</v>
      </c>
      <c r="BR43" s="450">
        <f>[188]Sheet1!$C$216/1000000</f>
        <v>23815.733355021974</v>
      </c>
      <c r="BS43" s="450">
        <f>[189]Sheet1!$C$216/1000000</f>
        <v>32057.999938223969</v>
      </c>
      <c r="BT43" s="450">
        <f>[190]Sheet1!$C$216/1000000</f>
        <v>29087.255709827485</v>
      </c>
      <c r="BU43" s="450">
        <f>[191]Sheet1!$C$216/1000000</f>
        <v>27682.723648223953</v>
      </c>
      <c r="BV43" s="450">
        <f>[192]Sheet1!$C$216/1000000</f>
        <v>30605.533021761774</v>
      </c>
      <c r="BW43" s="450">
        <f>[193]Sheet1!$C$216/1000000</f>
        <v>36707.213049972961</v>
      </c>
      <c r="BX43" s="450">
        <f>[194]Sheet1!$C$216/1000000</f>
        <v>26209.195973646965</v>
      </c>
      <c r="BY43" s="450">
        <f>[195]Sheet1!$C$216/1000000</f>
        <v>31883.152481903373</v>
      </c>
      <c r="BZ43" s="450">
        <f>[196]Sheet1!$C$216/1000000</f>
        <v>31121.353675311264</v>
      </c>
      <c r="CA43" s="450">
        <f>[197]Sheet1!$C$216/1000000</f>
        <v>26986.049667186711</v>
      </c>
      <c r="CB43" s="450">
        <f>[156]Sheet1!$C$216/1000000</f>
        <v>27895.361200375159</v>
      </c>
      <c r="CC43" s="450">
        <f>[157]Sheet1!$C$216/1000000</f>
        <v>27362.065229344491</v>
      </c>
      <c r="CD43" s="450">
        <f>[158]Sheet1!$C$216/1000000</f>
        <v>27991.529754028328</v>
      </c>
      <c r="CE43" s="450">
        <f>[159]Sheet1!$C$216/1000000</f>
        <v>30636.40264493529</v>
      </c>
      <c r="CF43" s="450">
        <f>[160]Sheet1!$C$216/1000000</f>
        <v>32196.376471926222</v>
      </c>
      <c r="CG43" s="450">
        <f>[161]Sheet1!$C$216/1000000</f>
        <v>29295.707543649169</v>
      </c>
      <c r="CH43" s="450">
        <f>[162]Sheet1!$C$216/1000000</f>
        <v>31266.113443101447</v>
      </c>
      <c r="CI43" s="450">
        <f>[163]Sheet1!$C$216/1000000</f>
        <v>32754.518333397475</v>
      </c>
      <c r="CJ43" s="450">
        <f>[164]Sheet1!$C$216/1000000</f>
        <v>32771.984399307403</v>
      </c>
      <c r="CK43" s="450">
        <f>[165]Sheet1!$C$216/1000000</f>
        <v>36520.885242843011</v>
      </c>
      <c r="CL43" s="450">
        <f>[166]Sheet1!$C$216/1000000</f>
        <v>39405.925889257967</v>
      </c>
      <c r="CM43" s="450">
        <f>[167]Sheet1!$C$216/1000000</f>
        <v>42509.915601848712</v>
      </c>
      <c r="CN43" s="450">
        <f>[168]Sheet1!$C$216/1000000</f>
        <v>46812.632762614085</v>
      </c>
      <c r="CO43" s="450">
        <f>[169]Sheet1!$C$216/1000000</f>
        <v>60404.274066625963</v>
      </c>
      <c r="CP43" s="439">
        <f>[170]Sheet1!$C$216/1000000</f>
        <v>64176.642027490969</v>
      </c>
    </row>
    <row r="44" spans="1:94">
      <c r="A44" s="436" t="s">
        <v>548</v>
      </c>
      <c r="B44" s="437" t="s">
        <v>542</v>
      </c>
      <c r="C44" s="450">
        <f>[106]Sheet1!$C$263/1000000</f>
        <v>3495.6415684986182</v>
      </c>
      <c r="D44" s="450">
        <f>[107]Sheet1!$C$245/1000000</f>
        <v>3384.107689595849</v>
      </c>
      <c r="E44" s="450">
        <f>[108]Sheet1!$C$245/1000000</f>
        <v>3271.6331236176302</v>
      </c>
      <c r="F44" s="390">
        <f>[109]Sheet1!$C$245/1000000</f>
        <v>3272.7762917866294</v>
      </c>
      <c r="G44" s="450">
        <f>[110]Sheet1!$C$245/1000000</f>
        <v>3255.0807226595352</v>
      </c>
      <c r="H44" s="481">
        <f>[111]Sheet1!$C$245/1000000</f>
        <v>3742.6917097622304</v>
      </c>
      <c r="I44" s="450">
        <f>[112]Sheet1!$C$245/1000000</f>
        <v>3648.2700050894687</v>
      </c>
      <c r="J44" s="450">
        <f>[113]Sheet1!$C$245/1000000</f>
        <v>3230.8517671701861</v>
      </c>
      <c r="K44" s="450">
        <f>[114]Sheet1!$C$245/1000000</f>
        <v>3662.8683849574359</v>
      </c>
      <c r="L44" s="450">
        <f>[115]Sheet1!$C$245/1000000</f>
        <v>3848.8774807486584</v>
      </c>
      <c r="M44" s="390">
        <f>[116]Sheet1!$C$245/1000000</f>
        <v>4134.721223380081</v>
      </c>
      <c r="N44" s="450">
        <f>[117]Sheet1!$C$245/1000000</f>
        <v>3827.4946287044336</v>
      </c>
      <c r="O44" s="450">
        <f>[118]Sheet1!$C$245/1000000</f>
        <v>4255.0011438979927</v>
      </c>
      <c r="P44" s="450">
        <f>[119]Sheet1!$C$245/1000000</f>
        <v>4395.8558839348952</v>
      </c>
      <c r="Q44" s="450">
        <f>[120]Sheet1!$C$245/1000000</f>
        <v>4170.1062686102305</v>
      </c>
      <c r="R44" s="450">
        <f>[121]Sheet1!$C$245/1000000</f>
        <v>5002.1153473357035</v>
      </c>
      <c r="S44" s="450">
        <f>[122]Sheet1!$C$245/1000000</f>
        <v>4347.658543524788</v>
      </c>
      <c r="T44" s="450">
        <f>[123]Sheet1!$C$245/1000000</f>
        <v>4186.6316760905156</v>
      </c>
      <c r="U44" s="450">
        <f>[124]Sheet1!$C$245/1000000</f>
        <v>4344.949446737709</v>
      </c>
      <c r="V44" s="450">
        <f>[125]Sheet1!$C$245/1000000</f>
        <v>4129.9172620029522</v>
      </c>
      <c r="W44" s="450">
        <f>[126]Sheet1!$C$245/1000000</f>
        <v>4392.8096184761398</v>
      </c>
      <c r="X44" s="450">
        <f>[127]Sheet1!$C$245/1000000</f>
        <v>4095.4837599173816</v>
      </c>
      <c r="Y44" s="450">
        <f>[128]Sheet1!$C$245/1000000</f>
        <v>4256.1719938747665</v>
      </c>
      <c r="Z44" s="450">
        <f>[129]Sheet1!$C$245/1000000</f>
        <v>4183.4421946075481</v>
      </c>
      <c r="AA44" s="450">
        <f>[130]Sheet1!$C$245/1000000</f>
        <v>4617.6160151286349</v>
      </c>
      <c r="AB44" s="450">
        <f>[131]Sheet1!$C$245/1000000</f>
        <v>4614.5771849940811</v>
      </c>
      <c r="AC44" s="450">
        <f>[132]Sheet1!$C$245/1000000</f>
        <v>4710.6523175544962</v>
      </c>
      <c r="AD44" s="450">
        <f>[133]Sheet1!$C$245/1000000</f>
        <v>4157.6511166712844</v>
      </c>
      <c r="AE44" s="439">
        <f>[134]Sheet1!$C$245/1000000</f>
        <v>4038.7104524642345</v>
      </c>
      <c r="AF44" s="439">
        <f>[171]Sheet1!$C$245/1000000</f>
        <v>4161.2685977659812</v>
      </c>
      <c r="AG44" s="449">
        <f>[172]Sheet1!$C$245/1000000</f>
        <v>4160.5040427488939</v>
      </c>
      <c r="AH44" s="450">
        <f>[173]Sheet1!$C$245/1000000</f>
        <v>4837.0598256773301</v>
      </c>
      <c r="AI44" s="450">
        <f>[174]Sheet1!$C$245/1000000</f>
        <v>4985.6069986008079</v>
      </c>
      <c r="AJ44" s="450">
        <f>[175]Sheet1!$C$245/1000000</f>
        <v>5438.6799747489231</v>
      </c>
      <c r="AK44" s="450">
        <f>[176]Sheet1!$C$245/1000000</f>
        <v>5310.7663303224208</v>
      </c>
      <c r="AL44" s="450">
        <f>[177]Sheet1!$C$245/1000000</f>
        <v>5005.8586778588924</v>
      </c>
      <c r="AM44" s="450">
        <f>[178]Sheet1!$C$245/1000000</f>
        <v>5291.6350886730352</v>
      </c>
      <c r="AN44" s="450">
        <f>[179]Sheet1!$C$245/1000000</f>
        <v>4997.2479176020934</v>
      </c>
      <c r="AO44" s="450">
        <f>[180]Sheet1!$C$245/1000000</f>
        <v>5598.6997302054842</v>
      </c>
      <c r="AP44" s="450">
        <f>[135]Sheet1!$C$245/1000000</f>
        <v>4923.9416743037127</v>
      </c>
      <c r="AQ44" s="450">
        <f>[136]Sheet1!$C$245/1000000</f>
        <v>4948.6041173017156</v>
      </c>
      <c r="AR44" s="450">
        <f>[137]Sheet1!$C$245/1000000</f>
        <v>5083.326256160818</v>
      </c>
      <c r="AS44" s="450">
        <f>[138]Sheet1!$C$245/1000000</f>
        <v>5066.4971476266437</v>
      </c>
      <c r="AT44" s="450">
        <f>[139]Sheet1!$C$245/1000000</f>
        <v>5618.949444723492</v>
      </c>
      <c r="AU44" s="450">
        <f>[140]Sheet1!$C$245/1000000</f>
        <v>5602.6020136190482</v>
      </c>
      <c r="AV44" s="450">
        <f>[181]Sheet1!$C$245/1000000</f>
        <v>5770.8321336090139</v>
      </c>
      <c r="AW44" s="450">
        <f>[182]Sheet1!$C$245/1000000</f>
        <v>5857.5384242466353</v>
      </c>
      <c r="AX44" s="450">
        <f>[183]Sheet1!$C$245/1000000</f>
        <v>6028.7026773694788</v>
      </c>
      <c r="AY44" s="450">
        <f>[184]Sheet1!$C$245/1000000</f>
        <v>6878.0023383476537</v>
      </c>
      <c r="AZ44" s="450">
        <f>[185]Sheet1!$C$245/1000000</f>
        <v>7604.0455844604112</v>
      </c>
      <c r="BA44" s="450">
        <f>[141]Sheet1!$C$245/1000000</f>
        <v>7893.7426159151346</v>
      </c>
      <c r="BB44" s="450">
        <f>[142]Sheet1!$C$245/1000000</f>
        <v>7562.7404225683313</v>
      </c>
      <c r="BC44" s="450">
        <f>[143]Sheet1!$C$245/1000000</f>
        <v>7715.2243616121796</v>
      </c>
      <c r="BD44" s="450">
        <f>[144]Sheet1!$C$245/1000000</f>
        <v>7596.9742925374294</v>
      </c>
      <c r="BE44" s="450">
        <f>[145]Sheet1!$C$245/1000000</f>
        <v>7545.8616838301859</v>
      </c>
      <c r="BF44" s="450">
        <f>[146]Sheet1!$C$245/1000000</f>
        <v>7440.8625507930419</v>
      </c>
      <c r="BG44" s="450">
        <f>[147]Sheet1!$C$245/1000000</f>
        <v>7823.5347870919741</v>
      </c>
      <c r="BH44" s="450">
        <f>[148]Sheet1!$C$245/1000000</f>
        <v>7708.0265372259964</v>
      </c>
      <c r="BI44" s="450">
        <f>[149]Sheet1!$C$245/1000000</f>
        <v>8489.0008841432118</v>
      </c>
      <c r="BJ44" s="450">
        <f>[150]Sheet1!$C$245/1000000</f>
        <v>8506.3998487766876</v>
      </c>
      <c r="BK44" s="450">
        <f>[151]Sheet1!$C$245/1000000</f>
        <v>8605.045459682482</v>
      </c>
      <c r="BL44" s="450">
        <f>[152]Sheet1!$C$245/1000000</f>
        <v>8698.2606262574591</v>
      </c>
      <c r="BM44" s="450">
        <f>[153]Sheet1!$C$245/1000000</f>
        <v>9280.4259172492548</v>
      </c>
      <c r="BN44" s="450">
        <f>[154]Sheet1!$C$245/1000000</f>
        <v>9294.2342306476767</v>
      </c>
      <c r="BO44" s="450">
        <f>[155]Sheet1!$C$245/1000000</f>
        <v>9635.5659515614152</v>
      </c>
      <c r="BP44" s="450">
        <f>[186]Sheet1!$C$245/1000000</f>
        <v>9475.1206773081976</v>
      </c>
      <c r="BQ44" s="450">
        <f>[187]Sheet1!$C$245/1000000</f>
        <v>9125.2985669564332</v>
      </c>
      <c r="BR44" s="450">
        <f>[188]Sheet1!$C$245/1000000</f>
        <v>9288.7431539777772</v>
      </c>
      <c r="BS44" s="450">
        <f>[189]Sheet1!$C$245/1000000</f>
        <v>9422.6555083620933</v>
      </c>
      <c r="BT44" s="450">
        <f>[190]Sheet1!$C$245/1000000</f>
        <v>10264.134516770358</v>
      </c>
      <c r="BU44" s="450">
        <f>[191]Sheet1!$C$245/1000000</f>
        <v>10721.405525402562</v>
      </c>
      <c r="BV44" s="450">
        <f>[192]Sheet1!$C$245/1000000</f>
        <v>10046.549590326807</v>
      </c>
      <c r="BW44" s="450">
        <f>[193]Sheet1!$C$245/1000000</f>
        <v>9537.0308950808067</v>
      </c>
      <c r="BX44" s="450">
        <f>[194]Sheet1!$C$245/1000000</f>
        <v>9847.4090509647467</v>
      </c>
      <c r="BY44" s="450">
        <f>[195]Sheet1!$C$245/1000000</f>
        <v>10097.346815957313</v>
      </c>
      <c r="BZ44" s="450">
        <f>[196]Sheet1!$C$245/1000000</f>
        <v>10154.280731005787</v>
      </c>
      <c r="CA44" s="450">
        <f>[197]Sheet1!$C$245/1000000</f>
        <v>10522.355121407993</v>
      </c>
      <c r="CB44" s="450">
        <f>[156]Sheet1!$C$245/1000000</f>
        <v>10352.366136982795</v>
      </c>
      <c r="CC44" s="450">
        <f>[157]Sheet1!$C$245/1000000</f>
        <v>10037.617270339781</v>
      </c>
      <c r="CD44" s="450">
        <f>[158]Sheet1!$C$245/1000000</f>
        <v>10567.819826471554</v>
      </c>
      <c r="CE44" s="450">
        <f>[159]Sheet1!$C$245/1000000</f>
        <v>10469.568391697207</v>
      </c>
      <c r="CF44" s="450">
        <f>[160]Sheet1!$C$245/1000000</f>
        <v>10415.538359530783</v>
      </c>
      <c r="CG44" s="450">
        <f>[161]Sheet1!$C$245/1000000</f>
        <v>11376.6833224169</v>
      </c>
      <c r="CH44" s="450">
        <f>[162]Sheet1!$C$245/1000000</f>
        <v>10830.176198437317</v>
      </c>
      <c r="CI44" s="450">
        <f>[163]Sheet1!$C$245/1000000</f>
        <v>10910.724934795169</v>
      </c>
      <c r="CJ44" s="450">
        <f>[164]Sheet1!$C$245/1000000</f>
        <v>10828.158954843757</v>
      </c>
      <c r="CK44" s="450">
        <f>[165]Sheet1!$C$245/1000000</f>
        <v>10776.328819657454</v>
      </c>
      <c r="CL44" s="450">
        <f>[166]Sheet1!$C$245/1000000</f>
        <v>10680.105423668449</v>
      </c>
      <c r="CM44" s="450">
        <f>[167]Sheet1!$C$245/1000000</f>
        <v>11095.252952426592</v>
      </c>
      <c r="CN44" s="450">
        <f>[168]Sheet1!$C$245/1000000</f>
        <v>11140.947177616612</v>
      </c>
      <c r="CO44" s="450">
        <f>[169]Sheet1!$C$245/1000000</f>
        <v>11379.951547673976</v>
      </c>
      <c r="CP44" s="439">
        <f>[170]Sheet1!$C$245/1000000</f>
        <v>11595.072669347646</v>
      </c>
    </row>
    <row r="45" spans="1:94">
      <c r="A45" s="436" t="s">
        <v>549</v>
      </c>
      <c r="B45" s="437" t="s">
        <v>544</v>
      </c>
      <c r="C45" s="450">
        <f>[106]Sheet1!$C$294/1000000</f>
        <v>62973.530562383392</v>
      </c>
      <c r="D45" s="450">
        <f>[107]Sheet1!$C$274/1000000</f>
        <v>68698.754404333158</v>
      </c>
      <c r="E45" s="450">
        <f>[108]Sheet1!$C$274/1000000</f>
        <v>75387.278355736344</v>
      </c>
      <c r="F45" s="390">
        <f>[109]Sheet1!$C$274/1000000</f>
        <v>62258.623779648398</v>
      </c>
      <c r="G45" s="450">
        <f>[110]Sheet1!$C$274/1000000</f>
        <v>60991.482858880714</v>
      </c>
      <c r="H45" s="481">
        <f>[111]Sheet1!$C$274/1000000</f>
        <v>59461.940140620994</v>
      </c>
      <c r="I45" s="450">
        <f>[112]Sheet1!$C$274/1000000</f>
        <v>52677.960544831192</v>
      </c>
      <c r="J45" s="450">
        <f>[113]Sheet1!$C$274/1000000</f>
        <v>59138.250073531701</v>
      </c>
      <c r="K45" s="450">
        <f>[114]Sheet1!$C$274/1000000</f>
        <v>75838.201747540283</v>
      </c>
      <c r="L45" s="450">
        <f>[115]Sheet1!$C$274/1000000</f>
        <v>71725.372582125652</v>
      </c>
      <c r="M45" s="390">
        <f>[116]Sheet1!$C$274/1000000</f>
        <v>59839.81858450429</v>
      </c>
      <c r="N45" s="450">
        <f>[117]Sheet1!$C$274/1000000</f>
        <v>58163.815765453452</v>
      </c>
      <c r="O45" s="450">
        <f>[118]Sheet1!$C$274/1000000</f>
        <v>63554.940957365296</v>
      </c>
      <c r="P45" s="450">
        <f>[119]Sheet1!$C$274/1000000</f>
        <v>63112.461831478417</v>
      </c>
      <c r="Q45" s="450">
        <f>[120]Sheet1!$C$274/1000000</f>
        <v>64316.831008833382</v>
      </c>
      <c r="R45" s="450">
        <f>[121]Sheet1!$C$274/1000000</f>
        <v>78379.980879206676</v>
      </c>
      <c r="S45" s="450">
        <f>[122]Sheet1!$C$274/1000000</f>
        <v>83041.630440034292</v>
      </c>
      <c r="T45" s="450">
        <f>[123]Sheet1!$C$274/1000000</f>
        <v>100612.31628793814</v>
      </c>
      <c r="U45" s="450">
        <f>[124]Sheet1!$C$274/1000000</f>
        <v>94316.455472598784</v>
      </c>
      <c r="V45" s="450">
        <f>[125]Sheet1!$C$274/1000000</f>
        <v>84097.222329514436</v>
      </c>
      <c r="W45" s="450">
        <f>[126]Sheet1!$C$274/1000000</f>
        <v>87752.08464722606</v>
      </c>
      <c r="X45" s="450">
        <f>[127]Sheet1!$C$274/1000000</f>
        <v>82111.209813532638</v>
      </c>
      <c r="Y45" s="450">
        <f>[128]Sheet1!$C$274/1000000</f>
        <v>93528.857524623309</v>
      </c>
      <c r="Z45" s="450">
        <f>[129]Sheet1!$C$274/1000000</f>
        <v>83690.308243655149</v>
      </c>
      <c r="AA45" s="450">
        <f>[130]Sheet1!$C$274/1000000</f>
        <v>83686.9674078276</v>
      </c>
      <c r="AB45" s="450">
        <f>[131]Sheet1!$C$274/1000000</f>
        <v>101785.70477649692</v>
      </c>
      <c r="AC45" s="450">
        <f>[132]Sheet1!$C$274/1000000</f>
        <v>108711.06543606985</v>
      </c>
      <c r="AD45" s="450">
        <f>[133]Sheet1!$C$274/1000000</f>
        <v>104377.46787951031</v>
      </c>
      <c r="AE45" s="439">
        <f>[134]Sheet1!$C$274/1000000</f>
        <v>102638.10194678439</v>
      </c>
      <c r="AF45" s="439">
        <f>[171]Sheet1!$C$274/1000000</f>
        <v>113701.45511967188</v>
      </c>
      <c r="AG45" s="449">
        <f>[172]Sheet1!$C$274/1000000</f>
        <v>109452.62145771914</v>
      </c>
      <c r="AH45" s="450">
        <f>[173]Sheet1!$C$274/1000000</f>
        <v>107427.62419960187</v>
      </c>
      <c r="AI45" s="450">
        <f>[174]Sheet1!$C$274/1000000</f>
        <v>97535.100236206214</v>
      </c>
      <c r="AJ45" s="450">
        <f>[175]Sheet1!$C$274/1000000</f>
        <v>95840.69261243433</v>
      </c>
      <c r="AK45" s="450">
        <f>[176]Sheet1!$C$274/1000000</f>
        <v>98098.995731767151</v>
      </c>
      <c r="AL45" s="450">
        <f>[177]Sheet1!$C$274/1000000</f>
        <v>103888.12489777863</v>
      </c>
      <c r="AM45" s="450">
        <f>[178]Sheet1!$C$274/1000000</f>
        <v>93877.01935408439</v>
      </c>
      <c r="AN45" s="450">
        <f>[179]Sheet1!$C$274/1000000</f>
        <v>95375.568905587075</v>
      </c>
      <c r="AO45" s="450">
        <f>[180]Sheet1!$C$274/1000000</f>
        <v>94966.927211317976</v>
      </c>
      <c r="AP45" s="450">
        <f>[135]Sheet1!$C$274/1000000</f>
        <v>95766.070596586811</v>
      </c>
      <c r="AQ45" s="450">
        <f>[136]Sheet1!$C$274/1000000</f>
        <v>110307.1659247433</v>
      </c>
      <c r="AR45" s="450">
        <f>[137]Sheet1!$C$274/1000000</f>
        <v>106875.30926031344</v>
      </c>
      <c r="AS45" s="450">
        <f>[138]Sheet1!$C$274/1000000</f>
        <v>103677.06953694137</v>
      </c>
      <c r="AT45" s="450">
        <f>[139]Sheet1!$C$274/1000000</f>
        <v>106509.25669721646</v>
      </c>
      <c r="AU45" s="450">
        <f>[140]Sheet1!$C$274/1000000</f>
        <v>103537.89560406878</v>
      </c>
      <c r="AV45" s="450">
        <f>[181]Sheet1!$C$274/1000000</f>
        <v>100349.0747235185</v>
      </c>
      <c r="AW45" s="450">
        <f>[182]Sheet1!$C$274/1000000</f>
        <v>94562.858452299653</v>
      </c>
      <c r="AX45" s="450">
        <f>[183]Sheet1!$C$274/1000000</f>
        <v>85168.803610280942</v>
      </c>
      <c r="AY45" s="450">
        <f>[184]Sheet1!$C$274/1000000</f>
        <v>77273.116232237851</v>
      </c>
      <c r="AZ45" s="450">
        <f>[185]Sheet1!$C$274/1000000</f>
        <v>74142.698369001911</v>
      </c>
      <c r="BA45" s="450">
        <f>[141]Sheet1!$C$274/1000000</f>
        <v>73587.444683017427</v>
      </c>
      <c r="BB45" s="450">
        <f>[142]Sheet1!$C$274/1000000</f>
        <v>63904.630520693587</v>
      </c>
      <c r="BC45" s="450">
        <f>[143]Sheet1!$C$274/1000000</f>
        <v>67380.586611924839</v>
      </c>
      <c r="BD45" s="450">
        <f>[144]Sheet1!$C$274/1000000</f>
        <v>52331.669477749441</v>
      </c>
      <c r="BE45" s="450">
        <f>[145]Sheet1!$C$274/1000000</f>
        <v>56635.89421769599</v>
      </c>
      <c r="BF45" s="450">
        <f>[146]Sheet1!$C$274/1000000</f>
        <v>47305.077412382729</v>
      </c>
      <c r="BG45" s="450">
        <f>[147]Sheet1!$C$274/1000000</f>
        <v>50522.066632704824</v>
      </c>
      <c r="BH45" s="450">
        <f>[148]Sheet1!$C$274/1000000</f>
        <v>53825.945809446479</v>
      </c>
      <c r="BI45" s="450">
        <f>[149]Sheet1!$C$274/1000000</f>
        <v>54012.883546671888</v>
      </c>
      <c r="BJ45" s="450">
        <f>[150]Sheet1!$C$274/1000000</f>
        <v>63059.83346362671</v>
      </c>
      <c r="BK45" s="450">
        <f>[151]Sheet1!$C$274/1000000</f>
        <v>59286.180326882968</v>
      </c>
      <c r="BL45" s="450">
        <f>[152]Sheet1!$C$274/1000000</f>
        <v>58337.099019569163</v>
      </c>
      <c r="BM45" s="450">
        <f>[153]Sheet1!$C$274/1000000</f>
        <v>59769.582025271528</v>
      </c>
      <c r="BN45" s="450">
        <f>[154]Sheet1!$C$274/1000000</f>
        <v>62574.599231501648</v>
      </c>
      <c r="BO45" s="450">
        <f>[155]Sheet1!$C$274/1000000</f>
        <v>60409.232461079453</v>
      </c>
      <c r="BP45" s="450">
        <f>[186]Sheet1!$C$274/1000000</f>
        <v>61801.902933246223</v>
      </c>
      <c r="BQ45" s="450">
        <f>[187]Sheet1!$C$274/1000000</f>
        <v>59682.730505676634</v>
      </c>
      <c r="BR45" s="450">
        <f>[188]Sheet1!$C$274/1000000</f>
        <v>59078.490046756036</v>
      </c>
      <c r="BS45" s="450">
        <f>[189]Sheet1!$C$274/1000000</f>
        <v>54549.794765581704</v>
      </c>
      <c r="BT45" s="450">
        <f>[190]Sheet1!$C$274/1000000</f>
        <v>55421.082310405662</v>
      </c>
      <c r="BU45" s="450">
        <f>[191]Sheet1!$C$274/1000000</f>
        <v>69285.941733017491</v>
      </c>
      <c r="BV45" s="450">
        <f>[192]Sheet1!$C$274/1000000</f>
        <v>53227.897403973569</v>
      </c>
      <c r="BW45" s="450">
        <f>[193]Sheet1!$C$274/1000000</f>
        <v>57258.452592395268</v>
      </c>
      <c r="BX45" s="450">
        <f>[194]Sheet1!$C$274/1000000</f>
        <v>55574.580947562841</v>
      </c>
      <c r="BY45" s="450">
        <f>[195]Sheet1!$C$274/1000000</f>
        <v>55015.801415255715</v>
      </c>
      <c r="BZ45" s="450">
        <f>[196]Sheet1!$C$274/1000000</f>
        <v>55679.252420939971</v>
      </c>
      <c r="CA45" s="450">
        <f>[197]Sheet1!$C$274/1000000</f>
        <v>54164.803179884737</v>
      </c>
      <c r="CB45" s="450">
        <f>[156]Sheet1!$C$274/1000000</f>
        <v>55100.873822430876</v>
      </c>
      <c r="CC45" s="450">
        <f>[157]Sheet1!$C$274/1000000</f>
        <v>56297.471547733192</v>
      </c>
      <c r="CD45" s="450">
        <f>[158]Sheet1!$C$274/1000000</f>
        <v>52942.079114367138</v>
      </c>
      <c r="CE45" s="450">
        <f>[159]Sheet1!$C$274/1000000</f>
        <v>51432.019607114999</v>
      </c>
      <c r="CF45" s="450">
        <f>[160]Sheet1!$C$274/1000000</f>
        <v>60538.065129484006</v>
      </c>
      <c r="CG45" s="450">
        <f>[161]Sheet1!$C$274/1000000</f>
        <v>61878.881572812686</v>
      </c>
      <c r="CH45" s="450">
        <f>[162]Sheet1!$C$274/1000000</f>
        <v>54323.393748100949</v>
      </c>
      <c r="CI45" s="450">
        <f>[163]Sheet1!$C$274/1000000</f>
        <v>73787.629785697558</v>
      </c>
      <c r="CJ45" s="450">
        <f>[164]Sheet1!$C$274/1000000</f>
        <v>71549.757824738146</v>
      </c>
      <c r="CK45" s="450">
        <f>[165]Sheet1!$C$274/1000000</f>
        <v>77606.383377185484</v>
      </c>
      <c r="CL45" s="450">
        <f>[166]Sheet1!$C$274/1000000</f>
        <v>63321.297541147564</v>
      </c>
      <c r="CM45" s="450">
        <f>[167]Sheet1!$C$274/1000000</f>
        <v>64902.684066333095</v>
      </c>
      <c r="CN45" s="450">
        <f>[168]Sheet1!$C$274/1000000</f>
        <v>67640.266431736571</v>
      </c>
      <c r="CO45" s="450">
        <f>[169]Sheet1!$C$274/1000000</f>
        <v>68033.211193979689</v>
      </c>
      <c r="CP45" s="439">
        <f>[170]Sheet1!$C$274/1000000</f>
        <v>66748.02051421853</v>
      </c>
    </row>
    <row r="46" spans="1:94">
      <c r="A46" s="436"/>
      <c r="B46" s="437"/>
      <c r="C46" s="492"/>
      <c r="D46" s="492"/>
      <c r="E46" s="492"/>
      <c r="F46" s="493"/>
      <c r="G46" s="492"/>
      <c r="H46" s="494"/>
      <c r="I46" s="492"/>
      <c r="J46" s="492"/>
      <c r="K46" s="492"/>
      <c r="L46" s="492"/>
      <c r="M46" s="493"/>
      <c r="N46" s="492"/>
      <c r="O46" s="492"/>
      <c r="P46" s="492"/>
      <c r="Q46" s="492"/>
      <c r="R46" s="492"/>
      <c r="S46" s="492"/>
      <c r="T46" s="492"/>
      <c r="U46" s="492"/>
      <c r="V46" s="492"/>
      <c r="W46" s="492"/>
      <c r="X46" s="492"/>
      <c r="Y46" s="492"/>
      <c r="Z46" s="492"/>
      <c r="AA46" s="492"/>
      <c r="AB46" s="492"/>
      <c r="AC46" s="492"/>
      <c r="AD46" s="492"/>
      <c r="AE46" s="495"/>
      <c r="AF46" s="495"/>
      <c r="AG46" s="496"/>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2"/>
      <c r="CG46" s="492"/>
      <c r="CH46" s="492"/>
      <c r="CI46" s="492"/>
      <c r="CJ46" s="492"/>
      <c r="CK46" s="492"/>
      <c r="CL46" s="492"/>
      <c r="CM46" s="492"/>
      <c r="CN46" s="492"/>
      <c r="CO46" s="492"/>
      <c r="CP46" s="495"/>
    </row>
    <row r="47" spans="1:94">
      <c r="A47" s="433" t="s">
        <v>550</v>
      </c>
      <c r="B47" s="434" t="s">
        <v>551</v>
      </c>
      <c r="C47" s="476">
        <f>[106]Sheet1!$C$327/1000000</f>
        <v>231.56321800000001</v>
      </c>
      <c r="D47" s="476">
        <f>[107]Sheet1!$C$304/1000000</f>
        <v>244.56903</v>
      </c>
      <c r="E47" s="476">
        <f>[108]Sheet1!$C$304/1000000</f>
        <v>243.88480200000001</v>
      </c>
      <c r="F47" s="400">
        <f>[109]Sheet1!$C$304/1000000</f>
        <v>894.87686329999997</v>
      </c>
      <c r="G47" s="476">
        <f>[110]Sheet1!$C$304/1000000</f>
        <v>902.47286123000003</v>
      </c>
      <c r="H47" s="477">
        <f>[111]Sheet1!$C$304/1000000</f>
        <v>913.28048660000002</v>
      </c>
      <c r="I47" s="476">
        <f>[112]Sheet1!$C$304/1000000</f>
        <v>924.24705643000004</v>
      </c>
      <c r="J47" s="476">
        <f>[113]Sheet1!$C$304/1000000</f>
        <v>935.94412235000004</v>
      </c>
      <c r="K47" s="476">
        <f>[114]Sheet1!$C$304/1000000</f>
        <v>947.48504020000007</v>
      </c>
      <c r="L47" s="476">
        <f>[115]Sheet1!$C$304/1000000</f>
        <v>958.67395076888897</v>
      </c>
      <c r="M47" s="400">
        <f>[116]Sheet1!$C$304/1000000</f>
        <v>970.47936142111109</v>
      </c>
      <c r="N47" s="476">
        <f>[117]Sheet1!$C$304/1000000</f>
        <v>982.71418112888898</v>
      </c>
      <c r="O47" s="476">
        <f>[118]Sheet1!$C$304/1000000</f>
        <v>1029.9734679333333</v>
      </c>
      <c r="P47" s="476">
        <f>[119]Sheet1!$C$304/1000000</f>
        <v>1039.2984984133332</v>
      </c>
      <c r="Q47" s="476">
        <f>[120]Sheet1!$C$304/1000000</f>
        <v>1054.6342642622224</v>
      </c>
      <c r="R47" s="476">
        <f>[121]Sheet1!$C$304/1000000</f>
        <v>1064.6590485788888</v>
      </c>
      <c r="S47" s="476">
        <f>[122]Sheet1!$C$304/1000000</f>
        <v>1076.2280478177779</v>
      </c>
      <c r="T47" s="476">
        <f>[123]Sheet1!$C$304/1000000</f>
        <v>1088.8792321111112</v>
      </c>
      <c r="U47" s="476">
        <f>[124]Sheet1!$C$304/1000000</f>
        <v>1101.5320324188888</v>
      </c>
      <c r="V47" s="476">
        <f>[125]Sheet1!$C$304/1000000</f>
        <v>1114.4294483033332</v>
      </c>
      <c r="W47" s="476">
        <f>[126]Sheet1!$C$304/1000000</f>
        <v>1127.11884353</v>
      </c>
      <c r="X47" s="476">
        <f>[127]Sheet1!$C$304/1000000</f>
        <v>1141.7175953866667</v>
      </c>
      <c r="Y47" s="476">
        <f>[128]Sheet1!$C$304/1000000</f>
        <v>1158.3885001033332</v>
      </c>
      <c r="Z47" s="476">
        <f>[129]Sheet1!$C$304/1000000</f>
        <v>1173.85555658</v>
      </c>
      <c r="AA47" s="476">
        <f>[130]Sheet1!$C$304/1000000</f>
        <v>1192.1119814356903</v>
      </c>
      <c r="AB47" s="476">
        <f>[131]Sheet1!$C$304/1000000</f>
        <v>1204.7922557448296</v>
      </c>
      <c r="AC47" s="476">
        <f>[132]Sheet1!$C$304/1000000</f>
        <v>1219.8609252011217</v>
      </c>
      <c r="AD47" s="476">
        <f>[133]Sheet1!$C$304/1000000</f>
        <v>1231.7610712585674</v>
      </c>
      <c r="AE47" s="435">
        <f>[134]Sheet1!$C$304/1000000</f>
        <v>1236.045001036345</v>
      </c>
      <c r="AF47" s="435">
        <f>[171]Sheet1!$C$304/1000000</f>
        <v>1261.7841879768891</v>
      </c>
      <c r="AG47" s="491">
        <f>[172]Sheet1!$C$304/1000000</f>
        <v>1278.5503714638587</v>
      </c>
      <c r="AH47" s="476">
        <f>[173]Sheet1!$C$304/1000000</f>
        <v>1292.6733276455918</v>
      </c>
      <c r="AI47" s="476">
        <f>[174]Sheet1!$C$304/1000000</f>
        <v>1307.8143752879118</v>
      </c>
      <c r="AJ47" s="476">
        <f>[175]Sheet1!$C$304/1000000</f>
        <v>1325.2377130349007</v>
      </c>
      <c r="AK47" s="476">
        <f>[176]Sheet1!$C$304/1000000</f>
        <v>1340.5265307413711</v>
      </c>
      <c r="AL47" s="476">
        <f>[177]Sheet1!$C$304/1000000</f>
        <v>1356.4140406065899</v>
      </c>
      <c r="AM47" s="476">
        <f>[178]Sheet1!$C$304/1000000</f>
        <v>1371.9830373129037</v>
      </c>
      <c r="AN47" s="476">
        <f>[179]Sheet1!$C$304/1000000</f>
        <v>1387.7294814627639</v>
      </c>
      <c r="AO47" s="476">
        <f>[180]Sheet1!$C$304/1000000</f>
        <v>1391.9710411111112</v>
      </c>
      <c r="AP47" s="476">
        <f>[135]Sheet1!$C$304/1000000</f>
        <v>1345.0189419933752</v>
      </c>
      <c r="AQ47" s="476">
        <f>[136]Sheet1!$C$304/1000000</f>
        <v>1356.0663831839051</v>
      </c>
      <c r="AR47" s="476">
        <f>[137]Sheet1!$C$304/1000000</f>
        <v>1372.5229543510598</v>
      </c>
      <c r="AS47" s="476">
        <f>[138]Sheet1!$C$304/1000000</f>
        <v>1389.1917470284782</v>
      </c>
      <c r="AT47" s="476">
        <f>[139]Sheet1!$C$304/1000000</f>
        <v>1406.7636767705512</v>
      </c>
      <c r="AU47" s="476">
        <f>[140]Sheet1!$C$304/1000000</f>
        <v>1424.1167111904763</v>
      </c>
      <c r="AV47" s="476">
        <f>[181]Sheet1!$C$304/1000000</f>
        <v>1438.8276591848639</v>
      </c>
      <c r="AW47" s="476">
        <f>[182]Sheet1!$C$304/1000000</f>
        <v>1437.5671838838095</v>
      </c>
      <c r="AX47" s="476">
        <f>[183]Sheet1!$C$304/1000000</f>
        <v>1532.8619360233331</v>
      </c>
      <c r="AY47" s="476">
        <f>[184]Sheet1!$C$304/1000000</f>
        <v>1555.8646305122222</v>
      </c>
      <c r="AZ47" s="476">
        <f>[185]Sheet1!$C$304/1000000</f>
        <v>1570.2510025755557</v>
      </c>
      <c r="BA47" s="476">
        <f>[141]Sheet1!$C$304/1000000</f>
        <v>1586.1209918133334</v>
      </c>
      <c r="BB47" s="476">
        <f>[142]Sheet1!$C$304/1000000</f>
        <v>742.05842346999998</v>
      </c>
      <c r="BC47" s="476">
        <f>[143]Sheet1!$C$304/1000000</f>
        <v>747.63109256000007</v>
      </c>
      <c r="BD47" s="476">
        <f>[144]Sheet1!$C$304/1000000</f>
        <v>759.73270224999999</v>
      </c>
      <c r="BE47" s="476">
        <f>[145]Sheet1!$C$304/1000000</f>
        <v>772.19647421000002</v>
      </c>
      <c r="BF47" s="476">
        <f>[146]Sheet1!$C$304/1000000</f>
        <v>783.64372535000007</v>
      </c>
      <c r="BG47" s="476">
        <f>[147]Sheet1!$C$304/1000000</f>
        <v>795.03426162999995</v>
      </c>
      <c r="BH47" s="476">
        <f>[148]Sheet1!$C$304/1000000</f>
        <v>806.36142286999996</v>
      </c>
      <c r="BI47" s="476">
        <f>[149]Sheet1!$C$304/1000000</f>
        <v>817.11920386999998</v>
      </c>
      <c r="BJ47" s="476">
        <f>[150]Sheet1!$C$304/1000000</f>
        <v>829.69099343000005</v>
      </c>
      <c r="BK47" s="476">
        <f>[151]Sheet1!$C$304/1000000</f>
        <v>841.75958768999999</v>
      </c>
      <c r="BL47" s="476">
        <f>[152]Sheet1!$C$304/1000000</f>
        <v>841.34192214999996</v>
      </c>
      <c r="BM47" s="476">
        <f>[153]Sheet1!$C$304/1000000</f>
        <v>850.71337003999997</v>
      </c>
      <c r="BN47" s="476">
        <f>[154]Sheet1!$C$304/1000000</f>
        <v>860.90493549999997</v>
      </c>
      <c r="BO47" s="476">
        <f>[155]Sheet1!$C$304/1000000</f>
        <v>871.46817457999987</v>
      </c>
      <c r="BP47" s="476">
        <f>[186]Sheet1!$C$304/1000000</f>
        <v>882.04527719000009</v>
      </c>
      <c r="BQ47" s="476">
        <f>[187]Sheet1!$C$304/1000000</f>
        <v>892.00809130000005</v>
      </c>
      <c r="BR47" s="476">
        <f>[188]Sheet1!$C$304/1000000</f>
        <v>903.91998393000006</v>
      </c>
      <c r="BS47" s="476">
        <f>[189]Sheet1!$C$304/1000000</f>
        <v>913.01940185000001</v>
      </c>
      <c r="BT47" s="476">
        <f>[190]Sheet1!$C$304/1000000</f>
        <v>921.02394779999997</v>
      </c>
      <c r="BU47" s="476">
        <f>[191]Sheet1!$C$304/1000000</f>
        <v>929.69761502000006</v>
      </c>
      <c r="BV47" s="476">
        <f>[192]Sheet1!$C$304/1000000</f>
        <v>941.94318427000007</v>
      </c>
      <c r="BW47" s="476">
        <f>[193]Sheet1!$C$304/1000000</f>
        <v>951.54407246999995</v>
      </c>
      <c r="BX47" s="476">
        <f>[194]Sheet1!$C$304/1000000</f>
        <v>951.26087802999996</v>
      </c>
      <c r="BY47" s="476">
        <f>[195]Sheet1!$C$304/1000000</f>
        <v>960.51654225000004</v>
      </c>
      <c r="BZ47" s="476">
        <f>[196]Sheet1!$C$304/1000000</f>
        <v>959.27091482999992</v>
      </c>
      <c r="CA47" s="476">
        <f>[197]Sheet1!$C$304/1000000</f>
        <v>968.69937096000001</v>
      </c>
      <c r="CB47" s="476">
        <f>[156]Sheet1!$C$304/1000000</f>
        <v>976.84763184999997</v>
      </c>
      <c r="CC47" s="476">
        <f>[157]Sheet1!$C$304/1000000</f>
        <v>987.94876218999991</v>
      </c>
      <c r="CD47" s="476">
        <f>[158]Sheet1!$C$304/1000000</f>
        <v>997.67433128999994</v>
      </c>
      <c r="CE47" s="476">
        <f>[159]Sheet1!$C$304/1000000</f>
        <v>1008.3339269400001</v>
      </c>
      <c r="CF47" s="476">
        <f>[160]Sheet1!$C$304/1000000</f>
        <v>1018.04001825</v>
      </c>
      <c r="CG47" s="476">
        <f>[161]Sheet1!$C$304/1000000</f>
        <v>1027.9046779100001</v>
      </c>
      <c r="CH47" s="476">
        <f>[162]Sheet1!$C$304/1000000</f>
        <v>1034.54105153</v>
      </c>
      <c r="CI47" s="476">
        <f>[163]Sheet1!$C$304/1000000</f>
        <v>1046.3292143400001</v>
      </c>
      <c r="CJ47" s="476">
        <f>[164]Sheet1!$C$304/1000000</f>
        <v>1056.93696527</v>
      </c>
      <c r="CK47" s="476">
        <f>[165]Sheet1!$C$304/1000000</f>
        <v>1068.1048831099999</v>
      </c>
      <c r="CL47" s="476">
        <f>[166]Sheet1!$C$304/1000000</f>
        <v>1086.2447271100002</v>
      </c>
      <c r="CM47" s="476">
        <f>[167]Sheet1!$C$304/1000000</f>
        <v>1094.89581032</v>
      </c>
      <c r="CN47" s="476">
        <f>[168]Sheet1!$C$304/1000000</f>
        <v>1103.7077119</v>
      </c>
      <c r="CO47" s="476">
        <f>[169]Sheet1!$C$304/1000000</f>
        <v>1114.0039380399999</v>
      </c>
      <c r="CP47" s="435">
        <f>[170]Sheet1!$C$304/1000000</f>
        <v>1126.4172563299999</v>
      </c>
    </row>
    <row r="48" spans="1:94">
      <c r="A48" s="436"/>
      <c r="B48" s="437"/>
      <c r="C48" s="492"/>
      <c r="D48" s="492"/>
      <c r="E48" s="492"/>
      <c r="F48" s="493"/>
      <c r="G48" s="492"/>
      <c r="H48" s="494"/>
      <c r="I48" s="492"/>
      <c r="J48" s="492"/>
      <c r="K48" s="492"/>
      <c r="L48" s="492"/>
      <c r="M48" s="493"/>
      <c r="N48" s="492"/>
      <c r="O48" s="492"/>
      <c r="P48" s="492"/>
      <c r="Q48" s="492"/>
      <c r="R48" s="492"/>
      <c r="S48" s="492"/>
      <c r="T48" s="492"/>
      <c r="U48" s="492"/>
      <c r="V48" s="492"/>
      <c r="W48" s="492"/>
      <c r="X48" s="492"/>
      <c r="Y48" s="492"/>
      <c r="Z48" s="492"/>
      <c r="AA48" s="492"/>
      <c r="AB48" s="492"/>
      <c r="AC48" s="492"/>
      <c r="AD48" s="492"/>
      <c r="AE48" s="495"/>
      <c r="AF48" s="495"/>
      <c r="AG48" s="496"/>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492"/>
      <c r="CF48" s="492"/>
      <c r="CG48" s="492"/>
      <c r="CH48" s="492"/>
      <c r="CI48" s="492"/>
      <c r="CJ48" s="492"/>
      <c r="CK48" s="492"/>
      <c r="CL48" s="492"/>
      <c r="CM48" s="492"/>
      <c r="CN48" s="492"/>
      <c r="CO48" s="492"/>
      <c r="CP48" s="495"/>
    </row>
    <row r="49" spans="1:94">
      <c r="A49" s="433" t="s">
        <v>552</v>
      </c>
      <c r="B49" s="434" t="s">
        <v>553</v>
      </c>
      <c r="C49" s="476">
        <f>[106]Sheet1!$C$343/1000000</f>
        <v>15645.512661406454</v>
      </c>
      <c r="D49" s="476">
        <f>[107]Sheet1!$C$320/1000000</f>
        <v>15884.783669947929</v>
      </c>
      <c r="E49" s="476">
        <f>[108]Sheet1!$C$320/1000000</f>
        <v>15153.842182608641</v>
      </c>
      <c r="F49" s="400">
        <f>[109]Sheet1!$C$320/1000000</f>
        <v>15555.179380714215</v>
      </c>
      <c r="G49" s="476">
        <f>[110]Sheet1!$C$320/1000000</f>
        <v>15292.70664958403</v>
      </c>
      <c r="H49" s="477">
        <f>[111]Sheet1!$C$320/1000000</f>
        <v>14953.233001055829</v>
      </c>
      <c r="I49" s="476">
        <f>[112]Sheet1!$C$320/1000000</f>
        <v>14949.287617767368</v>
      </c>
      <c r="J49" s="476">
        <f>[113]Sheet1!$C$320/1000000</f>
        <v>14910.769174447587</v>
      </c>
      <c r="K49" s="476">
        <f>[114]Sheet1!$C$320/1000000</f>
        <v>14835.403570225628</v>
      </c>
      <c r="L49" s="476">
        <f>[115]Sheet1!$C$320/1000000</f>
        <v>14973.117719108574</v>
      </c>
      <c r="M49" s="400">
        <f>[116]Sheet1!$C$320/1000000</f>
        <v>15410.342053047403</v>
      </c>
      <c r="N49" s="476">
        <f>[117]Sheet1!$C$320/1000000</f>
        <v>15917.045083821948</v>
      </c>
      <c r="O49" s="476">
        <f>[118]Sheet1!$C$320/1000000</f>
        <v>15643.62357843216</v>
      </c>
      <c r="P49" s="476">
        <f>[119]Sheet1!$C$320/1000000</f>
        <v>15910.206036265174</v>
      </c>
      <c r="Q49" s="476">
        <f>[120]Sheet1!$C$320/1000000</f>
        <v>16604.716301156575</v>
      </c>
      <c r="R49" s="476">
        <f>[121]Sheet1!$C$320/1000000</f>
        <v>16569.771371776089</v>
      </c>
      <c r="S49" s="476">
        <f>[122]Sheet1!$C$320/1000000</f>
        <v>16688.439361394347</v>
      </c>
      <c r="T49" s="476">
        <f>[123]Sheet1!$C$320/1000000</f>
        <v>17479.208170804999</v>
      </c>
      <c r="U49" s="476">
        <f>[124]Sheet1!$C$320/1000000</f>
        <v>16594.99025579686</v>
      </c>
      <c r="V49" s="476">
        <f>[125]Sheet1!$C$320/1000000</f>
        <v>16716.496205298907</v>
      </c>
      <c r="W49" s="476">
        <f>[126]Sheet1!$C$320/1000000</f>
        <v>16465.24152062762</v>
      </c>
      <c r="X49" s="476">
        <f>[127]Sheet1!$C$320/1000000</f>
        <v>16478.725589911319</v>
      </c>
      <c r="Y49" s="476">
        <f>[128]Sheet1!$C$320/1000000</f>
        <v>16614.809302686383</v>
      </c>
      <c r="Z49" s="476">
        <f>[129]Sheet1!$C$320/1000000</f>
        <v>16325.490808256562</v>
      </c>
      <c r="AA49" s="476">
        <f>[130]Sheet1!$C$320/1000000</f>
        <v>16380.635298681034</v>
      </c>
      <c r="AB49" s="476">
        <f>[131]Sheet1!$C$320/1000000</f>
        <v>16722.130606199535</v>
      </c>
      <c r="AC49" s="476">
        <f>[132]Sheet1!$C$320/1000000</f>
        <v>16622.821207805198</v>
      </c>
      <c r="AD49" s="476">
        <f>[133]Sheet1!$C$320/1000000</f>
        <v>17046.157512781752</v>
      </c>
      <c r="AE49" s="435">
        <f>[134]Sheet1!$C$320/1000000</f>
        <v>17264.306770457344</v>
      </c>
      <c r="AF49" s="435">
        <f>[171]Sheet1!$C$320/1000000</f>
        <v>17498.136859660164</v>
      </c>
      <c r="AG49" s="491">
        <f>[172]Sheet1!$C$320/1000000</f>
        <v>16698.808618465773</v>
      </c>
      <c r="AH49" s="476">
        <f>[173]Sheet1!$C$320/1000000</f>
        <v>17100.436710464823</v>
      </c>
      <c r="AI49" s="476">
        <f>[174]Sheet1!$C$320/1000000</f>
        <v>16746.070150179548</v>
      </c>
      <c r="AJ49" s="476">
        <f>[175]Sheet1!$C$320/1000000</f>
        <v>1127.4601422405112</v>
      </c>
      <c r="AK49" s="476">
        <f>[176]Sheet1!$C$320/1000000</f>
        <v>1095.5860619152888</v>
      </c>
      <c r="AL49" s="476">
        <f>[177]Sheet1!$C$320/1000000</f>
        <v>1328.9540850303999</v>
      </c>
      <c r="AM49" s="476">
        <f>[178]Sheet1!$C$320/1000000</f>
        <v>1211.6644621771668</v>
      </c>
      <c r="AN49" s="476">
        <f>[179]Sheet1!$C$320/1000000</f>
        <v>1171.1074587792891</v>
      </c>
      <c r="AO49" s="476">
        <f>[180]Sheet1!$C$320/1000000</f>
        <v>1236.2121890800224</v>
      </c>
      <c r="AP49" s="476">
        <f>[135]Sheet1!$C$320/1000000</f>
        <v>1234.8537371959333</v>
      </c>
      <c r="AQ49" s="476">
        <f>[136]Sheet1!$C$320/1000000</f>
        <v>1343.019678987924</v>
      </c>
      <c r="AR49" s="476">
        <f>[137]Sheet1!$C$320/1000000</f>
        <v>1243.2708294678093</v>
      </c>
      <c r="AS49" s="476">
        <f>[138]Sheet1!$C$320/1000000</f>
        <v>1279.8613689733668</v>
      </c>
      <c r="AT49" s="476">
        <f>[139]Sheet1!$C$320/1000000</f>
        <v>1271.5996806622595</v>
      </c>
      <c r="AU49" s="476">
        <f>[140]Sheet1!$C$320/1000000</f>
        <v>1199.1619262505569</v>
      </c>
      <c r="AV49" s="476">
        <f>[181]Sheet1!$C$320/1000000</f>
        <v>1155.0305887734644</v>
      </c>
      <c r="AW49" s="476">
        <f>[182]Sheet1!$C$320/1000000</f>
        <v>1139.6961893274311</v>
      </c>
      <c r="AX49" s="476">
        <f>[183]Sheet1!$C$320/1000000</f>
        <v>1259.9482977386983</v>
      </c>
      <c r="AY49" s="476">
        <f>[184]Sheet1!$C$320/1000000</f>
        <v>1238.3272744853004</v>
      </c>
      <c r="AZ49" s="476">
        <f>[185]Sheet1!$C$320/1000000</f>
        <v>878.95489068434142</v>
      </c>
      <c r="BA49" s="476">
        <f>[141]Sheet1!$C$320/1000000</f>
        <v>956.08903745806265</v>
      </c>
      <c r="BB49" s="476">
        <f>[142]Sheet1!$C$320/1000000</f>
        <v>783.97270425570832</v>
      </c>
      <c r="BC49" s="476">
        <f>[143]Sheet1!$C$320/1000000</f>
        <v>854.14120872096305</v>
      </c>
      <c r="BD49" s="476">
        <f>[144]Sheet1!$C$320/1000000</f>
        <v>883.47022197736339</v>
      </c>
      <c r="BE49" s="476">
        <f>[145]Sheet1!$C$320/1000000</f>
        <v>918.97752635636073</v>
      </c>
      <c r="BF49" s="476">
        <f>[146]Sheet1!$C$320/1000000</f>
        <v>1006.803345868023</v>
      </c>
      <c r="BG49" s="476">
        <f>[147]Sheet1!$C$320/1000000</f>
        <v>1541.7032591520708</v>
      </c>
      <c r="BH49" s="476">
        <f>[148]Sheet1!$C$320/1000000</f>
        <v>1157.0924238882374</v>
      </c>
      <c r="BI49" s="476">
        <f>[149]Sheet1!$C$320/1000000</f>
        <v>1220.1777750274027</v>
      </c>
      <c r="BJ49" s="476">
        <f>[150]Sheet1!$C$320/1000000</f>
        <v>1247.2652278087021</v>
      </c>
      <c r="BK49" s="476">
        <f>[151]Sheet1!$C$320/1000000</f>
        <v>1237.6344496282929</v>
      </c>
      <c r="BL49" s="476">
        <f>[152]Sheet1!$C$320/1000000</f>
        <v>1219.0656411219168</v>
      </c>
      <c r="BM49" s="476">
        <f>[153]Sheet1!$C$320/1000000</f>
        <v>1157.2090045506454</v>
      </c>
      <c r="BN49" s="476">
        <f>[154]Sheet1!$C$320/1000000</f>
        <v>1256.4355875570463</v>
      </c>
      <c r="BO49" s="476">
        <f>[155]Sheet1!$C$320/1000000</f>
        <v>1254.3869285360436</v>
      </c>
      <c r="BP49" s="476">
        <f>[186]Sheet1!$C$320/1000000</f>
        <v>1302.1468264104776</v>
      </c>
      <c r="BQ49" s="476">
        <f>[187]Sheet1!$C$320/1000000</f>
        <v>1217.2545327702653</v>
      </c>
      <c r="BR49" s="476">
        <f>[188]Sheet1!$C$320/1000000</f>
        <v>1302.3310317796659</v>
      </c>
      <c r="BS49" s="476">
        <f>[189]Sheet1!$C$320/1000000</f>
        <v>1204.6501408748975</v>
      </c>
      <c r="BT49" s="476">
        <f>[190]Sheet1!$C$320/1000000</f>
        <v>1237.765141539488</v>
      </c>
      <c r="BU49" s="476">
        <f>[191]Sheet1!$C$320/1000000</f>
        <v>1313.8005488732629</v>
      </c>
      <c r="BV49" s="476">
        <f>[192]Sheet1!$C$320/1000000</f>
        <v>1182.4475531745416</v>
      </c>
      <c r="BW49" s="476">
        <f>[193]Sheet1!$C$320/1000000</f>
        <v>1119.8991953549641</v>
      </c>
      <c r="BX49" s="476">
        <f>[194]Sheet1!$C$320/1000000</f>
        <v>993.62369071162891</v>
      </c>
      <c r="BY49" s="476">
        <f>[195]Sheet1!$C$320/1000000</f>
        <v>6420.4863756678606</v>
      </c>
      <c r="BZ49" s="476">
        <f>[196]Sheet1!$C$320/1000000</f>
        <v>6486.7428962633339</v>
      </c>
      <c r="CA49" s="476">
        <f>[197]Sheet1!$C$320/1000000</f>
        <v>6651.4769204397489</v>
      </c>
      <c r="CB49" s="476">
        <f>[156]Sheet1!$C$320/1000000</f>
        <v>7714.8385189486571</v>
      </c>
      <c r="CC49" s="476">
        <f>[157]Sheet1!$C$320/1000000</f>
        <v>7528.5721509488194</v>
      </c>
      <c r="CD49" s="476">
        <f>[158]Sheet1!$C$320/1000000</f>
        <v>7609.5393174411147</v>
      </c>
      <c r="CE49" s="476">
        <f>[159]Sheet1!$C$320/1000000</f>
        <v>7647.6678899913604</v>
      </c>
      <c r="CF49" s="476">
        <f>[160]Sheet1!$C$320/1000000</f>
        <v>7764.8705142639292</v>
      </c>
      <c r="CG49" s="476">
        <f>[161]Sheet1!$C$320/1000000</f>
        <v>7612.2662415359828</v>
      </c>
      <c r="CH49" s="476">
        <f>[162]Sheet1!$C$320/1000000</f>
        <v>7669.7182570720006</v>
      </c>
      <c r="CI49" s="476">
        <f>[163]Sheet1!$C$320/1000000</f>
        <v>8095.0391335804443</v>
      </c>
      <c r="CJ49" s="476">
        <f>[164]Sheet1!$C$320/1000000</f>
        <v>7865.4789433237111</v>
      </c>
      <c r="CK49" s="476">
        <f>[165]Sheet1!$C$320/1000000</f>
        <v>7890.0037322446178</v>
      </c>
      <c r="CL49" s="476">
        <f>[166]Sheet1!$C$320/1000000</f>
        <v>8008.3467121284702</v>
      </c>
      <c r="CM49" s="476">
        <f>[167]Sheet1!$C$320/1000000</f>
        <v>8646.3296934415921</v>
      </c>
      <c r="CN49" s="476">
        <f>[168]Sheet1!$C$320/1000000</f>
        <v>7840.0146798454643</v>
      </c>
      <c r="CO49" s="476">
        <f>[169]Sheet1!$C$320/1000000</f>
        <v>7766.9697828987692</v>
      </c>
      <c r="CP49" s="435">
        <f>[170]Sheet1!$C$320/1000000</f>
        <v>8058.7182430322773</v>
      </c>
    </row>
    <row r="50" spans="1:94">
      <c r="A50" s="436"/>
      <c r="B50" s="437"/>
      <c r="C50" s="492"/>
      <c r="D50" s="492"/>
      <c r="E50" s="492"/>
      <c r="F50" s="493"/>
      <c r="G50" s="492"/>
      <c r="H50" s="494"/>
      <c r="I50" s="492"/>
      <c r="J50" s="492"/>
      <c r="K50" s="492"/>
      <c r="L50" s="492"/>
      <c r="M50" s="493"/>
      <c r="N50" s="492"/>
      <c r="O50" s="492"/>
      <c r="P50" s="492"/>
      <c r="Q50" s="492"/>
      <c r="R50" s="492"/>
      <c r="S50" s="492"/>
      <c r="T50" s="492"/>
      <c r="U50" s="492"/>
      <c r="V50" s="492"/>
      <c r="W50" s="492"/>
      <c r="X50" s="492"/>
      <c r="Y50" s="492"/>
      <c r="Z50" s="492"/>
      <c r="AA50" s="492"/>
      <c r="AB50" s="492"/>
      <c r="AC50" s="492"/>
      <c r="AD50" s="492"/>
      <c r="AE50" s="495"/>
      <c r="AF50" s="495"/>
      <c r="AG50" s="496"/>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492"/>
      <c r="BR50" s="492"/>
      <c r="BS50" s="492"/>
      <c r="BT50" s="492"/>
      <c r="BU50" s="492"/>
      <c r="BV50" s="492"/>
      <c r="BW50" s="492"/>
      <c r="BX50" s="492"/>
      <c r="BY50" s="492"/>
      <c r="BZ50" s="492"/>
      <c r="CA50" s="492"/>
      <c r="CB50" s="492"/>
      <c r="CC50" s="492"/>
      <c r="CD50" s="492"/>
      <c r="CE50" s="492"/>
      <c r="CF50" s="492"/>
      <c r="CG50" s="492"/>
      <c r="CH50" s="492"/>
      <c r="CI50" s="492"/>
      <c r="CJ50" s="492"/>
      <c r="CK50" s="492"/>
      <c r="CL50" s="492"/>
      <c r="CM50" s="492"/>
      <c r="CN50" s="492"/>
      <c r="CO50" s="492"/>
      <c r="CP50" s="495"/>
    </row>
    <row r="51" spans="1:94">
      <c r="A51" s="433" t="s">
        <v>554</v>
      </c>
      <c r="B51" s="434" t="s">
        <v>322</v>
      </c>
      <c r="C51" s="476">
        <f>[106]Sheet1!$C$373/1000000</f>
        <v>38593.247237861709</v>
      </c>
      <c r="D51" s="476">
        <f>[107]Sheet1!$C$348/1000000</f>
        <v>38677.340497140096</v>
      </c>
      <c r="E51" s="476">
        <f>[108]Sheet1!$C$348/1000000</f>
        <v>42843.641158210005</v>
      </c>
      <c r="F51" s="400">
        <f>[109]Sheet1!$C$348/1000000</f>
        <v>65483.236434659811</v>
      </c>
      <c r="G51" s="476">
        <f>[110]Sheet1!$C$348/1000000</f>
        <v>64657.918560286758</v>
      </c>
      <c r="H51" s="477">
        <f>[111]Sheet1!$C$348/1000000</f>
        <v>64909.87494291264</v>
      </c>
      <c r="I51" s="476">
        <f>[112]Sheet1!$C$348/1000000</f>
        <v>66614.03196911265</v>
      </c>
      <c r="J51" s="476">
        <f>[113]Sheet1!$C$348/1000000</f>
        <v>61194.403880325684</v>
      </c>
      <c r="K51" s="476">
        <f>[114]Sheet1!$C$348/1000000</f>
        <v>61153.779540520707</v>
      </c>
      <c r="L51" s="476">
        <f>[115]Sheet1!$C$348/1000000</f>
        <v>63267.283073639701</v>
      </c>
      <c r="M51" s="400">
        <f>[116]Sheet1!$C$348/1000000</f>
        <v>68506.473766113093</v>
      </c>
      <c r="N51" s="476">
        <f>[117]Sheet1!$C$348/1000000</f>
        <v>81825.475170299338</v>
      </c>
      <c r="O51" s="476">
        <f>[118]Sheet1!$C$348/1000000</f>
        <v>73897.512442902123</v>
      </c>
      <c r="P51" s="476">
        <f>[119]Sheet1!$C$348/1000000</f>
        <v>80482.069269630156</v>
      </c>
      <c r="Q51" s="476">
        <f>[120]Sheet1!$C$348/1000000</f>
        <v>84050.252673433017</v>
      </c>
      <c r="R51" s="476">
        <f>[121]Sheet1!$C$348/1000000</f>
        <v>83508.332175396252</v>
      </c>
      <c r="S51" s="476">
        <f>[122]Sheet1!$C$348/1000000</f>
        <v>86283.661007009461</v>
      </c>
      <c r="T51" s="476">
        <f>[123]Sheet1!$C$348/1000000</f>
        <v>84335.767344295877</v>
      </c>
      <c r="U51" s="476">
        <f>[124]Sheet1!$C$348/1000000</f>
        <v>87801.587539537431</v>
      </c>
      <c r="V51" s="476">
        <f>[125]Sheet1!$C$348/1000000</f>
        <v>84138.146538588568</v>
      </c>
      <c r="W51" s="476">
        <f>[126]Sheet1!$C$348/1000000</f>
        <v>83924.254523185446</v>
      </c>
      <c r="X51" s="476">
        <f>[127]Sheet1!$C$348/1000000</f>
        <v>89536.739291579681</v>
      </c>
      <c r="Y51" s="476">
        <f>[128]Sheet1!$C$348/1000000</f>
        <v>88898.621396624178</v>
      </c>
      <c r="Z51" s="476">
        <f>[129]Sheet1!$C$348/1000000</f>
        <v>97270.407194049927</v>
      </c>
      <c r="AA51" s="476">
        <f>[130]Sheet1!$C$348/1000000</f>
        <v>105709.30663084517</v>
      </c>
      <c r="AB51" s="476">
        <f>[131]Sheet1!$C$348/1000000</f>
        <v>92965.195511556536</v>
      </c>
      <c r="AC51" s="476">
        <f>[132]Sheet1!$C$348/1000000</f>
        <v>99661.822357810452</v>
      </c>
      <c r="AD51" s="476">
        <f>[133]Sheet1!$C$348/1000000</f>
        <v>103050.03455237173</v>
      </c>
      <c r="AE51" s="435">
        <f>[134]Sheet1!$C$348/1000000</f>
        <v>94890.696139107196</v>
      </c>
      <c r="AF51" s="435">
        <f>[171]Sheet1!$C$348/1000000</f>
        <v>98491.443921532758</v>
      </c>
      <c r="AG51" s="491">
        <f>[172]Sheet1!$C$348/1000000</f>
        <v>100097.47735002411</v>
      </c>
      <c r="AH51" s="476">
        <f>[173]Sheet1!$C$348/1000000</f>
        <v>96837.04364484665</v>
      </c>
      <c r="AI51" s="476">
        <f>[174]Sheet1!$C$348/1000000</f>
        <v>98964.390651508802</v>
      </c>
      <c r="AJ51" s="476">
        <f>[175]Sheet1!$C$348/1000000</f>
        <v>117346.8929578658</v>
      </c>
      <c r="AK51" s="476">
        <f>[176]Sheet1!$C$348/1000000</f>
        <v>111275.61328789066</v>
      </c>
      <c r="AL51" s="476">
        <f>[177]Sheet1!$C$348/1000000</f>
        <v>107262.44080956784</v>
      </c>
      <c r="AM51" s="476">
        <f>[178]Sheet1!$C$348/1000000</f>
        <v>113670.27935133062</v>
      </c>
      <c r="AN51" s="476">
        <f>[179]Sheet1!$C$348/1000000</f>
        <v>113755.21719033859</v>
      </c>
      <c r="AO51" s="476">
        <f>[180]Sheet1!$C$348/1000000</f>
        <v>117193.49835107665</v>
      </c>
      <c r="AP51" s="476">
        <f>[135]Sheet1!$C$348/1000000</f>
        <v>114680.19077415405</v>
      </c>
      <c r="AQ51" s="476">
        <f>[136]Sheet1!$C$348/1000000</f>
        <v>123147.90621819874</v>
      </c>
      <c r="AR51" s="476">
        <f>[137]Sheet1!$C$348/1000000</f>
        <v>119425.2267136252</v>
      </c>
      <c r="AS51" s="476">
        <f>[138]Sheet1!$C$348/1000000</f>
        <v>118576.46671077813</v>
      </c>
      <c r="AT51" s="476">
        <f>[139]Sheet1!$C$348/1000000</f>
        <v>116573.48517141373</v>
      </c>
      <c r="AU51" s="476">
        <f>[140]Sheet1!$C$348/1000000</f>
        <v>120426.57360885096</v>
      </c>
      <c r="AV51" s="476">
        <f>[181]Sheet1!$C$348/1000000</f>
        <v>116359.87033590101</v>
      </c>
      <c r="AW51" s="476">
        <f>[182]Sheet1!$C$348/1000000</f>
        <v>105825.28699763148</v>
      </c>
      <c r="AX51" s="476">
        <f>[183]Sheet1!$C$348/1000000</f>
        <v>98288.130353572473</v>
      </c>
      <c r="AY51" s="476">
        <f>[184]Sheet1!$C$348/1000000</f>
        <v>104969.86663035757</v>
      </c>
      <c r="AZ51" s="476">
        <f>[185]Sheet1!$C$348/1000000</f>
        <v>103948.52686116811</v>
      </c>
      <c r="BA51" s="476">
        <f>[141]Sheet1!$C$348/1000000</f>
        <v>106507.97710862385</v>
      </c>
      <c r="BB51" s="476">
        <f>[142]Sheet1!$C$348/1000000</f>
        <v>105168.80115035707</v>
      </c>
      <c r="BC51" s="476">
        <f>[143]Sheet1!$C$348/1000000</f>
        <v>103289.30802621595</v>
      </c>
      <c r="BD51" s="476">
        <f>[144]Sheet1!$C$348/1000000</f>
        <v>101209.88974647276</v>
      </c>
      <c r="BE51" s="476">
        <f>[145]Sheet1!$C$348/1000000</f>
        <v>101802.88519657716</v>
      </c>
      <c r="BF51" s="476">
        <f>[146]Sheet1!$C$348/1000000</f>
        <v>102215.43641454133</v>
      </c>
      <c r="BG51" s="476">
        <f>[147]Sheet1!$C$348/1000000</f>
        <v>103186.64767693872</v>
      </c>
      <c r="BH51" s="476">
        <f>[148]Sheet1!$C$348/1000000</f>
        <v>98237.147598277501</v>
      </c>
      <c r="BI51" s="476">
        <f>[149]Sheet1!$C$348/1000000</f>
        <v>110456.56631133109</v>
      </c>
      <c r="BJ51" s="476">
        <f>[150]Sheet1!$C$348/1000000</f>
        <v>117905.54553182973</v>
      </c>
      <c r="BK51" s="476">
        <f>[151]Sheet1!$C$348/1000000</f>
        <v>116040.77335440496</v>
      </c>
      <c r="BL51" s="476">
        <f>[152]Sheet1!$C$348/1000000</f>
        <v>111607.27794559913</v>
      </c>
      <c r="BM51" s="476">
        <f>[153]Sheet1!$C$348/1000000</f>
        <v>120807.88255158193</v>
      </c>
      <c r="BN51" s="476">
        <f>[154]Sheet1!$C$348/1000000</f>
        <v>118421.7534043886</v>
      </c>
      <c r="BO51" s="476">
        <f>[155]Sheet1!$C$348/1000000</f>
        <v>113453.92012670453</v>
      </c>
      <c r="BP51" s="476">
        <f>[186]Sheet1!$C$348/1000000</f>
        <v>111410.28450875383</v>
      </c>
      <c r="BQ51" s="476">
        <f>[187]Sheet1!$C$348/1000000</f>
        <v>108772.31658004419</v>
      </c>
      <c r="BR51" s="476">
        <f>[188]Sheet1!$C$348/1000000</f>
        <v>100975.44984973417</v>
      </c>
      <c r="BS51" s="476">
        <f>[189]Sheet1!$C$348/1000000</f>
        <v>103454.89570334017</v>
      </c>
      <c r="BT51" s="476">
        <f>[190]Sheet1!$C$348/1000000</f>
        <v>99451.910636502347</v>
      </c>
      <c r="BU51" s="476">
        <f>[191]Sheet1!$C$348/1000000</f>
        <v>112738.19159063847</v>
      </c>
      <c r="BV51" s="476">
        <f>[192]Sheet1!$C$348/1000000</f>
        <v>92730.008417822915</v>
      </c>
      <c r="BW51" s="476">
        <f>[193]Sheet1!$C$348/1000000</f>
        <v>101962.05765910193</v>
      </c>
      <c r="BX51" s="476">
        <f>[194]Sheet1!$C$348/1000000</f>
        <v>110765.08047791531</v>
      </c>
      <c r="BY51" s="476">
        <f>[195]Sheet1!$C$348/1000000</f>
        <v>111531.95376658885</v>
      </c>
      <c r="BZ51" s="476">
        <f>[196]Sheet1!$C$348/1000000</f>
        <v>124500.70438389295</v>
      </c>
      <c r="CA51" s="476">
        <f>[197]Sheet1!$C$348/1000000</f>
        <v>128817.85302633214</v>
      </c>
      <c r="CB51" s="476">
        <f>[156]Sheet1!$C$348/1000000</f>
        <v>119372.22481696228</v>
      </c>
      <c r="CC51" s="476">
        <f>[157]Sheet1!$C$348/1000000</f>
        <v>130596.76080115068</v>
      </c>
      <c r="CD51" s="476">
        <f>[158]Sheet1!$C$348/1000000</f>
        <v>133632.61062397828</v>
      </c>
      <c r="CE51" s="476">
        <f>[159]Sheet1!$C$348/1000000</f>
        <v>130688.20569288245</v>
      </c>
      <c r="CF51" s="476">
        <f>[160]Sheet1!$C$348/1000000</f>
        <v>122836.55612158577</v>
      </c>
      <c r="CG51" s="476">
        <f>[161]Sheet1!$C$348/1000000</f>
        <v>124753.3283890309</v>
      </c>
      <c r="CH51" s="476">
        <f>[162]Sheet1!$C$348/1000000</f>
        <v>118691.79673997832</v>
      </c>
      <c r="CI51" s="476">
        <f>[163]Sheet1!$C$348/1000000</f>
        <v>127483.06080769184</v>
      </c>
      <c r="CJ51" s="476">
        <f>[164]Sheet1!$C$348/1000000</f>
        <v>128990.12625627106</v>
      </c>
      <c r="CK51" s="476">
        <f>[165]Sheet1!$C$348/1000000</f>
        <v>123734.53352169989</v>
      </c>
      <c r="CL51" s="476">
        <f>[166]Sheet1!$C$348/1000000</f>
        <v>127917.19779857068</v>
      </c>
      <c r="CM51" s="476">
        <f>[167]Sheet1!$C$348/1000000</f>
        <v>124318.47468098615</v>
      </c>
      <c r="CN51" s="476">
        <f>[168]Sheet1!$C$348/1000000</f>
        <v>129666.95852809249</v>
      </c>
      <c r="CO51" s="476">
        <f>[169]Sheet1!$C$348/1000000</f>
        <v>110358.23086029646</v>
      </c>
      <c r="CP51" s="435">
        <f>[170]Sheet1!$C$348/1000000</f>
        <v>101027.91452672864</v>
      </c>
    </row>
    <row r="52" spans="1:94">
      <c r="A52" s="436"/>
      <c r="B52" s="452"/>
      <c r="C52" s="492"/>
      <c r="D52" s="492"/>
      <c r="E52" s="492"/>
      <c r="F52" s="493"/>
      <c r="G52" s="492"/>
      <c r="H52" s="494"/>
      <c r="I52" s="492"/>
      <c r="J52" s="492"/>
      <c r="K52" s="492"/>
      <c r="L52" s="492"/>
      <c r="M52" s="493"/>
      <c r="N52" s="492"/>
      <c r="O52" s="492"/>
      <c r="P52" s="492"/>
      <c r="Q52" s="492"/>
      <c r="R52" s="492"/>
      <c r="S52" s="492"/>
      <c r="T52" s="492"/>
      <c r="U52" s="492"/>
      <c r="V52" s="492"/>
      <c r="W52" s="492"/>
      <c r="X52" s="492"/>
      <c r="Y52" s="492"/>
      <c r="Z52" s="492"/>
      <c r="AA52" s="492"/>
      <c r="AB52" s="492"/>
      <c r="AC52" s="492"/>
      <c r="AD52" s="492"/>
      <c r="AE52" s="495"/>
      <c r="AF52" s="495"/>
      <c r="AG52" s="496"/>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c r="BZ52" s="492"/>
      <c r="CA52" s="492"/>
      <c r="CB52" s="492"/>
      <c r="CC52" s="492"/>
      <c r="CD52" s="492"/>
      <c r="CE52" s="492"/>
      <c r="CF52" s="492"/>
      <c r="CG52" s="492"/>
      <c r="CH52" s="492"/>
      <c r="CI52" s="492"/>
      <c r="CJ52" s="492"/>
      <c r="CK52" s="492"/>
      <c r="CL52" s="492"/>
      <c r="CM52" s="492"/>
      <c r="CN52" s="492"/>
      <c r="CO52" s="492"/>
      <c r="CP52" s="495"/>
    </row>
    <row r="53" spans="1:94">
      <c r="A53" s="433" t="s">
        <v>555</v>
      </c>
      <c r="B53" s="434" t="s">
        <v>526</v>
      </c>
      <c r="C53" s="476">
        <f>[106]Sheet1!$C$390/1000000</f>
        <v>0</v>
      </c>
      <c r="D53" s="476">
        <f>[107]Sheet1!$C$363/1000000</f>
        <v>0</v>
      </c>
      <c r="E53" s="476">
        <f>[108]Sheet1!$C$363/1000000</f>
        <v>0</v>
      </c>
      <c r="F53" s="400">
        <f>[109]Sheet1!$C$363/1000000</f>
        <v>0</v>
      </c>
      <c r="G53" s="476">
        <f>[110]Sheet1!$C$363/1000000</f>
        <v>0</v>
      </c>
      <c r="H53" s="477">
        <f>[111]Sheet1!$C$363/1000000</f>
        <v>0</v>
      </c>
      <c r="I53" s="476">
        <f>[112]Sheet1!$C$363/1000000</f>
        <v>0</v>
      </c>
      <c r="J53" s="476">
        <f>[113]Sheet1!$C$363/1000000</f>
        <v>0</v>
      </c>
      <c r="K53" s="476">
        <f>[114]Sheet1!$C$363/1000000</f>
        <v>0</v>
      </c>
      <c r="L53" s="476">
        <f>[115]Sheet1!$C$363/1000000</f>
        <v>0</v>
      </c>
      <c r="M53" s="400">
        <f>[116]Sheet1!$C$363/1000000</f>
        <v>0</v>
      </c>
      <c r="N53" s="476">
        <f>[117]Sheet1!$C$363/1000000</f>
        <v>0</v>
      </c>
      <c r="O53" s="476">
        <f>[118]Sheet1!$C$363/1000000</f>
        <v>0</v>
      </c>
      <c r="P53" s="476">
        <f>[119]Sheet1!$C$363/1000000</f>
        <v>0</v>
      </c>
      <c r="Q53" s="476">
        <f>[120]Sheet1!$C$363/1000000</f>
        <v>0</v>
      </c>
      <c r="R53" s="476">
        <f>[121]Sheet1!$C$363/1000000</f>
        <v>0</v>
      </c>
      <c r="S53" s="476">
        <f>[122]Sheet1!$C$363/1000000</f>
        <v>0</v>
      </c>
      <c r="T53" s="476">
        <f>[123]Sheet1!$C$363/1000000</f>
        <v>0</v>
      </c>
      <c r="U53" s="476">
        <f>[124]Sheet1!$C$363/1000000</f>
        <v>0</v>
      </c>
      <c r="V53" s="476">
        <f>[125]Sheet1!$C$363/1000000</f>
        <v>0</v>
      </c>
      <c r="W53" s="476">
        <f>[126]Sheet1!$C$363/1000000</f>
        <v>0</v>
      </c>
      <c r="X53" s="476">
        <f>[127]Sheet1!$C$363/1000000</f>
        <v>0</v>
      </c>
      <c r="Y53" s="476">
        <f>[128]Sheet1!$C$363/1000000</f>
        <v>0</v>
      </c>
      <c r="Z53" s="476">
        <f>[129]Sheet1!$C$363/1000000</f>
        <v>0</v>
      </c>
      <c r="AA53" s="476">
        <f>[130]Sheet1!$C$363/1000000</f>
        <v>0</v>
      </c>
      <c r="AB53" s="476">
        <f>[131]Sheet1!$C$363/1000000</f>
        <v>0</v>
      </c>
      <c r="AC53" s="476">
        <f>[132]Sheet1!$C$363/1000000</f>
        <v>0</v>
      </c>
      <c r="AD53" s="476">
        <f>[133]Sheet1!$C$363/1000000</f>
        <v>0</v>
      </c>
      <c r="AE53" s="435">
        <f>[134]Sheet1!$C$363/1000000</f>
        <v>0</v>
      </c>
      <c r="AF53" s="435">
        <f>[171]Sheet1!$C$363/1000000</f>
        <v>0</v>
      </c>
      <c r="AG53" s="491">
        <f>[172]Sheet1!$C$363/1000000</f>
        <v>0</v>
      </c>
      <c r="AH53" s="476">
        <f>[173]Sheet1!$C$363/1000000</f>
        <v>0</v>
      </c>
      <c r="AI53" s="476">
        <f>[174]Sheet1!$C$363/1000000</f>
        <v>0</v>
      </c>
      <c r="AJ53" s="476">
        <f>[175]Sheet1!$C$363/1000000</f>
        <v>0</v>
      </c>
      <c r="AK53" s="476">
        <f>[176]Sheet1!$C$363/1000000</f>
        <v>0</v>
      </c>
      <c r="AL53" s="476">
        <f>[177]Sheet1!$C$363/1000000</f>
        <v>0</v>
      </c>
      <c r="AM53" s="476">
        <f>[178]Sheet1!$C$363/1000000</f>
        <v>0</v>
      </c>
      <c r="AN53" s="476">
        <f>[179]Sheet1!$C$363/1000000</f>
        <v>0</v>
      </c>
      <c r="AO53" s="476">
        <f>[180]Sheet1!$C$363/1000000</f>
        <v>0</v>
      </c>
      <c r="AP53" s="476">
        <f>[135]Sheet1!$C$363/1000000</f>
        <v>0</v>
      </c>
      <c r="AQ53" s="476">
        <f>[136]Sheet1!$C$363/1000000</f>
        <v>0</v>
      </c>
      <c r="AR53" s="476">
        <f>[137]Sheet1!$C$363/1000000</f>
        <v>0</v>
      </c>
      <c r="AS53" s="476">
        <f>[138]Sheet1!$C$363/1000000</f>
        <v>0</v>
      </c>
      <c r="AT53" s="476">
        <f>[139]Sheet1!$C$363/1000000</f>
        <v>0</v>
      </c>
      <c r="AU53" s="476">
        <f>[140]Sheet1!$C$363/1000000</f>
        <v>0</v>
      </c>
      <c r="AV53" s="476">
        <f>[181]Sheet1!$C$363/1000000</f>
        <v>0</v>
      </c>
      <c r="AW53" s="476">
        <f>[182]Sheet1!$C$363/1000000</f>
        <v>0</v>
      </c>
      <c r="AX53" s="476">
        <f>[183]Sheet1!$C$363/1000000</f>
        <v>0</v>
      </c>
      <c r="AY53" s="476">
        <f>[184]Sheet1!$C$363/1000000</f>
        <v>0</v>
      </c>
      <c r="AZ53" s="476">
        <f>[185]Sheet1!$C$363/1000000</f>
        <v>0</v>
      </c>
      <c r="BA53" s="476">
        <f>[141]Sheet1!$C$363/1000000</f>
        <v>0</v>
      </c>
      <c r="BB53" s="476">
        <f>[142]Sheet1!$C$363/1000000</f>
        <v>0</v>
      </c>
      <c r="BC53" s="476">
        <f>[143]Sheet1!$C$363/1000000</f>
        <v>0</v>
      </c>
      <c r="BD53" s="476">
        <f>[144]Sheet1!$C$363/1000000</f>
        <v>0</v>
      </c>
      <c r="BE53" s="476">
        <f>[145]Sheet1!$C$363/1000000</f>
        <v>0</v>
      </c>
      <c r="BF53" s="476">
        <f>[146]Sheet1!$C$363/1000000</f>
        <v>0</v>
      </c>
      <c r="BG53" s="476">
        <f>[147]Sheet1!$C$363/1000000</f>
        <v>0</v>
      </c>
      <c r="BH53" s="476">
        <f>[148]Sheet1!$C$363/1000000</f>
        <v>0</v>
      </c>
      <c r="BI53" s="476">
        <f>[149]Sheet1!$C$363/1000000</f>
        <v>0</v>
      </c>
      <c r="BJ53" s="476">
        <f>[150]Sheet1!$C$363/1000000</f>
        <v>0</v>
      </c>
      <c r="BK53" s="476">
        <f>[151]Sheet1!$C$363/1000000</f>
        <v>0</v>
      </c>
      <c r="BL53" s="476">
        <f>[152]Sheet1!$C$363/1000000</f>
        <v>0</v>
      </c>
      <c r="BM53" s="476">
        <f>[153]Sheet1!$C$363/1000000</f>
        <v>0</v>
      </c>
      <c r="BN53" s="476">
        <f>[154]Sheet1!$C$363/1000000</f>
        <v>0</v>
      </c>
      <c r="BO53" s="476">
        <f>[155]Sheet1!$C$363/1000000</f>
        <v>0</v>
      </c>
      <c r="BP53" s="476">
        <f>[186]Sheet1!$C$363/1000000</f>
        <v>0</v>
      </c>
      <c r="BQ53" s="476">
        <f>[187]Sheet1!$C$363/1000000</f>
        <v>0</v>
      </c>
      <c r="BR53" s="476">
        <f>[188]Sheet1!$C$363/1000000</f>
        <v>0</v>
      </c>
      <c r="BS53" s="476">
        <f>[189]Sheet1!$C$363/1000000</f>
        <v>0</v>
      </c>
      <c r="BT53" s="476">
        <f>[190]Sheet1!$C$363/1000000</f>
        <v>0</v>
      </c>
      <c r="BU53" s="476">
        <f>[191]Sheet1!$C$363/1000000</f>
        <v>0</v>
      </c>
      <c r="BV53" s="476">
        <f>[192]Sheet1!$C$363/1000000</f>
        <v>0</v>
      </c>
      <c r="BW53" s="476">
        <f>[193]Sheet1!$C$363/1000000</f>
        <v>0</v>
      </c>
      <c r="BX53" s="476">
        <f>[194]Sheet1!$C$363/1000000</f>
        <v>0</v>
      </c>
      <c r="BY53" s="476">
        <f>[195]Sheet1!$C$363/1000000</f>
        <v>0</v>
      </c>
      <c r="BZ53" s="476">
        <f>[196]Sheet1!$C$363/1000000</f>
        <v>0</v>
      </c>
      <c r="CA53" s="476">
        <f>[197]Sheet1!$C$363/1000000</f>
        <v>0</v>
      </c>
      <c r="CB53" s="476">
        <f>[156]Sheet1!$C$363/1000000</f>
        <v>0</v>
      </c>
      <c r="CC53" s="476">
        <f>[157]Sheet1!$C$363/1000000</f>
        <v>0</v>
      </c>
      <c r="CD53" s="476">
        <f>[158]Sheet1!$C$363/1000000</f>
        <v>0</v>
      </c>
      <c r="CE53" s="476">
        <f>[159]Sheet1!$C$363/1000000</f>
        <v>0</v>
      </c>
      <c r="CF53" s="476">
        <f>[160]Sheet1!$C$363/1000000</f>
        <v>0</v>
      </c>
      <c r="CG53" s="476">
        <f>[161]Sheet1!$C$363/1000000</f>
        <v>0</v>
      </c>
      <c r="CH53" s="476">
        <f>[162]Sheet1!$C$363/1000000</f>
        <v>0</v>
      </c>
      <c r="CI53" s="476">
        <f>[163]Sheet1!$C$363/1000000</f>
        <v>0</v>
      </c>
      <c r="CJ53" s="476">
        <f>[164]Sheet1!$C$363/1000000</f>
        <v>0</v>
      </c>
      <c r="CK53" s="476">
        <f>[165]Sheet1!$C$363/1000000</f>
        <v>0</v>
      </c>
      <c r="CL53" s="476">
        <f>[166]Sheet1!$C$363/1000000</f>
        <v>0</v>
      </c>
      <c r="CM53" s="476">
        <f>[167]Sheet1!$C$363/1000000</f>
        <v>0</v>
      </c>
      <c r="CN53" s="476">
        <f>[168]Sheet1!$C$363/1000000</f>
        <v>0</v>
      </c>
      <c r="CO53" s="476">
        <f>[169]Sheet1!$C$363/1000000</f>
        <v>0</v>
      </c>
      <c r="CP53" s="435">
        <f>[170]Sheet1!$C$363/1000000</f>
        <v>0</v>
      </c>
    </row>
    <row r="54" spans="1:94">
      <c r="A54" s="436"/>
      <c r="B54" s="437"/>
      <c r="C54" s="492"/>
      <c r="D54" s="492"/>
      <c r="E54" s="492"/>
      <c r="F54" s="493"/>
      <c r="G54" s="492"/>
      <c r="H54" s="494"/>
      <c r="I54" s="492"/>
      <c r="J54" s="492"/>
      <c r="K54" s="492"/>
      <c r="L54" s="492"/>
      <c r="M54" s="493"/>
      <c r="N54" s="492"/>
      <c r="O54" s="492"/>
      <c r="P54" s="492"/>
      <c r="Q54" s="492"/>
      <c r="R54" s="492"/>
      <c r="S54" s="492"/>
      <c r="T54" s="492"/>
      <c r="U54" s="492"/>
      <c r="V54" s="492"/>
      <c r="W54" s="492"/>
      <c r="X54" s="492"/>
      <c r="Y54" s="492"/>
      <c r="Z54" s="492"/>
      <c r="AA54" s="492"/>
      <c r="AB54" s="492"/>
      <c r="AC54" s="492"/>
      <c r="AD54" s="492"/>
      <c r="AE54" s="495"/>
      <c r="AF54" s="495"/>
      <c r="AG54" s="496"/>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c r="BZ54" s="492"/>
      <c r="CA54" s="492"/>
      <c r="CB54" s="492"/>
      <c r="CC54" s="492"/>
      <c r="CD54" s="492"/>
      <c r="CE54" s="492"/>
      <c r="CF54" s="492"/>
      <c r="CG54" s="492"/>
      <c r="CH54" s="492"/>
      <c r="CI54" s="492"/>
      <c r="CJ54" s="492"/>
      <c r="CK54" s="492"/>
      <c r="CL54" s="492"/>
      <c r="CM54" s="492"/>
      <c r="CN54" s="492"/>
      <c r="CO54" s="492"/>
      <c r="CP54" s="495"/>
    </row>
    <row r="55" spans="1:94">
      <c r="A55" s="433" t="s">
        <v>556</v>
      </c>
      <c r="B55" s="434" t="s">
        <v>528</v>
      </c>
      <c r="C55" s="476">
        <f>[106]Sheet1!$C$409/1000000</f>
        <v>29432.767018766855</v>
      </c>
      <c r="D55" s="476">
        <f>[107]Sheet1!$C$382/1000000</f>
        <v>34260.080803627447</v>
      </c>
      <c r="E55" s="476">
        <f>[108]Sheet1!$C$382/1000000</f>
        <v>33736.445753137697</v>
      </c>
      <c r="F55" s="400">
        <f>[109]Sheet1!$C$382/1000000</f>
        <v>30869.665977368513</v>
      </c>
      <c r="G55" s="476">
        <f>[110]Sheet1!$C$382/1000000</f>
        <v>33148.508443650164</v>
      </c>
      <c r="H55" s="477">
        <f>[111]Sheet1!$C$382/1000000</f>
        <v>32103.114393552522</v>
      </c>
      <c r="I55" s="476">
        <f>[112]Sheet1!$C$382/1000000</f>
        <v>30169.13539053157</v>
      </c>
      <c r="J55" s="476">
        <f>[113]Sheet1!$C$382/1000000</f>
        <v>39529.378811924573</v>
      </c>
      <c r="K55" s="476">
        <f>[114]Sheet1!$C$382/1000000</f>
        <v>40813.964159177995</v>
      </c>
      <c r="L55" s="476">
        <f>[115]Sheet1!$C$382/1000000</f>
        <v>38298.472398335762</v>
      </c>
      <c r="M55" s="400">
        <f>[116]Sheet1!$C$382/1000000</f>
        <v>42561.914226997869</v>
      </c>
      <c r="N55" s="476">
        <f>[117]Sheet1!$C$382/1000000</f>
        <v>39547.513947527019</v>
      </c>
      <c r="O55" s="476">
        <f>[118]Sheet1!$C$382/1000000</f>
        <v>34322.485455183065</v>
      </c>
      <c r="P55" s="476">
        <f>[119]Sheet1!$C$382/1000000</f>
        <v>23458.447846964125</v>
      </c>
      <c r="Q55" s="476">
        <f>[120]Sheet1!$C$382/1000000</f>
        <v>22783.893341378978</v>
      </c>
      <c r="R55" s="476">
        <f>[121]Sheet1!$C$382/1000000</f>
        <v>28642.687883647355</v>
      </c>
      <c r="S55" s="476">
        <f>[122]Sheet1!$C$382/1000000</f>
        <v>25554.180948222551</v>
      </c>
      <c r="T55" s="476">
        <f>[123]Sheet1!$C$382/1000000</f>
        <v>28986.653275119956</v>
      </c>
      <c r="U55" s="476">
        <f>[124]Sheet1!$C$382/1000000</f>
        <v>23144.521802052503</v>
      </c>
      <c r="V55" s="476">
        <f>[125]Sheet1!$C$382/1000000</f>
        <v>24778.631760438147</v>
      </c>
      <c r="W55" s="476">
        <f>[126]Sheet1!$C$382/1000000</f>
        <v>25578.83426078095</v>
      </c>
      <c r="X55" s="476">
        <f>[127]Sheet1!$C$382/1000000</f>
        <v>28469.195348005636</v>
      </c>
      <c r="Y55" s="476">
        <f>[128]Sheet1!$C$382/1000000</f>
        <v>35207.911461794189</v>
      </c>
      <c r="Z55" s="476">
        <f>[129]Sheet1!$C$382/1000000</f>
        <v>29022.884805908736</v>
      </c>
      <c r="AA55" s="476">
        <f>[130]Sheet1!$C$382/1000000</f>
        <v>39967.940543216449</v>
      </c>
      <c r="AB55" s="476">
        <f>[131]Sheet1!$C$382/1000000</f>
        <v>38952.669907664116</v>
      </c>
      <c r="AC55" s="476">
        <f>[132]Sheet1!$C$382/1000000</f>
        <v>35611.417045563867</v>
      </c>
      <c r="AD55" s="476">
        <f>[133]Sheet1!$C$382/1000000</f>
        <v>33834.882104414784</v>
      </c>
      <c r="AE55" s="435">
        <f>[134]Sheet1!$C$382/1000000</f>
        <v>39070.798615132757</v>
      </c>
      <c r="AF55" s="435">
        <f>[171]Sheet1!$C$382/1000000</f>
        <v>34309.875560910383</v>
      </c>
      <c r="AG55" s="491">
        <f>[172]Sheet1!$C$382/1000000</f>
        <v>30761.533252157133</v>
      </c>
      <c r="AH55" s="476">
        <f>[173]Sheet1!$C$382/1000000</f>
        <v>30209.616689337126</v>
      </c>
      <c r="AI55" s="476">
        <f>[174]Sheet1!$C$382/1000000</f>
        <v>44387.928754471606</v>
      </c>
      <c r="AJ55" s="476">
        <f>[175]Sheet1!$C$382/1000000</f>
        <v>40145.866677087492</v>
      </c>
      <c r="AK55" s="476">
        <f>[176]Sheet1!$C$382/1000000</f>
        <v>37941.127663167666</v>
      </c>
      <c r="AL55" s="476">
        <f>[177]Sheet1!$C$382/1000000</f>
        <v>40551.299268888004</v>
      </c>
      <c r="AM55" s="476">
        <f>[178]Sheet1!$C$382/1000000</f>
        <v>43238.137322506242</v>
      </c>
      <c r="AN55" s="476">
        <f>[179]Sheet1!$C$382/1000000</f>
        <v>42618.980175564284</v>
      </c>
      <c r="AO55" s="476">
        <f>[180]Sheet1!$C$382/1000000</f>
        <v>44457.242976324567</v>
      </c>
      <c r="AP55" s="476">
        <f>[135]Sheet1!$C$382/1000000</f>
        <v>39691.1360705482</v>
      </c>
      <c r="AQ55" s="476">
        <f>[136]Sheet1!$C$382/1000000</f>
        <v>59777.699357459212</v>
      </c>
      <c r="AR55" s="476">
        <f>[137]Sheet1!$C$382/1000000</f>
        <v>44315.485858984328</v>
      </c>
      <c r="AS55" s="476">
        <f>[138]Sheet1!$C$382/1000000</f>
        <v>50022.483865121387</v>
      </c>
      <c r="AT55" s="476">
        <f>[139]Sheet1!$C$382/1000000</f>
        <v>45071.427850664673</v>
      </c>
      <c r="AU55" s="476">
        <f>[140]Sheet1!$C$382/1000000</f>
        <v>44825.023681978993</v>
      </c>
      <c r="AV55" s="476">
        <f>[181]Sheet1!$C$382/1000000</f>
        <v>45723.11009277204</v>
      </c>
      <c r="AW55" s="476">
        <f>[182]Sheet1!$C$382/1000000</f>
        <v>56623.470659186809</v>
      </c>
      <c r="AX55" s="476">
        <f>[183]Sheet1!$C$382/1000000</f>
        <v>58954.183824958382</v>
      </c>
      <c r="AY55" s="476">
        <f>[184]Sheet1!$C$382/1000000</f>
        <v>71511.057699533572</v>
      </c>
      <c r="AZ55" s="476">
        <f>[185]Sheet1!$C$382/1000000</f>
        <v>90538.775278142028</v>
      </c>
      <c r="BA55" s="476">
        <f>[141]Sheet1!$C$382/1000000</f>
        <v>96306.272537237586</v>
      </c>
      <c r="BB55" s="476">
        <f>[142]Sheet1!$C$382/1000000</f>
        <v>77032.912200377803</v>
      </c>
      <c r="BC55" s="476">
        <f>[143]Sheet1!$C$382/1000000</f>
        <v>81370.840048575323</v>
      </c>
      <c r="BD55" s="476">
        <f>[144]Sheet1!$C$382/1000000</f>
        <v>78336.510964634406</v>
      </c>
      <c r="BE55" s="476">
        <f>[145]Sheet1!$C$382/1000000</f>
        <v>99663.735643111504</v>
      </c>
      <c r="BF55" s="476">
        <f>[146]Sheet1!$C$382/1000000</f>
        <v>111707.05893216262</v>
      </c>
      <c r="BG55" s="476">
        <f>[147]Sheet1!$C$382/1000000</f>
        <v>123272.0779647421</v>
      </c>
      <c r="BH55" s="476">
        <f>[148]Sheet1!$C$382/1000000</f>
        <v>137833.12623258727</v>
      </c>
      <c r="BI55" s="476">
        <f>[149]Sheet1!$C$382/1000000</f>
        <v>143953.15384429533</v>
      </c>
      <c r="BJ55" s="476">
        <f>[150]Sheet1!$C$382/1000000</f>
        <v>178862.29597032876</v>
      </c>
      <c r="BK55" s="476">
        <f>[151]Sheet1!$C$382/1000000</f>
        <v>169154.96589423789</v>
      </c>
      <c r="BL55" s="476">
        <f>[152]Sheet1!$C$382/1000000</f>
        <v>160607.1231365795</v>
      </c>
      <c r="BM55" s="476">
        <f>[153]Sheet1!$C$382/1000000</f>
        <v>164575.23255486466</v>
      </c>
      <c r="BN55" s="476">
        <f>[154]Sheet1!$C$382/1000000</f>
        <v>179484.48929827844</v>
      </c>
      <c r="BO55" s="476">
        <f>[155]Sheet1!$C$382/1000000</f>
        <v>196442.74826099002</v>
      </c>
      <c r="BP55" s="476">
        <f>[186]Sheet1!$C$382/1000000</f>
        <v>164531.17855713627</v>
      </c>
      <c r="BQ55" s="476">
        <f>[187]Sheet1!$C$382/1000000</f>
        <v>204934.24004247849</v>
      </c>
      <c r="BR55" s="476">
        <f>[188]Sheet1!$C$382/1000000</f>
        <v>232314.69118893062</v>
      </c>
      <c r="BS55" s="476">
        <f>[189]Sheet1!$C$382/1000000</f>
        <v>236566.50196854505</v>
      </c>
      <c r="BT55" s="476">
        <f>[190]Sheet1!$C$382/1000000</f>
        <v>228442.52946675199</v>
      </c>
      <c r="BU55" s="476">
        <f>[191]Sheet1!$C$382/1000000</f>
        <v>262787.18552714447</v>
      </c>
      <c r="BV55" s="476">
        <f>[192]Sheet1!$C$382/1000000</f>
        <v>225701.43862436843</v>
      </c>
      <c r="BW55" s="476">
        <f>[193]Sheet1!$C$382/1000000</f>
        <v>242684.51972220954</v>
      </c>
      <c r="BX55" s="476">
        <f>[194]Sheet1!$C$382/1000000</f>
        <v>233419.56582643723</v>
      </c>
      <c r="BY55" s="476">
        <f>[195]Sheet1!$C$382/1000000</f>
        <v>222553.99565980441</v>
      </c>
      <c r="BZ55" s="476">
        <f>[196]Sheet1!$C$382/1000000</f>
        <v>280216.22471588483</v>
      </c>
      <c r="CA55" s="476">
        <f>[197]Sheet1!$C$382/1000000</f>
        <v>258504.49647729652</v>
      </c>
      <c r="CB55" s="476">
        <f>[156]Sheet1!$C$382/1000000</f>
        <v>238443.67931575485</v>
      </c>
      <c r="CC55" s="476">
        <f>[157]Sheet1!$C$382/1000000</f>
        <v>291258.19929144433</v>
      </c>
      <c r="CD55" s="476">
        <f>[158]Sheet1!$C$382/1000000</f>
        <v>331551.52239167277</v>
      </c>
      <c r="CE55" s="476">
        <f>[159]Sheet1!$C$382/1000000</f>
        <v>365150.9206607173</v>
      </c>
      <c r="CF55" s="476">
        <f>[160]Sheet1!$C$382/1000000</f>
        <v>331744.64526177425</v>
      </c>
      <c r="CG55" s="476">
        <f>[161]Sheet1!$C$382/1000000</f>
        <v>306206.7874403724</v>
      </c>
      <c r="CH55" s="476">
        <f>[162]Sheet1!$C$382/1000000</f>
        <v>326287.14330588136</v>
      </c>
      <c r="CI55" s="476">
        <f>[163]Sheet1!$C$382/1000000</f>
        <v>345566.76871943782</v>
      </c>
      <c r="CJ55" s="476">
        <f>[164]Sheet1!$C$382/1000000</f>
        <v>355620.70449500385</v>
      </c>
      <c r="CK55" s="476">
        <f>[165]Sheet1!$C$382/1000000</f>
        <v>344224.6446809328</v>
      </c>
      <c r="CL55" s="476">
        <f>[166]Sheet1!$C$382/1000000</f>
        <v>351250.84561238473</v>
      </c>
      <c r="CM55" s="476">
        <f>[167]Sheet1!$C$382/1000000</f>
        <v>330178.31108843983</v>
      </c>
      <c r="CN55" s="476">
        <f>[168]Sheet1!$C$382/1000000</f>
        <v>287721.32492861018</v>
      </c>
      <c r="CO55" s="476">
        <f>[169]Sheet1!$C$382/1000000</f>
        <v>279939.08250933321</v>
      </c>
      <c r="CP55" s="435">
        <f>[170]Sheet1!$C$382/1000000</f>
        <v>296836.98913296411</v>
      </c>
    </row>
    <row r="56" spans="1:94">
      <c r="A56" s="436"/>
      <c r="B56" s="437"/>
      <c r="C56" s="492"/>
      <c r="D56" s="492"/>
      <c r="E56" s="492"/>
      <c r="F56" s="493"/>
      <c r="G56" s="492"/>
      <c r="H56" s="494"/>
      <c r="I56" s="492"/>
      <c r="J56" s="492"/>
      <c r="K56" s="492"/>
      <c r="L56" s="492"/>
      <c r="M56" s="493"/>
      <c r="N56" s="492"/>
      <c r="O56" s="492"/>
      <c r="P56" s="492"/>
      <c r="Q56" s="492"/>
      <c r="R56" s="492"/>
      <c r="S56" s="492"/>
      <c r="T56" s="492"/>
      <c r="U56" s="492"/>
      <c r="V56" s="492"/>
      <c r="W56" s="492"/>
      <c r="X56" s="492"/>
      <c r="Y56" s="492"/>
      <c r="Z56" s="492"/>
      <c r="AA56" s="492"/>
      <c r="AB56" s="492"/>
      <c r="AC56" s="492"/>
      <c r="AD56" s="492"/>
      <c r="AE56" s="495"/>
      <c r="AF56" s="495"/>
      <c r="AG56" s="496"/>
      <c r="AH56" s="492"/>
      <c r="AI56" s="492"/>
      <c r="AJ56" s="492"/>
      <c r="AK56" s="492"/>
      <c r="AL56" s="492"/>
      <c r="AM56" s="492"/>
      <c r="AN56" s="492"/>
      <c r="AO56" s="492"/>
      <c r="AP56" s="492"/>
      <c r="AQ56" s="492"/>
      <c r="AR56" s="492"/>
      <c r="AS56" s="492"/>
      <c r="AT56" s="492"/>
      <c r="AU56" s="492"/>
      <c r="AV56" s="492"/>
      <c r="AW56" s="492"/>
      <c r="AX56" s="492"/>
      <c r="AY56" s="492"/>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2"/>
      <c r="BX56" s="492"/>
      <c r="BY56" s="492"/>
      <c r="BZ56" s="492"/>
      <c r="CA56" s="492"/>
      <c r="CB56" s="492"/>
      <c r="CC56" s="492"/>
      <c r="CD56" s="492"/>
      <c r="CE56" s="492"/>
      <c r="CF56" s="492"/>
      <c r="CG56" s="492"/>
      <c r="CH56" s="492"/>
      <c r="CI56" s="492"/>
      <c r="CJ56" s="492"/>
      <c r="CK56" s="492"/>
      <c r="CL56" s="492"/>
      <c r="CM56" s="492"/>
      <c r="CN56" s="492"/>
      <c r="CO56" s="492"/>
      <c r="CP56" s="495"/>
    </row>
    <row r="57" spans="1:94">
      <c r="A57" s="433" t="s">
        <v>557</v>
      </c>
      <c r="B57" s="434" t="s">
        <v>558</v>
      </c>
      <c r="C57" s="476">
        <f>[106]Sheet1!$C$424/1000000</f>
        <v>16158.678189872391</v>
      </c>
      <c r="D57" s="476">
        <f>[107]Sheet1!$C$396/1000000</f>
        <v>15399.666391304083</v>
      </c>
      <c r="E57" s="476">
        <f>[108]Sheet1!$C$396/1000000</f>
        <v>22031.435805337154</v>
      </c>
      <c r="F57" s="400">
        <f>[109]Sheet1!$C$396/1000000</f>
        <v>21475.643292177294</v>
      </c>
      <c r="G57" s="476">
        <f>[110]Sheet1!$C$396/1000000</f>
        <v>20607.766992034929</v>
      </c>
      <c r="H57" s="477">
        <f>[111]Sheet1!$C$396/1000000</f>
        <v>19201.823949447185</v>
      </c>
      <c r="I57" s="476">
        <f>[112]Sheet1!$C$396/1000000</f>
        <v>17793.633641827717</v>
      </c>
      <c r="J57" s="476">
        <f>[113]Sheet1!$C$396/1000000</f>
        <v>19316.304427188974</v>
      </c>
      <c r="K57" s="476">
        <f>[114]Sheet1!$C$396/1000000</f>
        <v>20013.990508662733</v>
      </c>
      <c r="L57" s="476">
        <f>[115]Sheet1!$C$396/1000000</f>
        <v>20256.913851944213</v>
      </c>
      <c r="M57" s="400">
        <f>[116]Sheet1!$C$396/1000000</f>
        <v>19950.461601384475</v>
      </c>
      <c r="N57" s="476">
        <f>[117]Sheet1!$C$396/1000000</f>
        <v>20450.920981053732</v>
      </c>
      <c r="O57" s="476">
        <f>[118]Sheet1!$C$396/1000000</f>
        <v>19805.145389509093</v>
      </c>
      <c r="P57" s="476">
        <f>[119]Sheet1!$C$396/1000000</f>
        <v>21329.915646678241</v>
      </c>
      <c r="Q57" s="476">
        <f>[120]Sheet1!$C$396/1000000</f>
        <v>21488.567996316975</v>
      </c>
      <c r="R57" s="476">
        <f>[121]Sheet1!$C$396/1000000</f>
        <v>22923.550957587766</v>
      </c>
      <c r="S57" s="476">
        <f>[122]Sheet1!$C$396/1000000</f>
        <v>21825.190813529563</v>
      </c>
      <c r="T57" s="476">
        <f>[123]Sheet1!$C$396/1000000</f>
        <v>21701.793808469345</v>
      </c>
      <c r="U57" s="476">
        <f>[124]Sheet1!$C$396/1000000</f>
        <v>20872.484472240048</v>
      </c>
      <c r="V57" s="476">
        <f>[125]Sheet1!$C$396/1000000</f>
        <v>20463.48981438058</v>
      </c>
      <c r="W57" s="476">
        <f>[126]Sheet1!$C$396/1000000</f>
        <v>22331.350880751113</v>
      </c>
      <c r="X57" s="476">
        <f>[127]Sheet1!$C$396/1000000</f>
        <v>22285.405925518662</v>
      </c>
      <c r="Y57" s="476">
        <f>[128]Sheet1!$C$396/1000000</f>
        <v>22020.184815563014</v>
      </c>
      <c r="Z57" s="476">
        <f>[129]Sheet1!$C$396/1000000</f>
        <v>25267.34982926305</v>
      </c>
      <c r="AA57" s="476">
        <f>[130]Sheet1!$C$396/1000000</f>
        <v>24608.293075993377</v>
      </c>
      <c r="AB57" s="476">
        <f>[131]Sheet1!$C$396/1000000</f>
        <v>21855.939058989279</v>
      </c>
      <c r="AC57" s="476">
        <f>[132]Sheet1!$C$396/1000000</f>
        <v>24601.761641271045</v>
      </c>
      <c r="AD57" s="476">
        <f>[133]Sheet1!$C$396/1000000</f>
        <v>22669.225900420108</v>
      </c>
      <c r="AE57" s="435">
        <f>[134]Sheet1!$C$396/1000000</f>
        <v>24127.530389359155</v>
      </c>
      <c r="AF57" s="435">
        <f>[171]Sheet1!$C$396/1000000</f>
        <v>23603.189087562012</v>
      </c>
      <c r="AG57" s="491">
        <f>[172]Sheet1!$C$396/1000000</f>
        <v>26253.53710648734</v>
      </c>
      <c r="AH57" s="476">
        <f>[173]Sheet1!$C$396/1000000</f>
        <v>26265.073123399943</v>
      </c>
      <c r="AI57" s="476">
        <f>[174]Sheet1!$C$396/1000000</f>
        <v>25663.53690178521</v>
      </c>
      <c r="AJ57" s="476">
        <f>[175]Sheet1!$C$396/1000000</f>
        <v>25332.953733783797</v>
      </c>
      <c r="AK57" s="476">
        <f>[176]Sheet1!$C$396/1000000</f>
        <v>25047.975926123618</v>
      </c>
      <c r="AL57" s="476">
        <f>[177]Sheet1!$C$396/1000000</f>
        <v>26628.938733172014</v>
      </c>
      <c r="AM57" s="476">
        <f>[178]Sheet1!$C$396/1000000</f>
        <v>25493.150156275744</v>
      </c>
      <c r="AN57" s="476">
        <f>[179]Sheet1!$C$396/1000000</f>
        <v>25336.709046442629</v>
      </c>
      <c r="AO57" s="476">
        <f>[180]Sheet1!$C$396/1000000</f>
        <v>24076.817668915755</v>
      </c>
      <c r="AP57" s="476">
        <f>[135]Sheet1!$C$396/1000000</f>
        <v>26978.584588775855</v>
      </c>
      <c r="AQ57" s="476">
        <f>[136]Sheet1!$C$396/1000000</f>
        <v>28156.884939248106</v>
      </c>
      <c r="AR57" s="476">
        <f>[137]Sheet1!$C$396/1000000</f>
        <v>28644.84748098725</v>
      </c>
      <c r="AS57" s="476">
        <f>[138]Sheet1!$C$396/1000000</f>
        <v>30566.384319011457</v>
      </c>
      <c r="AT57" s="476">
        <f>[139]Sheet1!$C$396/1000000</f>
        <v>28545.864615857005</v>
      </c>
      <c r="AU57" s="476">
        <f>[140]Sheet1!$C$396/1000000</f>
        <v>26934.996123423614</v>
      </c>
      <c r="AV57" s="476">
        <f>[181]Sheet1!$C$396/1000000</f>
        <v>25841.93165764619</v>
      </c>
      <c r="AW57" s="476">
        <f>[182]Sheet1!$C$396/1000000</f>
        <v>28092.860571302979</v>
      </c>
      <c r="AX57" s="476">
        <f>[183]Sheet1!$C$396/1000000</f>
        <v>26292.40951873811</v>
      </c>
      <c r="AY57" s="476">
        <f>[184]Sheet1!$C$396/1000000</f>
        <v>28037.893862271598</v>
      </c>
      <c r="AZ57" s="476">
        <f>[185]Sheet1!$C$396/1000000</f>
        <v>26860.379091036237</v>
      </c>
      <c r="BA57" s="476">
        <f>[141]Sheet1!$C$396/1000000</f>
        <v>30188.881181034689</v>
      </c>
      <c r="BB57" s="476">
        <f>[142]Sheet1!$C$396/1000000</f>
        <v>27094.074399699584</v>
      </c>
      <c r="BC57" s="476">
        <f>[143]Sheet1!$C$396/1000000</f>
        <v>25315.67576164853</v>
      </c>
      <c r="BD57" s="476">
        <f>[144]Sheet1!$C$396/1000000</f>
        <v>26697.460388662541</v>
      </c>
      <c r="BE57" s="476">
        <f>[145]Sheet1!$C$396/1000000</f>
        <v>26492.668315637879</v>
      </c>
      <c r="BF57" s="476">
        <f>[146]Sheet1!$C$396/1000000</f>
        <v>24927.705293513598</v>
      </c>
      <c r="BG57" s="476">
        <f>[147]Sheet1!$C$396/1000000</f>
        <v>26670.992764928367</v>
      </c>
      <c r="BH57" s="476">
        <f>[148]Sheet1!$C$396/1000000</f>
        <v>26375.217146415311</v>
      </c>
      <c r="BI57" s="476">
        <f>[149]Sheet1!$C$396/1000000</f>
        <v>24820.832289797665</v>
      </c>
      <c r="BJ57" s="476">
        <f>[150]Sheet1!$C$396/1000000</f>
        <v>29511.327082950043</v>
      </c>
      <c r="BK57" s="476">
        <f>[151]Sheet1!$C$396/1000000</f>
        <v>30383.526504520516</v>
      </c>
      <c r="BL57" s="476">
        <f>[152]Sheet1!$C$396/1000000</f>
        <v>28105.254953831773</v>
      </c>
      <c r="BM57" s="476">
        <f>[153]Sheet1!$C$396/1000000</f>
        <v>26388.752473113425</v>
      </c>
      <c r="BN57" s="476">
        <f>[154]Sheet1!$C$396/1000000</f>
        <v>26902.131664199755</v>
      </c>
      <c r="BO57" s="476">
        <f>[155]Sheet1!$C$396/1000000</f>
        <v>31140.300341097565</v>
      </c>
      <c r="BP57" s="476">
        <f>[186]Sheet1!$C$396/1000000</f>
        <v>32235.78470779585</v>
      </c>
      <c r="BQ57" s="476">
        <f>[187]Sheet1!$C$396/1000000</f>
        <v>32445.356367323093</v>
      </c>
      <c r="BR57" s="476">
        <f>[188]Sheet1!$C$396/1000000</f>
        <v>30805.015896943492</v>
      </c>
      <c r="BS57" s="476">
        <f>[189]Sheet1!$C$396/1000000</f>
        <v>32671.667518136597</v>
      </c>
      <c r="BT57" s="476">
        <f>[190]Sheet1!$C$396/1000000</f>
        <v>43780.854184367941</v>
      </c>
      <c r="BU57" s="476">
        <f>[191]Sheet1!$C$396/1000000</f>
        <v>31436.979178190988</v>
      </c>
      <c r="BV57" s="476">
        <f>[192]Sheet1!$C$396/1000000</f>
        <v>38380.12334699653</v>
      </c>
      <c r="BW57" s="476">
        <f>[193]Sheet1!$C$396/1000000</f>
        <v>36398.612039613196</v>
      </c>
      <c r="BX57" s="476">
        <f>[194]Sheet1!$C$396/1000000</f>
        <v>35610.019238602908</v>
      </c>
      <c r="BY57" s="476">
        <f>[195]Sheet1!$C$396/1000000</f>
        <v>28220.660586893697</v>
      </c>
      <c r="BZ57" s="476">
        <f>[196]Sheet1!$C$396/1000000</f>
        <v>35548.391283481265</v>
      </c>
      <c r="CA57" s="476">
        <f>[197]Sheet1!$C$396/1000000</f>
        <v>37072.284151340195</v>
      </c>
      <c r="CB57" s="476">
        <f>[156]Sheet1!$C$396/1000000</f>
        <v>38910.345796089772</v>
      </c>
      <c r="CC57" s="476">
        <f>[157]Sheet1!$C$396/1000000</f>
        <v>39404.278051939822</v>
      </c>
      <c r="CD57" s="476">
        <f>[158]Sheet1!$C$396/1000000</f>
        <v>37722.337078564677</v>
      </c>
      <c r="CE57" s="476">
        <f>[159]Sheet1!$C$396/1000000</f>
        <v>38363.013823103916</v>
      </c>
      <c r="CF57" s="476">
        <f>[160]Sheet1!$C$396/1000000</f>
        <v>38726.190562285257</v>
      </c>
      <c r="CG57" s="476">
        <f>[161]Sheet1!$C$396/1000000</f>
        <v>39682.82334167861</v>
      </c>
      <c r="CH57" s="476">
        <f>[162]Sheet1!$C$396/1000000</f>
        <v>46399.182294254191</v>
      </c>
      <c r="CI57" s="476">
        <f>[163]Sheet1!$C$396/1000000</f>
        <v>46430.379387273628</v>
      </c>
      <c r="CJ57" s="476">
        <f>[164]Sheet1!$C$396/1000000</f>
        <v>41199.290900733613</v>
      </c>
      <c r="CK57" s="476">
        <f>[165]Sheet1!$C$396/1000000</f>
        <v>41543.969723707953</v>
      </c>
      <c r="CL57" s="476">
        <f>[166]Sheet1!$C$396/1000000</f>
        <v>40483.929504703643</v>
      </c>
      <c r="CM57" s="476">
        <f>[167]Sheet1!$C$396/1000000</f>
        <v>40217.169470184948</v>
      </c>
      <c r="CN57" s="476">
        <f>[168]Sheet1!$C$396/1000000</f>
        <v>41140.443707170554</v>
      </c>
      <c r="CO57" s="476">
        <f>[169]Sheet1!$C$396/1000000</f>
        <v>47446.201200333257</v>
      </c>
      <c r="CP57" s="435">
        <f>[170]Sheet1!$C$396/1000000</f>
        <v>46961.57136462153</v>
      </c>
    </row>
    <row r="58" spans="1:94">
      <c r="A58" s="436"/>
      <c r="B58" s="437"/>
      <c r="C58" s="492"/>
      <c r="D58" s="492"/>
      <c r="E58" s="492"/>
      <c r="F58" s="493"/>
      <c r="G58" s="492"/>
      <c r="H58" s="494"/>
      <c r="I58" s="492"/>
      <c r="J58" s="492"/>
      <c r="K58" s="492"/>
      <c r="L58" s="492"/>
      <c r="M58" s="493"/>
      <c r="N58" s="492"/>
      <c r="O58" s="492"/>
      <c r="P58" s="492"/>
      <c r="Q58" s="492"/>
      <c r="R58" s="492"/>
      <c r="S58" s="492"/>
      <c r="T58" s="492"/>
      <c r="U58" s="492"/>
      <c r="V58" s="492"/>
      <c r="W58" s="492"/>
      <c r="X58" s="492"/>
      <c r="Y58" s="492"/>
      <c r="Z58" s="492"/>
      <c r="AA58" s="492"/>
      <c r="AB58" s="492"/>
      <c r="AC58" s="492"/>
      <c r="AD58" s="492"/>
      <c r="AE58" s="495"/>
      <c r="AF58" s="495"/>
      <c r="AG58" s="496"/>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2"/>
      <c r="BU58" s="492"/>
      <c r="BV58" s="492"/>
      <c r="BW58" s="492"/>
      <c r="BX58" s="492"/>
      <c r="BY58" s="492"/>
      <c r="BZ58" s="492"/>
      <c r="CA58" s="492"/>
      <c r="CB58" s="492"/>
      <c r="CC58" s="492"/>
      <c r="CD58" s="492"/>
      <c r="CE58" s="492"/>
      <c r="CF58" s="492"/>
      <c r="CG58" s="492"/>
      <c r="CH58" s="492"/>
      <c r="CI58" s="492"/>
      <c r="CJ58" s="492"/>
      <c r="CK58" s="492"/>
      <c r="CL58" s="492"/>
      <c r="CM58" s="492"/>
      <c r="CN58" s="492"/>
      <c r="CO58" s="492"/>
      <c r="CP58" s="495"/>
    </row>
    <row r="59" spans="1:94">
      <c r="A59" s="433" t="s">
        <v>559</v>
      </c>
      <c r="B59" s="434" t="s">
        <v>524</v>
      </c>
      <c r="C59" s="476">
        <f>[106]Sheet1!$C$444/1000000</f>
        <v>40299.377312539364</v>
      </c>
      <c r="D59" s="476">
        <f>[107]Sheet1!$C$415/1000000</f>
        <v>40897.174464550713</v>
      </c>
      <c r="E59" s="476">
        <f>[108]Sheet1!$C$415/1000000</f>
        <v>41418.046998493701</v>
      </c>
      <c r="F59" s="400">
        <f>[109]Sheet1!$C$415/1000000</f>
        <v>41431.841635135694</v>
      </c>
      <c r="G59" s="476">
        <f>[110]Sheet1!$C$415/1000000</f>
        <v>41653.852711723099</v>
      </c>
      <c r="H59" s="477">
        <f>[111]Sheet1!$C$415/1000000</f>
        <v>42382.352172430445</v>
      </c>
      <c r="I59" s="476">
        <f>[112]Sheet1!$C$415/1000000</f>
        <v>42617.348218640211</v>
      </c>
      <c r="J59" s="476">
        <f>[113]Sheet1!$C$415/1000000</f>
        <v>43614.156140104787</v>
      </c>
      <c r="K59" s="476">
        <f>[114]Sheet1!$C$415/1000000</f>
        <v>43941.573180620879</v>
      </c>
      <c r="L59" s="476">
        <f>[115]Sheet1!$C$415/1000000</f>
        <v>43933.029616701744</v>
      </c>
      <c r="M59" s="400">
        <f>[116]Sheet1!$C$415/1000000</f>
        <v>44783.080922080873</v>
      </c>
      <c r="N59" s="476">
        <f>[117]Sheet1!$C$415/1000000</f>
        <v>44195.840824197207</v>
      </c>
      <c r="O59" s="476">
        <f>[118]Sheet1!$C$415/1000000</f>
        <v>43673.261159687172</v>
      </c>
      <c r="P59" s="476">
        <f>[119]Sheet1!$C$415/1000000</f>
        <v>45224.515831074161</v>
      </c>
      <c r="Q59" s="476">
        <f>[120]Sheet1!$C$415/1000000</f>
        <v>46849.720232299231</v>
      </c>
      <c r="R59" s="476">
        <f>[121]Sheet1!$C$415/1000000</f>
        <v>46283.42460264438</v>
      </c>
      <c r="S59" s="476">
        <f>[122]Sheet1!$C$415/1000000</f>
        <v>48014.658053635692</v>
      </c>
      <c r="T59" s="476">
        <f>[123]Sheet1!$C$415/1000000</f>
        <v>49483.711488206434</v>
      </c>
      <c r="U59" s="476">
        <f>[124]Sheet1!$C$415/1000000</f>
        <v>48476.295669645828</v>
      </c>
      <c r="V59" s="476">
        <f>[125]Sheet1!$C$415/1000000</f>
        <v>49806.541415925356</v>
      </c>
      <c r="W59" s="476">
        <f>[126]Sheet1!$C$415/1000000</f>
        <v>46843.666865092833</v>
      </c>
      <c r="X59" s="476">
        <f>[127]Sheet1!$C$415/1000000</f>
        <v>47095.480653384591</v>
      </c>
      <c r="Y59" s="476">
        <f>[128]Sheet1!$C$415/1000000</f>
        <v>47921.991783679747</v>
      </c>
      <c r="Z59" s="476">
        <f>[129]Sheet1!$C$415/1000000</f>
        <v>48748.689920030221</v>
      </c>
      <c r="AA59" s="476">
        <f>[130]Sheet1!$C$415/1000000</f>
        <v>49701.947383272287</v>
      </c>
      <c r="AB59" s="476">
        <f>[131]Sheet1!$C$415/1000000</f>
        <v>50225.370442197789</v>
      </c>
      <c r="AC59" s="476">
        <f>[132]Sheet1!$C$415/1000000</f>
        <v>50255.092954445507</v>
      </c>
      <c r="AD59" s="476">
        <f>[133]Sheet1!$C$415/1000000</f>
        <v>50173.066566671099</v>
      </c>
      <c r="AE59" s="435">
        <f>[134]Sheet1!$C$415/1000000</f>
        <v>51646.045959744595</v>
      </c>
      <c r="AF59" s="435">
        <f>[171]Sheet1!$C$415/1000000</f>
        <v>52135.052324756274</v>
      </c>
      <c r="AG59" s="491">
        <f>[172]Sheet1!$C$415/1000000</f>
        <v>51923.840327734593</v>
      </c>
      <c r="AH59" s="476">
        <f>[173]Sheet1!$C$415/1000000</f>
        <v>54290.430311067721</v>
      </c>
      <c r="AI59" s="476">
        <f>[174]Sheet1!$C$415/1000000</f>
        <v>54553.47210097991</v>
      </c>
      <c r="AJ59" s="476">
        <f>[175]Sheet1!$C$415/1000000</f>
        <v>54781.930404075538</v>
      </c>
      <c r="AK59" s="476">
        <f>[176]Sheet1!$C$415/1000000</f>
        <v>56291.891485824599</v>
      </c>
      <c r="AL59" s="476">
        <f>[177]Sheet1!$C$415/1000000</f>
        <v>59034.14006419474</v>
      </c>
      <c r="AM59" s="476">
        <f>[178]Sheet1!$C$415/1000000</f>
        <v>60336.762547660219</v>
      </c>
      <c r="AN59" s="476">
        <f>[179]Sheet1!$C$415/1000000</f>
        <v>58433.737571185309</v>
      </c>
      <c r="AO59" s="476">
        <f>[180]Sheet1!$C$415/1000000</f>
        <v>61722.657067999608</v>
      </c>
      <c r="AP59" s="476">
        <f>[135]Sheet1!$C$415/1000000</f>
        <v>61121.022388491496</v>
      </c>
      <c r="AQ59" s="476">
        <f>[136]Sheet1!$C$415/1000000</f>
        <v>64653.692893753156</v>
      </c>
      <c r="AR59" s="476">
        <f>[137]Sheet1!$C$415/1000000</f>
        <v>65938.599478865523</v>
      </c>
      <c r="AS59" s="476">
        <f>[138]Sheet1!$C$415/1000000</f>
        <v>67572.644090477799</v>
      </c>
      <c r="AT59" s="476">
        <f>[139]Sheet1!$C$415/1000000</f>
        <v>68844.439888866429</v>
      </c>
      <c r="AU59" s="476">
        <f>[140]Sheet1!$C$415/1000000</f>
        <v>70619.264637318702</v>
      </c>
      <c r="AV59" s="476">
        <f>[181]Sheet1!$C$415/1000000</f>
        <v>71415.300964999711</v>
      </c>
      <c r="AW59" s="476">
        <f>[182]Sheet1!$C$415/1000000</f>
        <v>71448.033640741909</v>
      </c>
      <c r="AX59" s="476">
        <f>[183]Sheet1!$C$415/1000000</f>
        <v>71317.611680365444</v>
      </c>
      <c r="AY59" s="476">
        <f>[184]Sheet1!$C$415/1000000</f>
        <v>71636.339654546551</v>
      </c>
      <c r="AZ59" s="476">
        <f>[185]Sheet1!$C$415/1000000</f>
        <v>72364.164940520423</v>
      </c>
      <c r="BA59" s="476">
        <f>[141]Sheet1!$C$415/1000000</f>
        <v>72729.831094379726</v>
      </c>
      <c r="BB59" s="476">
        <f>[142]Sheet1!$C$415/1000000</f>
        <v>70480.727987459832</v>
      </c>
      <c r="BC59" s="476">
        <f>[143]Sheet1!$C$415/1000000</f>
        <v>70526.35235032397</v>
      </c>
      <c r="BD59" s="476">
        <f>[144]Sheet1!$C$415/1000000</f>
        <v>70569.078909740943</v>
      </c>
      <c r="BE59" s="476">
        <f>[145]Sheet1!$C$415/1000000</f>
        <v>72014.339570399199</v>
      </c>
      <c r="BF59" s="476">
        <f>[146]Sheet1!$C$415/1000000</f>
        <v>71967.09499391503</v>
      </c>
      <c r="BG59" s="476">
        <f>[147]Sheet1!$C$415/1000000</f>
        <v>73271.353804589948</v>
      </c>
      <c r="BH59" s="476">
        <f>[148]Sheet1!$C$415/1000000</f>
        <v>73849.64023806437</v>
      </c>
      <c r="BI59" s="476">
        <f>[149]Sheet1!$C$415/1000000</f>
        <v>73862.058317793577</v>
      </c>
      <c r="BJ59" s="476">
        <f>[150]Sheet1!$C$415/1000000</f>
        <v>77052.783139840336</v>
      </c>
      <c r="BK59" s="476">
        <f>[151]Sheet1!$C$415/1000000</f>
        <v>79057.576617151513</v>
      </c>
      <c r="BL59" s="476">
        <f>[152]Sheet1!$C$415/1000000</f>
        <v>77330.420374281064</v>
      </c>
      <c r="BM59" s="476">
        <f>[153]Sheet1!$C$415/1000000</f>
        <v>78550.01557674598</v>
      </c>
      <c r="BN59" s="476">
        <f>[154]Sheet1!$C$415/1000000</f>
        <v>78280.792370200521</v>
      </c>
      <c r="BO59" s="476">
        <f>[155]Sheet1!$C$415/1000000</f>
        <v>79300.377539482477</v>
      </c>
      <c r="BP59" s="476">
        <f>[186]Sheet1!$C$415/1000000</f>
        <v>84473.648619102474</v>
      </c>
      <c r="BQ59" s="476">
        <f>[187]Sheet1!$C$415/1000000</f>
        <v>85038.856916136458</v>
      </c>
      <c r="BR59" s="476">
        <f>[188]Sheet1!$C$415/1000000</f>
        <v>85694.832314834071</v>
      </c>
      <c r="BS59" s="476">
        <f>[189]Sheet1!$C$415/1000000</f>
        <v>86701.463298792383</v>
      </c>
      <c r="BT59" s="476">
        <f>[190]Sheet1!$C$415/1000000</f>
        <v>87084.157034179327</v>
      </c>
      <c r="BU59" s="476">
        <f>[191]Sheet1!$C$415/1000000</f>
        <v>87096.469192007018</v>
      </c>
      <c r="BV59" s="476">
        <f>[192]Sheet1!$C$415/1000000</f>
        <v>87336.869322237704</v>
      </c>
      <c r="BW59" s="476">
        <f>[193]Sheet1!$C$415/1000000</f>
        <v>89036.787249494402</v>
      </c>
      <c r="BX59" s="476">
        <f>[194]Sheet1!$C$415/1000000</f>
        <v>89235.76502342461</v>
      </c>
      <c r="BY59" s="476">
        <f>[195]Sheet1!$C$415/1000000</f>
        <v>89112.41465863293</v>
      </c>
      <c r="BZ59" s="476">
        <f>[196]Sheet1!$C$415/1000000</f>
        <v>92001.030889734742</v>
      </c>
      <c r="CA59" s="476">
        <f>[197]Sheet1!$C$415/1000000</f>
        <v>92823.98516812356</v>
      </c>
      <c r="CB59" s="476">
        <f>[156]Sheet1!$C$415/1000000</f>
        <v>94911.198696198524</v>
      </c>
      <c r="CC59" s="476">
        <f>[157]Sheet1!$C$415/1000000</f>
        <v>92655.583889346046</v>
      </c>
      <c r="CD59" s="476">
        <f>[158]Sheet1!$C$415/1000000</f>
        <v>93387.414470685457</v>
      </c>
      <c r="CE59" s="476">
        <f>[159]Sheet1!$C$415/1000000</f>
        <v>94311.266267564584</v>
      </c>
      <c r="CF59" s="476">
        <f>[160]Sheet1!$C$415/1000000</f>
        <v>96065.61365127757</v>
      </c>
      <c r="CG59" s="476">
        <f>[161]Sheet1!$C$415/1000000</f>
        <v>96868.179552567482</v>
      </c>
      <c r="CH59" s="476">
        <f>[162]Sheet1!$C$415/1000000</f>
        <v>99970.6883411335</v>
      </c>
      <c r="CI59" s="476">
        <f>[163]Sheet1!$C$415/1000000</f>
        <v>102143.89863464859</v>
      </c>
      <c r="CJ59" s="476">
        <f>[164]Sheet1!$C$415/1000000</f>
        <v>102986.73384132363</v>
      </c>
      <c r="CK59" s="476">
        <f>[165]Sheet1!$C$415/1000000</f>
        <v>103873.18199425921</v>
      </c>
      <c r="CL59" s="476">
        <f>[166]Sheet1!$C$415/1000000</f>
        <v>104115.39616690495</v>
      </c>
      <c r="CM59" s="476">
        <f>[167]Sheet1!$C$415/1000000</f>
        <v>105223.37593117294</v>
      </c>
      <c r="CN59" s="476">
        <f>[168]Sheet1!$C$415/1000000</f>
        <v>106183.2920679449</v>
      </c>
      <c r="CO59" s="476">
        <f>[169]Sheet1!$C$415/1000000</f>
        <v>109157.30970641969</v>
      </c>
      <c r="CP59" s="435">
        <f>[170]Sheet1!$C$415/1000000</f>
        <v>110133.52132883098</v>
      </c>
    </row>
    <row r="60" spans="1:94">
      <c r="A60" s="436"/>
      <c r="B60" s="437"/>
      <c r="C60" s="450"/>
      <c r="D60" s="450"/>
      <c r="E60" s="450"/>
      <c r="F60" s="390"/>
      <c r="G60" s="450"/>
      <c r="H60" s="481"/>
      <c r="I60" s="450"/>
      <c r="J60" s="450"/>
      <c r="K60" s="450"/>
      <c r="L60" s="450"/>
      <c r="M60" s="390"/>
      <c r="N60" s="450"/>
      <c r="O60" s="450"/>
      <c r="P60" s="450"/>
      <c r="Q60" s="450"/>
      <c r="R60" s="450"/>
      <c r="S60" s="450"/>
      <c r="T60" s="450"/>
      <c r="U60" s="450"/>
      <c r="V60" s="450"/>
      <c r="W60" s="450"/>
      <c r="X60" s="450"/>
      <c r="Y60" s="450"/>
      <c r="Z60" s="450"/>
      <c r="AA60" s="450"/>
      <c r="AB60" s="450"/>
      <c r="AC60" s="450"/>
      <c r="AD60" s="450"/>
      <c r="AE60" s="439"/>
      <c r="AF60" s="439"/>
      <c r="AG60" s="449"/>
      <c r="AH60" s="450"/>
      <c r="AI60" s="450"/>
      <c r="AJ60" s="450"/>
      <c r="AK60" s="450"/>
      <c r="AL60" s="450"/>
      <c r="AM60" s="450"/>
      <c r="AN60" s="450"/>
      <c r="AO60" s="450"/>
      <c r="AP60" s="450"/>
      <c r="AQ60" s="450"/>
      <c r="AR60" s="450"/>
      <c r="AS60" s="450"/>
      <c r="AT60" s="450"/>
      <c r="AU60" s="450"/>
      <c r="AV60" s="450"/>
      <c r="AW60" s="450"/>
      <c r="AX60" s="450"/>
      <c r="AY60" s="450"/>
      <c r="AZ60" s="450"/>
      <c r="BA60" s="450"/>
      <c r="BB60" s="450"/>
      <c r="BC60" s="450"/>
      <c r="BD60" s="450"/>
      <c r="BE60" s="450"/>
      <c r="BF60" s="450"/>
      <c r="BG60" s="450"/>
      <c r="BH60" s="450"/>
      <c r="BI60" s="450"/>
      <c r="BJ60" s="450"/>
      <c r="BK60" s="450"/>
      <c r="BL60" s="450"/>
      <c r="BM60" s="450"/>
      <c r="BN60" s="450"/>
      <c r="BO60" s="450"/>
      <c r="BP60" s="450"/>
      <c r="BQ60" s="450"/>
      <c r="BR60" s="450"/>
      <c r="BS60" s="450"/>
      <c r="BT60" s="450"/>
      <c r="BU60" s="450"/>
      <c r="BV60" s="450"/>
      <c r="BW60" s="450"/>
      <c r="BX60" s="450"/>
      <c r="BY60" s="450"/>
      <c r="BZ60" s="450"/>
      <c r="CA60" s="450"/>
      <c r="CB60" s="450"/>
      <c r="CC60" s="450"/>
      <c r="CD60" s="450"/>
      <c r="CE60" s="450"/>
      <c r="CF60" s="450"/>
      <c r="CG60" s="450"/>
      <c r="CH60" s="450"/>
      <c r="CI60" s="450"/>
      <c r="CJ60" s="450"/>
      <c r="CK60" s="450"/>
      <c r="CL60" s="450"/>
      <c r="CM60" s="450"/>
      <c r="CN60" s="450"/>
      <c r="CO60" s="450"/>
      <c r="CP60" s="439"/>
    </row>
    <row r="61" spans="1:94">
      <c r="A61" s="433"/>
      <c r="B61" s="434" t="s">
        <v>560</v>
      </c>
      <c r="C61" s="476">
        <f>C35+C37+C42+C47+C49+C51+C53+C55+C57+C59</f>
        <v>471311.5679274908</v>
      </c>
      <c r="D61" s="476">
        <f>D35+D37+D42+D47+D49+D51+D53+D55+D57+D59</f>
        <v>458405.79968156898</v>
      </c>
      <c r="E61" s="476">
        <f>E35+E37+E42+E47+E49+E51+E53+E55+E57+E59</f>
        <v>471368.36615860113</v>
      </c>
      <c r="F61" s="400">
        <f>F35+F37+F42+F47+F49+F51+F53+F55+F57+F59</f>
        <v>487597.2123353596</v>
      </c>
      <c r="G61" s="476">
        <f>G35+G37+G42+G47+G49+G51+G53+G55+G57+G59</f>
        <v>490699.5337987378</v>
      </c>
      <c r="H61" s="477">
        <f t="shared" ref="H61:BS61" si="10">H35+H37+H42+H47+H49+H51+H53+H55+H57+H59</f>
        <v>509422.0460164735</v>
      </c>
      <c r="I61" s="476">
        <f t="shared" si="10"/>
        <v>496790.44643390819</v>
      </c>
      <c r="J61" s="476">
        <f t="shared" si="10"/>
        <v>506831.09065121831</v>
      </c>
      <c r="K61" s="476">
        <f t="shared" si="10"/>
        <v>536189.32489652047</v>
      </c>
      <c r="L61" s="476">
        <f t="shared" si="10"/>
        <v>539946.71596931864</v>
      </c>
      <c r="M61" s="400">
        <f t="shared" si="10"/>
        <v>536591.3487168093</v>
      </c>
      <c r="N61" s="476">
        <f t="shared" si="10"/>
        <v>565086.1899789481</v>
      </c>
      <c r="O61" s="476">
        <f t="shared" si="10"/>
        <v>553754.69138210919</v>
      </c>
      <c r="P61" s="476">
        <f t="shared" si="10"/>
        <v>563618.70850807615</v>
      </c>
      <c r="Q61" s="476">
        <f t="shared" si="10"/>
        <v>575394.00688601425</v>
      </c>
      <c r="R61" s="476">
        <f t="shared" si="10"/>
        <v>605259.06121091812</v>
      </c>
      <c r="S61" s="476">
        <f t="shared" si="10"/>
        <v>608440.06009224232</v>
      </c>
      <c r="T61" s="476">
        <f t="shared" si="10"/>
        <v>637096.64951658109</v>
      </c>
      <c r="U61" s="476">
        <f t="shared" si="10"/>
        <v>661145.88945898088</v>
      </c>
      <c r="V61" s="476">
        <f t="shared" si="10"/>
        <v>633159.18726829987</v>
      </c>
      <c r="W61" s="476">
        <f t="shared" si="10"/>
        <v>636947.78126271733</v>
      </c>
      <c r="X61" s="476">
        <f t="shared" si="10"/>
        <v>655844.07052967488</v>
      </c>
      <c r="Y61" s="476">
        <f t="shared" si="10"/>
        <v>662667.18795217026</v>
      </c>
      <c r="Z61" s="476">
        <f t="shared" si="10"/>
        <v>664628.03592557285</v>
      </c>
      <c r="AA61" s="476">
        <f t="shared" si="10"/>
        <v>695845.12316660327</v>
      </c>
      <c r="AB61" s="476">
        <f t="shared" si="10"/>
        <v>714781.22866503743</v>
      </c>
      <c r="AC61" s="476">
        <f t="shared" si="10"/>
        <v>729675.19286569417</v>
      </c>
      <c r="AD61" s="476">
        <f t="shared" si="10"/>
        <v>737089.28856431844</v>
      </c>
      <c r="AE61" s="435">
        <f t="shared" si="10"/>
        <v>740351.71166967158</v>
      </c>
      <c r="AF61" s="435">
        <f t="shared" si="10"/>
        <v>780083.3295103102</v>
      </c>
      <c r="AG61" s="491">
        <f t="shared" si="10"/>
        <v>758266.41427892959</v>
      </c>
      <c r="AH61" s="476">
        <f t="shared" si="10"/>
        <v>788136.06321314129</v>
      </c>
      <c r="AI61" s="476">
        <f t="shared" si="10"/>
        <v>784205.44569628616</v>
      </c>
      <c r="AJ61" s="476">
        <f t="shared" si="10"/>
        <v>769965.96097749961</v>
      </c>
      <c r="AK61" s="476">
        <f t="shared" si="10"/>
        <v>756096.52120624471</v>
      </c>
      <c r="AL61" s="476">
        <f t="shared" si="10"/>
        <v>797078.898712961</v>
      </c>
      <c r="AM61" s="476">
        <f t="shared" si="10"/>
        <v>810394.94968114293</v>
      </c>
      <c r="AN61" s="476">
        <f t="shared" si="10"/>
        <v>828459.34888534085</v>
      </c>
      <c r="AO61" s="476">
        <f t="shared" si="10"/>
        <v>819943.30276699422</v>
      </c>
      <c r="AP61" s="476">
        <f t="shared" si="10"/>
        <v>803102.41851260676</v>
      </c>
      <c r="AQ61" s="476">
        <f t="shared" si="10"/>
        <v>860616.11619385111</v>
      </c>
      <c r="AR61" s="476">
        <f t="shared" si="10"/>
        <v>844613.98382920632</v>
      </c>
      <c r="AS61" s="476">
        <f t="shared" si="10"/>
        <v>847548.11865086446</v>
      </c>
      <c r="AT61" s="476">
        <f t="shared" si="10"/>
        <v>846906.62767194433</v>
      </c>
      <c r="AU61" s="476">
        <f t="shared" si="10"/>
        <v>856623.22336508334</v>
      </c>
      <c r="AV61" s="476">
        <f t="shared" si="10"/>
        <v>849664.16606785567</v>
      </c>
      <c r="AW61" s="476">
        <f t="shared" si="10"/>
        <v>850875.33540781343</v>
      </c>
      <c r="AX61" s="476">
        <f t="shared" si="10"/>
        <v>845763.63655023009</v>
      </c>
      <c r="AY61" s="476">
        <f t="shared" si="10"/>
        <v>857777.29400556756</v>
      </c>
      <c r="AZ61" s="476">
        <f t="shared" si="10"/>
        <v>873787.36227293161</v>
      </c>
      <c r="BA61" s="476">
        <f t="shared" si="10"/>
        <v>878017.77051826671</v>
      </c>
      <c r="BB61" s="476">
        <f t="shared" si="10"/>
        <v>860432.47357632231</v>
      </c>
      <c r="BC61" s="476">
        <f t="shared" si="10"/>
        <v>860188.95408136863</v>
      </c>
      <c r="BD61" s="476">
        <f t="shared" si="10"/>
        <v>848848.64170138247</v>
      </c>
      <c r="BE61" s="476">
        <f t="shared" si="10"/>
        <v>894608.69760500453</v>
      </c>
      <c r="BF61" s="476">
        <f t="shared" si="10"/>
        <v>915505.7386524789</v>
      </c>
      <c r="BG61" s="476">
        <f t="shared" si="10"/>
        <v>937137.8134324369</v>
      </c>
      <c r="BH61" s="476">
        <f t="shared" si="10"/>
        <v>958041.17727021279</v>
      </c>
      <c r="BI61" s="476">
        <f t="shared" si="10"/>
        <v>958842.14554619312</v>
      </c>
      <c r="BJ61" s="476">
        <f t="shared" si="10"/>
        <v>1070992.4571644114</v>
      </c>
      <c r="BK61" s="476">
        <f t="shared" si="10"/>
        <v>1055271.1205802755</v>
      </c>
      <c r="BL61" s="476">
        <f t="shared" si="10"/>
        <v>997219.36386759533</v>
      </c>
      <c r="BM61" s="476">
        <f t="shared" si="10"/>
        <v>1035500.4015738897</v>
      </c>
      <c r="BN61" s="476">
        <f t="shared" si="10"/>
        <v>1056066.0486184501</v>
      </c>
      <c r="BO61" s="476">
        <f t="shared" si="10"/>
        <v>1077273.9333368349</v>
      </c>
      <c r="BP61" s="476">
        <f t="shared" si="10"/>
        <v>1058366.3717395882</v>
      </c>
      <c r="BQ61" s="476">
        <f t="shared" si="10"/>
        <v>1106725.2287103198</v>
      </c>
      <c r="BR61" s="476">
        <f t="shared" si="10"/>
        <v>1122998.4580019945</v>
      </c>
      <c r="BS61" s="476">
        <f t="shared" si="10"/>
        <v>1131601.8792578613</v>
      </c>
      <c r="BT61" s="476">
        <f t="shared" ref="BT61:CM61" si="11">BT35+BT37+BT42+BT47+BT49+BT51+BT53+BT55+BT57+BT59</f>
        <v>1099361.3938462641</v>
      </c>
      <c r="BU61" s="476">
        <f t="shared" si="11"/>
        <v>1166032.9445716292</v>
      </c>
      <c r="BV61" s="476">
        <f t="shared" si="11"/>
        <v>1094115.950659808</v>
      </c>
      <c r="BW61" s="476">
        <f t="shared" si="11"/>
        <v>1160356.9789897006</v>
      </c>
      <c r="BX61" s="476">
        <f t="shared" si="11"/>
        <v>1134584.9616875097</v>
      </c>
      <c r="BY61" s="476">
        <f t="shared" si="11"/>
        <v>1112955.0925738942</v>
      </c>
      <c r="BZ61" s="476">
        <f t="shared" si="11"/>
        <v>1198674.0723846038</v>
      </c>
      <c r="CA61" s="476">
        <f t="shared" si="11"/>
        <v>1181223.9003155327</v>
      </c>
      <c r="CB61" s="476">
        <f t="shared" si="11"/>
        <v>1211293.175415861</v>
      </c>
      <c r="CC61" s="476">
        <f t="shared" si="11"/>
        <v>1221711.2032408915</v>
      </c>
      <c r="CD61" s="476">
        <f t="shared" si="11"/>
        <v>1235903.3137058993</v>
      </c>
      <c r="CE61" s="476">
        <f t="shared" si="11"/>
        <v>1274384.0037352208</v>
      </c>
      <c r="CF61" s="476">
        <f t="shared" si="11"/>
        <v>1295912.2835075075</v>
      </c>
      <c r="CG61" s="476">
        <f t="shared" si="11"/>
        <v>1274120.3794604437</v>
      </c>
      <c r="CH61" s="476">
        <f t="shared" si="11"/>
        <v>1311993.3462399533</v>
      </c>
      <c r="CI61" s="476">
        <f t="shared" si="11"/>
        <v>1302799.9339062085</v>
      </c>
      <c r="CJ61" s="476">
        <f t="shared" si="11"/>
        <v>1336708.8400544485</v>
      </c>
      <c r="CK61" s="476">
        <f t="shared" si="11"/>
        <v>1291958.9124593784</v>
      </c>
      <c r="CL61" s="476">
        <f t="shared" si="11"/>
        <v>1315134.6475493363</v>
      </c>
      <c r="CM61" s="476">
        <f t="shared" si="11"/>
        <v>1318305.6145090882</v>
      </c>
      <c r="CN61" s="476">
        <f>CN35+CN37+CN42+CN47+CN49+CN51+CN53+CN55+CN57+CN59</f>
        <v>1292269.3594581685</v>
      </c>
      <c r="CO61" s="476">
        <f>CO35+CO37+CO42+CO47+CO49+CO51+CO53+CO55+CO57+CO59</f>
        <v>1298120.7727984819</v>
      </c>
      <c r="CP61" s="435">
        <f>CP35+CP37+CP42+CP47+CP49+CP51+CP53+CP55+CP57+CP59</f>
        <v>1328344.7383193797</v>
      </c>
    </row>
    <row r="62" spans="1:94" ht="13.5" thickBot="1">
      <c r="A62" s="453"/>
      <c r="B62" s="454"/>
      <c r="C62" s="457"/>
      <c r="D62" s="457"/>
      <c r="E62" s="457"/>
      <c r="F62" s="497"/>
      <c r="G62" s="457"/>
      <c r="H62" s="498"/>
      <c r="I62" s="457"/>
      <c r="J62" s="457"/>
      <c r="K62" s="457"/>
      <c r="L62" s="457"/>
      <c r="M62" s="497"/>
      <c r="N62" s="457"/>
      <c r="O62" s="457"/>
      <c r="P62" s="457"/>
      <c r="Q62" s="457"/>
      <c r="R62" s="457"/>
      <c r="S62" s="457"/>
      <c r="T62" s="457"/>
      <c r="U62" s="457"/>
      <c r="V62" s="457"/>
      <c r="W62" s="457"/>
      <c r="X62" s="457"/>
      <c r="Y62" s="457"/>
      <c r="Z62" s="457"/>
      <c r="AA62" s="457"/>
      <c r="AB62" s="457"/>
      <c r="AC62" s="457"/>
      <c r="AD62" s="457"/>
      <c r="AE62" s="455"/>
      <c r="AF62" s="455"/>
      <c r="AG62" s="456"/>
      <c r="AH62" s="457"/>
      <c r="AI62" s="457"/>
      <c r="AJ62" s="457"/>
      <c r="AK62" s="457"/>
      <c r="AL62" s="457"/>
      <c r="AM62" s="457"/>
      <c r="AN62" s="457"/>
      <c r="AO62" s="457"/>
      <c r="AP62" s="457"/>
      <c r="AQ62" s="457"/>
      <c r="AR62" s="457"/>
      <c r="AS62" s="457"/>
      <c r="AT62" s="457"/>
      <c r="AU62" s="457"/>
      <c r="AV62" s="457"/>
      <c r="AW62" s="457"/>
      <c r="AX62" s="457"/>
      <c r="AY62" s="457"/>
      <c r="AZ62" s="457"/>
      <c r="BA62" s="457"/>
      <c r="BB62" s="457"/>
      <c r="BC62" s="457"/>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7"/>
      <c r="BZ62" s="457"/>
      <c r="CA62" s="457"/>
      <c r="CB62" s="457"/>
      <c r="CC62" s="457"/>
      <c r="CD62" s="457"/>
      <c r="CE62" s="457"/>
      <c r="CF62" s="457"/>
      <c r="CG62" s="457"/>
      <c r="CH62" s="457"/>
      <c r="CI62" s="457"/>
      <c r="CJ62" s="457"/>
      <c r="CK62" s="457"/>
      <c r="CL62" s="457"/>
      <c r="CM62" s="457"/>
      <c r="CN62" s="457"/>
      <c r="CO62" s="457"/>
      <c r="CP62" s="455"/>
    </row>
    <row r="63" spans="1:94" ht="13.5" thickTop="1">
      <c r="A63" s="237" t="s">
        <v>361</v>
      </c>
      <c r="B63" s="135"/>
      <c r="C63" s="135"/>
      <c r="D63" s="135"/>
      <c r="E63" s="135"/>
      <c r="F63" s="135"/>
      <c r="G63" s="135"/>
      <c r="H63" s="135"/>
      <c r="I63" s="135"/>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row>
    <row r="64" spans="1:94" ht="13.5" hidden="1">
      <c r="A64" s="510" t="s">
        <v>577</v>
      </c>
      <c r="B64" s="506"/>
      <c r="C64" s="506"/>
      <c r="D64" s="506"/>
      <c r="E64" s="506"/>
      <c r="F64" s="506"/>
      <c r="G64" s="506"/>
      <c r="H64" s="506"/>
      <c r="I64" s="506"/>
    </row>
    <row r="65" spans="1:94" s="129" customFormat="1" ht="13.5">
      <c r="A65" s="233" t="s">
        <v>578</v>
      </c>
      <c r="B65" s="135"/>
      <c r="C65" s="135"/>
      <c r="D65" s="135"/>
      <c r="E65" s="135"/>
      <c r="F65" s="135"/>
      <c r="G65" s="135"/>
      <c r="H65" s="135"/>
      <c r="I65" s="135"/>
    </row>
    <row r="66" spans="1:94">
      <c r="A66" s="237" t="s">
        <v>303</v>
      </c>
      <c r="B66" s="135"/>
      <c r="C66" s="135"/>
      <c r="D66" s="135"/>
      <c r="E66" s="135"/>
      <c r="F66" s="135"/>
      <c r="G66" s="135"/>
      <c r="H66" s="135"/>
      <c r="I66" s="135"/>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row>
    <row r="67" spans="1:94" hidden="1">
      <c r="C67" s="507">
        <f>[106]Sheet1!$C$463/1000000</f>
        <v>471311.5679274908</v>
      </c>
      <c r="D67" s="507">
        <f>[107]Sheet1!$C$434/1000000</f>
        <v>458405.79968156898</v>
      </c>
      <c r="E67" s="507">
        <f>[108]Sheet1!$C$434/1000000</f>
        <v>471368.36615860107</v>
      </c>
      <c r="F67" s="507">
        <f>[109]Sheet1!$C$434/1000000</f>
        <v>487597.2123353596</v>
      </c>
      <c r="G67" s="507">
        <f>[110]Sheet1!$C$434/1000000</f>
        <v>490699.53379873774</v>
      </c>
      <c r="H67" s="507">
        <f>[111]Sheet1!$C$434/1000000</f>
        <v>509422.04600647342</v>
      </c>
      <c r="I67" s="507">
        <f>[112]Sheet1!$C$434/1000000</f>
        <v>496790.44643390825</v>
      </c>
      <c r="J67" s="507">
        <f>[113]Sheet1!$C$434/1000000</f>
        <v>506831.09065121826</v>
      </c>
      <c r="K67" s="507">
        <f>[114]Sheet1!$C$434/1000000</f>
        <v>536189.32489552046</v>
      </c>
      <c r="L67" s="507">
        <f>[115]Sheet1!$C$434/1000000</f>
        <v>539946.71596831852</v>
      </c>
      <c r="M67" s="507">
        <f>[116]Sheet1!$C$434/1000000</f>
        <v>536591.3487168093</v>
      </c>
      <c r="N67" s="507">
        <f>[117]Sheet1!$C$434/1000000</f>
        <v>565086.18997894798</v>
      </c>
      <c r="O67" s="507">
        <f>[118]Sheet1!$C$434/1000000</f>
        <v>553754.69138210919</v>
      </c>
      <c r="P67" s="507">
        <f>[119]Sheet1!$C$434/1000000</f>
        <v>563618.70850807615</v>
      </c>
      <c r="Q67" s="507">
        <f>[120]Sheet1!$C$434/1000000</f>
        <v>575394.00688601425</v>
      </c>
      <c r="R67" s="507">
        <f>[121]Sheet1!$C$434/1000000</f>
        <v>605259.06121091812</v>
      </c>
      <c r="S67" s="507">
        <f>[122]Sheet1!$C$434/1000000</f>
        <v>608440.06009224232</v>
      </c>
      <c r="T67" s="507">
        <f>[123]Sheet1!$C$434/1000000</f>
        <v>637096.64951658109</v>
      </c>
      <c r="U67" s="507">
        <f>[124]Sheet1!$C$434/1000000</f>
        <v>661145.88945898088</v>
      </c>
      <c r="V67" s="507">
        <f>[125]Sheet1!$C$434/1000000</f>
        <v>633159.18726829975</v>
      </c>
      <c r="W67" s="507">
        <f>[126]Sheet1!$C$434/1000000</f>
        <v>636947.78126271733</v>
      </c>
      <c r="X67" s="507">
        <f>[127]Sheet1!$C$434/1000000</f>
        <v>655844.07052967488</v>
      </c>
      <c r="Y67" s="507">
        <f>[128]Sheet1!$C$434/1000000</f>
        <v>662667.18795217038</v>
      </c>
      <c r="Z67" s="507">
        <f>[129]Sheet1!$C$434/1000000</f>
        <v>664628.03592557285</v>
      </c>
      <c r="AA67" s="507">
        <f>[198]Sheet1!$C$434/1000000</f>
        <v>695845.12316660339</v>
      </c>
      <c r="AB67" s="507">
        <f>[199]Sheet1!$C$434/1000000</f>
        <v>714781.22866503731</v>
      </c>
      <c r="AC67" s="507">
        <f>[200]Sheet1!$C$434/1000000</f>
        <v>729675.19286569406</v>
      </c>
      <c r="AD67" s="507">
        <f>[201]Sheet1!$C$434/1000000</f>
        <v>737089.28856431856</v>
      </c>
      <c r="AE67" s="507">
        <f>[202]Sheet1!$C$434/1000000</f>
        <v>740351.71166967147</v>
      </c>
      <c r="AF67" s="507">
        <f>[203]Sheet1!$C$434/1000000</f>
        <v>780083.3295103102</v>
      </c>
      <c r="AG67" s="507">
        <f>[204]Sheet1!$C$434/1000000</f>
        <v>758266.41427892959</v>
      </c>
      <c r="AH67" s="507">
        <f>[205]Sheet1!$C$434/1000000</f>
        <v>788136.06321314152</v>
      </c>
      <c r="AI67" s="507">
        <f>[206]Sheet1!$C$434/1000000</f>
        <v>784205.44569628581</v>
      </c>
    </row>
    <row r="68" spans="1:94" hidden="1">
      <c r="C68" s="507">
        <f t="shared" ref="C68:BN68" si="12">C61-C28</f>
        <v>3.2648677006363869E-7</v>
      </c>
      <c r="D68" s="507">
        <f t="shared" si="12"/>
        <v>7.0374691858887672E-5</v>
      </c>
      <c r="E68" s="507">
        <f t="shared" si="12"/>
        <v>-1.6628880985081196E-5</v>
      </c>
      <c r="F68" s="507">
        <f t="shared" si="12"/>
        <v>6.1962055042386055E-7</v>
      </c>
      <c r="G68" s="507">
        <f t="shared" si="12"/>
        <v>4.8674759455025196E-5</v>
      </c>
      <c r="H68" s="507">
        <f t="shared" si="12"/>
        <v>9.643088560551405E-6</v>
      </c>
      <c r="I68" s="507">
        <f t="shared" si="12"/>
        <v>-1.0558869689702988E-7</v>
      </c>
      <c r="J68" s="507">
        <f t="shared" si="12"/>
        <v>-2.2968742996454239E-7</v>
      </c>
      <c r="K68" s="507">
        <f t="shared" si="12"/>
        <v>7.6717697083950043E-7</v>
      </c>
      <c r="L68" s="507">
        <f t="shared" si="12"/>
        <v>-5.1886308938264847E-7</v>
      </c>
      <c r="M68" s="507">
        <f t="shared" si="12"/>
        <v>-2.3026135750114918E-5</v>
      </c>
      <c r="N68" s="507">
        <f t="shared" si="12"/>
        <v>-3.5408383700996637E-4</v>
      </c>
      <c r="O68" s="507">
        <f t="shared" si="12"/>
        <v>-5.1169190555810928E-6</v>
      </c>
      <c r="P68" s="507">
        <f t="shared" si="12"/>
        <v>-6.2307692132890224E-5</v>
      </c>
      <c r="Q68" s="507">
        <f t="shared" si="12"/>
        <v>-1.3825111091136932E-4</v>
      </c>
      <c r="R68" s="507">
        <f t="shared" si="12"/>
        <v>-2.8288224712014198E-5</v>
      </c>
      <c r="S68" s="507">
        <f t="shared" si="12"/>
        <v>-5.0530652515590191E-5</v>
      </c>
      <c r="T68" s="507">
        <f t="shared" si="12"/>
        <v>4.1076913475990295E-5</v>
      </c>
      <c r="U68" s="507">
        <f t="shared" si="12"/>
        <v>-1.3550627045333385E-5</v>
      </c>
      <c r="V68" s="507">
        <f t="shared" si="12"/>
        <v>-7.4590672738850117E-5</v>
      </c>
      <c r="W68" s="507">
        <f t="shared" si="12"/>
        <v>-6.788596510887146E-5</v>
      </c>
      <c r="X68" s="507">
        <f t="shared" si="12"/>
        <v>-6.5941829234361649E-5</v>
      </c>
      <c r="Y68" s="507">
        <f t="shared" si="12"/>
        <v>-6.6578853875398636E-5</v>
      </c>
      <c r="Z68" s="507">
        <f t="shared" si="12"/>
        <v>-3.3760443329811096E-8</v>
      </c>
      <c r="AA68" s="507">
        <f t="shared" si="12"/>
        <v>6.206100806593895E-7</v>
      </c>
      <c r="AB68" s="507">
        <f t="shared" si="12"/>
        <v>-5.2418326959013939E-6</v>
      </c>
      <c r="AC68" s="507">
        <f t="shared" si="12"/>
        <v>-1.1103693395853043E-6</v>
      </c>
      <c r="AD68" s="507">
        <f t="shared" si="12"/>
        <v>-6.0594175010919571E-7</v>
      </c>
      <c r="AE68" s="507">
        <f t="shared" si="12"/>
        <v>-5.2724499255418777E-7</v>
      </c>
      <c r="AF68" s="507">
        <f t="shared" si="12"/>
        <v>-1.4184042811393738E-6</v>
      </c>
      <c r="AG68" s="507">
        <f t="shared" si="12"/>
        <v>-7.5576826930046082E-7</v>
      </c>
      <c r="AH68" s="507">
        <f t="shared" si="12"/>
        <v>-2.2533349692821503E-6</v>
      </c>
      <c r="AI68" s="507">
        <f t="shared" si="12"/>
        <v>-1.841341145336628E-6</v>
      </c>
      <c r="AJ68" s="507">
        <f t="shared" si="12"/>
        <v>-1.0981457307934761E-6</v>
      </c>
      <c r="AK68" s="507">
        <f t="shared" si="12"/>
        <v>-1.6111880540847778E-6</v>
      </c>
      <c r="AL68" s="507">
        <f t="shared" si="12"/>
        <v>-2.8299400582909584E-6</v>
      </c>
      <c r="AM68" s="507">
        <f t="shared" si="12"/>
        <v>-8.3458144217729568E-7</v>
      </c>
      <c r="AN68" s="507">
        <f t="shared" si="12"/>
        <v>-2.5278422981500626E-6</v>
      </c>
      <c r="AO68" s="507">
        <f t="shared" si="12"/>
        <v>-1.271604560315609E-6</v>
      </c>
      <c r="AP68" s="507">
        <f t="shared" si="12"/>
        <v>-4.2984029278159142E-6</v>
      </c>
      <c r="AQ68" s="507">
        <f t="shared" si="12"/>
        <v>-2.8738286346197128E-6</v>
      </c>
      <c r="AR68" s="507">
        <f t="shared" si="12"/>
        <v>-1.884065568447113E-6</v>
      </c>
      <c r="AS68" s="507">
        <f t="shared" si="12"/>
        <v>-5.4610427469015121E-7</v>
      </c>
      <c r="AT68" s="507">
        <f t="shared" si="12"/>
        <v>-6.3015613704919815E-7</v>
      </c>
      <c r="AU68" s="507">
        <f t="shared" si="12"/>
        <v>4.1036400943994522E-7</v>
      </c>
      <c r="AV68" s="507">
        <f t="shared" si="12"/>
        <v>-3.4307246096432209E-5</v>
      </c>
      <c r="AW68" s="507">
        <f t="shared" si="12"/>
        <v>-1.3932585716247559E-6</v>
      </c>
      <c r="AX68" s="507">
        <f t="shared" si="12"/>
        <v>1.2400560081005096E-6</v>
      </c>
      <c r="AY68" s="507">
        <f t="shared" si="12"/>
        <v>-2.3397151380777359E-6</v>
      </c>
      <c r="AZ68" s="507">
        <f t="shared" si="12"/>
        <v>-8.7625812739133835E-7</v>
      </c>
      <c r="BA68" s="507">
        <f t="shared" si="12"/>
        <v>-9.64384526014328E-7</v>
      </c>
      <c r="BB68" s="507">
        <f t="shared" si="12"/>
        <v>7.9267192631959915E-7</v>
      </c>
      <c r="BC68" s="507">
        <f t="shared" si="12"/>
        <v>-2.059456892311573E-5</v>
      </c>
      <c r="BD68" s="507">
        <f t="shared" si="12"/>
        <v>-1.5756813809275627E-6</v>
      </c>
      <c r="BE68" s="507">
        <f t="shared" si="12"/>
        <v>-7.4889976531267166E-7</v>
      </c>
      <c r="BF68" s="507">
        <f t="shared" si="12"/>
        <v>-6.4400956034660339E-7</v>
      </c>
      <c r="BG68" s="507">
        <f t="shared" si="12"/>
        <v>-5.4878182709217072E-7</v>
      </c>
      <c r="BH68" s="507">
        <f t="shared" si="12"/>
        <v>1.4562392607331276E-6</v>
      </c>
      <c r="BI68" s="507">
        <f t="shared" si="12"/>
        <v>-1.3735843822360039E-6</v>
      </c>
      <c r="BJ68" s="507">
        <f t="shared" si="12"/>
        <v>6.4726918935775757E-8</v>
      </c>
      <c r="BK68" s="507">
        <f t="shared" si="12"/>
        <v>-2.0030653104186058E-5</v>
      </c>
      <c r="BL68" s="507">
        <f t="shared" si="12"/>
        <v>-2.1148822270333767E-5</v>
      </c>
      <c r="BM68" s="507">
        <f t="shared" si="12"/>
        <v>-2.0408886484801769E-5</v>
      </c>
      <c r="BN68" s="507">
        <f t="shared" si="12"/>
        <v>-1.9902829080820084E-5</v>
      </c>
      <c r="BO68" s="507">
        <f t="shared" ref="BO68:CL68" si="13">BO61-BO28</f>
        <v>-2.06709373742342E-5</v>
      </c>
      <c r="BP68" s="507">
        <f t="shared" si="13"/>
        <v>-2.3350352421402931E-5</v>
      </c>
      <c r="BQ68" s="507">
        <f t="shared" si="13"/>
        <v>-2.1002953872084618E-5</v>
      </c>
      <c r="BR68" s="507">
        <f t="shared" si="13"/>
        <v>-2.1791085600852966E-5</v>
      </c>
      <c r="BS68" s="507">
        <f t="shared" si="13"/>
        <v>-2.2942200303077698E-5</v>
      </c>
      <c r="BT68" s="507">
        <f t="shared" si="13"/>
        <v>-2.0303530618548393E-5</v>
      </c>
      <c r="BU68" s="507">
        <f t="shared" si="13"/>
        <v>-2.3498665541410446E-5</v>
      </c>
      <c r="BV68" s="507">
        <f t="shared" si="13"/>
        <v>-1.9518425688147545E-5</v>
      </c>
      <c r="BW68" s="507">
        <f t="shared" si="13"/>
        <v>-5.4663047194480896E-5</v>
      </c>
      <c r="BX68" s="507">
        <f t="shared" si="13"/>
        <v>-2.3049302399158478E-5</v>
      </c>
      <c r="BY68" s="507">
        <f t="shared" si="13"/>
        <v>-2.0994571968913078E-5</v>
      </c>
      <c r="BZ68" s="507">
        <f t="shared" si="13"/>
        <v>-2.1663960069417953E-5</v>
      </c>
      <c r="CA68" s="507">
        <f t="shared" si="13"/>
        <v>-2.3233471438288689E-5</v>
      </c>
      <c r="CB68" s="507">
        <f t="shared" si="13"/>
        <v>-2.2876542061567307E-5</v>
      </c>
      <c r="CC68" s="507">
        <f t="shared" si="13"/>
        <v>-2.1460233256220818E-5</v>
      </c>
      <c r="CD68" s="507">
        <f t="shared" si="13"/>
        <v>-2.0967796444892883E-5</v>
      </c>
      <c r="CE68" s="507">
        <f t="shared" si="13"/>
        <v>-2.0710751414299011E-5</v>
      </c>
      <c r="CF68" s="507">
        <f t="shared" si="13"/>
        <v>-2.2827647626399994E-5</v>
      </c>
      <c r="CG68" s="507">
        <f t="shared" si="13"/>
        <v>-2.1233456209301949E-5</v>
      </c>
      <c r="CH68" s="507">
        <f t="shared" si="13"/>
        <v>-2.2481661289930344E-5</v>
      </c>
      <c r="CI68" s="507">
        <f t="shared" si="13"/>
        <v>3.2549723982810974E-7</v>
      </c>
      <c r="CJ68" s="507">
        <f t="shared" si="13"/>
        <v>-3.3751130104064941E-6</v>
      </c>
      <c r="CK68" s="507">
        <f t="shared" si="13"/>
        <v>-1.3874378055334091E-6</v>
      </c>
      <c r="CL68" s="507">
        <f t="shared" si="13"/>
        <v>-1.7383135855197906E-6</v>
      </c>
      <c r="CM68" s="507">
        <f>CM61-CM28</f>
        <v>-2.7026981115341187E-6</v>
      </c>
      <c r="CN68" s="507">
        <f>CN61-CN28</f>
        <v>-1.7329584807157516E-6</v>
      </c>
      <c r="CO68" s="507">
        <f>CO61-CO28</f>
        <v>-1.2656673789024353E-6</v>
      </c>
      <c r="CP68" s="507">
        <f>CP61-CP28</f>
        <v>4.0745362639427185E-8</v>
      </c>
    </row>
    <row r="70" spans="1:94">
      <c r="C70" s="511"/>
      <c r="D70" s="511"/>
      <c r="E70" s="511"/>
      <c r="F70" s="511"/>
      <c r="G70" s="511"/>
      <c r="H70" s="511"/>
      <c r="I70" s="511"/>
      <c r="J70" s="511"/>
      <c r="K70" s="511"/>
      <c r="L70" s="511"/>
      <c r="M70" s="511"/>
      <c r="N70" s="511"/>
      <c r="O70" s="511"/>
      <c r="P70" s="511"/>
      <c r="Q70" s="511"/>
      <c r="R70" s="511"/>
      <c r="S70" s="511"/>
      <c r="T70" s="511"/>
      <c r="U70" s="511"/>
      <c r="V70" s="511"/>
    </row>
    <row r="71" spans="1:94">
      <c r="C71" s="511"/>
      <c r="D71" s="511"/>
      <c r="E71" s="511"/>
      <c r="F71" s="511"/>
      <c r="G71" s="511"/>
      <c r="H71" s="511"/>
      <c r="I71" s="511"/>
      <c r="J71" s="511"/>
      <c r="K71" s="511"/>
      <c r="L71" s="511"/>
      <c r="M71" s="511"/>
      <c r="N71" s="511"/>
      <c r="O71" s="511"/>
      <c r="P71" s="511"/>
      <c r="Q71" s="511"/>
      <c r="R71" s="511"/>
      <c r="S71" s="511"/>
      <c r="T71" s="511"/>
      <c r="U71" s="511"/>
      <c r="V71" s="511"/>
    </row>
    <row r="72" spans="1:94">
      <c r="C72" s="511"/>
      <c r="D72" s="511"/>
      <c r="E72" s="511"/>
      <c r="F72" s="511"/>
      <c r="G72" s="511"/>
      <c r="H72" s="511"/>
      <c r="I72" s="511"/>
      <c r="J72" s="511"/>
      <c r="K72" s="511"/>
      <c r="L72" s="511"/>
      <c r="M72" s="511"/>
      <c r="N72" s="511"/>
      <c r="O72" s="511"/>
      <c r="P72" s="511"/>
      <c r="Q72" s="511"/>
      <c r="R72" s="511"/>
      <c r="S72" s="511"/>
      <c r="T72" s="511"/>
      <c r="U72" s="511"/>
      <c r="V72" s="511"/>
    </row>
    <row r="73" spans="1:94">
      <c r="C73" s="511"/>
      <c r="D73" s="511"/>
      <c r="E73" s="511"/>
      <c r="F73" s="511"/>
      <c r="G73" s="511"/>
      <c r="H73" s="511"/>
      <c r="I73" s="511"/>
      <c r="J73" s="511"/>
      <c r="K73" s="511"/>
      <c r="L73" s="511"/>
      <c r="M73" s="511"/>
      <c r="N73" s="511"/>
      <c r="O73" s="511"/>
      <c r="P73" s="511"/>
      <c r="Q73" s="511"/>
      <c r="R73" s="511"/>
      <c r="S73" s="511"/>
      <c r="T73" s="511"/>
      <c r="U73" s="511"/>
      <c r="V73" s="511"/>
    </row>
    <row r="74" spans="1:94">
      <c r="C74" s="511"/>
      <c r="D74" s="511"/>
      <c r="E74" s="511"/>
      <c r="F74" s="511"/>
      <c r="G74" s="511"/>
      <c r="H74" s="511"/>
      <c r="I74" s="511"/>
      <c r="J74" s="511"/>
      <c r="K74" s="511"/>
      <c r="L74" s="511"/>
      <c r="M74" s="511"/>
      <c r="N74" s="511"/>
      <c r="O74" s="511"/>
      <c r="P74" s="511"/>
      <c r="Q74" s="511"/>
      <c r="R74" s="511"/>
      <c r="S74" s="511"/>
      <c r="T74" s="511"/>
      <c r="U74" s="511"/>
      <c r="V74" s="511"/>
    </row>
    <row r="75" spans="1:94">
      <c r="C75" s="511"/>
      <c r="D75" s="511"/>
      <c r="E75" s="511"/>
      <c r="F75" s="511"/>
      <c r="G75" s="511"/>
      <c r="H75" s="511"/>
      <c r="I75" s="511"/>
      <c r="J75" s="511"/>
      <c r="K75" s="511"/>
      <c r="L75" s="511"/>
      <c r="M75" s="511"/>
      <c r="N75" s="511"/>
      <c r="O75" s="511"/>
      <c r="P75" s="511"/>
      <c r="Q75" s="511"/>
      <c r="R75" s="511"/>
      <c r="S75" s="511"/>
      <c r="T75" s="511"/>
      <c r="U75" s="511"/>
      <c r="V75" s="511"/>
    </row>
    <row r="76" spans="1:94">
      <c r="C76" s="511"/>
      <c r="D76" s="511"/>
      <c r="E76" s="511"/>
      <c r="F76" s="511"/>
      <c r="G76" s="511"/>
      <c r="H76" s="511"/>
      <c r="I76" s="511"/>
      <c r="J76" s="511"/>
      <c r="K76" s="511"/>
      <c r="L76" s="511"/>
      <c r="M76" s="511"/>
      <c r="N76" s="511"/>
      <c r="O76" s="511"/>
      <c r="P76" s="511"/>
      <c r="Q76" s="511"/>
      <c r="R76" s="511"/>
      <c r="S76" s="511"/>
      <c r="T76" s="511"/>
      <c r="U76" s="511"/>
      <c r="V76" s="511"/>
    </row>
    <row r="77" spans="1:94">
      <c r="C77" s="511"/>
      <c r="D77" s="511"/>
      <c r="E77" s="511"/>
      <c r="F77" s="511"/>
      <c r="G77" s="511"/>
      <c r="H77" s="511"/>
      <c r="I77" s="511"/>
      <c r="J77" s="511"/>
      <c r="K77" s="511"/>
      <c r="L77" s="511"/>
      <c r="M77" s="511"/>
      <c r="N77" s="511"/>
      <c r="O77" s="511"/>
      <c r="P77" s="511"/>
      <c r="Q77" s="511"/>
      <c r="R77" s="511"/>
      <c r="S77" s="511"/>
      <c r="T77" s="511"/>
      <c r="U77" s="511"/>
      <c r="V77" s="511"/>
    </row>
    <row r="78" spans="1:94">
      <c r="C78" s="511"/>
      <c r="D78" s="511"/>
      <c r="E78" s="511"/>
      <c r="F78" s="511"/>
      <c r="G78" s="511"/>
      <c r="H78" s="511"/>
      <c r="I78" s="511"/>
      <c r="J78" s="511"/>
      <c r="K78" s="511"/>
      <c r="L78" s="511"/>
      <c r="M78" s="511"/>
      <c r="N78" s="511"/>
      <c r="O78" s="511"/>
      <c r="P78" s="511"/>
      <c r="Q78" s="511"/>
      <c r="R78" s="511"/>
      <c r="S78" s="511"/>
      <c r="T78" s="511"/>
      <c r="U78" s="511"/>
      <c r="V78" s="511"/>
    </row>
    <row r="79" spans="1:94">
      <c r="C79" s="511"/>
      <c r="D79" s="511"/>
      <c r="E79" s="511"/>
      <c r="F79" s="511"/>
      <c r="G79" s="511"/>
      <c r="H79" s="511"/>
      <c r="I79" s="511"/>
      <c r="J79" s="511"/>
      <c r="K79" s="511"/>
      <c r="L79" s="511"/>
      <c r="M79" s="511"/>
      <c r="N79" s="511"/>
      <c r="O79" s="511"/>
      <c r="P79" s="511"/>
      <c r="Q79" s="511"/>
      <c r="R79" s="511"/>
      <c r="S79" s="511"/>
      <c r="T79" s="511"/>
      <c r="U79" s="511"/>
      <c r="V79" s="511"/>
    </row>
    <row r="80" spans="1:94">
      <c r="C80" s="511"/>
      <c r="D80" s="511"/>
      <c r="E80" s="511"/>
      <c r="F80" s="511"/>
      <c r="G80" s="511"/>
      <c r="H80" s="511"/>
      <c r="I80" s="511"/>
      <c r="J80" s="511"/>
      <c r="K80" s="511"/>
      <c r="L80" s="511"/>
      <c r="M80" s="511"/>
      <c r="N80" s="511"/>
      <c r="O80" s="511"/>
      <c r="P80" s="511"/>
      <c r="Q80" s="511"/>
      <c r="R80" s="511"/>
      <c r="S80" s="511"/>
      <c r="T80" s="511"/>
      <c r="U80" s="511"/>
      <c r="V80" s="511"/>
    </row>
    <row r="81" spans="3:22">
      <c r="C81" s="511"/>
      <c r="D81" s="511"/>
      <c r="E81" s="511"/>
      <c r="F81" s="511"/>
      <c r="G81" s="511"/>
      <c r="H81" s="511"/>
      <c r="I81" s="511"/>
      <c r="J81" s="511"/>
      <c r="K81" s="511"/>
      <c r="L81" s="511"/>
      <c r="M81" s="511"/>
      <c r="N81" s="511"/>
      <c r="O81" s="511"/>
      <c r="P81" s="511"/>
      <c r="Q81" s="511"/>
      <c r="R81" s="511"/>
      <c r="S81" s="511"/>
      <c r="T81" s="511"/>
      <c r="U81" s="511"/>
      <c r="V81" s="511"/>
    </row>
    <row r="82" spans="3:22">
      <c r="C82" s="511"/>
      <c r="D82" s="511"/>
      <c r="E82" s="511"/>
      <c r="F82" s="511"/>
      <c r="G82" s="511"/>
      <c r="H82" s="511"/>
      <c r="I82" s="511"/>
      <c r="J82" s="511"/>
      <c r="K82" s="511"/>
      <c r="L82" s="511"/>
      <c r="M82" s="511"/>
      <c r="N82" s="511"/>
      <c r="O82" s="511"/>
      <c r="P82" s="511"/>
      <c r="Q82" s="511"/>
      <c r="R82" s="511"/>
      <c r="S82" s="511"/>
      <c r="T82" s="511"/>
      <c r="U82" s="511"/>
      <c r="V82" s="511"/>
    </row>
    <row r="83" spans="3:22">
      <c r="C83" s="511"/>
      <c r="D83" s="511"/>
      <c r="E83" s="511"/>
      <c r="F83" s="511"/>
      <c r="G83" s="511"/>
      <c r="H83" s="511"/>
      <c r="I83" s="511"/>
      <c r="J83" s="511"/>
      <c r="K83" s="511"/>
      <c r="L83" s="511"/>
      <c r="M83" s="511"/>
      <c r="N83" s="511"/>
      <c r="O83" s="511"/>
      <c r="P83" s="511"/>
      <c r="Q83" s="511"/>
      <c r="R83" s="511"/>
      <c r="S83" s="511"/>
      <c r="T83" s="511"/>
      <c r="U83" s="511"/>
      <c r="V83" s="511"/>
    </row>
    <row r="84" spans="3:22">
      <c r="C84" s="511"/>
      <c r="D84" s="511"/>
      <c r="E84" s="511"/>
      <c r="F84" s="511"/>
      <c r="G84" s="511"/>
      <c r="H84" s="511"/>
      <c r="I84" s="511"/>
      <c r="J84" s="511"/>
      <c r="K84" s="511"/>
      <c r="L84" s="511"/>
      <c r="M84" s="511"/>
      <c r="N84" s="511"/>
      <c r="O84" s="511"/>
      <c r="P84" s="511"/>
      <c r="Q84" s="511"/>
      <c r="R84" s="511"/>
      <c r="S84" s="511"/>
      <c r="T84" s="511"/>
      <c r="U84" s="511"/>
      <c r="V84" s="511"/>
    </row>
    <row r="85" spans="3:22">
      <c r="C85" s="511"/>
      <c r="D85" s="511"/>
      <c r="E85" s="511"/>
      <c r="F85" s="511"/>
      <c r="G85" s="511"/>
      <c r="H85" s="511"/>
      <c r="I85" s="511"/>
      <c r="J85" s="511"/>
      <c r="K85" s="511"/>
      <c r="L85" s="511"/>
      <c r="M85" s="511"/>
      <c r="N85" s="511"/>
      <c r="O85" s="511"/>
      <c r="P85" s="511"/>
      <c r="Q85" s="511"/>
      <c r="R85" s="511"/>
      <c r="S85" s="511"/>
      <c r="T85" s="511"/>
      <c r="U85" s="511"/>
      <c r="V85" s="511"/>
    </row>
    <row r="86" spans="3:22">
      <c r="C86" s="511"/>
      <c r="D86" s="511"/>
      <c r="E86" s="511"/>
      <c r="F86" s="511"/>
      <c r="G86" s="511"/>
      <c r="H86" s="511"/>
      <c r="I86" s="511"/>
      <c r="J86" s="511"/>
      <c r="K86" s="511"/>
      <c r="L86" s="511"/>
      <c r="M86" s="511"/>
      <c r="N86" s="511"/>
      <c r="O86" s="511"/>
      <c r="P86" s="511"/>
      <c r="Q86" s="511"/>
      <c r="R86" s="511"/>
      <c r="S86" s="511"/>
      <c r="T86" s="511"/>
      <c r="U86" s="511"/>
      <c r="V86" s="511"/>
    </row>
    <row r="87" spans="3:22">
      <c r="C87" s="511"/>
      <c r="D87" s="511"/>
      <c r="E87" s="511"/>
      <c r="F87" s="511"/>
      <c r="G87" s="511"/>
      <c r="H87" s="511"/>
      <c r="I87" s="511"/>
      <c r="J87" s="511"/>
      <c r="K87" s="511"/>
      <c r="L87" s="511"/>
      <c r="M87" s="511"/>
      <c r="N87" s="511"/>
      <c r="O87" s="511"/>
      <c r="P87" s="511"/>
      <c r="Q87" s="511"/>
      <c r="R87" s="511"/>
      <c r="S87" s="511"/>
      <c r="T87" s="511"/>
      <c r="U87" s="511"/>
      <c r="V87" s="511"/>
    </row>
    <row r="88" spans="3:22">
      <c r="C88" s="511"/>
      <c r="D88" s="511"/>
      <c r="E88" s="511"/>
      <c r="F88" s="511"/>
      <c r="G88" s="511"/>
      <c r="H88" s="511"/>
      <c r="I88" s="511"/>
      <c r="J88" s="511"/>
      <c r="K88" s="511"/>
      <c r="L88" s="511"/>
      <c r="M88" s="511"/>
      <c r="N88" s="511"/>
      <c r="O88" s="511"/>
      <c r="P88" s="511"/>
      <c r="Q88" s="511"/>
      <c r="R88" s="511"/>
      <c r="S88" s="511"/>
      <c r="T88" s="511"/>
      <c r="U88" s="511"/>
      <c r="V88" s="511"/>
    </row>
    <row r="89" spans="3:22">
      <c r="C89" s="511"/>
      <c r="D89" s="511"/>
      <c r="E89" s="511"/>
      <c r="F89" s="511"/>
      <c r="G89" s="511"/>
      <c r="H89" s="511"/>
      <c r="I89" s="511"/>
      <c r="J89" s="511"/>
      <c r="K89" s="511"/>
      <c r="L89" s="511"/>
      <c r="M89" s="511"/>
      <c r="N89" s="511"/>
      <c r="O89" s="511"/>
      <c r="P89" s="511"/>
      <c r="Q89" s="511"/>
      <c r="R89" s="511"/>
      <c r="S89" s="511"/>
      <c r="T89" s="511"/>
      <c r="U89" s="511"/>
      <c r="V89" s="511"/>
    </row>
    <row r="90" spans="3:22">
      <c r="C90" s="511"/>
      <c r="D90" s="511"/>
      <c r="E90" s="511"/>
      <c r="F90" s="511"/>
      <c r="G90" s="511"/>
      <c r="H90" s="511"/>
      <c r="I90" s="511"/>
      <c r="J90" s="511"/>
      <c r="K90" s="511"/>
      <c r="L90" s="511"/>
      <c r="M90" s="511"/>
      <c r="N90" s="511"/>
      <c r="O90" s="511"/>
      <c r="P90" s="511"/>
      <c r="Q90" s="511"/>
      <c r="R90" s="511"/>
      <c r="S90" s="511"/>
      <c r="T90" s="511"/>
      <c r="U90" s="511"/>
      <c r="V90" s="511"/>
    </row>
    <row r="91" spans="3:22">
      <c r="C91" s="511"/>
      <c r="D91" s="511"/>
      <c r="E91" s="511"/>
      <c r="F91" s="511"/>
      <c r="G91" s="511"/>
      <c r="H91" s="511"/>
      <c r="I91" s="511"/>
      <c r="J91" s="511"/>
      <c r="K91" s="511"/>
      <c r="L91" s="511"/>
      <c r="M91" s="511"/>
      <c r="N91" s="511"/>
      <c r="O91" s="511"/>
      <c r="P91" s="511"/>
      <c r="Q91" s="511"/>
      <c r="R91" s="511"/>
      <c r="S91" s="511"/>
      <c r="T91" s="511"/>
      <c r="U91" s="511"/>
      <c r="V91" s="511"/>
    </row>
    <row r="92" spans="3:22">
      <c r="C92" s="511"/>
      <c r="D92" s="511"/>
      <c r="E92" s="511"/>
      <c r="F92" s="511"/>
      <c r="G92" s="511"/>
      <c r="H92" s="511"/>
      <c r="I92" s="511"/>
      <c r="J92" s="511"/>
      <c r="K92" s="511"/>
      <c r="L92" s="511"/>
      <c r="M92" s="511"/>
      <c r="N92" s="511"/>
      <c r="O92" s="511"/>
      <c r="P92" s="511"/>
      <c r="Q92" s="511"/>
      <c r="R92" s="511"/>
      <c r="S92" s="511"/>
      <c r="T92" s="511"/>
      <c r="U92" s="511"/>
      <c r="V92" s="511"/>
    </row>
    <row r="93" spans="3:22">
      <c r="C93" s="511"/>
      <c r="D93" s="511"/>
      <c r="E93" s="511"/>
      <c r="F93" s="511"/>
      <c r="G93" s="511"/>
      <c r="H93" s="511"/>
      <c r="I93" s="511"/>
      <c r="J93" s="511"/>
      <c r="K93" s="511"/>
      <c r="L93" s="511"/>
      <c r="M93" s="511"/>
      <c r="N93" s="511"/>
      <c r="O93" s="511"/>
      <c r="P93" s="511"/>
      <c r="Q93" s="511"/>
      <c r="R93" s="511"/>
      <c r="S93" s="511"/>
      <c r="T93" s="511"/>
      <c r="U93" s="511"/>
      <c r="V93" s="511"/>
    </row>
    <row r="94" spans="3:22">
      <c r="C94" s="511"/>
      <c r="D94" s="511"/>
      <c r="E94" s="511"/>
      <c r="F94" s="511"/>
      <c r="G94" s="511"/>
      <c r="H94" s="511"/>
      <c r="I94" s="511"/>
      <c r="J94" s="511"/>
      <c r="K94" s="511"/>
      <c r="L94" s="511"/>
      <c r="M94" s="511"/>
      <c r="N94" s="511"/>
      <c r="O94" s="511"/>
      <c r="P94" s="511"/>
      <c r="Q94" s="511"/>
      <c r="R94" s="511"/>
      <c r="S94" s="511"/>
      <c r="T94" s="511"/>
      <c r="U94" s="511"/>
      <c r="V94" s="511"/>
    </row>
    <row r="95" spans="3:22">
      <c r="C95" s="511"/>
      <c r="D95" s="511"/>
      <c r="E95" s="511"/>
      <c r="F95" s="511"/>
      <c r="G95" s="511"/>
      <c r="H95" s="511"/>
      <c r="I95" s="511"/>
      <c r="J95" s="511"/>
      <c r="K95" s="511"/>
      <c r="L95" s="511"/>
      <c r="M95" s="511"/>
      <c r="N95" s="511"/>
      <c r="O95" s="511"/>
      <c r="P95" s="511"/>
      <c r="Q95" s="511"/>
      <c r="R95" s="511"/>
      <c r="S95" s="511"/>
      <c r="T95" s="511"/>
      <c r="U95" s="511"/>
      <c r="V95" s="511"/>
    </row>
    <row r="96" spans="3:22">
      <c r="C96" s="511"/>
      <c r="D96" s="511"/>
      <c r="E96" s="511"/>
      <c r="F96" s="511"/>
      <c r="G96" s="511"/>
      <c r="H96" s="511"/>
      <c r="I96" s="511"/>
      <c r="J96" s="511"/>
      <c r="K96" s="511"/>
      <c r="L96" s="511"/>
      <c r="M96" s="511"/>
      <c r="N96" s="511"/>
      <c r="O96" s="511"/>
      <c r="P96" s="511"/>
      <c r="Q96" s="511"/>
      <c r="R96" s="511"/>
      <c r="S96" s="511"/>
      <c r="T96" s="511"/>
      <c r="U96" s="511"/>
      <c r="V96" s="511"/>
    </row>
    <row r="97" spans="3:22">
      <c r="C97" s="511"/>
      <c r="D97" s="511"/>
      <c r="E97" s="511"/>
      <c r="F97" s="511"/>
      <c r="G97" s="511"/>
      <c r="H97" s="511"/>
      <c r="I97" s="511"/>
      <c r="J97" s="511"/>
      <c r="K97" s="511"/>
      <c r="L97" s="511"/>
      <c r="M97" s="511"/>
      <c r="N97" s="511"/>
      <c r="O97" s="511"/>
      <c r="P97" s="511"/>
      <c r="Q97" s="511"/>
      <c r="R97" s="511"/>
      <c r="S97" s="511"/>
      <c r="T97" s="511"/>
      <c r="U97" s="511"/>
      <c r="V97" s="511"/>
    </row>
    <row r="98" spans="3:22">
      <c r="C98" s="511"/>
      <c r="D98" s="511"/>
      <c r="E98" s="511"/>
      <c r="F98" s="511"/>
      <c r="G98" s="511"/>
      <c r="H98" s="511"/>
      <c r="I98" s="511"/>
      <c r="J98" s="511"/>
      <c r="K98" s="511"/>
      <c r="L98" s="511"/>
      <c r="M98" s="511"/>
      <c r="N98" s="511"/>
      <c r="O98" s="511"/>
      <c r="P98" s="511"/>
      <c r="Q98" s="511"/>
      <c r="R98" s="511"/>
      <c r="S98" s="511"/>
      <c r="T98" s="511"/>
      <c r="U98" s="511"/>
      <c r="V98" s="511"/>
    </row>
    <row r="99" spans="3:22">
      <c r="C99" s="511"/>
      <c r="D99" s="511"/>
      <c r="E99" s="511"/>
      <c r="F99" s="511"/>
      <c r="G99" s="511"/>
      <c r="H99" s="511"/>
      <c r="I99" s="511"/>
      <c r="J99" s="511"/>
      <c r="K99" s="511"/>
      <c r="L99" s="511"/>
      <c r="M99" s="511"/>
      <c r="N99" s="511"/>
      <c r="O99" s="511"/>
      <c r="P99" s="511"/>
      <c r="Q99" s="511"/>
      <c r="R99" s="511"/>
      <c r="S99" s="511"/>
      <c r="T99" s="511"/>
      <c r="U99" s="511"/>
      <c r="V99" s="511"/>
    </row>
    <row r="100" spans="3:22">
      <c r="C100" s="511"/>
      <c r="D100" s="511"/>
      <c r="E100" s="511"/>
      <c r="F100" s="511"/>
      <c r="G100" s="511"/>
      <c r="H100" s="511"/>
      <c r="I100" s="511"/>
      <c r="J100" s="511"/>
      <c r="K100" s="511"/>
      <c r="L100" s="511"/>
      <c r="M100" s="511"/>
      <c r="N100" s="511"/>
      <c r="O100" s="511"/>
      <c r="P100" s="511"/>
      <c r="Q100" s="511"/>
      <c r="R100" s="511"/>
      <c r="S100" s="511"/>
      <c r="T100" s="511"/>
      <c r="U100" s="511"/>
      <c r="V100" s="511"/>
    </row>
    <row r="101" spans="3:22">
      <c r="C101" s="511"/>
      <c r="D101" s="511"/>
      <c r="E101" s="511"/>
      <c r="F101" s="511"/>
      <c r="G101" s="511"/>
      <c r="H101" s="511"/>
      <c r="I101" s="511"/>
      <c r="J101" s="511"/>
      <c r="K101" s="511"/>
      <c r="L101" s="511"/>
      <c r="M101" s="511"/>
      <c r="N101" s="511"/>
      <c r="O101" s="511"/>
      <c r="P101" s="511"/>
      <c r="Q101" s="511"/>
      <c r="R101" s="511"/>
      <c r="S101" s="511"/>
      <c r="T101" s="511"/>
      <c r="U101" s="511"/>
      <c r="V101" s="511"/>
    </row>
    <row r="102" spans="3:22">
      <c r="C102" s="511"/>
      <c r="D102" s="511"/>
      <c r="E102" s="511"/>
      <c r="F102" s="511"/>
      <c r="G102" s="511"/>
      <c r="H102" s="511"/>
      <c r="I102" s="511"/>
      <c r="J102" s="511"/>
      <c r="K102" s="511"/>
      <c r="L102" s="511"/>
      <c r="M102" s="511"/>
      <c r="N102" s="511"/>
      <c r="O102" s="511"/>
      <c r="P102" s="511"/>
      <c r="Q102" s="511"/>
      <c r="R102" s="511"/>
      <c r="S102" s="511"/>
      <c r="T102" s="511"/>
      <c r="U102" s="511"/>
      <c r="V102" s="511"/>
    </row>
    <row r="103" spans="3:22">
      <c r="C103" s="511"/>
      <c r="D103" s="511"/>
      <c r="E103" s="511"/>
      <c r="F103" s="511"/>
      <c r="G103" s="511"/>
      <c r="H103" s="511"/>
      <c r="I103" s="511"/>
      <c r="J103" s="511"/>
      <c r="K103" s="511"/>
      <c r="L103" s="511"/>
      <c r="M103" s="511"/>
      <c r="N103" s="511"/>
      <c r="O103" s="511"/>
      <c r="P103" s="511"/>
      <c r="Q103" s="511"/>
      <c r="R103" s="511"/>
      <c r="S103" s="511"/>
      <c r="T103" s="511"/>
      <c r="U103" s="511"/>
      <c r="V103" s="511"/>
    </row>
    <row r="104" spans="3:22">
      <c r="C104" s="511"/>
      <c r="D104" s="511"/>
      <c r="E104" s="511"/>
      <c r="F104" s="511"/>
      <c r="G104" s="511"/>
      <c r="H104" s="511"/>
      <c r="I104" s="511"/>
      <c r="J104" s="511"/>
      <c r="K104" s="511"/>
      <c r="L104" s="511"/>
      <c r="M104" s="511"/>
      <c r="N104" s="511"/>
      <c r="O104" s="511"/>
      <c r="P104" s="511"/>
      <c r="Q104" s="511"/>
      <c r="R104" s="511"/>
      <c r="S104" s="511"/>
      <c r="T104" s="511"/>
      <c r="U104" s="511"/>
      <c r="V104" s="511"/>
    </row>
    <row r="105" spans="3:22">
      <c r="C105" s="511"/>
      <c r="D105" s="511"/>
      <c r="E105" s="511"/>
      <c r="F105" s="511"/>
      <c r="G105" s="511"/>
      <c r="H105" s="511"/>
      <c r="I105" s="511"/>
      <c r="J105" s="511"/>
      <c r="K105" s="511"/>
      <c r="L105" s="511"/>
      <c r="M105" s="511"/>
      <c r="N105" s="511"/>
      <c r="O105" s="511"/>
      <c r="P105" s="511"/>
      <c r="Q105" s="511"/>
      <c r="R105" s="511"/>
      <c r="S105" s="511"/>
      <c r="T105" s="511"/>
      <c r="U105" s="511"/>
      <c r="V105" s="511"/>
    </row>
    <row r="106" spans="3:22">
      <c r="C106" s="511"/>
      <c r="D106" s="511"/>
      <c r="E106" s="511"/>
      <c r="F106" s="511"/>
      <c r="G106" s="511"/>
      <c r="H106" s="511"/>
      <c r="I106" s="511"/>
      <c r="J106" s="511"/>
      <c r="K106" s="511"/>
      <c r="L106" s="511"/>
      <c r="M106" s="511"/>
      <c r="N106" s="511"/>
      <c r="O106" s="511"/>
      <c r="P106" s="511"/>
      <c r="Q106" s="511"/>
      <c r="R106" s="511"/>
      <c r="S106" s="511"/>
      <c r="T106" s="511"/>
      <c r="U106" s="511"/>
      <c r="V106" s="511"/>
    </row>
    <row r="107" spans="3:22">
      <c r="C107" s="511"/>
      <c r="D107" s="511"/>
      <c r="E107" s="511"/>
      <c r="F107" s="511"/>
      <c r="G107" s="511"/>
      <c r="H107" s="511"/>
      <c r="I107" s="511"/>
      <c r="J107" s="511"/>
      <c r="K107" s="511"/>
      <c r="L107" s="511"/>
      <c r="M107" s="511"/>
      <c r="N107" s="511"/>
      <c r="O107" s="511"/>
      <c r="P107" s="511"/>
      <c r="Q107" s="511"/>
      <c r="R107" s="511"/>
      <c r="S107" s="511"/>
      <c r="T107" s="511"/>
      <c r="U107" s="511"/>
      <c r="V107" s="511"/>
    </row>
    <row r="108" spans="3:22">
      <c r="C108" s="511"/>
      <c r="D108" s="511"/>
      <c r="E108" s="511"/>
      <c r="F108" s="511"/>
      <c r="G108" s="511"/>
      <c r="H108" s="511"/>
      <c r="I108" s="511"/>
      <c r="J108" s="511"/>
      <c r="K108" s="511"/>
      <c r="L108" s="511"/>
      <c r="M108" s="511"/>
      <c r="N108" s="511"/>
      <c r="O108" s="511"/>
      <c r="P108" s="511"/>
      <c r="Q108" s="511"/>
      <c r="R108" s="511"/>
      <c r="S108" s="511"/>
      <c r="T108" s="511"/>
      <c r="U108" s="511"/>
      <c r="V108" s="511"/>
    </row>
    <row r="109" spans="3:22">
      <c r="C109" s="511"/>
      <c r="D109" s="511"/>
      <c r="E109" s="511"/>
      <c r="F109" s="511"/>
      <c r="G109" s="511"/>
      <c r="H109" s="511"/>
      <c r="I109" s="511"/>
      <c r="J109" s="511"/>
      <c r="K109" s="511"/>
      <c r="L109" s="511"/>
      <c r="M109" s="511"/>
      <c r="N109" s="511"/>
      <c r="O109" s="511"/>
      <c r="P109" s="511"/>
      <c r="Q109" s="511"/>
      <c r="R109" s="511"/>
      <c r="S109" s="511"/>
      <c r="T109" s="511"/>
      <c r="U109" s="511"/>
      <c r="V109" s="511"/>
    </row>
    <row r="110" spans="3:22">
      <c r="C110" s="511"/>
      <c r="D110" s="511"/>
      <c r="E110" s="511"/>
      <c r="F110" s="511"/>
      <c r="G110" s="511"/>
      <c r="H110" s="511"/>
      <c r="I110" s="511"/>
      <c r="J110" s="511"/>
      <c r="K110" s="511"/>
      <c r="L110" s="511"/>
      <c r="M110" s="511"/>
      <c r="N110" s="511"/>
      <c r="O110" s="511"/>
      <c r="P110" s="511"/>
      <c r="Q110" s="511"/>
      <c r="R110" s="511"/>
      <c r="S110" s="511"/>
      <c r="T110" s="511"/>
      <c r="U110" s="511"/>
      <c r="V110" s="511"/>
    </row>
    <row r="111" spans="3:22">
      <c r="C111" s="511"/>
      <c r="D111" s="511"/>
      <c r="E111" s="511"/>
      <c r="F111" s="511"/>
      <c r="G111" s="511"/>
      <c r="H111" s="511"/>
      <c r="I111" s="511"/>
      <c r="J111" s="511"/>
      <c r="K111" s="511"/>
      <c r="L111" s="511"/>
      <c r="M111" s="511"/>
      <c r="N111" s="511"/>
      <c r="O111" s="511"/>
      <c r="P111" s="511"/>
      <c r="Q111" s="511"/>
      <c r="R111" s="511"/>
      <c r="S111" s="511"/>
      <c r="T111" s="511"/>
      <c r="U111" s="511"/>
      <c r="V111" s="511"/>
    </row>
    <row r="112" spans="3:22">
      <c r="C112" s="511"/>
      <c r="D112" s="511"/>
      <c r="E112" s="511"/>
      <c r="F112" s="511"/>
      <c r="G112" s="511"/>
      <c r="H112" s="511"/>
      <c r="I112" s="511"/>
      <c r="J112" s="511"/>
      <c r="K112" s="511"/>
      <c r="L112" s="511"/>
      <c r="M112" s="511"/>
      <c r="N112" s="511"/>
      <c r="O112" s="511"/>
      <c r="P112" s="511"/>
      <c r="Q112" s="511"/>
      <c r="R112" s="511"/>
      <c r="S112" s="511"/>
      <c r="T112" s="511"/>
      <c r="U112" s="511"/>
      <c r="V112" s="511"/>
    </row>
    <row r="113" spans="3:22">
      <c r="C113" s="511"/>
      <c r="D113" s="511"/>
      <c r="E113" s="511"/>
      <c r="F113" s="511"/>
      <c r="G113" s="511"/>
      <c r="H113" s="511"/>
      <c r="I113" s="511"/>
      <c r="J113" s="511"/>
      <c r="K113" s="511"/>
      <c r="L113" s="511"/>
      <c r="M113" s="511"/>
      <c r="N113" s="511"/>
      <c r="O113" s="511"/>
      <c r="P113" s="511"/>
      <c r="Q113" s="511"/>
      <c r="R113" s="511"/>
      <c r="S113" s="511"/>
      <c r="T113" s="511"/>
      <c r="U113" s="511"/>
      <c r="V113" s="511"/>
    </row>
    <row r="114" spans="3:22">
      <c r="C114" s="511"/>
      <c r="D114" s="511"/>
      <c r="E114" s="511"/>
      <c r="F114" s="511"/>
      <c r="G114" s="511"/>
      <c r="H114" s="511"/>
      <c r="I114" s="511"/>
      <c r="J114" s="511"/>
      <c r="K114" s="511"/>
      <c r="L114" s="511"/>
      <c r="M114" s="511"/>
      <c r="N114" s="511"/>
      <c r="O114" s="511"/>
      <c r="P114" s="511"/>
      <c r="Q114" s="511"/>
      <c r="R114" s="511"/>
      <c r="S114" s="511"/>
      <c r="T114" s="511"/>
      <c r="U114" s="511"/>
      <c r="V114" s="511"/>
    </row>
    <row r="115" spans="3:22">
      <c r="C115" s="511"/>
      <c r="D115" s="511"/>
      <c r="E115" s="511"/>
      <c r="F115" s="511"/>
      <c r="G115" s="511"/>
      <c r="H115" s="511"/>
      <c r="I115" s="511"/>
      <c r="J115" s="511"/>
      <c r="K115" s="511"/>
      <c r="L115" s="511"/>
      <c r="M115" s="511"/>
      <c r="N115" s="511"/>
      <c r="O115" s="511"/>
      <c r="P115" s="511"/>
      <c r="Q115" s="511"/>
      <c r="R115" s="511"/>
      <c r="S115" s="511"/>
      <c r="T115" s="511"/>
      <c r="U115" s="511"/>
      <c r="V115" s="511"/>
    </row>
    <row r="116" spans="3:22">
      <c r="C116" s="511"/>
      <c r="D116" s="511"/>
      <c r="E116" s="511"/>
      <c r="F116" s="511"/>
      <c r="G116" s="511"/>
      <c r="H116" s="511"/>
      <c r="I116" s="511"/>
      <c r="J116" s="511"/>
      <c r="K116" s="511"/>
      <c r="L116" s="511"/>
      <c r="M116" s="511"/>
      <c r="N116" s="511"/>
      <c r="O116" s="511"/>
      <c r="P116" s="511"/>
      <c r="Q116" s="511"/>
      <c r="R116" s="511"/>
      <c r="S116" s="511"/>
      <c r="T116" s="511"/>
      <c r="U116" s="511"/>
      <c r="V116" s="511"/>
    </row>
    <row r="117" spans="3:22">
      <c r="C117" s="511"/>
      <c r="D117" s="511"/>
      <c r="E117" s="511"/>
      <c r="F117" s="511"/>
      <c r="G117" s="511"/>
      <c r="H117" s="511"/>
      <c r="I117" s="511"/>
      <c r="J117" s="511"/>
      <c r="K117" s="511"/>
      <c r="L117" s="511"/>
      <c r="M117" s="511"/>
      <c r="N117" s="511"/>
      <c r="O117" s="511"/>
      <c r="P117" s="511"/>
      <c r="Q117" s="511"/>
      <c r="R117" s="511"/>
      <c r="S117" s="511"/>
      <c r="T117" s="511"/>
      <c r="U117" s="511"/>
      <c r="V117" s="511"/>
    </row>
    <row r="118" spans="3:22">
      <c r="C118" s="511"/>
      <c r="D118" s="511"/>
      <c r="E118" s="511"/>
      <c r="F118" s="511"/>
      <c r="G118" s="511"/>
      <c r="H118" s="511"/>
      <c r="I118" s="511"/>
      <c r="J118" s="511"/>
      <c r="K118" s="511"/>
      <c r="L118" s="511"/>
      <c r="M118" s="511"/>
      <c r="N118" s="511"/>
      <c r="O118" s="511"/>
      <c r="P118" s="511"/>
      <c r="Q118" s="511"/>
      <c r="R118" s="511"/>
      <c r="S118" s="511"/>
      <c r="T118" s="511"/>
      <c r="U118" s="511"/>
      <c r="V118" s="511"/>
    </row>
    <row r="119" spans="3:22">
      <c r="C119" s="511"/>
      <c r="D119" s="511"/>
      <c r="E119" s="511"/>
      <c r="F119" s="511"/>
      <c r="G119" s="511"/>
      <c r="H119" s="511"/>
      <c r="I119" s="511"/>
      <c r="J119" s="511"/>
      <c r="K119" s="511"/>
      <c r="L119" s="511"/>
      <c r="M119" s="511"/>
      <c r="N119" s="511"/>
      <c r="O119" s="511"/>
      <c r="P119" s="511"/>
      <c r="Q119" s="511"/>
      <c r="R119" s="511"/>
      <c r="S119" s="511"/>
      <c r="T119" s="511"/>
      <c r="U119" s="511"/>
      <c r="V119" s="511"/>
    </row>
    <row r="120" spans="3:22">
      <c r="C120" s="511"/>
      <c r="D120" s="511"/>
      <c r="E120" s="511"/>
      <c r="F120" s="511"/>
      <c r="G120" s="511"/>
      <c r="H120" s="511"/>
      <c r="I120" s="511"/>
      <c r="J120" s="511"/>
      <c r="K120" s="511"/>
      <c r="L120" s="511"/>
      <c r="M120" s="511"/>
      <c r="N120" s="511"/>
      <c r="O120" s="511"/>
      <c r="P120" s="511"/>
      <c r="Q120" s="511"/>
      <c r="R120" s="511"/>
      <c r="S120" s="511"/>
      <c r="T120" s="511"/>
      <c r="U120" s="511"/>
      <c r="V120" s="511"/>
    </row>
    <row r="121" spans="3:22">
      <c r="C121" s="511"/>
      <c r="D121" s="511"/>
      <c r="E121" s="511"/>
      <c r="F121" s="511"/>
      <c r="G121" s="511"/>
      <c r="H121" s="511"/>
      <c r="I121" s="511"/>
      <c r="J121" s="511"/>
      <c r="K121" s="511"/>
      <c r="L121" s="511"/>
      <c r="M121" s="511"/>
      <c r="N121" s="511"/>
      <c r="O121" s="511"/>
      <c r="P121" s="511"/>
      <c r="Q121" s="511"/>
      <c r="R121" s="511"/>
      <c r="S121" s="511"/>
      <c r="T121" s="511"/>
      <c r="U121" s="511"/>
      <c r="V121" s="511"/>
    </row>
    <row r="122" spans="3:22">
      <c r="C122" s="511"/>
      <c r="D122" s="511"/>
      <c r="E122" s="511"/>
      <c r="F122" s="511"/>
      <c r="G122" s="511"/>
      <c r="H122" s="511"/>
      <c r="I122" s="511"/>
      <c r="J122" s="511"/>
      <c r="K122" s="511"/>
      <c r="L122" s="511"/>
      <c r="M122" s="511"/>
      <c r="N122" s="511"/>
      <c r="O122" s="511"/>
      <c r="P122" s="511"/>
      <c r="Q122" s="511"/>
      <c r="R122" s="511"/>
      <c r="S122" s="511"/>
      <c r="T122" s="511"/>
      <c r="U122" s="511"/>
      <c r="V122" s="511"/>
    </row>
    <row r="123" spans="3:22">
      <c r="C123" s="511"/>
      <c r="D123" s="511"/>
      <c r="E123" s="511"/>
      <c r="F123" s="511"/>
      <c r="G123" s="511"/>
      <c r="H123" s="511"/>
      <c r="I123" s="511"/>
      <c r="J123" s="511"/>
      <c r="K123" s="511"/>
      <c r="L123" s="511"/>
      <c r="M123" s="511"/>
      <c r="N123" s="511"/>
      <c r="O123" s="511"/>
      <c r="P123" s="511"/>
      <c r="Q123" s="511"/>
      <c r="R123" s="511"/>
      <c r="S123" s="511"/>
      <c r="T123" s="511"/>
      <c r="U123" s="511"/>
      <c r="V123" s="511"/>
    </row>
    <row r="124" spans="3:22">
      <c r="C124" s="511"/>
      <c r="D124" s="511"/>
      <c r="E124" s="511"/>
      <c r="F124" s="511"/>
      <c r="G124" s="511"/>
      <c r="H124" s="511"/>
      <c r="I124" s="511"/>
      <c r="J124" s="511"/>
      <c r="K124" s="511"/>
      <c r="L124" s="511"/>
      <c r="M124" s="511"/>
      <c r="N124" s="511"/>
      <c r="O124" s="511"/>
      <c r="P124" s="511"/>
      <c r="Q124" s="511"/>
      <c r="R124" s="511"/>
      <c r="S124" s="511"/>
      <c r="T124" s="511"/>
      <c r="U124" s="511"/>
      <c r="V124" s="511"/>
    </row>
    <row r="125" spans="3:22">
      <c r="C125" s="511"/>
      <c r="D125" s="511"/>
      <c r="E125" s="511"/>
      <c r="F125" s="511"/>
      <c r="G125" s="511"/>
      <c r="H125" s="511"/>
      <c r="I125" s="511"/>
      <c r="J125" s="511"/>
      <c r="K125" s="511"/>
      <c r="L125" s="511"/>
      <c r="M125" s="511"/>
      <c r="N125" s="511"/>
      <c r="O125" s="511"/>
      <c r="P125" s="511"/>
      <c r="Q125" s="511"/>
      <c r="R125" s="511"/>
      <c r="S125" s="511"/>
      <c r="T125" s="511"/>
      <c r="U125" s="511"/>
      <c r="V125" s="511"/>
    </row>
    <row r="126" spans="3:22">
      <c r="C126" s="511"/>
      <c r="D126" s="511"/>
      <c r="E126" s="511"/>
      <c r="F126" s="511"/>
      <c r="G126" s="511"/>
      <c r="H126" s="511"/>
      <c r="I126" s="511"/>
      <c r="J126" s="511"/>
      <c r="K126" s="511"/>
      <c r="L126" s="511"/>
      <c r="M126" s="511"/>
      <c r="N126" s="511"/>
      <c r="O126" s="511"/>
      <c r="P126" s="511"/>
      <c r="Q126" s="511"/>
      <c r="R126" s="511"/>
      <c r="S126" s="511"/>
      <c r="T126" s="511"/>
      <c r="U126" s="511"/>
      <c r="V126" s="511"/>
    </row>
    <row r="127" spans="3:22">
      <c r="C127" s="511"/>
      <c r="D127" s="511"/>
      <c r="E127" s="511"/>
      <c r="F127" s="511"/>
      <c r="G127" s="511"/>
      <c r="H127" s="511"/>
      <c r="I127" s="511"/>
      <c r="J127" s="511"/>
      <c r="K127" s="511"/>
      <c r="L127" s="511"/>
      <c r="M127" s="511"/>
      <c r="N127" s="511"/>
      <c r="O127" s="511"/>
      <c r="P127" s="511"/>
      <c r="Q127" s="511"/>
      <c r="R127" s="511"/>
      <c r="S127" s="511"/>
      <c r="T127" s="511"/>
      <c r="U127" s="511"/>
      <c r="V127" s="511"/>
    </row>
    <row r="128" spans="3:22">
      <c r="C128" s="511"/>
      <c r="D128" s="511"/>
      <c r="E128" s="511"/>
      <c r="F128" s="511"/>
      <c r="G128" s="511"/>
      <c r="H128" s="511"/>
      <c r="I128" s="511"/>
      <c r="J128" s="511"/>
      <c r="K128" s="511"/>
      <c r="L128" s="511"/>
      <c r="M128" s="511"/>
      <c r="N128" s="511"/>
      <c r="O128" s="511"/>
      <c r="P128" s="511"/>
      <c r="Q128" s="511"/>
      <c r="R128" s="511"/>
      <c r="S128" s="511"/>
      <c r="T128" s="511"/>
      <c r="U128" s="511"/>
      <c r="V128" s="511"/>
    </row>
    <row r="129" spans="3:22">
      <c r="C129" s="511"/>
      <c r="D129" s="511"/>
      <c r="E129" s="511"/>
      <c r="F129" s="511"/>
      <c r="G129" s="511"/>
      <c r="H129" s="511"/>
      <c r="I129" s="511"/>
      <c r="J129" s="511"/>
      <c r="K129" s="511"/>
      <c r="L129" s="511"/>
      <c r="M129" s="511"/>
      <c r="N129" s="511"/>
      <c r="O129" s="511"/>
      <c r="P129" s="511"/>
      <c r="Q129" s="511"/>
      <c r="R129" s="511"/>
      <c r="S129" s="511"/>
      <c r="T129" s="511"/>
      <c r="U129" s="511"/>
      <c r="V129" s="511"/>
    </row>
    <row r="130" spans="3:22">
      <c r="C130" s="511"/>
      <c r="D130" s="511"/>
      <c r="E130" s="511"/>
      <c r="F130" s="511"/>
      <c r="G130" s="511"/>
      <c r="H130" s="511"/>
      <c r="I130" s="511"/>
      <c r="J130" s="511"/>
      <c r="K130" s="511"/>
      <c r="L130" s="511"/>
      <c r="M130" s="511"/>
      <c r="N130" s="511"/>
      <c r="O130" s="511"/>
      <c r="P130" s="511"/>
      <c r="Q130" s="511"/>
      <c r="R130" s="511"/>
      <c r="S130" s="511"/>
      <c r="T130" s="511"/>
      <c r="U130" s="511"/>
      <c r="V130" s="511"/>
    </row>
    <row r="131" spans="3:22">
      <c r="C131" s="511"/>
      <c r="D131" s="511"/>
      <c r="E131" s="511"/>
      <c r="F131" s="511"/>
      <c r="G131" s="511"/>
      <c r="H131" s="511"/>
      <c r="I131" s="511"/>
      <c r="J131" s="511"/>
      <c r="K131" s="511"/>
      <c r="L131" s="511"/>
      <c r="M131" s="511"/>
      <c r="N131" s="511"/>
      <c r="O131" s="511"/>
      <c r="P131" s="511"/>
      <c r="Q131" s="511"/>
      <c r="R131" s="511"/>
      <c r="S131" s="511"/>
      <c r="T131" s="511"/>
      <c r="U131" s="511"/>
      <c r="V131" s="511"/>
    </row>
    <row r="132" spans="3:22">
      <c r="C132" s="511"/>
      <c r="D132" s="511"/>
      <c r="E132" s="511"/>
      <c r="F132" s="511"/>
      <c r="G132" s="511"/>
      <c r="H132" s="511"/>
      <c r="I132" s="511"/>
      <c r="J132" s="511"/>
      <c r="K132" s="511"/>
      <c r="L132" s="511"/>
      <c r="M132" s="511"/>
      <c r="N132" s="511"/>
      <c r="O132" s="511"/>
      <c r="P132" s="511"/>
      <c r="Q132" s="511"/>
      <c r="R132" s="511"/>
      <c r="S132" s="511"/>
      <c r="T132" s="511"/>
      <c r="U132" s="511"/>
      <c r="V132" s="511"/>
    </row>
    <row r="133" spans="3:22">
      <c r="C133" s="511"/>
      <c r="D133" s="511"/>
      <c r="E133" s="511"/>
      <c r="F133" s="511"/>
      <c r="G133" s="511"/>
      <c r="H133" s="511"/>
      <c r="I133" s="511"/>
      <c r="J133" s="511"/>
      <c r="K133" s="511"/>
      <c r="L133" s="511"/>
      <c r="M133" s="511"/>
      <c r="N133" s="511"/>
      <c r="O133" s="511"/>
      <c r="P133" s="511"/>
      <c r="Q133" s="511"/>
      <c r="R133" s="511"/>
      <c r="S133" s="511"/>
      <c r="T133" s="511"/>
      <c r="U133" s="511"/>
      <c r="V133" s="511"/>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zoomScaleNormal="100" workbookViewId="0">
      <pane xSplit="1" ySplit="4" topLeftCell="Z5" activePane="bottomRight" state="frozen"/>
      <selection pane="topRight" activeCell="B1" sqref="B1"/>
      <selection pane="bottomLeft" activeCell="A5" sqref="A5"/>
      <selection pane="bottomRight" activeCell="A13" sqref="A13"/>
    </sheetView>
  </sheetViews>
  <sheetFormatPr defaultRowHeight="12.75"/>
  <cols>
    <col min="1" max="1" width="55.28515625" style="462" customWidth="1"/>
    <col min="2" max="13" width="9" style="462" customWidth="1"/>
    <col min="14" max="25" width="9.140625" style="462" customWidth="1"/>
    <col min="26" max="201" width="9.140625" style="462"/>
    <col min="202" max="202" width="55.28515625" style="462" customWidth="1"/>
    <col min="203" max="271" width="0" style="462" hidden="1" customWidth="1"/>
    <col min="272" max="457" width="9.140625" style="462"/>
    <col min="458" max="458" width="55.28515625" style="462" customWidth="1"/>
    <col min="459" max="527" width="0" style="462" hidden="1" customWidth="1"/>
    <col min="528" max="713" width="9.140625" style="462"/>
    <col min="714" max="714" width="55.28515625" style="462" customWidth="1"/>
    <col min="715" max="783" width="0" style="462" hidden="1" customWidth="1"/>
    <col min="784" max="969" width="9.140625" style="462"/>
    <col min="970" max="970" width="55.28515625" style="462" customWidth="1"/>
    <col min="971" max="1039" width="0" style="462" hidden="1" customWidth="1"/>
    <col min="1040" max="1225" width="9.140625" style="462"/>
    <col min="1226" max="1226" width="55.28515625" style="462" customWidth="1"/>
    <col min="1227" max="1295" width="0" style="462" hidden="1" customWidth="1"/>
    <col min="1296" max="1481" width="9.140625" style="462"/>
    <col min="1482" max="1482" width="55.28515625" style="462" customWidth="1"/>
    <col min="1483" max="1551" width="0" style="462" hidden="1" customWidth="1"/>
    <col min="1552" max="1737" width="9.140625" style="462"/>
    <col min="1738" max="1738" width="55.28515625" style="462" customWidth="1"/>
    <col min="1739" max="1807" width="0" style="462" hidden="1" customWidth="1"/>
    <col min="1808" max="1993" width="9.140625" style="462"/>
    <col min="1994" max="1994" width="55.28515625" style="462" customWidth="1"/>
    <col min="1995" max="2063" width="0" style="462" hidden="1" customWidth="1"/>
    <col min="2064" max="2249" width="9.140625" style="462"/>
    <col min="2250" max="2250" width="55.28515625" style="462" customWidth="1"/>
    <col min="2251" max="2319" width="0" style="462" hidden="1" customWidth="1"/>
    <col min="2320" max="2505" width="9.140625" style="462"/>
    <col min="2506" max="2506" width="55.28515625" style="462" customWidth="1"/>
    <col min="2507" max="2575" width="0" style="462" hidden="1" customWidth="1"/>
    <col min="2576" max="2761" width="9.140625" style="462"/>
    <col min="2762" max="2762" width="55.28515625" style="462" customWidth="1"/>
    <col min="2763" max="2831" width="0" style="462" hidden="1" customWidth="1"/>
    <col min="2832" max="3017" width="9.140625" style="462"/>
    <col min="3018" max="3018" width="55.28515625" style="462" customWidth="1"/>
    <col min="3019" max="3087" width="0" style="462" hidden="1" customWidth="1"/>
    <col min="3088" max="3273" width="9.140625" style="462"/>
    <col min="3274" max="3274" width="55.28515625" style="462" customWidth="1"/>
    <col min="3275" max="3343" width="0" style="462" hidden="1" customWidth="1"/>
    <col min="3344" max="3529" width="9.140625" style="462"/>
    <col min="3530" max="3530" width="55.28515625" style="462" customWidth="1"/>
    <col min="3531" max="3599" width="0" style="462" hidden="1" customWidth="1"/>
    <col min="3600" max="3785" width="9.140625" style="462"/>
    <col min="3786" max="3786" width="55.28515625" style="462" customWidth="1"/>
    <col min="3787" max="3855" width="0" style="462" hidden="1" customWidth="1"/>
    <col min="3856" max="4041" width="9.140625" style="462"/>
    <col min="4042" max="4042" width="55.28515625" style="462" customWidth="1"/>
    <col min="4043" max="4111" width="0" style="462" hidden="1" customWidth="1"/>
    <col min="4112" max="4297" width="9.140625" style="462"/>
    <col min="4298" max="4298" width="55.28515625" style="462" customWidth="1"/>
    <col min="4299" max="4367" width="0" style="462" hidden="1" customWidth="1"/>
    <col min="4368" max="4553" width="9.140625" style="462"/>
    <col min="4554" max="4554" width="55.28515625" style="462" customWidth="1"/>
    <col min="4555" max="4623" width="0" style="462" hidden="1" customWidth="1"/>
    <col min="4624" max="4809" width="9.140625" style="462"/>
    <col min="4810" max="4810" width="55.28515625" style="462" customWidth="1"/>
    <col min="4811" max="4879" width="0" style="462" hidden="1" customWidth="1"/>
    <col min="4880" max="5065" width="9.140625" style="462"/>
    <col min="5066" max="5066" width="55.28515625" style="462" customWidth="1"/>
    <col min="5067" max="5135" width="0" style="462" hidden="1" customWidth="1"/>
    <col min="5136" max="5321" width="9.140625" style="462"/>
    <col min="5322" max="5322" width="55.28515625" style="462" customWidth="1"/>
    <col min="5323" max="5391" width="0" style="462" hidden="1" customWidth="1"/>
    <col min="5392" max="5577" width="9.140625" style="462"/>
    <col min="5578" max="5578" width="55.28515625" style="462" customWidth="1"/>
    <col min="5579" max="5647" width="0" style="462" hidden="1" customWidth="1"/>
    <col min="5648" max="5833" width="9.140625" style="462"/>
    <col min="5834" max="5834" width="55.28515625" style="462" customWidth="1"/>
    <col min="5835" max="5903" width="0" style="462" hidden="1" customWidth="1"/>
    <col min="5904" max="6089" width="9.140625" style="462"/>
    <col min="6090" max="6090" width="55.28515625" style="462" customWidth="1"/>
    <col min="6091" max="6159" width="0" style="462" hidden="1" customWidth="1"/>
    <col min="6160" max="6345" width="9.140625" style="462"/>
    <col min="6346" max="6346" width="55.28515625" style="462" customWidth="1"/>
    <col min="6347" max="6415" width="0" style="462" hidden="1" customWidth="1"/>
    <col min="6416" max="6601" width="9.140625" style="462"/>
    <col min="6602" max="6602" width="55.28515625" style="462" customWidth="1"/>
    <col min="6603" max="6671" width="0" style="462" hidden="1" customWidth="1"/>
    <col min="6672" max="6857" width="9.140625" style="462"/>
    <col min="6858" max="6858" width="55.28515625" style="462" customWidth="1"/>
    <col min="6859" max="6927" width="0" style="462" hidden="1" customWidth="1"/>
    <col min="6928" max="7113" width="9.140625" style="462"/>
    <col min="7114" max="7114" width="55.28515625" style="462" customWidth="1"/>
    <col min="7115" max="7183" width="0" style="462" hidden="1" customWidth="1"/>
    <col min="7184" max="7369" width="9.140625" style="462"/>
    <col min="7370" max="7370" width="55.28515625" style="462" customWidth="1"/>
    <col min="7371" max="7439" width="0" style="462" hidden="1" customWidth="1"/>
    <col min="7440" max="7625" width="9.140625" style="462"/>
    <col min="7626" max="7626" width="55.28515625" style="462" customWidth="1"/>
    <col min="7627" max="7695" width="0" style="462" hidden="1" customWidth="1"/>
    <col min="7696" max="7881" width="9.140625" style="462"/>
    <col min="7882" max="7882" width="55.28515625" style="462" customWidth="1"/>
    <col min="7883" max="7951" width="0" style="462" hidden="1" customWidth="1"/>
    <col min="7952" max="8137" width="9.140625" style="462"/>
    <col min="8138" max="8138" width="55.28515625" style="462" customWidth="1"/>
    <col min="8139" max="8207" width="0" style="462" hidden="1" customWidth="1"/>
    <col min="8208" max="8393" width="9.140625" style="462"/>
    <col min="8394" max="8394" width="55.28515625" style="462" customWidth="1"/>
    <col min="8395" max="8463" width="0" style="462" hidden="1" customWidth="1"/>
    <col min="8464" max="8649" width="9.140625" style="462"/>
    <col min="8650" max="8650" width="55.28515625" style="462" customWidth="1"/>
    <col min="8651" max="8719" width="0" style="462" hidden="1" customWidth="1"/>
    <col min="8720" max="8905" width="9.140625" style="462"/>
    <col min="8906" max="8906" width="55.28515625" style="462" customWidth="1"/>
    <col min="8907" max="8975" width="0" style="462" hidden="1" customWidth="1"/>
    <col min="8976" max="9161" width="9.140625" style="462"/>
    <col min="9162" max="9162" width="55.28515625" style="462" customWidth="1"/>
    <col min="9163" max="9231" width="0" style="462" hidden="1" customWidth="1"/>
    <col min="9232" max="9417" width="9.140625" style="462"/>
    <col min="9418" max="9418" width="55.28515625" style="462" customWidth="1"/>
    <col min="9419" max="9487" width="0" style="462" hidden="1" customWidth="1"/>
    <col min="9488" max="9673" width="9.140625" style="462"/>
    <col min="9674" max="9674" width="55.28515625" style="462" customWidth="1"/>
    <col min="9675" max="9743" width="0" style="462" hidden="1" customWidth="1"/>
    <col min="9744" max="9929" width="9.140625" style="462"/>
    <col min="9930" max="9930" width="55.28515625" style="462" customWidth="1"/>
    <col min="9931" max="9999" width="0" style="462" hidden="1" customWidth="1"/>
    <col min="10000" max="10185" width="9.140625" style="462"/>
    <col min="10186" max="10186" width="55.28515625" style="462" customWidth="1"/>
    <col min="10187" max="10255" width="0" style="462" hidden="1" customWidth="1"/>
    <col min="10256" max="10441" width="9.140625" style="462"/>
    <col min="10442" max="10442" width="55.28515625" style="462" customWidth="1"/>
    <col min="10443" max="10511" width="0" style="462" hidden="1" customWidth="1"/>
    <col min="10512" max="10697" width="9.140625" style="462"/>
    <col min="10698" max="10698" width="55.28515625" style="462" customWidth="1"/>
    <col min="10699" max="10767" width="0" style="462" hidden="1" customWidth="1"/>
    <col min="10768" max="10953" width="9.140625" style="462"/>
    <col min="10954" max="10954" width="55.28515625" style="462" customWidth="1"/>
    <col min="10955" max="11023" width="0" style="462" hidden="1" customWidth="1"/>
    <col min="11024" max="11209" width="9.140625" style="462"/>
    <col min="11210" max="11210" width="55.28515625" style="462" customWidth="1"/>
    <col min="11211" max="11279" width="0" style="462" hidden="1" customWidth="1"/>
    <col min="11280" max="11465" width="9.140625" style="462"/>
    <col min="11466" max="11466" width="55.28515625" style="462" customWidth="1"/>
    <col min="11467" max="11535" width="0" style="462" hidden="1" customWidth="1"/>
    <col min="11536" max="11721" width="9.140625" style="462"/>
    <col min="11722" max="11722" width="55.28515625" style="462" customWidth="1"/>
    <col min="11723" max="11791" width="0" style="462" hidden="1" customWidth="1"/>
    <col min="11792" max="11977" width="9.140625" style="462"/>
    <col min="11978" max="11978" width="55.28515625" style="462" customWidth="1"/>
    <col min="11979" max="12047" width="0" style="462" hidden="1" customWidth="1"/>
    <col min="12048" max="12233" width="9.140625" style="462"/>
    <col min="12234" max="12234" width="55.28515625" style="462" customWidth="1"/>
    <col min="12235" max="12303" width="0" style="462" hidden="1" customWidth="1"/>
    <col min="12304" max="12489" width="9.140625" style="462"/>
    <col min="12490" max="12490" width="55.28515625" style="462" customWidth="1"/>
    <col min="12491" max="12559" width="0" style="462" hidden="1" customWidth="1"/>
    <col min="12560" max="12745" width="9.140625" style="462"/>
    <col min="12746" max="12746" width="55.28515625" style="462" customWidth="1"/>
    <col min="12747" max="12815" width="0" style="462" hidden="1" customWidth="1"/>
    <col min="12816" max="13001" width="9.140625" style="462"/>
    <col min="13002" max="13002" width="55.28515625" style="462" customWidth="1"/>
    <col min="13003" max="13071" width="0" style="462" hidden="1" customWidth="1"/>
    <col min="13072" max="13257" width="9.140625" style="462"/>
    <col min="13258" max="13258" width="55.28515625" style="462" customWidth="1"/>
    <col min="13259" max="13327" width="0" style="462" hidden="1" customWidth="1"/>
    <col min="13328" max="13513" width="9.140625" style="462"/>
    <col min="13514" max="13514" width="55.28515625" style="462" customWidth="1"/>
    <col min="13515" max="13583" width="0" style="462" hidden="1" customWidth="1"/>
    <col min="13584" max="13769" width="9.140625" style="462"/>
    <col min="13770" max="13770" width="55.28515625" style="462" customWidth="1"/>
    <col min="13771" max="13839" width="0" style="462" hidden="1" customWidth="1"/>
    <col min="13840" max="14025" width="9.140625" style="462"/>
    <col min="14026" max="14026" width="55.28515625" style="462" customWidth="1"/>
    <col min="14027" max="14095" width="0" style="462" hidden="1" customWidth="1"/>
    <col min="14096" max="14281" width="9.140625" style="462"/>
    <col min="14282" max="14282" width="55.28515625" style="462" customWidth="1"/>
    <col min="14283" max="14351" width="0" style="462" hidden="1" customWidth="1"/>
    <col min="14352" max="14537" width="9.140625" style="462"/>
    <col min="14538" max="14538" width="55.28515625" style="462" customWidth="1"/>
    <col min="14539" max="14607" width="0" style="462" hidden="1" customWidth="1"/>
    <col min="14608" max="14793" width="9.140625" style="462"/>
    <col min="14794" max="14794" width="55.28515625" style="462" customWidth="1"/>
    <col min="14795" max="14863" width="0" style="462" hidden="1" customWidth="1"/>
    <col min="14864" max="15049" width="9.140625" style="462"/>
    <col min="15050" max="15050" width="55.28515625" style="462" customWidth="1"/>
    <col min="15051" max="15119" width="0" style="462" hidden="1" customWidth="1"/>
    <col min="15120" max="15305" width="9.140625" style="462"/>
    <col min="15306" max="15306" width="55.28515625" style="462" customWidth="1"/>
    <col min="15307" max="15375" width="0" style="462" hidden="1" customWidth="1"/>
    <col min="15376" max="15561" width="9.140625" style="462"/>
    <col min="15562" max="15562" width="55.28515625" style="462" customWidth="1"/>
    <col min="15563" max="15631" width="0" style="462" hidden="1" customWidth="1"/>
    <col min="15632" max="15817" width="9.140625" style="462"/>
    <col min="15818" max="15818" width="55.28515625" style="462" customWidth="1"/>
    <col min="15819" max="15887" width="0" style="462" hidden="1" customWidth="1"/>
    <col min="15888" max="16073" width="9.140625" style="462"/>
    <col min="16074" max="16074" width="55.28515625" style="462" customWidth="1"/>
    <col min="16075" max="16143" width="0" style="462" hidden="1" customWidth="1"/>
    <col min="16144" max="16384" width="9.140625" style="462"/>
  </cols>
  <sheetData>
    <row r="1" spans="1:38" ht="18.75">
      <c r="A1" s="512" t="s">
        <v>579</v>
      </c>
    </row>
    <row r="2" spans="1:38" ht="15.75">
      <c r="A2" s="513"/>
    </row>
    <row r="3" spans="1:38" ht="13.5" thickBot="1">
      <c r="A3" s="514"/>
      <c r="B3" s="515"/>
      <c r="C3" s="515"/>
      <c r="D3" s="515"/>
      <c r="E3" s="515"/>
      <c r="G3" s="515"/>
      <c r="H3" s="515"/>
      <c r="I3" s="515"/>
      <c r="K3" s="515"/>
      <c r="N3" s="515"/>
      <c r="O3" s="515"/>
      <c r="P3" s="515"/>
      <c r="Q3" s="515"/>
      <c r="R3" s="515"/>
      <c r="S3" s="515"/>
      <c r="T3" s="515"/>
      <c r="U3" s="515"/>
      <c r="V3" s="515"/>
      <c r="W3" s="515"/>
      <c r="X3" s="515"/>
      <c r="Y3" s="516"/>
      <c r="Z3" s="516"/>
      <c r="AA3" s="516"/>
      <c r="AB3" s="516"/>
      <c r="AC3" s="516"/>
      <c r="AD3" s="517"/>
      <c r="AE3" s="517"/>
      <c r="AF3" s="517"/>
      <c r="AG3" s="517"/>
      <c r="AH3" s="517"/>
      <c r="AI3" s="517"/>
      <c r="AJ3" s="517"/>
      <c r="AK3" s="518"/>
      <c r="AL3" s="518" t="s">
        <v>12</v>
      </c>
    </row>
    <row r="4" spans="1:38" ht="14.25" thickTop="1" thickBot="1">
      <c r="A4" s="519"/>
      <c r="B4" s="520">
        <v>40179</v>
      </c>
      <c r="C4" s="520">
        <v>40211</v>
      </c>
      <c r="D4" s="520">
        <v>40239</v>
      </c>
      <c r="E4" s="520">
        <v>40270</v>
      </c>
      <c r="F4" s="520">
        <v>40300</v>
      </c>
      <c r="G4" s="520">
        <v>40331</v>
      </c>
      <c r="H4" s="520">
        <v>40361</v>
      </c>
      <c r="I4" s="520">
        <v>40392</v>
      </c>
      <c r="J4" s="520">
        <v>40423</v>
      </c>
      <c r="K4" s="520">
        <v>40453</v>
      </c>
      <c r="L4" s="520">
        <v>40484</v>
      </c>
      <c r="M4" s="520">
        <v>40514</v>
      </c>
      <c r="N4" s="520">
        <v>40545</v>
      </c>
      <c r="O4" s="520">
        <v>40576</v>
      </c>
      <c r="P4" s="520">
        <v>40604</v>
      </c>
      <c r="Q4" s="520">
        <v>40635</v>
      </c>
      <c r="R4" s="520">
        <v>40665</v>
      </c>
      <c r="S4" s="520">
        <v>40696</v>
      </c>
      <c r="T4" s="520">
        <v>40726</v>
      </c>
      <c r="U4" s="520">
        <v>40757</v>
      </c>
      <c r="V4" s="520">
        <v>40788</v>
      </c>
      <c r="W4" s="520">
        <v>40818</v>
      </c>
      <c r="X4" s="520">
        <v>40849</v>
      </c>
      <c r="Y4" s="520">
        <v>40879</v>
      </c>
      <c r="Z4" s="520">
        <v>40910</v>
      </c>
      <c r="AA4" s="520">
        <v>40941</v>
      </c>
      <c r="AB4" s="520">
        <v>40970</v>
      </c>
      <c r="AC4" s="520">
        <v>41001</v>
      </c>
      <c r="AD4" s="520">
        <v>41031</v>
      </c>
      <c r="AE4" s="520">
        <v>41062</v>
      </c>
      <c r="AF4" s="520">
        <v>41092</v>
      </c>
      <c r="AG4" s="520">
        <v>41123</v>
      </c>
      <c r="AH4" s="520">
        <v>41154</v>
      </c>
      <c r="AI4" s="520">
        <v>41184</v>
      </c>
      <c r="AJ4" s="520">
        <v>41215</v>
      </c>
      <c r="AK4" s="520">
        <v>41245</v>
      </c>
      <c r="AL4" s="520">
        <v>41276</v>
      </c>
    </row>
    <row r="5" spans="1:38" ht="13.5" thickTop="1">
      <c r="A5" s="521"/>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row>
    <row r="6" spans="1:38">
      <c r="A6" s="523" t="s">
        <v>580</v>
      </c>
      <c r="B6" s="524">
        <v>66426.303235972882</v>
      </c>
      <c r="C6" s="524">
        <v>67813.347178623269</v>
      </c>
      <c r="D6" s="524">
        <v>67350.55298928589</v>
      </c>
      <c r="E6" s="524">
        <v>67898.424276395206</v>
      </c>
      <c r="F6" s="524">
        <v>70563.533940011592</v>
      </c>
      <c r="G6" s="524">
        <v>69029.206086238628</v>
      </c>
      <c r="H6" s="524">
        <v>69173.827566074178</v>
      </c>
      <c r="I6" s="524">
        <v>70109.753901685341</v>
      </c>
      <c r="J6" s="524">
        <v>73222.669057128718</v>
      </c>
      <c r="K6" s="524">
        <v>72628.910586909114</v>
      </c>
      <c r="L6" s="524">
        <v>74948.541309052278</v>
      </c>
      <c r="M6" s="524">
        <v>77907.26620021234</v>
      </c>
      <c r="N6" s="524">
        <v>74640.649942564065</v>
      </c>
      <c r="O6" s="524">
        <v>74618.615312754191</v>
      </c>
      <c r="P6" s="524">
        <v>76376.735414886105</v>
      </c>
      <c r="Q6" s="524">
        <v>75700.789623743025</v>
      </c>
      <c r="R6" s="524">
        <v>77269.692369705648</v>
      </c>
      <c r="S6" s="524">
        <v>79953.017943437662</v>
      </c>
      <c r="T6" s="524">
        <v>79074.75525046949</v>
      </c>
      <c r="U6" s="524">
        <v>79520.667822633579</v>
      </c>
      <c r="V6" s="524">
        <v>78671.260029511788</v>
      </c>
      <c r="W6" s="524">
        <v>81199.667306703283</v>
      </c>
      <c r="X6" s="524">
        <v>77556.049942866448</v>
      </c>
      <c r="Y6" s="524">
        <v>80100.875885288551</v>
      </c>
      <c r="Z6" s="524">
        <v>80040.746933815622</v>
      </c>
      <c r="AA6" s="524">
        <v>79939.581236785903</v>
      </c>
      <c r="AB6" s="524">
        <v>79411.668224062698</v>
      </c>
      <c r="AC6" s="524">
        <v>79032.748513622151</v>
      </c>
      <c r="AD6" s="524">
        <v>78098.527743300889</v>
      </c>
      <c r="AE6" s="524">
        <v>85159.248901662751</v>
      </c>
      <c r="AF6" s="524">
        <v>86394.874568552084</v>
      </c>
      <c r="AG6" s="524">
        <v>86880.112743733043</v>
      </c>
      <c r="AH6" s="524">
        <v>87928.224802783152</v>
      </c>
      <c r="AI6" s="524">
        <v>88106.871545446251</v>
      </c>
      <c r="AJ6" s="524">
        <v>90488.3945909303</v>
      </c>
      <c r="AK6" s="524">
        <v>91559.825805914632</v>
      </c>
      <c r="AL6" s="524">
        <v>94098.106945505308</v>
      </c>
    </row>
    <row r="7" spans="1:38">
      <c r="A7" s="525" t="s">
        <v>581</v>
      </c>
      <c r="B7" s="526">
        <v>66492.585799862878</v>
      </c>
      <c r="C7" s="526">
        <v>67862.01856516127</v>
      </c>
      <c r="D7" s="526">
        <v>67430.017346329885</v>
      </c>
      <c r="E7" s="526">
        <v>67945.452102185212</v>
      </c>
      <c r="F7" s="526">
        <v>70614.469927441591</v>
      </c>
      <c r="G7" s="526">
        <v>69077.816955356626</v>
      </c>
      <c r="H7" s="526">
        <v>69265.429972490179</v>
      </c>
      <c r="I7" s="526">
        <v>70224.263039725134</v>
      </c>
      <c r="J7" s="526">
        <v>73306.736101442715</v>
      </c>
      <c r="K7" s="526">
        <v>72737.86993747011</v>
      </c>
      <c r="L7" s="526">
        <v>75058.895358864276</v>
      </c>
      <c r="M7" s="526">
        <v>78026.980681843343</v>
      </c>
      <c r="N7" s="526">
        <v>74759.402480359786</v>
      </c>
      <c r="O7" s="526">
        <v>74756.632415967833</v>
      </c>
      <c r="P7" s="526">
        <v>76503.314619923578</v>
      </c>
      <c r="Q7" s="526">
        <v>75822.721528235488</v>
      </c>
      <c r="R7" s="526">
        <v>77399.73435942053</v>
      </c>
      <c r="S7" s="526">
        <v>80428.540590047662</v>
      </c>
      <c r="T7" s="526">
        <v>79203.946197350044</v>
      </c>
      <c r="U7" s="526">
        <v>79650.466859240361</v>
      </c>
      <c r="V7" s="526">
        <v>78845.458772601793</v>
      </c>
      <c r="W7" s="526">
        <v>81365.965833621827</v>
      </c>
      <c r="X7" s="526">
        <v>77788.750568031581</v>
      </c>
      <c r="Y7" s="526">
        <v>80237.109940980547</v>
      </c>
      <c r="Z7" s="526">
        <v>80176.177110206452</v>
      </c>
      <c r="AA7" s="526">
        <v>80076.559609812335</v>
      </c>
      <c r="AB7" s="526">
        <v>79548.29515837974</v>
      </c>
      <c r="AC7" s="526">
        <v>79170.996508812314</v>
      </c>
      <c r="AD7" s="526">
        <v>78259.701957858124</v>
      </c>
      <c r="AE7" s="526">
        <v>85301.194492148148</v>
      </c>
      <c r="AF7" s="526">
        <v>86536.615580950136</v>
      </c>
      <c r="AG7" s="526">
        <v>86975.8829999195</v>
      </c>
      <c r="AH7" s="526">
        <v>88031.529455901109</v>
      </c>
      <c r="AI7" s="526">
        <v>88210.393405284456</v>
      </c>
      <c r="AJ7" s="526">
        <v>90592.266418886065</v>
      </c>
      <c r="AK7" s="526">
        <v>91662.001872008113</v>
      </c>
      <c r="AL7" s="526">
        <v>94206.306852081107</v>
      </c>
    </row>
    <row r="8" spans="1:38">
      <c r="A8" s="525" t="s">
        <v>582</v>
      </c>
      <c r="B8" s="526">
        <v>66.282563890000006</v>
      </c>
      <c r="C8" s="526">
        <v>48.671386537999993</v>
      </c>
      <c r="D8" s="526">
        <v>79.464357043999996</v>
      </c>
      <c r="E8" s="526">
        <v>47.027825789999994</v>
      </c>
      <c r="F8" s="526">
        <v>50.935987430000004</v>
      </c>
      <c r="G8" s="526">
        <v>48.610869118000004</v>
      </c>
      <c r="H8" s="526">
        <v>91.602406415999994</v>
      </c>
      <c r="I8" s="526">
        <v>114.50913803979999</v>
      </c>
      <c r="J8" s="526">
        <v>84.067044314</v>
      </c>
      <c r="K8" s="526">
        <v>108.95935056100001</v>
      </c>
      <c r="L8" s="526">
        <v>110.354049812</v>
      </c>
      <c r="M8" s="526">
        <v>119.71448163099998</v>
      </c>
      <c r="N8" s="526">
        <v>118.75253779572</v>
      </c>
      <c r="O8" s="526">
        <v>138.01710321363998</v>
      </c>
      <c r="P8" s="526">
        <v>126.57920503747999</v>
      </c>
      <c r="Q8" s="526">
        <v>121.93190449245998</v>
      </c>
      <c r="R8" s="526">
        <v>130.04198971488</v>
      </c>
      <c r="S8" s="526">
        <v>475.52264660999992</v>
      </c>
      <c r="T8" s="526">
        <v>129.19094688056001</v>
      </c>
      <c r="U8" s="526">
        <v>129.79903660677999</v>
      </c>
      <c r="V8" s="526">
        <v>174.19874308999999</v>
      </c>
      <c r="W8" s="526">
        <v>166.29852691854001</v>
      </c>
      <c r="X8" s="526">
        <v>232.70062516512718</v>
      </c>
      <c r="Y8" s="526">
        <v>136.234055692</v>
      </c>
      <c r="Z8" s="526">
        <v>135.43017639083101</v>
      </c>
      <c r="AA8" s="526">
        <v>136.97837302643597</v>
      </c>
      <c r="AB8" s="526">
        <v>136.62693431704</v>
      </c>
      <c r="AC8" s="526">
        <v>138.24799519016801</v>
      </c>
      <c r="AD8" s="526">
        <v>161.1742145572403</v>
      </c>
      <c r="AE8" s="526">
        <v>141.945590485396</v>
      </c>
      <c r="AF8" s="526">
        <v>141.74101239805501</v>
      </c>
      <c r="AG8" s="526">
        <v>95.770256186449998</v>
      </c>
      <c r="AH8" s="526">
        <v>103.30465311795001</v>
      </c>
      <c r="AI8" s="526">
        <v>103.5218598382</v>
      </c>
      <c r="AJ8" s="526">
        <v>103.87182795577</v>
      </c>
      <c r="AK8" s="526">
        <v>102.17606609348002</v>
      </c>
      <c r="AL8" s="526">
        <v>108.19990657579299</v>
      </c>
    </row>
    <row r="9" spans="1:38">
      <c r="A9" s="527"/>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row>
    <row r="10" spans="1:38">
      <c r="A10" s="523" t="s">
        <v>583</v>
      </c>
      <c r="B10" s="524">
        <v>416.39877228</v>
      </c>
      <c r="C10" s="524">
        <v>398.98351687999997</v>
      </c>
      <c r="D10" s="524">
        <v>464.59303090000003</v>
      </c>
      <c r="E10" s="524">
        <v>369.60301450999998</v>
      </c>
      <c r="F10" s="524">
        <v>408.48481404999995</v>
      </c>
      <c r="G10" s="524">
        <v>451.59551101999995</v>
      </c>
      <c r="H10" s="524">
        <v>445.53247376000002</v>
      </c>
      <c r="I10" s="524">
        <v>375.32156171000003</v>
      </c>
      <c r="J10" s="524">
        <v>729.0334312199999</v>
      </c>
      <c r="K10" s="524">
        <v>725.01450312999987</v>
      </c>
      <c r="L10" s="524">
        <v>1098.9094759899999</v>
      </c>
      <c r="M10" s="524">
        <v>992.11887309000008</v>
      </c>
      <c r="N10" s="524">
        <v>1201.4398751599999</v>
      </c>
      <c r="O10" s="524">
        <v>986.17518556999994</v>
      </c>
      <c r="P10" s="524">
        <v>242.02596110999997</v>
      </c>
      <c r="Q10" s="524">
        <v>265.07175250999995</v>
      </c>
      <c r="R10" s="524">
        <v>629.2786777099999</v>
      </c>
      <c r="S10" s="524">
        <v>246.32987396999999</v>
      </c>
      <c r="T10" s="524">
        <v>1772.48621953</v>
      </c>
      <c r="U10" s="524">
        <v>1112.8485640200001</v>
      </c>
      <c r="V10" s="524">
        <v>719.99327042000004</v>
      </c>
      <c r="W10" s="524">
        <v>955.00277437</v>
      </c>
      <c r="X10" s="524">
        <v>1127.9270470100003</v>
      </c>
      <c r="Y10" s="524">
        <v>1138.7372729100002</v>
      </c>
      <c r="Z10" s="524">
        <v>1211.1530704200002</v>
      </c>
      <c r="AA10" s="524">
        <v>1131.4411226499999</v>
      </c>
      <c r="AB10" s="524">
        <v>1179.4819348599999</v>
      </c>
      <c r="AC10" s="524">
        <v>1157.8965479799999</v>
      </c>
      <c r="AD10" s="524">
        <v>218.86825797</v>
      </c>
      <c r="AE10" s="524">
        <v>450.09873363999998</v>
      </c>
      <c r="AF10" s="524">
        <v>152.5676181</v>
      </c>
      <c r="AG10" s="524">
        <v>445.32254952000005</v>
      </c>
      <c r="AH10" s="524">
        <v>763.68187892000003</v>
      </c>
      <c r="AI10" s="524">
        <v>1163.6323081500002</v>
      </c>
      <c r="AJ10" s="524">
        <v>1325.8463739199999</v>
      </c>
      <c r="AK10" s="524">
        <v>1804.5649623700001</v>
      </c>
      <c r="AL10" s="524">
        <v>2146.9082228399998</v>
      </c>
    </row>
    <row r="11" spans="1:38">
      <c r="A11" s="527"/>
      <c r="B11" s="528"/>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row>
    <row r="12" spans="1:38" ht="14.25">
      <c r="A12" s="523" t="s">
        <v>584</v>
      </c>
      <c r="B12" s="524">
        <v>-16094.591653099998</v>
      </c>
      <c r="C12" s="524">
        <v>-15133.990915980001</v>
      </c>
      <c r="D12" s="524">
        <v>-10574.257390679999</v>
      </c>
      <c r="E12" s="524">
        <v>-13160.13132181</v>
      </c>
      <c r="F12" s="524">
        <v>-13184.197336680001</v>
      </c>
      <c r="G12" s="524">
        <v>-12603.214470860001</v>
      </c>
      <c r="H12" s="524">
        <v>-12649.402737140001</v>
      </c>
      <c r="I12" s="524">
        <v>-13391.86586032</v>
      </c>
      <c r="J12" s="524">
        <v>-10710.94624886</v>
      </c>
      <c r="K12" s="524">
        <v>-7907.6478782200011</v>
      </c>
      <c r="L12" s="524">
        <v>-9717.4022466099996</v>
      </c>
      <c r="M12" s="524">
        <v>-8188.1413156799999</v>
      </c>
      <c r="N12" s="524">
        <v>-6786.1626598000003</v>
      </c>
      <c r="O12" s="524">
        <v>-6078.9120463599993</v>
      </c>
      <c r="P12" s="524">
        <v>-9329.6150178499993</v>
      </c>
      <c r="Q12" s="524">
        <v>-7700.4030417400008</v>
      </c>
      <c r="R12" s="524">
        <v>-9399.5067693700003</v>
      </c>
      <c r="S12" s="524">
        <v>-8187.5478094900009</v>
      </c>
      <c r="T12" s="524">
        <v>-9119.1807294400023</v>
      </c>
      <c r="U12" s="524">
        <v>-6278.5025332800014</v>
      </c>
      <c r="V12" s="524">
        <v>-8479.2297565699992</v>
      </c>
      <c r="W12" s="524">
        <v>-9170.7200766599999</v>
      </c>
      <c r="X12" s="524">
        <v>-7353.9978573200005</v>
      </c>
      <c r="Y12" s="524">
        <v>-5754.6808712699985</v>
      </c>
      <c r="Z12" s="524">
        <v>-7971.6672470000012</v>
      </c>
      <c r="AA12" s="524">
        <v>-6584.0367512299981</v>
      </c>
      <c r="AB12" s="524">
        <v>-7264.5883742700007</v>
      </c>
      <c r="AC12" s="524">
        <v>-6831.0905112400014</v>
      </c>
      <c r="AD12" s="524">
        <v>-6731.0735989400018</v>
      </c>
      <c r="AE12" s="524">
        <v>-9145.2165930400006</v>
      </c>
      <c r="AF12" s="524">
        <v>-9421.337206809998</v>
      </c>
      <c r="AG12" s="524">
        <v>-11348.510463179999</v>
      </c>
      <c r="AH12" s="524">
        <v>-10437.164946539999</v>
      </c>
      <c r="AI12" s="524">
        <v>-11934.293544650001</v>
      </c>
      <c r="AJ12" s="524">
        <v>-15389.813834499997</v>
      </c>
      <c r="AK12" s="524">
        <v>-9721.1458556500002</v>
      </c>
      <c r="AL12" s="524">
        <v>-11571.849526949998</v>
      </c>
    </row>
    <row r="13" spans="1:38">
      <c r="A13" s="525" t="s">
        <v>585</v>
      </c>
      <c r="B13" s="526">
        <v>549.75010699000006</v>
      </c>
      <c r="C13" s="526">
        <v>550.85699225999997</v>
      </c>
      <c r="D13" s="526">
        <v>477.41486412</v>
      </c>
      <c r="E13" s="526">
        <v>858.95183839999993</v>
      </c>
      <c r="F13" s="526">
        <v>1303.6483870500001</v>
      </c>
      <c r="G13" s="526">
        <v>1844.10998189</v>
      </c>
      <c r="H13" s="526">
        <v>1965.83924781</v>
      </c>
      <c r="I13" s="526">
        <v>2258.9554319200001</v>
      </c>
      <c r="J13" s="526">
        <v>2585.9917589500001</v>
      </c>
      <c r="K13" s="526">
        <v>3852.9324706999996</v>
      </c>
      <c r="L13" s="526">
        <v>4715.6667137699997</v>
      </c>
      <c r="M13" s="526">
        <v>5382.3653765999998</v>
      </c>
      <c r="N13" s="526">
        <v>5373.29925731</v>
      </c>
      <c r="O13" s="526">
        <v>5497.6521717300002</v>
      </c>
      <c r="P13" s="526">
        <v>5506.0446070600001</v>
      </c>
      <c r="Q13" s="526">
        <v>5753.6136106899994</v>
      </c>
      <c r="R13" s="526">
        <v>5568.8466461199996</v>
      </c>
      <c r="S13" s="526">
        <v>5785.0552399299995</v>
      </c>
      <c r="T13" s="526">
        <v>5888.7961917399998</v>
      </c>
      <c r="U13" s="526">
        <v>6327.5861512699994</v>
      </c>
      <c r="V13" s="526">
        <v>6270.1117044499997</v>
      </c>
      <c r="W13" s="526">
        <v>6681.2161204800004</v>
      </c>
      <c r="X13" s="526">
        <v>8446.9020713999998</v>
      </c>
      <c r="Y13" s="526">
        <v>9153.0711483899995</v>
      </c>
      <c r="Z13" s="526">
        <v>9515.2999755599994</v>
      </c>
      <c r="AA13" s="526">
        <v>9793.35363435</v>
      </c>
      <c r="AB13" s="526">
        <v>9467.6423170699982</v>
      </c>
      <c r="AC13" s="526">
        <v>9830.5223254699977</v>
      </c>
      <c r="AD13" s="526">
        <v>9826.4607385599993</v>
      </c>
      <c r="AE13" s="526">
        <v>9264.1876788000009</v>
      </c>
      <c r="AF13" s="526">
        <v>9218.8616261900006</v>
      </c>
      <c r="AG13" s="526">
        <v>8422.1579610000008</v>
      </c>
      <c r="AH13" s="526">
        <v>7958.31289956</v>
      </c>
      <c r="AI13" s="526">
        <v>6858.3900487000001</v>
      </c>
      <c r="AJ13" s="526">
        <v>5187.7303872000002</v>
      </c>
      <c r="AK13" s="526">
        <v>5183.1208412000005</v>
      </c>
      <c r="AL13" s="526">
        <v>6185.9692967000001</v>
      </c>
    </row>
    <row r="14" spans="1:38">
      <c r="A14" s="525" t="s">
        <v>586</v>
      </c>
      <c r="B14" s="526">
        <v>16644.341760089999</v>
      </c>
      <c r="C14" s="526">
        <v>15684.847908240001</v>
      </c>
      <c r="D14" s="526">
        <v>11051.6722548</v>
      </c>
      <c r="E14" s="526">
        <v>14019.083160210001</v>
      </c>
      <c r="F14" s="526">
        <v>14487.845723730001</v>
      </c>
      <c r="G14" s="526">
        <v>14447.324452750001</v>
      </c>
      <c r="H14" s="526">
        <v>14615.24198495</v>
      </c>
      <c r="I14" s="526">
        <v>15650.82129224</v>
      </c>
      <c r="J14" s="526">
        <v>13296.93800781</v>
      </c>
      <c r="K14" s="526">
        <v>11760.580348920001</v>
      </c>
      <c r="L14" s="526">
        <v>14433.06896038</v>
      </c>
      <c r="M14" s="526">
        <v>13570.50669228</v>
      </c>
      <c r="N14" s="526">
        <v>12159.46191711</v>
      </c>
      <c r="O14" s="526">
        <v>11576.564218089999</v>
      </c>
      <c r="P14" s="526">
        <v>14835.659624909998</v>
      </c>
      <c r="Q14" s="526">
        <v>13454.01665243</v>
      </c>
      <c r="R14" s="526">
        <v>14968.353415490001</v>
      </c>
      <c r="S14" s="526">
        <v>13972.60304942</v>
      </c>
      <c r="T14" s="526">
        <v>15007.976921180001</v>
      </c>
      <c r="U14" s="526">
        <v>12606.088684550001</v>
      </c>
      <c r="V14" s="526">
        <v>14749.34146102</v>
      </c>
      <c r="W14" s="526">
        <v>15851.936197139999</v>
      </c>
      <c r="X14" s="526">
        <v>15800.89992872</v>
      </c>
      <c r="Y14" s="526">
        <v>14907.752019659998</v>
      </c>
      <c r="Z14" s="526">
        <v>17486.967222560001</v>
      </c>
      <c r="AA14" s="526">
        <v>16377.390385579998</v>
      </c>
      <c r="AB14" s="526">
        <v>16732.230691339999</v>
      </c>
      <c r="AC14" s="526">
        <v>16661.612836709999</v>
      </c>
      <c r="AD14" s="526">
        <v>16557.534337500001</v>
      </c>
      <c r="AE14" s="526">
        <v>18409.404271840001</v>
      </c>
      <c r="AF14" s="526">
        <v>18640.198832999999</v>
      </c>
      <c r="AG14" s="526">
        <v>19770.668424179999</v>
      </c>
      <c r="AH14" s="526">
        <v>18395.477846099999</v>
      </c>
      <c r="AI14" s="526">
        <v>18792.683593350001</v>
      </c>
      <c r="AJ14" s="526">
        <v>20577.544221699998</v>
      </c>
      <c r="AK14" s="526">
        <v>14904.266696850002</v>
      </c>
      <c r="AL14" s="526">
        <v>17757.818823649999</v>
      </c>
    </row>
    <row r="15" spans="1:38">
      <c r="A15" s="527"/>
      <c r="B15" s="528"/>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row>
    <row r="16" spans="1:38">
      <c r="A16" s="523" t="s">
        <v>587</v>
      </c>
      <c r="B16" s="524">
        <v>153.19780331999999</v>
      </c>
      <c r="C16" s="524">
        <v>154.31596911</v>
      </c>
      <c r="D16" s="524">
        <v>138.70587049999997</v>
      </c>
      <c r="E16" s="524">
        <v>145.20146566999998</v>
      </c>
      <c r="F16" s="524">
        <v>139.64907062999998</v>
      </c>
      <c r="G16" s="524">
        <v>144.54348844999998</v>
      </c>
      <c r="H16" s="524">
        <v>136.46690247999999</v>
      </c>
      <c r="I16" s="524">
        <v>137.70103456999999</v>
      </c>
      <c r="J16" s="524">
        <v>166.28222216</v>
      </c>
      <c r="K16" s="524">
        <v>164.10271523999998</v>
      </c>
      <c r="L16" s="524">
        <v>188.36966712999998</v>
      </c>
      <c r="M16" s="524">
        <v>289.10614802999993</v>
      </c>
      <c r="N16" s="524">
        <v>325.25928297999997</v>
      </c>
      <c r="O16" s="524">
        <v>266.26099159999995</v>
      </c>
      <c r="P16" s="524">
        <v>282.16233682000001</v>
      </c>
      <c r="Q16" s="524">
        <v>326.19289162000001</v>
      </c>
      <c r="R16" s="524">
        <v>355.96613649</v>
      </c>
      <c r="S16" s="524">
        <v>144.95301177000002</v>
      </c>
      <c r="T16" s="524">
        <v>145.04960496999999</v>
      </c>
      <c r="U16" s="524">
        <v>146.18456738</v>
      </c>
      <c r="V16" s="524">
        <v>147.98835771</v>
      </c>
      <c r="W16" s="524">
        <v>189.87692557</v>
      </c>
      <c r="X16" s="524">
        <v>188.68572480999998</v>
      </c>
      <c r="Y16" s="524">
        <v>187.66180904000001</v>
      </c>
      <c r="Z16" s="524">
        <v>184.76241243000001</v>
      </c>
      <c r="AA16" s="524">
        <v>235.96431477000002</v>
      </c>
      <c r="AB16" s="524">
        <v>228.80128807000003</v>
      </c>
      <c r="AC16" s="524">
        <v>202.30284356000001</v>
      </c>
      <c r="AD16" s="524">
        <v>207.31680611000002</v>
      </c>
      <c r="AE16" s="524">
        <v>142.31707372000002</v>
      </c>
      <c r="AF16" s="524">
        <v>246.29880878</v>
      </c>
      <c r="AG16" s="524">
        <v>157.61338316000001</v>
      </c>
      <c r="AH16" s="524">
        <v>186.53756657</v>
      </c>
      <c r="AI16" s="524">
        <v>186.00266166</v>
      </c>
      <c r="AJ16" s="524">
        <v>148.20166657000001</v>
      </c>
      <c r="AK16" s="524">
        <v>184.47326498999999</v>
      </c>
      <c r="AL16" s="524">
        <v>158.50110899000001</v>
      </c>
    </row>
    <row r="17" spans="1:38">
      <c r="A17" s="523"/>
      <c r="B17" s="529"/>
      <c r="C17" s="529"/>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row>
    <row r="18" spans="1:38">
      <c r="A18" s="523" t="s">
        <v>588</v>
      </c>
      <c r="B18" s="524">
        <v>32306.578817460002</v>
      </c>
      <c r="C18" s="524">
        <v>34188.331145164084</v>
      </c>
      <c r="D18" s="524">
        <v>35018.925947288786</v>
      </c>
      <c r="E18" s="524">
        <v>33972.916108010002</v>
      </c>
      <c r="F18" s="524">
        <v>35004.952882689249</v>
      </c>
      <c r="G18" s="524">
        <v>35648.822886965798</v>
      </c>
      <c r="H18" s="524">
        <v>38111.517277910505</v>
      </c>
      <c r="I18" s="524">
        <v>36422.298472737748</v>
      </c>
      <c r="J18" s="524">
        <v>36444.26897664788</v>
      </c>
      <c r="K18" s="524">
        <v>38868.215593856054</v>
      </c>
      <c r="L18" s="524">
        <v>40023.459073151535</v>
      </c>
      <c r="M18" s="524">
        <v>44935.527259780167</v>
      </c>
      <c r="N18" s="524">
        <v>44220.858916383426</v>
      </c>
      <c r="O18" s="524">
        <v>43457.966264730763</v>
      </c>
      <c r="P18" s="524">
        <v>42616.030383652505</v>
      </c>
      <c r="Q18" s="524">
        <v>43519.537135460872</v>
      </c>
      <c r="R18" s="524">
        <v>41534.157818012638</v>
      </c>
      <c r="S18" s="524">
        <v>42236.711520816105</v>
      </c>
      <c r="T18" s="524">
        <v>42073.932665119974</v>
      </c>
      <c r="U18" s="524">
        <v>44194.178057538316</v>
      </c>
      <c r="V18" s="524">
        <v>42292.116241218129</v>
      </c>
      <c r="W18" s="524">
        <v>42459.190507549785</v>
      </c>
      <c r="X18" s="524">
        <v>41967.209032272607</v>
      </c>
      <c r="Y18" s="524">
        <v>48280.871327637411</v>
      </c>
      <c r="Z18" s="524">
        <v>43850.805226779208</v>
      </c>
      <c r="AA18" s="524">
        <v>44901.044055009108</v>
      </c>
      <c r="AB18" s="524">
        <v>44639.243475667608</v>
      </c>
      <c r="AC18" s="524">
        <v>44527.063578133653</v>
      </c>
      <c r="AD18" s="524">
        <v>44662.991762790327</v>
      </c>
      <c r="AE18" s="524">
        <v>45910.968640197767</v>
      </c>
      <c r="AF18" s="524">
        <v>46049.629763349993</v>
      </c>
      <c r="AG18" s="524">
        <v>46185.34960224</v>
      </c>
      <c r="AH18" s="524">
        <v>47267.960582840002</v>
      </c>
      <c r="AI18" s="524">
        <v>46439.120953459998</v>
      </c>
      <c r="AJ18" s="524">
        <v>45499.108851889992</v>
      </c>
      <c r="AK18" s="524">
        <v>52622.930014159996</v>
      </c>
      <c r="AL18" s="524">
        <v>50086.680641910003</v>
      </c>
    </row>
    <row r="19" spans="1:38">
      <c r="A19" s="525" t="s">
        <v>589</v>
      </c>
      <c r="B19" s="526">
        <v>18952.441887060002</v>
      </c>
      <c r="C19" s="526">
        <v>18641.061393979999</v>
      </c>
      <c r="D19" s="526">
        <v>18743.303560849996</v>
      </c>
      <c r="E19" s="526">
        <v>18751.685785169997</v>
      </c>
      <c r="F19" s="526">
        <v>18911.351549290001</v>
      </c>
      <c r="G19" s="526">
        <v>18649.461355769999</v>
      </c>
      <c r="H19" s="526">
        <v>18959.472219740001</v>
      </c>
      <c r="I19" s="526">
        <v>19099.734956819997</v>
      </c>
      <c r="J19" s="526">
        <v>19096.175257759998</v>
      </c>
      <c r="K19" s="526">
        <v>19126.732547099997</v>
      </c>
      <c r="L19" s="526">
        <v>19515.158774399999</v>
      </c>
      <c r="M19" s="526">
        <v>22591.76147184</v>
      </c>
      <c r="N19" s="526">
        <v>21236.65837347</v>
      </c>
      <c r="O19" s="526">
        <v>20538.891013150002</v>
      </c>
      <c r="P19" s="526">
        <v>20556.85096652</v>
      </c>
      <c r="Q19" s="526">
        <v>20352.834272419997</v>
      </c>
      <c r="R19" s="526">
        <v>20595.249062759998</v>
      </c>
      <c r="S19" s="526">
        <v>20453.797603709998</v>
      </c>
      <c r="T19" s="526">
        <v>20905.664051119998</v>
      </c>
      <c r="U19" s="526">
        <v>21645.42161148</v>
      </c>
      <c r="V19" s="526">
        <v>21156.80149025</v>
      </c>
      <c r="W19" s="526">
        <v>21838.137164569998</v>
      </c>
      <c r="X19" s="526">
        <v>21414.945182689997</v>
      </c>
      <c r="Y19" s="526">
        <v>24469.755843179999</v>
      </c>
      <c r="Z19" s="526">
        <v>22588.058014799997</v>
      </c>
      <c r="AA19" s="526">
        <v>22171.260158819998</v>
      </c>
      <c r="AB19" s="526">
        <v>21862.04674324</v>
      </c>
      <c r="AC19" s="526">
        <v>21939.357956429998</v>
      </c>
      <c r="AD19" s="526">
        <v>22081.98990434</v>
      </c>
      <c r="AE19" s="526">
        <v>21745.491674569999</v>
      </c>
      <c r="AF19" s="526">
        <v>22149.626996290001</v>
      </c>
      <c r="AG19" s="526">
        <v>22572.425488049998</v>
      </c>
      <c r="AH19" s="526">
        <v>22452.776109720002</v>
      </c>
      <c r="AI19" s="526">
        <v>23032.897365330002</v>
      </c>
      <c r="AJ19" s="526">
        <v>23216.152670249998</v>
      </c>
      <c r="AK19" s="526">
        <v>26961.314001819999</v>
      </c>
      <c r="AL19" s="526">
        <v>25163.105337090001</v>
      </c>
    </row>
    <row r="20" spans="1:38">
      <c r="A20" s="525" t="s">
        <v>590</v>
      </c>
      <c r="B20" s="526">
        <v>13180.361091909999</v>
      </c>
      <c r="C20" s="526">
        <v>15445.119449369999</v>
      </c>
      <c r="D20" s="526">
        <v>16168.046902009999</v>
      </c>
      <c r="E20" s="526">
        <v>15124.25977701</v>
      </c>
      <c r="F20" s="526">
        <v>16001.144004809998</v>
      </c>
      <c r="G20" s="526">
        <v>16558.544007380002</v>
      </c>
      <c r="H20" s="526">
        <v>19007.349950509997</v>
      </c>
      <c r="I20" s="526">
        <v>17182.945034510001</v>
      </c>
      <c r="J20" s="526">
        <v>17080.954378169998</v>
      </c>
      <c r="K20" s="526">
        <v>19601.086913409999</v>
      </c>
      <c r="L20" s="526">
        <v>20360.644917080001</v>
      </c>
      <c r="M20" s="526">
        <v>22187.582204819999</v>
      </c>
      <c r="N20" s="526">
        <v>22842.828379009999</v>
      </c>
      <c r="O20" s="526">
        <v>22753.930035100002</v>
      </c>
      <c r="P20" s="526">
        <v>21902.896262459999</v>
      </c>
      <c r="Q20" s="526">
        <v>22996.164349359999</v>
      </c>
      <c r="R20" s="526">
        <v>20819.986171249999</v>
      </c>
      <c r="S20" s="526">
        <v>21555.850004669999</v>
      </c>
      <c r="T20" s="526">
        <v>21020.661866890001</v>
      </c>
      <c r="U20" s="526">
        <v>22403.703741509999</v>
      </c>
      <c r="V20" s="526">
        <v>20956.707757559998</v>
      </c>
      <c r="W20" s="526">
        <v>20392.186258429996</v>
      </c>
      <c r="X20" s="526">
        <v>20406.316159820002</v>
      </c>
      <c r="Y20" s="526">
        <v>23666.373667289998</v>
      </c>
      <c r="Z20" s="526">
        <v>21128.55688815</v>
      </c>
      <c r="AA20" s="526">
        <v>22606.986195919999</v>
      </c>
      <c r="AB20" s="526">
        <v>22648.888231509998</v>
      </c>
      <c r="AC20" s="526">
        <v>22462.387835019999</v>
      </c>
      <c r="AD20" s="526">
        <v>22476.149191739998</v>
      </c>
      <c r="AE20" s="526">
        <v>23977.369481069996</v>
      </c>
      <c r="AF20" s="526">
        <v>23701.931139239998</v>
      </c>
      <c r="AG20" s="526">
        <v>23541.113787940001</v>
      </c>
      <c r="AH20" s="526">
        <v>24591.544820159997</v>
      </c>
      <c r="AI20" s="526">
        <v>23167.60481945</v>
      </c>
      <c r="AJ20" s="526">
        <v>22131.482146099999</v>
      </c>
      <c r="AK20" s="526">
        <v>25515.138641540001</v>
      </c>
      <c r="AL20" s="526">
        <v>24854.226564650002</v>
      </c>
    </row>
    <row r="21" spans="1:38">
      <c r="A21" s="525" t="s">
        <v>591</v>
      </c>
      <c r="B21" s="526">
        <v>173.77583848999998</v>
      </c>
      <c r="C21" s="526">
        <v>102.15030181408299</v>
      </c>
      <c r="D21" s="526">
        <v>107.57548442879599</v>
      </c>
      <c r="E21" s="526">
        <v>96.970545829999992</v>
      </c>
      <c r="F21" s="526">
        <v>92.457328589252</v>
      </c>
      <c r="G21" s="526">
        <v>440.817523815794</v>
      </c>
      <c r="H21" s="526">
        <v>144.695107660503</v>
      </c>
      <c r="I21" s="526">
        <v>139.61848140775101</v>
      </c>
      <c r="J21" s="526">
        <v>267.13934071788196</v>
      </c>
      <c r="K21" s="526">
        <v>140.39613334605099</v>
      </c>
      <c r="L21" s="526">
        <v>147.65538167153198</v>
      </c>
      <c r="M21" s="526">
        <v>156.18358312016798</v>
      </c>
      <c r="N21" s="526">
        <v>141.37216390342701</v>
      </c>
      <c r="O21" s="526">
        <v>165.14521648076197</v>
      </c>
      <c r="P21" s="526">
        <v>156.283154672509</v>
      </c>
      <c r="Q21" s="526">
        <v>170.538513680878</v>
      </c>
      <c r="R21" s="526">
        <v>118.92258400263799</v>
      </c>
      <c r="S21" s="526">
        <v>227.06391243610898</v>
      </c>
      <c r="T21" s="526">
        <v>147.606747109975</v>
      </c>
      <c r="U21" s="526">
        <v>145.05270454831998</v>
      </c>
      <c r="V21" s="526">
        <v>178.60699340812801</v>
      </c>
      <c r="W21" s="526">
        <v>228.86708454979401</v>
      </c>
      <c r="X21" s="526">
        <v>145.94768976260698</v>
      </c>
      <c r="Y21" s="526">
        <v>144.74181716741302</v>
      </c>
      <c r="Z21" s="526">
        <v>134.190323829216</v>
      </c>
      <c r="AA21" s="526">
        <v>122.79770026911299</v>
      </c>
      <c r="AB21" s="526">
        <v>128.30850091761698</v>
      </c>
      <c r="AC21" s="526">
        <v>125.31778668365899</v>
      </c>
      <c r="AD21" s="526">
        <v>104.85266671033099</v>
      </c>
      <c r="AE21" s="526">
        <v>188.10748455776599</v>
      </c>
      <c r="AF21" s="526">
        <v>198.07162782</v>
      </c>
      <c r="AG21" s="526">
        <v>71.810326250000003</v>
      </c>
      <c r="AH21" s="526">
        <v>223.63965296000001</v>
      </c>
      <c r="AI21" s="526">
        <v>238.61876867999996</v>
      </c>
      <c r="AJ21" s="526">
        <v>151.47403553999999</v>
      </c>
      <c r="AK21" s="526">
        <v>146.47737080000002</v>
      </c>
      <c r="AL21" s="526">
        <v>69.348740169999985</v>
      </c>
    </row>
    <row r="22" spans="1:38" s="530" customFormat="1">
      <c r="A22" s="523"/>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row>
    <row r="23" spans="1:38" s="530" customFormat="1">
      <c r="A23" s="523" t="s">
        <v>592</v>
      </c>
      <c r="B23" s="524">
        <v>3.2826279999999999</v>
      </c>
      <c r="C23" s="524">
        <v>3.314241</v>
      </c>
      <c r="D23" s="524">
        <v>3000.9265999999998</v>
      </c>
      <c r="E23" s="524">
        <v>1700.6814320000001</v>
      </c>
      <c r="F23" s="524">
        <v>699.75814700000001</v>
      </c>
      <c r="G23" s="524">
        <v>2000.7242080000001</v>
      </c>
      <c r="H23" s="524">
        <v>2.2690159999999997</v>
      </c>
      <c r="I23" s="524">
        <v>1341.8492100000001</v>
      </c>
      <c r="J23" s="524">
        <v>5128.4740229999998</v>
      </c>
      <c r="K23" s="524">
        <v>5128.1453949999996</v>
      </c>
      <c r="L23" s="524">
        <v>5128.4205029999994</v>
      </c>
      <c r="M23" s="524">
        <v>3601.2955139999999</v>
      </c>
      <c r="N23" s="524">
        <v>4300.9844399999993</v>
      </c>
      <c r="O23" s="524">
        <v>5521.2657589999999</v>
      </c>
      <c r="P23" s="524">
        <v>5115.5879569999997</v>
      </c>
      <c r="Q23" s="524">
        <v>5270.8159759999999</v>
      </c>
      <c r="R23" s="524">
        <v>6179.4558196098806</v>
      </c>
      <c r="S23" s="524">
        <v>7369.3783779999994</v>
      </c>
      <c r="T23" s="524">
        <v>7978.472409</v>
      </c>
      <c r="U23" s="524">
        <v>7701.2890559999996</v>
      </c>
      <c r="V23" s="524">
        <v>6808.9861029999993</v>
      </c>
      <c r="W23" s="524">
        <v>6824.6997160000001</v>
      </c>
      <c r="X23" s="524">
        <v>6832.397766</v>
      </c>
      <c r="Y23" s="524">
        <v>5539.7681860000002</v>
      </c>
      <c r="Z23" s="524">
        <v>5990.9276864899994</v>
      </c>
      <c r="AA23" s="524">
        <v>5995.4285614899991</v>
      </c>
      <c r="AB23" s="524">
        <v>5880.2209123899993</v>
      </c>
      <c r="AC23" s="524">
        <v>5617.2358228100002</v>
      </c>
      <c r="AD23" s="524">
        <v>4989.6683796699999</v>
      </c>
      <c r="AE23" s="524">
        <v>4898.3141219799991</v>
      </c>
      <c r="AF23" s="524">
        <v>4786.2925804499992</v>
      </c>
      <c r="AG23" s="524">
        <v>4084.3136649999997</v>
      </c>
      <c r="AH23" s="524">
        <v>4135.2781543399997</v>
      </c>
      <c r="AI23" s="524">
        <v>3748.6611679099997</v>
      </c>
      <c r="AJ23" s="524">
        <v>3939.5502778099994</v>
      </c>
      <c r="AK23" s="524">
        <v>3916.3288048000004</v>
      </c>
      <c r="AL23" s="524">
        <v>6237.8790290799998</v>
      </c>
    </row>
    <row r="24" spans="1:38" s="530" customFormat="1">
      <c r="A24" s="523"/>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row>
    <row r="25" spans="1:38" s="530" customFormat="1" ht="25.5">
      <c r="A25" s="531" t="s">
        <v>593</v>
      </c>
      <c r="B25" s="532">
        <v>62.003889999999998</v>
      </c>
      <c r="C25" s="532">
        <v>61.993389999999998</v>
      </c>
      <c r="D25" s="532">
        <v>61.99539</v>
      </c>
      <c r="E25" s="532">
        <v>61.996389999999998</v>
      </c>
      <c r="F25" s="532">
        <v>61.997389999999996</v>
      </c>
      <c r="G25" s="532">
        <v>61.998390000000001</v>
      </c>
      <c r="H25" s="532">
        <v>61.998390000000001</v>
      </c>
      <c r="I25" s="532">
        <v>973.24739</v>
      </c>
      <c r="J25" s="532">
        <v>2163.0070329999999</v>
      </c>
      <c r="K25" s="532">
        <v>2163.0070329999999</v>
      </c>
      <c r="L25" s="532">
        <v>2163.0090329999998</v>
      </c>
      <c r="M25" s="532">
        <v>2038.9212829999999</v>
      </c>
      <c r="N25" s="532">
        <v>2182.4773989999999</v>
      </c>
      <c r="O25" s="532">
        <v>2281.7552879999998</v>
      </c>
      <c r="P25" s="532">
        <v>2618.0974670000001</v>
      </c>
      <c r="Q25" s="532">
        <v>2728.598802</v>
      </c>
      <c r="R25" s="532">
        <v>2950.7217209999999</v>
      </c>
      <c r="S25" s="532">
        <v>3161.4689909999997</v>
      </c>
      <c r="T25" s="532">
        <v>3572.2375649999994</v>
      </c>
      <c r="U25" s="532">
        <v>3497.0447419999996</v>
      </c>
      <c r="V25" s="532">
        <v>3248.4900979999998</v>
      </c>
      <c r="W25" s="532">
        <v>3298.5916359999997</v>
      </c>
      <c r="X25" s="532">
        <v>3225.4659489999995</v>
      </c>
      <c r="Y25" s="532">
        <v>3124.9891819999998</v>
      </c>
      <c r="Z25" s="532">
        <v>3163.7760004999996</v>
      </c>
      <c r="AA25" s="532">
        <v>3164.3790268099997</v>
      </c>
      <c r="AB25" s="532">
        <v>3164.6684501799996</v>
      </c>
      <c r="AC25" s="532">
        <v>3081.801786</v>
      </c>
      <c r="AD25" s="532">
        <v>2932.57128934</v>
      </c>
      <c r="AE25" s="532">
        <v>2932.1830386899996</v>
      </c>
      <c r="AF25" s="532">
        <v>2982.73332269</v>
      </c>
      <c r="AG25" s="532">
        <v>2682.8735436937932</v>
      </c>
      <c r="AH25" s="532">
        <v>2238.8123021000001</v>
      </c>
      <c r="AI25" s="532">
        <v>2111.4142653599997</v>
      </c>
      <c r="AJ25" s="532">
        <v>2279.6475132100004</v>
      </c>
      <c r="AK25" s="532">
        <v>2674.6144954000001</v>
      </c>
      <c r="AL25" s="532">
        <v>3282.93340051</v>
      </c>
    </row>
    <row r="26" spans="1:38" s="530" customFormat="1">
      <c r="A26" s="525" t="s">
        <v>594</v>
      </c>
      <c r="B26" s="526">
        <v>0</v>
      </c>
      <c r="C26" s="526">
        <v>0</v>
      </c>
      <c r="D26" s="526">
        <v>0</v>
      </c>
      <c r="E26" s="526">
        <v>0</v>
      </c>
      <c r="F26" s="526">
        <v>0</v>
      </c>
      <c r="G26" s="526">
        <v>0</v>
      </c>
      <c r="H26" s="526">
        <v>0</v>
      </c>
      <c r="I26" s="526">
        <v>0</v>
      </c>
      <c r="J26" s="526">
        <v>0</v>
      </c>
      <c r="K26" s="526">
        <v>0</v>
      </c>
      <c r="L26" s="526">
        <v>0</v>
      </c>
      <c r="M26" s="526">
        <v>0</v>
      </c>
      <c r="N26" s="526">
        <v>0</v>
      </c>
      <c r="O26" s="526">
        <v>0</v>
      </c>
      <c r="P26" s="526">
        <v>0</v>
      </c>
      <c r="Q26" s="526">
        <v>0</v>
      </c>
      <c r="R26" s="526">
        <v>0</v>
      </c>
      <c r="S26" s="526">
        <v>0</v>
      </c>
      <c r="T26" s="526">
        <v>0</v>
      </c>
      <c r="U26" s="526">
        <v>0</v>
      </c>
      <c r="V26" s="526">
        <v>0</v>
      </c>
      <c r="W26" s="526">
        <v>0</v>
      </c>
      <c r="X26" s="526">
        <v>0</v>
      </c>
      <c r="Y26" s="526">
        <v>0</v>
      </c>
      <c r="Z26" s="526">
        <v>0</v>
      </c>
      <c r="AA26" s="526">
        <v>0</v>
      </c>
      <c r="AB26" s="526">
        <v>0</v>
      </c>
      <c r="AC26" s="526">
        <v>0</v>
      </c>
      <c r="AD26" s="526">
        <v>0</v>
      </c>
      <c r="AE26" s="526">
        <v>0</v>
      </c>
      <c r="AF26" s="526">
        <v>0</v>
      </c>
      <c r="AG26" s="526">
        <v>0</v>
      </c>
      <c r="AH26" s="526">
        <v>0</v>
      </c>
      <c r="AI26" s="526">
        <v>0</v>
      </c>
      <c r="AJ26" s="526">
        <v>0</v>
      </c>
      <c r="AK26" s="526">
        <v>0</v>
      </c>
      <c r="AL26" s="526">
        <v>0</v>
      </c>
    </row>
    <row r="27" spans="1:38" s="530" customFormat="1">
      <c r="A27" s="525" t="s">
        <v>595</v>
      </c>
      <c r="B27" s="526">
        <v>0</v>
      </c>
      <c r="C27" s="526">
        <v>0</v>
      </c>
      <c r="D27" s="526">
        <v>0</v>
      </c>
      <c r="E27" s="526">
        <v>0</v>
      </c>
      <c r="F27" s="526">
        <v>0</v>
      </c>
      <c r="G27" s="526">
        <v>0</v>
      </c>
      <c r="H27" s="526">
        <v>0</v>
      </c>
      <c r="I27" s="526">
        <v>911.24699999999996</v>
      </c>
      <c r="J27" s="526">
        <v>2101.005643</v>
      </c>
      <c r="K27" s="526">
        <v>2101.005643</v>
      </c>
      <c r="L27" s="526">
        <v>2101.005643</v>
      </c>
      <c r="M27" s="526">
        <v>1976.9168929999998</v>
      </c>
      <c r="N27" s="526">
        <v>2120.4720090000001</v>
      </c>
      <c r="O27" s="526">
        <v>2219.7488979999998</v>
      </c>
      <c r="P27" s="526">
        <v>2556.0925769999999</v>
      </c>
      <c r="Q27" s="526">
        <v>2666.5939119999998</v>
      </c>
      <c r="R27" s="526">
        <v>2878.590831</v>
      </c>
      <c r="S27" s="526">
        <v>3092.9646889999999</v>
      </c>
      <c r="T27" s="526">
        <v>3503.7332629999996</v>
      </c>
      <c r="U27" s="526">
        <v>3428.5739399999998</v>
      </c>
      <c r="V27" s="526">
        <v>3180.0192959999999</v>
      </c>
      <c r="W27" s="526">
        <v>3230.1208339999998</v>
      </c>
      <c r="X27" s="526">
        <v>3156.9951469999996</v>
      </c>
      <c r="Y27" s="526">
        <v>3056.51838</v>
      </c>
      <c r="Z27" s="526">
        <v>3095.3051984999997</v>
      </c>
      <c r="AA27" s="526">
        <v>3095.9082248099999</v>
      </c>
      <c r="AB27" s="526">
        <v>3096.1976481799998</v>
      </c>
      <c r="AC27" s="526">
        <v>3013.3279889999999</v>
      </c>
      <c r="AD27" s="526">
        <v>2864.0974923399999</v>
      </c>
      <c r="AE27" s="526">
        <v>2863.6994106899997</v>
      </c>
      <c r="AF27" s="526">
        <v>2914.2595256899999</v>
      </c>
      <c r="AG27" s="526">
        <v>2614.3997466937931</v>
      </c>
      <c r="AH27" s="526">
        <v>2170.3288351000001</v>
      </c>
      <c r="AI27" s="526">
        <v>2042.9337933599998</v>
      </c>
      <c r="AJ27" s="526">
        <v>2211.1670412100002</v>
      </c>
      <c r="AK27" s="526">
        <v>2606.1340234000004</v>
      </c>
      <c r="AL27" s="526">
        <v>3214.4529285099998</v>
      </c>
    </row>
    <row r="28" spans="1:38" s="530" customFormat="1">
      <c r="A28" s="525" t="s">
        <v>596</v>
      </c>
      <c r="B28" s="526">
        <v>61.026910999999998</v>
      </c>
      <c r="C28" s="526">
        <v>61.016410999999998</v>
      </c>
      <c r="D28" s="526">
        <v>61.018411</v>
      </c>
      <c r="E28" s="526">
        <v>61.019410999999998</v>
      </c>
      <c r="F28" s="526">
        <v>61.020410999999996</v>
      </c>
      <c r="G28" s="526">
        <v>61.021411000000001</v>
      </c>
      <c r="H28" s="526">
        <v>61.021411000000001</v>
      </c>
      <c r="I28" s="526">
        <v>61.023410999999996</v>
      </c>
      <c r="J28" s="526">
        <v>61.024411000000001</v>
      </c>
      <c r="K28" s="526">
        <v>61.024411000000001</v>
      </c>
      <c r="L28" s="526">
        <v>61.026410999999996</v>
      </c>
      <c r="M28" s="526">
        <v>61.027411000000001</v>
      </c>
      <c r="N28" s="526">
        <v>61.028410999999998</v>
      </c>
      <c r="O28" s="526">
        <v>61.029410999999996</v>
      </c>
      <c r="P28" s="526">
        <v>61.030410999999994</v>
      </c>
      <c r="Q28" s="526">
        <v>61.030410999999994</v>
      </c>
      <c r="R28" s="526">
        <v>71.156410999999991</v>
      </c>
      <c r="S28" s="526">
        <v>67.529822999999993</v>
      </c>
      <c r="T28" s="526">
        <v>67.529822999999993</v>
      </c>
      <c r="U28" s="526">
        <v>67.529822999999993</v>
      </c>
      <c r="V28" s="526">
        <v>67.529822999999993</v>
      </c>
      <c r="W28" s="526">
        <v>67.529822999999993</v>
      </c>
      <c r="X28" s="526">
        <v>67.529822999999993</v>
      </c>
      <c r="Y28" s="526">
        <v>67.529822999999993</v>
      </c>
      <c r="Z28" s="526">
        <v>67.529822999999993</v>
      </c>
      <c r="AA28" s="526">
        <v>67.529822999999993</v>
      </c>
      <c r="AB28" s="526">
        <v>67.529822999999993</v>
      </c>
      <c r="AC28" s="526">
        <v>67.532817999999992</v>
      </c>
      <c r="AD28" s="526">
        <v>67.532817999999992</v>
      </c>
      <c r="AE28" s="526">
        <v>67.542648999999997</v>
      </c>
      <c r="AF28" s="526">
        <v>67.532817999999992</v>
      </c>
      <c r="AG28" s="526">
        <v>67.532817999999992</v>
      </c>
      <c r="AH28" s="526">
        <v>67.542487999999992</v>
      </c>
      <c r="AI28" s="526">
        <v>67.539492999999993</v>
      </c>
      <c r="AJ28" s="526">
        <v>67.539492999999993</v>
      </c>
      <c r="AK28" s="526">
        <v>67.539492999999993</v>
      </c>
      <c r="AL28" s="526">
        <v>67.539492999999993</v>
      </c>
    </row>
    <row r="29" spans="1:38" s="530" customFormat="1">
      <c r="A29" s="525" t="s">
        <v>597</v>
      </c>
      <c r="B29" s="526">
        <v>0.97697899999999993</v>
      </c>
      <c r="C29" s="526">
        <v>0.97697899999999993</v>
      </c>
      <c r="D29" s="526">
        <v>0.97697899999999993</v>
      </c>
      <c r="E29" s="526">
        <v>0.97697899999999993</v>
      </c>
      <c r="F29" s="526">
        <v>0.97697899999999993</v>
      </c>
      <c r="G29" s="526">
        <v>0.97697899999999993</v>
      </c>
      <c r="H29" s="526">
        <v>0.97697899999999993</v>
      </c>
      <c r="I29" s="526">
        <v>0.97697899999999993</v>
      </c>
      <c r="J29" s="526">
        <v>0.97697899999999993</v>
      </c>
      <c r="K29" s="526">
        <v>0.97697899999999993</v>
      </c>
      <c r="L29" s="526">
        <v>0.97697899999999993</v>
      </c>
      <c r="M29" s="526">
        <v>0.97697899999999993</v>
      </c>
      <c r="N29" s="526">
        <v>0.97697899999999993</v>
      </c>
      <c r="O29" s="526">
        <v>0.97697899999999993</v>
      </c>
      <c r="P29" s="526">
        <v>0.97447899999999998</v>
      </c>
      <c r="Q29" s="526">
        <v>0.97447899999999998</v>
      </c>
      <c r="R29" s="526">
        <v>0.97447899999999998</v>
      </c>
      <c r="S29" s="526">
        <v>0.97447899999999998</v>
      </c>
      <c r="T29" s="526">
        <v>0.97447899999999998</v>
      </c>
      <c r="U29" s="526">
        <v>0.94097900000000001</v>
      </c>
      <c r="V29" s="526">
        <v>0.94097900000000001</v>
      </c>
      <c r="W29" s="526">
        <v>0.94097900000000001</v>
      </c>
      <c r="X29" s="526">
        <v>0.94097900000000001</v>
      </c>
      <c r="Y29" s="526">
        <v>0.94097900000000001</v>
      </c>
      <c r="Z29" s="526">
        <v>0.94097900000000001</v>
      </c>
      <c r="AA29" s="526">
        <v>0.94097900000000001</v>
      </c>
      <c r="AB29" s="526">
        <v>0.94097900000000001</v>
      </c>
      <c r="AC29" s="526">
        <v>0.94097900000000001</v>
      </c>
      <c r="AD29" s="526">
        <v>0.94097900000000001</v>
      </c>
      <c r="AE29" s="526">
        <v>0.94097900000000001</v>
      </c>
      <c r="AF29" s="526">
        <v>0.94097900000000001</v>
      </c>
      <c r="AG29" s="526">
        <v>0.94097900000000001</v>
      </c>
      <c r="AH29" s="526">
        <v>0.94097900000000001</v>
      </c>
      <c r="AI29" s="526">
        <v>0.94097900000000001</v>
      </c>
      <c r="AJ29" s="526">
        <v>0.94097900000000001</v>
      </c>
      <c r="AK29" s="526">
        <v>0.94097900000000001</v>
      </c>
      <c r="AL29" s="526">
        <v>0.94097900000000001</v>
      </c>
    </row>
    <row r="30" spans="1:38">
      <c r="A30" s="527"/>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row>
    <row r="31" spans="1:38">
      <c r="A31" s="523" t="s">
        <v>322</v>
      </c>
      <c r="B31" s="524">
        <v>0</v>
      </c>
      <c r="C31" s="524">
        <v>0</v>
      </c>
      <c r="D31" s="524">
        <v>0</v>
      </c>
      <c r="E31" s="524">
        <v>0</v>
      </c>
      <c r="F31" s="524">
        <v>0</v>
      </c>
      <c r="G31" s="524">
        <v>0</v>
      </c>
      <c r="H31" s="524">
        <v>0</v>
      </c>
      <c r="I31" s="524">
        <v>0</v>
      </c>
      <c r="J31" s="524">
        <v>0</v>
      </c>
      <c r="K31" s="524">
        <v>0</v>
      </c>
      <c r="L31" s="524">
        <v>0</v>
      </c>
      <c r="M31" s="524">
        <v>0</v>
      </c>
      <c r="N31" s="524">
        <v>0</v>
      </c>
      <c r="O31" s="524">
        <v>0</v>
      </c>
      <c r="P31" s="524">
        <v>0</v>
      </c>
      <c r="Q31" s="524">
        <v>0</v>
      </c>
      <c r="R31" s="524">
        <v>0</v>
      </c>
      <c r="S31" s="524">
        <v>0</v>
      </c>
      <c r="T31" s="524">
        <v>0</v>
      </c>
      <c r="U31" s="524">
        <v>0</v>
      </c>
      <c r="V31" s="524">
        <v>0</v>
      </c>
      <c r="W31" s="524">
        <v>0</v>
      </c>
      <c r="X31" s="524">
        <v>0</v>
      </c>
      <c r="Y31" s="524">
        <v>0</v>
      </c>
      <c r="Z31" s="524">
        <v>0</v>
      </c>
      <c r="AA31" s="524">
        <v>0</v>
      </c>
      <c r="AB31" s="524">
        <v>0</v>
      </c>
      <c r="AC31" s="524">
        <v>0</v>
      </c>
      <c r="AD31" s="524">
        <v>0</v>
      </c>
      <c r="AE31" s="524">
        <v>0</v>
      </c>
      <c r="AF31" s="524">
        <v>0</v>
      </c>
      <c r="AG31" s="524">
        <v>0</v>
      </c>
      <c r="AH31" s="524">
        <v>0</v>
      </c>
      <c r="AI31" s="524">
        <v>0</v>
      </c>
      <c r="AJ31" s="524">
        <v>0</v>
      </c>
      <c r="AK31" s="524">
        <v>0</v>
      </c>
      <c r="AL31" s="524">
        <v>0</v>
      </c>
    </row>
    <row r="32" spans="1:38">
      <c r="A32" s="527"/>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row>
    <row r="33" spans="1:38">
      <c r="A33" s="523" t="s">
        <v>528</v>
      </c>
      <c r="B33" s="524">
        <v>0</v>
      </c>
      <c r="C33" s="524">
        <v>0</v>
      </c>
      <c r="D33" s="524">
        <v>0</v>
      </c>
      <c r="E33" s="524">
        <v>0</v>
      </c>
      <c r="F33" s="524">
        <v>0</v>
      </c>
      <c r="G33" s="524">
        <v>0</v>
      </c>
      <c r="H33" s="524">
        <v>0</v>
      </c>
      <c r="I33" s="524">
        <v>0</v>
      </c>
      <c r="J33" s="524">
        <v>0</v>
      </c>
      <c r="K33" s="524">
        <v>0</v>
      </c>
      <c r="L33" s="524">
        <v>0</v>
      </c>
      <c r="M33" s="524">
        <v>0</v>
      </c>
      <c r="N33" s="524">
        <v>0</v>
      </c>
      <c r="O33" s="524">
        <v>0</v>
      </c>
      <c r="P33" s="524">
        <v>0</v>
      </c>
      <c r="Q33" s="524">
        <v>0</v>
      </c>
      <c r="R33" s="524">
        <v>0</v>
      </c>
      <c r="S33" s="524">
        <v>0</v>
      </c>
      <c r="T33" s="524">
        <v>0</v>
      </c>
      <c r="U33" s="524">
        <v>0</v>
      </c>
      <c r="V33" s="524">
        <v>0</v>
      </c>
      <c r="W33" s="524">
        <v>0</v>
      </c>
      <c r="X33" s="524">
        <v>0</v>
      </c>
      <c r="Y33" s="524">
        <v>0</v>
      </c>
      <c r="Z33" s="524">
        <v>0</v>
      </c>
      <c r="AA33" s="524">
        <v>0</v>
      </c>
      <c r="AB33" s="524">
        <v>0</v>
      </c>
      <c r="AC33" s="524">
        <v>0</v>
      </c>
      <c r="AD33" s="524">
        <v>0</v>
      </c>
      <c r="AE33" s="524">
        <v>0</v>
      </c>
      <c r="AF33" s="524">
        <v>0</v>
      </c>
      <c r="AG33" s="524">
        <v>0</v>
      </c>
      <c r="AH33" s="524">
        <v>0</v>
      </c>
      <c r="AI33" s="524">
        <v>0</v>
      </c>
      <c r="AJ33" s="524">
        <v>0</v>
      </c>
      <c r="AK33" s="524">
        <v>0</v>
      </c>
      <c r="AL33" s="524">
        <v>0</v>
      </c>
    </row>
    <row r="34" spans="1:38" hidden="1">
      <c r="A34" s="527"/>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row>
    <row r="35" spans="1:38" hidden="1">
      <c r="A35" s="523" t="s">
        <v>598</v>
      </c>
      <c r="B35" s="524"/>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row>
    <row r="36" spans="1:38">
      <c r="A36" s="527"/>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row>
    <row r="37" spans="1:38">
      <c r="A37" s="523" t="s">
        <v>524</v>
      </c>
      <c r="B37" s="524">
        <v>19964.110167409999</v>
      </c>
      <c r="C37" s="524">
        <v>20456.15655851</v>
      </c>
      <c r="D37" s="524">
        <v>20656.54350453</v>
      </c>
      <c r="E37" s="524">
        <v>20976.469956159999</v>
      </c>
      <c r="F37" s="524">
        <v>23542.384742170001</v>
      </c>
      <c r="G37" s="524">
        <v>20273.87106505</v>
      </c>
      <c r="H37" s="524">
        <v>18508.569286829999</v>
      </c>
      <c r="I37" s="524">
        <v>19472.344551769998</v>
      </c>
      <c r="J37" s="524">
        <v>20495.222189169999</v>
      </c>
      <c r="K37" s="524">
        <v>20301.791217229998</v>
      </c>
      <c r="L37" s="524">
        <v>20191.020255149997</v>
      </c>
      <c r="M37" s="524">
        <v>21361.044988709997</v>
      </c>
      <c r="N37" s="524">
        <v>19413.827296809999</v>
      </c>
      <c r="O37" s="524">
        <v>19582.327154339997</v>
      </c>
      <c r="P37" s="524">
        <v>18243.485036359998</v>
      </c>
      <c r="Q37" s="524">
        <v>17904.736877859999</v>
      </c>
      <c r="R37" s="524">
        <v>18921.887750959999</v>
      </c>
      <c r="S37" s="524">
        <v>20149.1601701</v>
      </c>
      <c r="T37" s="524">
        <v>18753.241767789998</v>
      </c>
      <c r="U37" s="524">
        <v>19617.36774234</v>
      </c>
      <c r="V37" s="524">
        <v>19604.223607200001</v>
      </c>
      <c r="W37" s="524">
        <v>21354.738473539997</v>
      </c>
      <c r="X37" s="524">
        <v>20283.88373102</v>
      </c>
      <c r="Y37" s="524">
        <v>19542.970377910002</v>
      </c>
      <c r="Z37" s="524">
        <v>21291.50351029</v>
      </c>
      <c r="AA37" s="524">
        <v>21595.119234290003</v>
      </c>
      <c r="AB37" s="524">
        <v>20783.147565799998</v>
      </c>
      <c r="AC37" s="524">
        <v>21203.46923585</v>
      </c>
      <c r="AD37" s="524">
        <v>19954.35588607</v>
      </c>
      <c r="AE37" s="524">
        <v>23783.569044780001</v>
      </c>
      <c r="AF37" s="524">
        <v>23780.145553330003</v>
      </c>
      <c r="AG37" s="524">
        <v>23569.844059790001</v>
      </c>
      <c r="AH37" s="524">
        <v>25164.681625080102</v>
      </c>
      <c r="AI37" s="524">
        <v>26025.415872760001</v>
      </c>
      <c r="AJ37" s="524">
        <v>25692.210255179998</v>
      </c>
      <c r="AK37" s="524">
        <v>25383.877467489983</v>
      </c>
      <c r="AL37" s="524">
        <v>25930.891317520014</v>
      </c>
    </row>
    <row r="38" spans="1:38">
      <c r="A38" s="527"/>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row>
    <row r="39" spans="1:38">
      <c r="A39" s="523" t="s">
        <v>599</v>
      </c>
      <c r="B39" s="524">
        <v>-1434.667344337124</v>
      </c>
      <c r="C39" s="524">
        <v>-1477.1395861087244</v>
      </c>
      <c r="D39" s="524">
        <v>-1358.796941880126</v>
      </c>
      <c r="E39" s="524">
        <v>-1458.96645092479</v>
      </c>
      <c r="F39" s="524">
        <v>-1381.6226738184043</v>
      </c>
      <c r="G39" s="524">
        <v>-963.28624081337387</v>
      </c>
      <c r="H39" s="524">
        <v>422.07065105018188</v>
      </c>
      <c r="I39" s="524">
        <v>-978.82857102485036</v>
      </c>
      <c r="J39" s="524">
        <v>-823.93375902726427</v>
      </c>
      <c r="K39" s="524">
        <v>-850.77931149989365</v>
      </c>
      <c r="L39" s="524">
        <v>-987.49065916572863</v>
      </c>
      <c r="M39" s="524">
        <v>-936.4391397666551</v>
      </c>
      <c r="N39" s="524">
        <v>-736.96161155021503</v>
      </c>
      <c r="O39" s="524">
        <v>-1051.1752037621868</v>
      </c>
      <c r="P39" s="524">
        <v>-1021.8921495364106</v>
      </c>
      <c r="Q39" s="524">
        <v>-832.03756500450504</v>
      </c>
      <c r="R39" s="524">
        <v>-730.79269520945854</v>
      </c>
      <c r="S39" s="524">
        <v>-759.96603815235449</v>
      </c>
      <c r="T39" s="524">
        <v>-504.77425950995183</v>
      </c>
      <c r="U39" s="524">
        <v>-508.68117633964766</v>
      </c>
      <c r="V39" s="524">
        <v>-893.80414623820752</v>
      </c>
      <c r="W39" s="524">
        <v>-763.39340329816673</v>
      </c>
      <c r="X39" s="524">
        <v>-790.29161976840771</v>
      </c>
      <c r="Y39" s="524">
        <v>-816.00497894945283</v>
      </c>
      <c r="Z39" s="524">
        <v>-832.01725442353654</v>
      </c>
      <c r="AA39" s="524">
        <v>-933.02095446765031</v>
      </c>
      <c r="AB39" s="524">
        <v>-911.91733136025948</v>
      </c>
      <c r="AC39" s="524">
        <v>-867.71302911767884</v>
      </c>
      <c r="AD39" s="524">
        <v>-745.94810927188189</v>
      </c>
      <c r="AE39" s="524">
        <v>-918.58672977184278</v>
      </c>
      <c r="AF39" s="524">
        <v>-226.3974311698656</v>
      </c>
      <c r="AG39" s="524">
        <v>-387.84265693047922</v>
      </c>
      <c r="AH39" s="524">
        <v>-365.45336159888342</v>
      </c>
      <c r="AI39" s="524">
        <v>-802.39928888553823</v>
      </c>
      <c r="AJ39" s="524">
        <v>-837.88849807393342</v>
      </c>
      <c r="AK39" s="524">
        <v>-770.03294562189137</v>
      </c>
      <c r="AL39" s="524">
        <v>-706.71763879889261</v>
      </c>
    </row>
    <row r="40" spans="1:38" ht="13.5" thickBot="1">
      <c r="A40" s="533"/>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row>
    <row r="41" spans="1:38" ht="13.5" hidden="1" thickTop="1">
      <c r="P41" s="511"/>
      <c r="Q41" s="511"/>
      <c r="R41" s="511"/>
    </row>
    <row r="42" spans="1:38" ht="13.5" hidden="1" thickTop="1">
      <c r="P42" s="511"/>
      <c r="Q42" s="511"/>
      <c r="R42" s="511"/>
    </row>
    <row r="43" spans="1:38" ht="14.25" thickTop="1">
      <c r="A43" s="459" t="s">
        <v>600</v>
      </c>
    </row>
    <row r="44" spans="1:38">
      <c r="A44" s="535" t="s">
        <v>601</v>
      </c>
    </row>
    <row r="45" spans="1:38" ht="13.5">
      <c r="A45" s="459" t="s">
        <v>602</v>
      </c>
      <c r="B45" s="511"/>
    </row>
    <row r="46" spans="1:38" ht="13.5">
      <c r="A46" s="459" t="s">
        <v>603</v>
      </c>
      <c r="B46" s="511"/>
    </row>
    <row r="47" spans="1:38" ht="13.5">
      <c r="A47" s="459" t="s">
        <v>604</v>
      </c>
      <c r="B47" s="511"/>
    </row>
    <row r="48" spans="1:38">
      <c r="A48" s="237" t="s">
        <v>361</v>
      </c>
      <c r="B48" s="511"/>
    </row>
    <row r="49" spans="1:2">
      <c r="A49" s="535" t="s">
        <v>303</v>
      </c>
      <c r="B49" s="511"/>
    </row>
    <row r="50" spans="1:2">
      <c r="A50" s="536"/>
    </row>
  </sheetData>
  <printOptions horizontalCentered="1"/>
  <pageMargins left="7.874015748031496E-2" right="7.874015748031496E-2" top="0"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view="pageBreakPreview" zoomScale="60" zoomScaleNormal="100" workbookViewId="0">
      <pane xSplit="1" ySplit="3" topLeftCell="B4" activePane="bottomRight" state="frozen"/>
      <selection pane="topRight" activeCell="B1" sqref="B1"/>
      <selection pane="bottomLeft" activeCell="A5" sqref="A5"/>
      <selection pane="bottomRight" activeCell="E17" sqref="E17"/>
    </sheetView>
  </sheetViews>
  <sheetFormatPr defaultRowHeight="15" customHeight="1"/>
  <cols>
    <col min="1" max="1" width="53.85546875" style="538" customWidth="1"/>
    <col min="2" max="2" width="13.85546875" style="538" customWidth="1"/>
    <col min="3" max="3" width="14.7109375" style="538" customWidth="1"/>
    <col min="4" max="5" width="13.28515625" style="538" bestFit="1" customWidth="1"/>
    <col min="6" max="6" width="13.42578125" style="538" bestFit="1" customWidth="1"/>
    <col min="7" max="7" width="13.28515625" style="538" bestFit="1" customWidth="1"/>
    <col min="8" max="8" width="13.42578125" style="538" bestFit="1" customWidth="1"/>
    <col min="9" max="10" width="13.28515625" style="538" bestFit="1" customWidth="1"/>
    <col min="11" max="11" width="13.42578125" style="538" bestFit="1" customWidth="1"/>
    <col min="12" max="14" width="13.28515625" style="538" bestFit="1" customWidth="1"/>
    <col min="15" max="15" width="13" style="538" bestFit="1" customWidth="1"/>
    <col min="16" max="17" width="13.28515625" style="538" bestFit="1" customWidth="1"/>
    <col min="18" max="38" width="10.7109375" style="538" customWidth="1"/>
    <col min="39" max="256" width="9.140625" style="538"/>
    <col min="257" max="257" width="53.85546875" style="538" customWidth="1"/>
    <col min="258" max="258" width="13.85546875" style="538" customWidth="1"/>
    <col min="259" max="259" width="14.7109375" style="538" customWidth="1"/>
    <col min="260" max="261" width="13.28515625" style="538" bestFit="1" customWidth="1"/>
    <col min="262" max="262" width="13.42578125" style="538" bestFit="1" customWidth="1"/>
    <col min="263" max="263" width="13.28515625" style="538" bestFit="1" customWidth="1"/>
    <col min="264" max="264" width="13.42578125" style="538" bestFit="1" customWidth="1"/>
    <col min="265" max="266" width="13.28515625" style="538" bestFit="1" customWidth="1"/>
    <col min="267" max="267" width="13.42578125" style="538" bestFit="1" customWidth="1"/>
    <col min="268" max="270" width="13.28515625" style="538" bestFit="1" customWidth="1"/>
    <col min="271" max="271" width="13" style="538" bestFit="1" customWidth="1"/>
    <col min="272" max="273" width="13.28515625" style="538" bestFit="1" customWidth="1"/>
    <col min="274" max="294" width="10.7109375" style="538" customWidth="1"/>
    <col min="295" max="512" width="9.140625" style="538"/>
    <col min="513" max="513" width="53.85546875" style="538" customWidth="1"/>
    <col min="514" max="514" width="13.85546875" style="538" customWidth="1"/>
    <col min="515" max="515" width="14.7109375" style="538" customWidth="1"/>
    <col min="516" max="517" width="13.28515625" style="538" bestFit="1" customWidth="1"/>
    <col min="518" max="518" width="13.42578125" style="538" bestFit="1" customWidth="1"/>
    <col min="519" max="519" width="13.28515625" style="538" bestFit="1" customWidth="1"/>
    <col min="520" max="520" width="13.42578125" style="538" bestFit="1" customWidth="1"/>
    <col min="521" max="522" width="13.28515625" style="538" bestFit="1" customWidth="1"/>
    <col min="523" max="523" width="13.42578125" style="538" bestFit="1" customWidth="1"/>
    <col min="524" max="526" width="13.28515625" style="538" bestFit="1" customWidth="1"/>
    <col min="527" max="527" width="13" style="538" bestFit="1" customWidth="1"/>
    <col min="528" max="529" width="13.28515625" style="538" bestFit="1" customWidth="1"/>
    <col min="530" max="550" width="10.7109375" style="538" customWidth="1"/>
    <col min="551" max="768" width="9.140625" style="538"/>
    <col min="769" max="769" width="53.85546875" style="538" customWidth="1"/>
    <col min="770" max="770" width="13.85546875" style="538" customWidth="1"/>
    <col min="771" max="771" width="14.7109375" style="538" customWidth="1"/>
    <col min="772" max="773" width="13.28515625" style="538" bestFit="1" customWidth="1"/>
    <col min="774" max="774" width="13.42578125" style="538" bestFit="1" customWidth="1"/>
    <col min="775" max="775" width="13.28515625" style="538" bestFit="1" customWidth="1"/>
    <col min="776" max="776" width="13.42578125" style="538" bestFit="1" customWidth="1"/>
    <col min="777" max="778" width="13.28515625" style="538" bestFit="1" customWidth="1"/>
    <col min="779" max="779" width="13.42578125" style="538" bestFit="1" customWidth="1"/>
    <col min="780" max="782" width="13.28515625" style="538" bestFit="1" customWidth="1"/>
    <col min="783" max="783" width="13" style="538" bestFit="1" customWidth="1"/>
    <col min="784" max="785" width="13.28515625" style="538" bestFit="1" customWidth="1"/>
    <col min="786" max="806" width="10.7109375" style="538" customWidth="1"/>
    <col min="807" max="1024" width="9.140625" style="538"/>
    <col min="1025" max="1025" width="53.85546875" style="538" customWidth="1"/>
    <col min="1026" max="1026" width="13.85546875" style="538" customWidth="1"/>
    <col min="1027" max="1027" width="14.7109375" style="538" customWidth="1"/>
    <col min="1028" max="1029" width="13.28515625" style="538" bestFit="1" customWidth="1"/>
    <col min="1030" max="1030" width="13.42578125" style="538" bestFit="1" customWidth="1"/>
    <col min="1031" max="1031" width="13.28515625" style="538" bestFit="1" customWidth="1"/>
    <col min="1032" max="1032" width="13.42578125" style="538" bestFit="1" customWidth="1"/>
    <col min="1033" max="1034" width="13.28515625" style="538" bestFit="1" customWidth="1"/>
    <col min="1035" max="1035" width="13.42578125" style="538" bestFit="1" customWidth="1"/>
    <col min="1036" max="1038" width="13.28515625" style="538" bestFit="1" customWidth="1"/>
    <col min="1039" max="1039" width="13" style="538" bestFit="1" customWidth="1"/>
    <col min="1040" max="1041" width="13.28515625" style="538" bestFit="1" customWidth="1"/>
    <col min="1042" max="1062" width="10.7109375" style="538" customWidth="1"/>
    <col min="1063" max="1280" width="9.140625" style="538"/>
    <col min="1281" max="1281" width="53.85546875" style="538" customWidth="1"/>
    <col min="1282" max="1282" width="13.85546875" style="538" customWidth="1"/>
    <col min="1283" max="1283" width="14.7109375" style="538" customWidth="1"/>
    <col min="1284" max="1285" width="13.28515625" style="538" bestFit="1" customWidth="1"/>
    <col min="1286" max="1286" width="13.42578125" style="538" bestFit="1" customWidth="1"/>
    <col min="1287" max="1287" width="13.28515625" style="538" bestFit="1" customWidth="1"/>
    <col min="1288" max="1288" width="13.42578125" style="538" bestFit="1" customWidth="1"/>
    <col min="1289" max="1290" width="13.28515625" style="538" bestFit="1" customWidth="1"/>
    <col min="1291" max="1291" width="13.42578125" style="538" bestFit="1" customWidth="1"/>
    <col min="1292" max="1294" width="13.28515625" style="538" bestFit="1" customWidth="1"/>
    <col min="1295" max="1295" width="13" style="538" bestFit="1" customWidth="1"/>
    <col min="1296" max="1297" width="13.28515625" style="538" bestFit="1" customWidth="1"/>
    <col min="1298" max="1318" width="10.7109375" style="538" customWidth="1"/>
    <col min="1319" max="1536" width="9.140625" style="538"/>
    <col min="1537" max="1537" width="53.85546875" style="538" customWidth="1"/>
    <col min="1538" max="1538" width="13.85546875" style="538" customWidth="1"/>
    <col min="1539" max="1539" width="14.7109375" style="538" customWidth="1"/>
    <col min="1540" max="1541" width="13.28515625" style="538" bestFit="1" customWidth="1"/>
    <col min="1542" max="1542" width="13.42578125" style="538" bestFit="1" customWidth="1"/>
    <col min="1543" max="1543" width="13.28515625" style="538" bestFit="1" customWidth="1"/>
    <col min="1544" max="1544" width="13.42578125" style="538" bestFit="1" customWidth="1"/>
    <col min="1545" max="1546" width="13.28515625" style="538" bestFit="1" customWidth="1"/>
    <col min="1547" max="1547" width="13.42578125" style="538" bestFit="1" customWidth="1"/>
    <col min="1548" max="1550" width="13.28515625" style="538" bestFit="1" customWidth="1"/>
    <col min="1551" max="1551" width="13" style="538" bestFit="1" customWidth="1"/>
    <col min="1552" max="1553" width="13.28515625" style="538" bestFit="1" customWidth="1"/>
    <col min="1554" max="1574" width="10.7109375" style="538" customWidth="1"/>
    <col min="1575" max="1792" width="9.140625" style="538"/>
    <col min="1793" max="1793" width="53.85546875" style="538" customWidth="1"/>
    <col min="1794" max="1794" width="13.85546875" style="538" customWidth="1"/>
    <col min="1795" max="1795" width="14.7109375" style="538" customWidth="1"/>
    <col min="1796" max="1797" width="13.28515625" style="538" bestFit="1" customWidth="1"/>
    <col min="1798" max="1798" width="13.42578125" style="538" bestFit="1" customWidth="1"/>
    <col min="1799" max="1799" width="13.28515625" style="538" bestFit="1" customWidth="1"/>
    <col min="1800" max="1800" width="13.42578125" style="538" bestFit="1" customWidth="1"/>
    <col min="1801" max="1802" width="13.28515625" style="538" bestFit="1" customWidth="1"/>
    <col min="1803" max="1803" width="13.42578125" style="538" bestFit="1" customWidth="1"/>
    <col min="1804" max="1806" width="13.28515625" style="538" bestFit="1" customWidth="1"/>
    <col min="1807" max="1807" width="13" style="538" bestFit="1" customWidth="1"/>
    <col min="1808" max="1809" width="13.28515625" style="538" bestFit="1" customWidth="1"/>
    <col min="1810" max="1830" width="10.7109375" style="538" customWidth="1"/>
    <col min="1831" max="2048" width="9.140625" style="538"/>
    <col min="2049" max="2049" width="53.85546875" style="538" customWidth="1"/>
    <col min="2050" max="2050" width="13.85546875" style="538" customWidth="1"/>
    <col min="2051" max="2051" width="14.7109375" style="538" customWidth="1"/>
    <col min="2052" max="2053" width="13.28515625" style="538" bestFit="1" customWidth="1"/>
    <col min="2054" max="2054" width="13.42578125" style="538" bestFit="1" customWidth="1"/>
    <col min="2055" max="2055" width="13.28515625" style="538" bestFit="1" customWidth="1"/>
    <col min="2056" max="2056" width="13.42578125" style="538" bestFit="1" customWidth="1"/>
    <col min="2057" max="2058" width="13.28515625" style="538" bestFit="1" customWidth="1"/>
    <col min="2059" max="2059" width="13.42578125" style="538" bestFit="1" customWidth="1"/>
    <col min="2060" max="2062" width="13.28515625" style="538" bestFit="1" customWidth="1"/>
    <col min="2063" max="2063" width="13" style="538" bestFit="1" customWidth="1"/>
    <col min="2064" max="2065" width="13.28515625" style="538" bestFit="1" customWidth="1"/>
    <col min="2066" max="2086" width="10.7109375" style="538" customWidth="1"/>
    <col min="2087" max="2304" width="9.140625" style="538"/>
    <col min="2305" max="2305" width="53.85546875" style="538" customWidth="1"/>
    <col min="2306" max="2306" width="13.85546875" style="538" customWidth="1"/>
    <col min="2307" max="2307" width="14.7109375" style="538" customWidth="1"/>
    <col min="2308" max="2309" width="13.28515625" style="538" bestFit="1" customWidth="1"/>
    <col min="2310" max="2310" width="13.42578125" style="538" bestFit="1" customWidth="1"/>
    <col min="2311" max="2311" width="13.28515625" style="538" bestFit="1" customWidth="1"/>
    <col min="2312" max="2312" width="13.42578125" style="538" bestFit="1" customWidth="1"/>
    <col min="2313" max="2314" width="13.28515625" style="538" bestFit="1" customWidth="1"/>
    <col min="2315" max="2315" width="13.42578125" style="538" bestFit="1" customWidth="1"/>
    <col min="2316" max="2318" width="13.28515625" style="538" bestFit="1" customWidth="1"/>
    <col min="2319" max="2319" width="13" style="538" bestFit="1" customWidth="1"/>
    <col min="2320" max="2321" width="13.28515625" style="538" bestFit="1" customWidth="1"/>
    <col min="2322" max="2342" width="10.7109375" style="538" customWidth="1"/>
    <col min="2343" max="2560" width="9.140625" style="538"/>
    <col min="2561" max="2561" width="53.85546875" style="538" customWidth="1"/>
    <col min="2562" max="2562" width="13.85546875" style="538" customWidth="1"/>
    <col min="2563" max="2563" width="14.7109375" style="538" customWidth="1"/>
    <col min="2564" max="2565" width="13.28515625" style="538" bestFit="1" customWidth="1"/>
    <col min="2566" max="2566" width="13.42578125" style="538" bestFit="1" customWidth="1"/>
    <col min="2567" max="2567" width="13.28515625" style="538" bestFit="1" customWidth="1"/>
    <col min="2568" max="2568" width="13.42578125" style="538" bestFit="1" customWidth="1"/>
    <col min="2569" max="2570" width="13.28515625" style="538" bestFit="1" customWidth="1"/>
    <col min="2571" max="2571" width="13.42578125" style="538" bestFit="1" customWidth="1"/>
    <col min="2572" max="2574" width="13.28515625" style="538" bestFit="1" customWidth="1"/>
    <col min="2575" max="2575" width="13" style="538" bestFit="1" customWidth="1"/>
    <col min="2576" max="2577" width="13.28515625" style="538" bestFit="1" customWidth="1"/>
    <col min="2578" max="2598" width="10.7109375" style="538" customWidth="1"/>
    <col min="2599" max="2816" width="9.140625" style="538"/>
    <col min="2817" max="2817" width="53.85546875" style="538" customWidth="1"/>
    <col min="2818" max="2818" width="13.85546875" style="538" customWidth="1"/>
    <col min="2819" max="2819" width="14.7109375" style="538" customWidth="1"/>
    <col min="2820" max="2821" width="13.28515625" style="538" bestFit="1" customWidth="1"/>
    <col min="2822" max="2822" width="13.42578125" style="538" bestFit="1" customWidth="1"/>
    <col min="2823" max="2823" width="13.28515625" style="538" bestFit="1" customWidth="1"/>
    <col min="2824" max="2824" width="13.42578125" style="538" bestFit="1" customWidth="1"/>
    <col min="2825" max="2826" width="13.28515625" style="538" bestFit="1" customWidth="1"/>
    <col min="2827" max="2827" width="13.42578125" style="538" bestFit="1" customWidth="1"/>
    <col min="2828" max="2830" width="13.28515625" style="538" bestFit="1" customWidth="1"/>
    <col min="2831" max="2831" width="13" style="538" bestFit="1" customWidth="1"/>
    <col min="2832" max="2833" width="13.28515625" style="538" bestFit="1" customWidth="1"/>
    <col min="2834" max="2854" width="10.7109375" style="538" customWidth="1"/>
    <col min="2855" max="3072" width="9.140625" style="538"/>
    <col min="3073" max="3073" width="53.85546875" style="538" customWidth="1"/>
    <col min="3074" max="3074" width="13.85546875" style="538" customWidth="1"/>
    <col min="3075" max="3075" width="14.7109375" style="538" customWidth="1"/>
    <col min="3076" max="3077" width="13.28515625" style="538" bestFit="1" customWidth="1"/>
    <col min="3078" max="3078" width="13.42578125" style="538" bestFit="1" customWidth="1"/>
    <col min="3079" max="3079" width="13.28515625" style="538" bestFit="1" customWidth="1"/>
    <col min="3080" max="3080" width="13.42578125" style="538" bestFit="1" customWidth="1"/>
    <col min="3081" max="3082" width="13.28515625" style="538" bestFit="1" customWidth="1"/>
    <col min="3083" max="3083" width="13.42578125" style="538" bestFit="1" customWidth="1"/>
    <col min="3084" max="3086" width="13.28515625" style="538" bestFit="1" customWidth="1"/>
    <col min="3087" max="3087" width="13" style="538" bestFit="1" customWidth="1"/>
    <col min="3088" max="3089" width="13.28515625" style="538" bestFit="1" customWidth="1"/>
    <col min="3090" max="3110" width="10.7109375" style="538" customWidth="1"/>
    <col min="3111" max="3328" width="9.140625" style="538"/>
    <col min="3329" max="3329" width="53.85546875" style="538" customWidth="1"/>
    <col min="3330" max="3330" width="13.85546875" style="538" customWidth="1"/>
    <col min="3331" max="3331" width="14.7109375" style="538" customWidth="1"/>
    <col min="3332" max="3333" width="13.28515625" style="538" bestFit="1" customWidth="1"/>
    <col min="3334" max="3334" width="13.42578125" style="538" bestFit="1" customWidth="1"/>
    <col min="3335" max="3335" width="13.28515625" style="538" bestFit="1" customWidth="1"/>
    <col min="3336" max="3336" width="13.42578125" style="538" bestFit="1" customWidth="1"/>
    <col min="3337" max="3338" width="13.28515625" style="538" bestFit="1" customWidth="1"/>
    <col min="3339" max="3339" width="13.42578125" style="538" bestFit="1" customWidth="1"/>
    <col min="3340" max="3342" width="13.28515625" style="538" bestFit="1" customWidth="1"/>
    <col min="3343" max="3343" width="13" style="538" bestFit="1" customWidth="1"/>
    <col min="3344" max="3345" width="13.28515625" style="538" bestFit="1" customWidth="1"/>
    <col min="3346" max="3366" width="10.7109375" style="538" customWidth="1"/>
    <col min="3367" max="3584" width="9.140625" style="538"/>
    <col min="3585" max="3585" width="53.85546875" style="538" customWidth="1"/>
    <col min="3586" max="3586" width="13.85546875" style="538" customWidth="1"/>
    <col min="3587" max="3587" width="14.7109375" style="538" customWidth="1"/>
    <col min="3588" max="3589" width="13.28515625" style="538" bestFit="1" customWidth="1"/>
    <col min="3590" max="3590" width="13.42578125" style="538" bestFit="1" customWidth="1"/>
    <col min="3591" max="3591" width="13.28515625" style="538" bestFit="1" customWidth="1"/>
    <col min="3592" max="3592" width="13.42578125" style="538" bestFit="1" customWidth="1"/>
    <col min="3593" max="3594" width="13.28515625" style="538" bestFit="1" customWidth="1"/>
    <col min="3595" max="3595" width="13.42578125" style="538" bestFit="1" customWidth="1"/>
    <col min="3596" max="3598" width="13.28515625" style="538" bestFit="1" customWidth="1"/>
    <col min="3599" max="3599" width="13" style="538" bestFit="1" customWidth="1"/>
    <col min="3600" max="3601" width="13.28515625" style="538" bestFit="1" customWidth="1"/>
    <col min="3602" max="3622" width="10.7109375" style="538" customWidth="1"/>
    <col min="3623" max="3840" width="9.140625" style="538"/>
    <col min="3841" max="3841" width="53.85546875" style="538" customWidth="1"/>
    <col min="3842" max="3842" width="13.85546875" style="538" customWidth="1"/>
    <col min="3843" max="3843" width="14.7109375" style="538" customWidth="1"/>
    <col min="3844" max="3845" width="13.28515625" style="538" bestFit="1" customWidth="1"/>
    <col min="3846" max="3846" width="13.42578125" style="538" bestFit="1" customWidth="1"/>
    <col min="3847" max="3847" width="13.28515625" style="538" bestFit="1" customWidth="1"/>
    <col min="3848" max="3848" width="13.42578125" style="538" bestFit="1" customWidth="1"/>
    <col min="3849" max="3850" width="13.28515625" style="538" bestFit="1" customWidth="1"/>
    <col min="3851" max="3851" width="13.42578125" style="538" bestFit="1" customWidth="1"/>
    <col min="3852" max="3854" width="13.28515625" style="538" bestFit="1" customWidth="1"/>
    <col min="3855" max="3855" width="13" style="538" bestFit="1" customWidth="1"/>
    <col min="3856" max="3857" width="13.28515625" style="538" bestFit="1" customWidth="1"/>
    <col min="3858" max="3878" width="10.7109375" style="538" customWidth="1"/>
    <col min="3879" max="4096" width="9.140625" style="538"/>
    <col min="4097" max="4097" width="53.85546875" style="538" customWidth="1"/>
    <col min="4098" max="4098" width="13.85546875" style="538" customWidth="1"/>
    <col min="4099" max="4099" width="14.7109375" style="538" customWidth="1"/>
    <col min="4100" max="4101" width="13.28515625" style="538" bestFit="1" customWidth="1"/>
    <col min="4102" max="4102" width="13.42578125" style="538" bestFit="1" customWidth="1"/>
    <col min="4103" max="4103" width="13.28515625" style="538" bestFit="1" customWidth="1"/>
    <col min="4104" max="4104" width="13.42578125" style="538" bestFit="1" customWidth="1"/>
    <col min="4105" max="4106" width="13.28515625" style="538" bestFit="1" customWidth="1"/>
    <col min="4107" max="4107" width="13.42578125" style="538" bestFit="1" customWidth="1"/>
    <col min="4108" max="4110" width="13.28515625" style="538" bestFit="1" customWidth="1"/>
    <col min="4111" max="4111" width="13" style="538" bestFit="1" customWidth="1"/>
    <col min="4112" max="4113" width="13.28515625" style="538" bestFit="1" customWidth="1"/>
    <col min="4114" max="4134" width="10.7109375" style="538" customWidth="1"/>
    <col min="4135" max="4352" width="9.140625" style="538"/>
    <col min="4353" max="4353" width="53.85546875" style="538" customWidth="1"/>
    <col min="4354" max="4354" width="13.85546875" style="538" customWidth="1"/>
    <col min="4355" max="4355" width="14.7109375" style="538" customWidth="1"/>
    <col min="4356" max="4357" width="13.28515625" style="538" bestFit="1" customWidth="1"/>
    <col min="4358" max="4358" width="13.42578125" style="538" bestFit="1" customWidth="1"/>
    <col min="4359" max="4359" width="13.28515625" style="538" bestFit="1" customWidth="1"/>
    <col min="4360" max="4360" width="13.42578125" style="538" bestFit="1" customWidth="1"/>
    <col min="4361" max="4362" width="13.28515625" style="538" bestFit="1" customWidth="1"/>
    <col min="4363" max="4363" width="13.42578125" style="538" bestFit="1" customWidth="1"/>
    <col min="4364" max="4366" width="13.28515625" style="538" bestFit="1" customWidth="1"/>
    <col min="4367" max="4367" width="13" style="538" bestFit="1" customWidth="1"/>
    <col min="4368" max="4369" width="13.28515625" style="538" bestFit="1" customWidth="1"/>
    <col min="4370" max="4390" width="10.7109375" style="538" customWidth="1"/>
    <col min="4391" max="4608" width="9.140625" style="538"/>
    <col min="4609" max="4609" width="53.85546875" style="538" customWidth="1"/>
    <col min="4610" max="4610" width="13.85546875" style="538" customWidth="1"/>
    <col min="4611" max="4611" width="14.7109375" style="538" customWidth="1"/>
    <col min="4612" max="4613" width="13.28515625" style="538" bestFit="1" customWidth="1"/>
    <col min="4614" max="4614" width="13.42578125" style="538" bestFit="1" customWidth="1"/>
    <col min="4615" max="4615" width="13.28515625" style="538" bestFit="1" customWidth="1"/>
    <col min="4616" max="4616" width="13.42578125" style="538" bestFit="1" customWidth="1"/>
    <col min="4617" max="4618" width="13.28515625" style="538" bestFit="1" customWidth="1"/>
    <col min="4619" max="4619" width="13.42578125" style="538" bestFit="1" customWidth="1"/>
    <col min="4620" max="4622" width="13.28515625" style="538" bestFit="1" customWidth="1"/>
    <col min="4623" max="4623" width="13" style="538" bestFit="1" customWidth="1"/>
    <col min="4624" max="4625" width="13.28515625" style="538" bestFit="1" customWidth="1"/>
    <col min="4626" max="4646" width="10.7109375" style="538" customWidth="1"/>
    <col min="4647" max="4864" width="9.140625" style="538"/>
    <col min="4865" max="4865" width="53.85546875" style="538" customWidth="1"/>
    <col min="4866" max="4866" width="13.85546875" style="538" customWidth="1"/>
    <col min="4867" max="4867" width="14.7109375" style="538" customWidth="1"/>
    <col min="4868" max="4869" width="13.28515625" style="538" bestFit="1" customWidth="1"/>
    <col min="4870" max="4870" width="13.42578125" style="538" bestFit="1" customWidth="1"/>
    <col min="4871" max="4871" width="13.28515625" style="538" bestFit="1" customWidth="1"/>
    <col min="4872" max="4872" width="13.42578125" style="538" bestFit="1" customWidth="1"/>
    <col min="4873" max="4874" width="13.28515625" style="538" bestFit="1" customWidth="1"/>
    <col min="4875" max="4875" width="13.42578125" style="538" bestFit="1" customWidth="1"/>
    <col min="4876" max="4878" width="13.28515625" style="538" bestFit="1" customWidth="1"/>
    <col min="4879" max="4879" width="13" style="538" bestFit="1" customWidth="1"/>
    <col min="4880" max="4881" width="13.28515625" style="538" bestFit="1" customWidth="1"/>
    <col min="4882" max="4902" width="10.7109375" style="538" customWidth="1"/>
    <col min="4903" max="5120" width="9.140625" style="538"/>
    <col min="5121" max="5121" width="53.85546875" style="538" customWidth="1"/>
    <col min="5122" max="5122" width="13.85546875" style="538" customWidth="1"/>
    <col min="5123" max="5123" width="14.7109375" style="538" customWidth="1"/>
    <col min="5124" max="5125" width="13.28515625" style="538" bestFit="1" customWidth="1"/>
    <col min="5126" max="5126" width="13.42578125" style="538" bestFit="1" customWidth="1"/>
    <col min="5127" max="5127" width="13.28515625" style="538" bestFit="1" customWidth="1"/>
    <col min="5128" max="5128" width="13.42578125" style="538" bestFit="1" customWidth="1"/>
    <col min="5129" max="5130" width="13.28515625" style="538" bestFit="1" customWidth="1"/>
    <col min="5131" max="5131" width="13.42578125" style="538" bestFit="1" customWidth="1"/>
    <col min="5132" max="5134" width="13.28515625" style="538" bestFit="1" customWidth="1"/>
    <col min="5135" max="5135" width="13" style="538" bestFit="1" customWidth="1"/>
    <col min="5136" max="5137" width="13.28515625" style="538" bestFit="1" customWidth="1"/>
    <col min="5138" max="5158" width="10.7109375" style="538" customWidth="1"/>
    <col min="5159" max="5376" width="9.140625" style="538"/>
    <col min="5377" max="5377" width="53.85546875" style="538" customWidth="1"/>
    <col min="5378" max="5378" width="13.85546875" style="538" customWidth="1"/>
    <col min="5379" max="5379" width="14.7109375" style="538" customWidth="1"/>
    <col min="5380" max="5381" width="13.28515625" style="538" bestFit="1" customWidth="1"/>
    <col min="5382" max="5382" width="13.42578125" style="538" bestFit="1" customWidth="1"/>
    <col min="5383" max="5383" width="13.28515625" style="538" bestFit="1" customWidth="1"/>
    <col min="5384" max="5384" width="13.42578125" style="538" bestFit="1" customWidth="1"/>
    <col min="5385" max="5386" width="13.28515625" style="538" bestFit="1" customWidth="1"/>
    <col min="5387" max="5387" width="13.42578125" style="538" bestFit="1" customWidth="1"/>
    <col min="5388" max="5390" width="13.28515625" style="538" bestFit="1" customWidth="1"/>
    <col min="5391" max="5391" width="13" style="538" bestFit="1" customWidth="1"/>
    <col min="5392" max="5393" width="13.28515625" style="538" bestFit="1" customWidth="1"/>
    <col min="5394" max="5414" width="10.7109375" style="538" customWidth="1"/>
    <col min="5415" max="5632" width="9.140625" style="538"/>
    <col min="5633" max="5633" width="53.85546875" style="538" customWidth="1"/>
    <col min="5634" max="5634" width="13.85546875" style="538" customWidth="1"/>
    <col min="5635" max="5635" width="14.7109375" style="538" customWidth="1"/>
    <col min="5636" max="5637" width="13.28515625" style="538" bestFit="1" customWidth="1"/>
    <col min="5638" max="5638" width="13.42578125" style="538" bestFit="1" customWidth="1"/>
    <col min="5639" max="5639" width="13.28515625" style="538" bestFit="1" customWidth="1"/>
    <col min="5640" max="5640" width="13.42578125" style="538" bestFit="1" customWidth="1"/>
    <col min="5641" max="5642" width="13.28515625" style="538" bestFit="1" customWidth="1"/>
    <col min="5643" max="5643" width="13.42578125" style="538" bestFit="1" customWidth="1"/>
    <col min="5644" max="5646" width="13.28515625" style="538" bestFit="1" customWidth="1"/>
    <col min="5647" max="5647" width="13" style="538" bestFit="1" customWidth="1"/>
    <col min="5648" max="5649" width="13.28515625" style="538" bestFit="1" customWidth="1"/>
    <col min="5650" max="5670" width="10.7109375" style="538" customWidth="1"/>
    <col min="5671" max="5888" width="9.140625" style="538"/>
    <col min="5889" max="5889" width="53.85546875" style="538" customWidth="1"/>
    <col min="5890" max="5890" width="13.85546875" style="538" customWidth="1"/>
    <col min="5891" max="5891" width="14.7109375" style="538" customWidth="1"/>
    <col min="5892" max="5893" width="13.28515625" style="538" bestFit="1" customWidth="1"/>
    <col min="5894" max="5894" width="13.42578125" style="538" bestFit="1" customWidth="1"/>
    <col min="5895" max="5895" width="13.28515625" style="538" bestFit="1" customWidth="1"/>
    <col min="5896" max="5896" width="13.42578125" style="538" bestFit="1" customWidth="1"/>
    <col min="5897" max="5898" width="13.28515625" style="538" bestFit="1" customWidth="1"/>
    <col min="5899" max="5899" width="13.42578125" style="538" bestFit="1" customWidth="1"/>
    <col min="5900" max="5902" width="13.28515625" style="538" bestFit="1" customWidth="1"/>
    <col min="5903" max="5903" width="13" style="538" bestFit="1" customWidth="1"/>
    <col min="5904" max="5905" width="13.28515625" style="538" bestFit="1" customWidth="1"/>
    <col min="5906" max="5926" width="10.7109375" style="538" customWidth="1"/>
    <col min="5927" max="6144" width="9.140625" style="538"/>
    <col min="6145" max="6145" width="53.85546875" style="538" customWidth="1"/>
    <col min="6146" max="6146" width="13.85546875" style="538" customWidth="1"/>
    <col min="6147" max="6147" width="14.7109375" style="538" customWidth="1"/>
    <col min="6148" max="6149" width="13.28515625" style="538" bestFit="1" customWidth="1"/>
    <col min="6150" max="6150" width="13.42578125" style="538" bestFit="1" customWidth="1"/>
    <col min="6151" max="6151" width="13.28515625" style="538" bestFit="1" customWidth="1"/>
    <col min="6152" max="6152" width="13.42578125" style="538" bestFit="1" customWidth="1"/>
    <col min="6153" max="6154" width="13.28515625" style="538" bestFit="1" customWidth="1"/>
    <col min="6155" max="6155" width="13.42578125" style="538" bestFit="1" customWidth="1"/>
    <col min="6156" max="6158" width="13.28515625" style="538" bestFit="1" customWidth="1"/>
    <col min="6159" max="6159" width="13" style="538" bestFit="1" customWidth="1"/>
    <col min="6160" max="6161" width="13.28515625" style="538" bestFit="1" customWidth="1"/>
    <col min="6162" max="6182" width="10.7109375" style="538" customWidth="1"/>
    <col min="6183" max="6400" width="9.140625" style="538"/>
    <col min="6401" max="6401" width="53.85546875" style="538" customWidth="1"/>
    <col min="6402" max="6402" width="13.85546875" style="538" customWidth="1"/>
    <col min="6403" max="6403" width="14.7109375" style="538" customWidth="1"/>
    <col min="6404" max="6405" width="13.28515625" style="538" bestFit="1" customWidth="1"/>
    <col min="6406" max="6406" width="13.42578125" style="538" bestFit="1" customWidth="1"/>
    <col min="6407" max="6407" width="13.28515625" style="538" bestFit="1" customWidth="1"/>
    <col min="6408" max="6408" width="13.42578125" style="538" bestFit="1" customWidth="1"/>
    <col min="6409" max="6410" width="13.28515625" style="538" bestFit="1" customWidth="1"/>
    <col min="6411" max="6411" width="13.42578125" style="538" bestFit="1" customWidth="1"/>
    <col min="6412" max="6414" width="13.28515625" style="538" bestFit="1" customWidth="1"/>
    <col min="6415" max="6415" width="13" style="538" bestFit="1" customWidth="1"/>
    <col min="6416" max="6417" width="13.28515625" style="538" bestFit="1" customWidth="1"/>
    <col min="6418" max="6438" width="10.7109375" style="538" customWidth="1"/>
    <col min="6439" max="6656" width="9.140625" style="538"/>
    <col min="6657" max="6657" width="53.85546875" style="538" customWidth="1"/>
    <col min="6658" max="6658" width="13.85546875" style="538" customWidth="1"/>
    <col min="6659" max="6659" width="14.7109375" style="538" customWidth="1"/>
    <col min="6660" max="6661" width="13.28515625" style="538" bestFit="1" customWidth="1"/>
    <col min="6662" max="6662" width="13.42578125" style="538" bestFit="1" customWidth="1"/>
    <col min="6663" max="6663" width="13.28515625" style="538" bestFit="1" customWidth="1"/>
    <col min="6664" max="6664" width="13.42578125" style="538" bestFit="1" customWidth="1"/>
    <col min="6665" max="6666" width="13.28515625" style="538" bestFit="1" customWidth="1"/>
    <col min="6667" max="6667" width="13.42578125" style="538" bestFit="1" customWidth="1"/>
    <col min="6668" max="6670" width="13.28515625" style="538" bestFit="1" customWidth="1"/>
    <col min="6671" max="6671" width="13" style="538" bestFit="1" customWidth="1"/>
    <col min="6672" max="6673" width="13.28515625" style="538" bestFit="1" customWidth="1"/>
    <col min="6674" max="6694" width="10.7109375" style="538" customWidth="1"/>
    <col min="6695" max="6912" width="9.140625" style="538"/>
    <col min="6913" max="6913" width="53.85546875" style="538" customWidth="1"/>
    <col min="6914" max="6914" width="13.85546875" style="538" customWidth="1"/>
    <col min="6915" max="6915" width="14.7109375" style="538" customWidth="1"/>
    <col min="6916" max="6917" width="13.28515625" style="538" bestFit="1" customWidth="1"/>
    <col min="6918" max="6918" width="13.42578125" style="538" bestFit="1" customWidth="1"/>
    <col min="6919" max="6919" width="13.28515625" style="538" bestFit="1" customWidth="1"/>
    <col min="6920" max="6920" width="13.42578125" style="538" bestFit="1" customWidth="1"/>
    <col min="6921" max="6922" width="13.28515625" style="538" bestFit="1" customWidth="1"/>
    <col min="6923" max="6923" width="13.42578125" style="538" bestFit="1" customWidth="1"/>
    <col min="6924" max="6926" width="13.28515625" style="538" bestFit="1" customWidth="1"/>
    <col min="6927" max="6927" width="13" style="538" bestFit="1" customWidth="1"/>
    <col min="6928" max="6929" width="13.28515625" style="538" bestFit="1" customWidth="1"/>
    <col min="6930" max="6950" width="10.7109375" style="538" customWidth="1"/>
    <col min="6951" max="7168" width="9.140625" style="538"/>
    <col min="7169" max="7169" width="53.85546875" style="538" customWidth="1"/>
    <col min="7170" max="7170" width="13.85546875" style="538" customWidth="1"/>
    <col min="7171" max="7171" width="14.7109375" style="538" customWidth="1"/>
    <col min="7172" max="7173" width="13.28515625" style="538" bestFit="1" customWidth="1"/>
    <col min="7174" max="7174" width="13.42578125" style="538" bestFit="1" customWidth="1"/>
    <col min="7175" max="7175" width="13.28515625" style="538" bestFit="1" customWidth="1"/>
    <col min="7176" max="7176" width="13.42578125" style="538" bestFit="1" customWidth="1"/>
    <col min="7177" max="7178" width="13.28515625" style="538" bestFit="1" customWidth="1"/>
    <col min="7179" max="7179" width="13.42578125" style="538" bestFit="1" customWidth="1"/>
    <col min="7180" max="7182" width="13.28515625" style="538" bestFit="1" customWidth="1"/>
    <col min="7183" max="7183" width="13" style="538" bestFit="1" customWidth="1"/>
    <col min="7184" max="7185" width="13.28515625" style="538" bestFit="1" customWidth="1"/>
    <col min="7186" max="7206" width="10.7109375" style="538" customWidth="1"/>
    <col min="7207" max="7424" width="9.140625" style="538"/>
    <col min="7425" max="7425" width="53.85546875" style="538" customWidth="1"/>
    <col min="7426" max="7426" width="13.85546875" style="538" customWidth="1"/>
    <col min="7427" max="7427" width="14.7109375" style="538" customWidth="1"/>
    <col min="7428" max="7429" width="13.28515625" style="538" bestFit="1" customWidth="1"/>
    <col min="7430" max="7430" width="13.42578125" style="538" bestFit="1" customWidth="1"/>
    <col min="7431" max="7431" width="13.28515625" style="538" bestFit="1" customWidth="1"/>
    <col min="7432" max="7432" width="13.42578125" style="538" bestFit="1" customWidth="1"/>
    <col min="7433" max="7434" width="13.28515625" style="538" bestFit="1" customWidth="1"/>
    <col min="7435" max="7435" width="13.42578125" style="538" bestFit="1" customWidth="1"/>
    <col min="7436" max="7438" width="13.28515625" style="538" bestFit="1" customWidth="1"/>
    <col min="7439" max="7439" width="13" style="538" bestFit="1" customWidth="1"/>
    <col min="7440" max="7441" width="13.28515625" style="538" bestFit="1" customWidth="1"/>
    <col min="7442" max="7462" width="10.7109375" style="538" customWidth="1"/>
    <col min="7463" max="7680" width="9.140625" style="538"/>
    <col min="7681" max="7681" width="53.85546875" style="538" customWidth="1"/>
    <col min="7682" max="7682" width="13.85546875" style="538" customWidth="1"/>
    <col min="7683" max="7683" width="14.7109375" style="538" customWidth="1"/>
    <col min="7684" max="7685" width="13.28515625" style="538" bestFit="1" customWidth="1"/>
    <col min="7686" max="7686" width="13.42578125" style="538" bestFit="1" customWidth="1"/>
    <col min="7687" max="7687" width="13.28515625" style="538" bestFit="1" customWidth="1"/>
    <col min="7688" max="7688" width="13.42578125" style="538" bestFit="1" customWidth="1"/>
    <col min="7689" max="7690" width="13.28515625" style="538" bestFit="1" customWidth="1"/>
    <col min="7691" max="7691" width="13.42578125" style="538" bestFit="1" customWidth="1"/>
    <col min="7692" max="7694" width="13.28515625" style="538" bestFit="1" customWidth="1"/>
    <col min="7695" max="7695" width="13" style="538" bestFit="1" customWidth="1"/>
    <col min="7696" max="7697" width="13.28515625" style="538" bestFit="1" customWidth="1"/>
    <col min="7698" max="7718" width="10.7109375" style="538" customWidth="1"/>
    <col min="7719" max="7936" width="9.140625" style="538"/>
    <col min="7937" max="7937" width="53.85546875" style="538" customWidth="1"/>
    <col min="7938" max="7938" width="13.85546875" style="538" customWidth="1"/>
    <col min="7939" max="7939" width="14.7109375" style="538" customWidth="1"/>
    <col min="7940" max="7941" width="13.28515625" style="538" bestFit="1" customWidth="1"/>
    <col min="7942" max="7942" width="13.42578125" style="538" bestFit="1" customWidth="1"/>
    <col min="7943" max="7943" width="13.28515625" style="538" bestFit="1" customWidth="1"/>
    <col min="7944" max="7944" width="13.42578125" style="538" bestFit="1" customWidth="1"/>
    <col min="7945" max="7946" width="13.28515625" style="538" bestFit="1" customWidth="1"/>
    <col min="7947" max="7947" width="13.42578125" style="538" bestFit="1" customWidth="1"/>
    <col min="7948" max="7950" width="13.28515625" style="538" bestFit="1" customWidth="1"/>
    <col min="7951" max="7951" width="13" style="538" bestFit="1" customWidth="1"/>
    <col min="7952" max="7953" width="13.28515625" style="538" bestFit="1" customWidth="1"/>
    <col min="7954" max="7974" width="10.7109375" style="538" customWidth="1"/>
    <col min="7975" max="8192" width="9.140625" style="538"/>
    <col min="8193" max="8193" width="53.85546875" style="538" customWidth="1"/>
    <col min="8194" max="8194" width="13.85546875" style="538" customWidth="1"/>
    <col min="8195" max="8195" width="14.7109375" style="538" customWidth="1"/>
    <col min="8196" max="8197" width="13.28515625" style="538" bestFit="1" customWidth="1"/>
    <col min="8198" max="8198" width="13.42578125" style="538" bestFit="1" customWidth="1"/>
    <col min="8199" max="8199" width="13.28515625" style="538" bestFit="1" customWidth="1"/>
    <col min="8200" max="8200" width="13.42578125" style="538" bestFit="1" customWidth="1"/>
    <col min="8201" max="8202" width="13.28515625" style="538" bestFit="1" customWidth="1"/>
    <col min="8203" max="8203" width="13.42578125" style="538" bestFit="1" customWidth="1"/>
    <col min="8204" max="8206" width="13.28515625" style="538" bestFit="1" customWidth="1"/>
    <col min="8207" max="8207" width="13" style="538" bestFit="1" customWidth="1"/>
    <col min="8208" max="8209" width="13.28515625" style="538" bestFit="1" customWidth="1"/>
    <col min="8210" max="8230" width="10.7109375" style="538" customWidth="1"/>
    <col min="8231" max="8448" width="9.140625" style="538"/>
    <col min="8449" max="8449" width="53.85546875" style="538" customWidth="1"/>
    <col min="8450" max="8450" width="13.85546875" style="538" customWidth="1"/>
    <col min="8451" max="8451" width="14.7109375" style="538" customWidth="1"/>
    <col min="8452" max="8453" width="13.28515625" style="538" bestFit="1" customWidth="1"/>
    <col min="8454" max="8454" width="13.42578125" style="538" bestFit="1" customWidth="1"/>
    <col min="8455" max="8455" width="13.28515625" style="538" bestFit="1" customWidth="1"/>
    <col min="8456" max="8456" width="13.42578125" style="538" bestFit="1" customWidth="1"/>
    <col min="8457" max="8458" width="13.28515625" style="538" bestFit="1" customWidth="1"/>
    <col min="8459" max="8459" width="13.42578125" style="538" bestFit="1" customWidth="1"/>
    <col min="8460" max="8462" width="13.28515625" style="538" bestFit="1" customWidth="1"/>
    <col min="8463" max="8463" width="13" style="538" bestFit="1" customWidth="1"/>
    <col min="8464" max="8465" width="13.28515625" style="538" bestFit="1" customWidth="1"/>
    <col min="8466" max="8486" width="10.7109375" style="538" customWidth="1"/>
    <col min="8487" max="8704" width="9.140625" style="538"/>
    <col min="8705" max="8705" width="53.85546875" style="538" customWidth="1"/>
    <col min="8706" max="8706" width="13.85546875" style="538" customWidth="1"/>
    <col min="8707" max="8707" width="14.7109375" style="538" customWidth="1"/>
    <col min="8708" max="8709" width="13.28515625" style="538" bestFit="1" customWidth="1"/>
    <col min="8710" max="8710" width="13.42578125" style="538" bestFit="1" customWidth="1"/>
    <col min="8711" max="8711" width="13.28515625" style="538" bestFit="1" customWidth="1"/>
    <col min="8712" max="8712" width="13.42578125" style="538" bestFit="1" customWidth="1"/>
    <col min="8713" max="8714" width="13.28515625" style="538" bestFit="1" customWidth="1"/>
    <col min="8715" max="8715" width="13.42578125" style="538" bestFit="1" customWidth="1"/>
    <col min="8716" max="8718" width="13.28515625" style="538" bestFit="1" customWidth="1"/>
    <col min="8719" max="8719" width="13" style="538" bestFit="1" customWidth="1"/>
    <col min="8720" max="8721" width="13.28515625" style="538" bestFit="1" customWidth="1"/>
    <col min="8722" max="8742" width="10.7109375" style="538" customWidth="1"/>
    <col min="8743" max="8960" width="9.140625" style="538"/>
    <col min="8961" max="8961" width="53.85546875" style="538" customWidth="1"/>
    <col min="8962" max="8962" width="13.85546875" style="538" customWidth="1"/>
    <col min="8963" max="8963" width="14.7109375" style="538" customWidth="1"/>
    <col min="8964" max="8965" width="13.28515625" style="538" bestFit="1" customWidth="1"/>
    <col min="8966" max="8966" width="13.42578125" style="538" bestFit="1" customWidth="1"/>
    <col min="8967" max="8967" width="13.28515625" style="538" bestFit="1" customWidth="1"/>
    <col min="8968" max="8968" width="13.42578125" style="538" bestFit="1" customWidth="1"/>
    <col min="8969" max="8970" width="13.28515625" style="538" bestFit="1" customWidth="1"/>
    <col min="8971" max="8971" width="13.42578125" style="538" bestFit="1" customWidth="1"/>
    <col min="8972" max="8974" width="13.28515625" style="538" bestFit="1" customWidth="1"/>
    <col min="8975" max="8975" width="13" style="538" bestFit="1" customWidth="1"/>
    <col min="8976" max="8977" width="13.28515625" style="538" bestFit="1" customWidth="1"/>
    <col min="8978" max="8998" width="10.7109375" style="538" customWidth="1"/>
    <col min="8999" max="9216" width="9.140625" style="538"/>
    <col min="9217" max="9217" width="53.85546875" style="538" customWidth="1"/>
    <col min="9218" max="9218" width="13.85546875" style="538" customWidth="1"/>
    <col min="9219" max="9219" width="14.7109375" style="538" customWidth="1"/>
    <col min="9220" max="9221" width="13.28515625" style="538" bestFit="1" customWidth="1"/>
    <col min="9222" max="9222" width="13.42578125" style="538" bestFit="1" customWidth="1"/>
    <col min="9223" max="9223" width="13.28515625" style="538" bestFit="1" customWidth="1"/>
    <col min="9224" max="9224" width="13.42578125" style="538" bestFit="1" customWidth="1"/>
    <col min="9225" max="9226" width="13.28515625" style="538" bestFit="1" customWidth="1"/>
    <col min="9227" max="9227" width="13.42578125" style="538" bestFit="1" customWidth="1"/>
    <col min="9228" max="9230" width="13.28515625" style="538" bestFit="1" customWidth="1"/>
    <col min="9231" max="9231" width="13" style="538" bestFit="1" customWidth="1"/>
    <col min="9232" max="9233" width="13.28515625" style="538" bestFit="1" customWidth="1"/>
    <col min="9234" max="9254" width="10.7109375" style="538" customWidth="1"/>
    <col min="9255" max="9472" width="9.140625" style="538"/>
    <col min="9473" max="9473" width="53.85546875" style="538" customWidth="1"/>
    <col min="9474" max="9474" width="13.85546875" style="538" customWidth="1"/>
    <col min="9475" max="9475" width="14.7109375" style="538" customWidth="1"/>
    <col min="9476" max="9477" width="13.28515625" style="538" bestFit="1" customWidth="1"/>
    <col min="9478" max="9478" width="13.42578125" style="538" bestFit="1" customWidth="1"/>
    <col min="9479" max="9479" width="13.28515625" style="538" bestFit="1" customWidth="1"/>
    <col min="9480" max="9480" width="13.42578125" style="538" bestFit="1" customWidth="1"/>
    <col min="9481" max="9482" width="13.28515625" style="538" bestFit="1" customWidth="1"/>
    <col min="9483" max="9483" width="13.42578125" style="538" bestFit="1" customWidth="1"/>
    <col min="9484" max="9486" width="13.28515625" style="538" bestFit="1" customWidth="1"/>
    <col min="9487" max="9487" width="13" style="538" bestFit="1" customWidth="1"/>
    <col min="9488" max="9489" width="13.28515625" style="538" bestFit="1" customWidth="1"/>
    <col min="9490" max="9510" width="10.7109375" style="538" customWidth="1"/>
    <col min="9511" max="9728" width="9.140625" style="538"/>
    <col min="9729" max="9729" width="53.85546875" style="538" customWidth="1"/>
    <col min="9730" max="9730" width="13.85546875" style="538" customWidth="1"/>
    <col min="9731" max="9731" width="14.7109375" style="538" customWidth="1"/>
    <col min="9732" max="9733" width="13.28515625" style="538" bestFit="1" customWidth="1"/>
    <col min="9734" max="9734" width="13.42578125" style="538" bestFit="1" customWidth="1"/>
    <col min="9735" max="9735" width="13.28515625" style="538" bestFit="1" customWidth="1"/>
    <col min="9736" max="9736" width="13.42578125" style="538" bestFit="1" customWidth="1"/>
    <col min="9737" max="9738" width="13.28515625" style="538" bestFit="1" customWidth="1"/>
    <col min="9739" max="9739" width="13.42578125" style="538" bestFit="1" customWidth="1"/>
    <col min="9740" max="9742" width="13.28515625" style="538" bestFit="1" customWidth="1"/>
    <col min="9743" max="9743" width="13" style="538" bestFit="1" customWidth="1"/>
    <col min="9744" max="9745" width="13.28515625" style="538" bestFit="1" customWidth="1"/>
    <col min="9746" max="9766" width="10.7109375" style="538" customWidth="1"/>
    <col min="9767" max="9984" width="9.140625" style="538"/>
    <col min="9985" max="9985" width="53.85546875" style="538" customWidth="1"/>
    <col min="9986" max="9986" width="13.85546875" style="538" customWidth="1"/>
    <col min="9987" max="9987" width="14.7109375" style="538" customWidth="1"/>
    <col min="9988" max="9989" width="13.28515625" style="538" bestFit="1" customWidth="1"/>
    <col min="9990" max="9990" width="13.42578125" style="538" bestFit="1" customWidth="1"/>
    <col min="9991" max="9991" width="13.28515625" style="538" bestFit="1" customWidth="1"/>
    <col min="9992" max="9992" width="13.42578125" style="538" bestFit="1" customWidth="1"/>
    <col min="9993" max="9994" width="13.28515625" style="538" bestFit="1" customWidth="1"/>
    <col min="9995" max="9995" width="13.42578125" style="538" bestFit="1" customWidth="1"/>
    <col min="9996" max="9998" width="13.28515625" style="538" bestFit="1" customWidth="1"/>
    <col min="9999" max="9999" width="13" style="538" bestFit="1" customWidth="1"/>
    <col min="10000" max="10001" width="13.28515625" style="538" bestFit="1" customWidth="1"/>
    <col min="10002" max="10022" width="10.7109375" style="538" customWidth="1"/>
    <col min="10023" max="10240" width="9.140625" style="538"/>
    <col min="10241" max="10241" width="53.85546875" style="538" customWidth="1"/>
    <col min="10242" max="10242" width="13.85546875" style="538" customWidth="1"/>
    <col min="10243" max="10243" width="14.7109375" style="538" customWidth="1"/>
    <col min="10244" max="10245" width="13.28515625" style="538" bestFit="1" customWidth="1"/>
    <col min="10246" max="10246" width="13.42578125" style="538" bestFit="1" customWidth="1"/>
    <col min="10247" max="10247" width="13.28515625" style="538" bestFit="1" customWidth="1"/>
    <col min="10248" max="10248" width="13.42578125" style="538" bestFit="1" customWidth="1"/>
    <col min="10249" max="10250" width="13.28515625" style="538" bestFit="1" customWidth="1"/>
    <col min="10251" max="10251" width="13.42578125" style="538" bestFit="1" customWidth="1"/>
    <col min="10252" max="10254" width="13.28515625" style="538" bestFit="1" customWidth="1"/>
    <col min="10255" max="10255" width="13" style="538" bestFit="1" customWidth="1"/>
    <col min="10256" max="10257" width="13.28515625" style="538" bestFit="1" customWidth="1"/>
    <col min="10258" max="10278" width="10.7109375" style="538" customWidth="1"/>
    <col min="10279" max="10496" width="9.140625" style="538"/>
    <col min="10497" max="10497" width="53.85546875" style="538" customWidth="1"/>
    <col min="10498" max="10498" width="13.85546875" style="538" customWidth="1"/>
    <col min="10499" max="10499" width="14.7109375" style="538" customWidth="1"/>
    <col min="10500" max="10501" width="13.28515625" style="538" bestFit="1" customWidth="1"/>
    <col min="10502" max="10502" width="13.42578125" style="538" bestFit="1" customWidth="1"/>
    <col min="10503" max="10503" width="13.28515625" style="538" bestFit="1" customWidth="1"/>
    <col min="10504" max="10504" width="13.42578125" style="538" bestFit="1" customWidth="1"/>
    <col min="10505" max="10506" width="13.28515625" style="538" bestFit="1" customWidth="1"/>
    <col min="10507" max="10507" width="13.42578125" style="538" bestFit="1" customWidth="1"/>
    <col min="10508" max="10510" width="13.28515625" style="538" bestFit="1" customWidth="1"/>
    <col min="10511" max="10511" width="13" style="538" bestFit="1" customWidth="1"/>
    <col min="10512" max="10513" width="13.28515625" style="538" bestFit="1" customWidth="1"/>
    <col min="10514" max="10534" width="10.7109375" style="538" customWidth="1"/>
    <col min="10535" max="10752" width="9.140625" style="538"/>
    <col min="10753" max="10753" width="53.85546875" style="538" customWidth="1"/>
    <col min="10754" max="10754" width="13.85546875" style="538" customWidth="1"/>
    <col min="10755" max="10755" width="14.7109375" style="538" customWidth="1"/>
    <col min="10756" max="10757" width="13.28515625" style="538" bestFit="1" customWidth="1"/>
    <col min="10758" max="10758" width="13.42578125" style="538" bestFit="1" customWidth="1"/>
    <col min="10759" max="10759" width="13.28515625" style="538" bestFit="1" customWidth="1"/>
    <col min="10760" max="10760" width="13.42578125" style="538" bestFit="1" customWidth="1"/>
    <col min="10761" max="10762" width="13.28515625" style="538" bestFit="1" customWidth="1"/>
    <col min="10763" max="10763" width="13.42578125" style="538" bestFit="1" customWidth="1"/>
    <col min="10764" max="10766" width="13.28515625" style="538" bestFit="1" customWidth="1"/>
    <col min="10767" max="10767" width="13" style="538" bestFit="1" customWidth="1"/>
    <col min="10768" max="10769" width="13.28515625" style="538" bestFit="1" customWidth="1"/>
    <col min="10770" max="10790" width="10.7109375" style="538" customWidth="1"/>
    <col min="10791" max="11008" width="9.140625" style="538"/>
    <col min="11009" max="11009" width="53.85546875" style="538" customWidth="1"/>
    <col min="11010" max="11010" width="13.85546875" style="538" customWidth="1"/>
    <col min="11011" max="11011" width="14.7109375" style="538" customWidth="1"/>
    <col min="11012" max="11013" width="13.28515625" style="538" bestFit="1" customWidth="1"/>
    <col min="11014" max="11014" width="13.42578125" style="538" bestFit="1" customWidth="1"/>
    <col min="11015" max="11015" width="13.28515625" style="538" bestFit="1" customWidth="1"/>
    <col min="11016" max="11016" width="13.42578125" style="538" bestFit="1" customWidth="1"/>
    <col min="11017" max="11018" width="13.28515625" style="538" bestFit="1" customWidth="1"/>
    <col min="11019" max="11019" width="13.42578125" style="538" bestFit="1" customWidth="1"/>
    <col min="11020" max="11022" width="13.28515625" style="538" bestFit="1" customWidth="1"/>
    <col min="11023" max="11023" width="13" style="538" bestFit="1" customWidth="1"/>
    <col min="11024" max="11025" width="13.28515625" style="538" bestFit="1" customWidth="1"/>
    <col min="11026" max="11046" width="10.7109375" style="538" customWidth="1"/>
    <col min="11047" max="11264" width="9.140625" style="538"/>
    <col min="11265" max="11265" width="53.85546875" style="538" customWidth="1"/>
    <col min="11266" max="11266" width="13.85546875" style="538" customWidth="1"/>
    <col min="11267" max="11267" width="14.7109375" style="538" customWidth="1"/>
    <col min="11268" max="11269" width="13.28515625" style="538" bestFit="1" customWidth="1"/>
    <col min="11270" max="11270" width="13.42578125" style="538" bestFit="1" customWidth="1"/>
    <col min="11271" max="11271" width="13.28515625" style="538" bestFit="1" customWidth="1"/>
    <col min="11272" max="11272" width="13.42578125" style="538" bestFit="1" customWidth="1"/>
    <col min="11273" max="11274" width="13.28515625" style="538" bestFit="1" customWidth="1"/>
    <col min="11275" max="11275" width="13.42578125" style="538" bestFit="1" customWidth="1"/>
    <col min="11276" max="11278" width="13.28515625" style="538" bestFit="1" customWidth="1"/>
    <col min="11279" max="11279" width="13" style="538" bestFit="1" customWidth="1"/>
    <col min="11280" max="11281" width="13.28515625" style="538" bestFit="1" customWidth="1"/>
    <col min="11282" max="11302" width="10.7109375" style="538" customWidth="1"/>
    <col min="11303" max="11520" width="9.140625" style="538"/>
    <col min="11521" max="11521" width="53.85546875" style="538" customWidth="1"/>
    <col min="11522" max="11522" width="13.85546875" style="538" customWidth="1"/>
    <col min="11523" max="11523" width="14.7109375" style="538" customWidth="1"/>
    <col min="11524" max="11525" width="13.28515625" style="538" bestFit="1" customWidth="1"/>
    <col min="11526" max="11526" width="13.42578125" style="538" bestFit="1" customWidth="1"/>
    <col min="11527" max="11527" width="13.28515625" style="538" bestFit="1" customWidth="1"/>
    <col min="11528" max="11528" width="13.42578125" style="538" bestFit="1" customWidth="1"/>
    <col min="11529" max="11530" width="13.28515625" style="538" bestFit="1" customWidth="1"/>
    <col min="11531" max="11531" width="13.42578125" style="538" bestFit="1" customWidth="1"/>
    <col min="11532" max="11534" width="13.28515625" style="538" bestFit="1" customWidth="1"/>
    <col min="11535" max="11535" width="13" style="538" bestFit="1" customWidth="1"/>
    <col min="11536" max="11537" width="13.28515625" style="538" bestFit="1" customWidth="1"/>
    <col min="11538" max="11558" width="10.7109375" style="538" customWidth="1"/>
    <col min="11559" max="11776" width="9.140625" style="538"/>
    <col min="11777" max="11777" width="53.85546875" style="538" customWidth="1"/>
    <col min="11778" max="11778" width="13.85546875" style="538" customWidth="1"/>
    <col min="11779" max="11779" width="14.7109375" style="538" customWidth="1"/>
    <col min="11780" max="11781" width="13.28515625" style="538" bestFit="1" customWidth="1"/>
    <col min="11782" max="11782" width="13.42578125" style="538" bestFit="1" customWidth="1"/>
    <col min="11783" max="11783" width="13.28515625" style="538" bestFit="1" customWidth="1"/>
    <col min="11784" max="11784" width="13.42578125" style="538" bestFit="1" customWidth="1"/>
    <col min="11785" max="11786" width="13.28515625" style="538" bestFit="1" customWidth="1"/>
    <col min="11787" max="11787" width="13.42578125" style="538" bestFit="1" customWidth="1"/>
    <col min="11788" max="11790" width="13.28515625" style="538" bestFit="1" customWidth="1"/>
    <col min="11791" max="11791" width="13" style="538" bestFit="1" customWidth="1"/>
    <col min="11792" max="11793" width="13.28515625" style="538" bestFit="1" customWidth="1"/>
    <col min="11794" max="11814" width="10.7109375" style="538" customWidth="1"/>
    <col min="11815" max="12032" width="9.140625" style="538"/>
    <col min="12033" max="12033" width="53.85546875" style="538" customWidth="1"/>
    <col min="12034" max="12034" width="13.85546875" style="538" customWidth="1"/>
    <col min="12035" max="12035" width="14.7109375" style="538" customWidth="1"/>
    <col min="12036" max="12037" width="13.28515625" style="538" bestFit="1" customWidth="1"/>
    <col min="12038" max="12038" width="13.42578125" style="538" bestFit="1" customWidth="1"/>
    <col min="12039" max="12039" width="13.28515625" style="538" bestFit="1" customWidth="1"/>
    <col min="12040" max="12040" width="13.42578125" style="538" bestFit="1" customWidth="1"/>
    <col min="12041" max="12042" width="13.28515625" style="538" bestFit="1" customWidth="1"/>
    <col min="12043" max="12043" width="13.42578125" style="538" bestFit="1" customWidth="1"/>
    <col min="12044" max="12046" width="13.28515625" style="538" bestFit="1" customWidth="1"/>
    <col min="12047" max="12047" width="13" style="538" bestFit="1" customWidth="1"/>
    <col min="12048" max="12049" width="13.28515625" style="538" bestFit="1" customWidth="1"/>
    <col min="12050" max="12070" width="10.7109375" style="538" customWidth="1"/>
    <col min="12071" max="12288" width="9.140625" style="538"/>
    <col min="12289" max="12289" width="53.85546875" style="538" customWidth="1"/>
    <col min="12290" max="12290" width="13.85546875" style="538" customWidth="1"/>
    <col min="12291" max="12291" width="14.7109375" style="538" customWidth="1"/>
    <col min="12292" max="12293" width="13.28515625" style="538" bestFit="1" customWidth="1"/>
    <col min="12294" max="12294" width="13.42578125" style="538" bestFit="1" customWidth="1"/>
    <col min="12295" max="12295" width="13.28515625" style="538" bestFit="1" customWidth="1"/>
    <col min="12296" max="12296" width="13.42578125" style="538" bestFit="1" customWidth="1"/>
    <col min="12297" max="12298" width="13.28515625" style="538" bestFit="1" customWidth="1"/>
    <col min="12299" max="12299" width="13.42578125" style="538" bestFit="1" customWidth="1"/>
    <col min="12300" max="12302" width="13.28515625" style="538" bestFit="1" customWidth="1"/>
    <col min="12303" max="12303" width="13" style="538" bestFit="1" customWidth="1"/>
    <col min="12304" max="12305" width="13.28515625" style="538" bestFit="1" customWidth="1"/>
    <col min="12306" max="12326" width="10.7109375" style="538" customWidth="1"/>
    <col min="12327" max="12544" width="9.140625" style="538"/>
    <col min="12545" max="12545" width="53.85546875" style="538" customWidth="1"/>
    <col min="12546" max="12546" width="13.85546875" style="538" customWidth="1"/>
    <col min="12547" max="12547" width="14.7109375" style="538" customWidth="1"/>
    <col min="12548" max="12549" width="13.28515625" style="538" bestFit="1" customWidth="1"/>
    <col min="12550" max="12550" width="13.42578125" style="538" bestFit="1" customWidth="1"/>
    <col min="12551" max="12551" width="13.28515625" style="538" bestFit="1" customWidth="1"/>
    <col min="12552" max="12552" width="13.42578125" style="538" bestFit="1" customWidth="1"/>
    <col min="12553" max="12554" width="13.28515625" style="538" bestFit="1" customWidth="1"/>
    <col min="12555" max="12555" width="13.42578125" style="538" bestFit="1" customWidth="1"/>
    <col min="12556" max="12558" width="13.28515625" style="538" bestFit="1" customWidth="1"/>
    <col min="12559" max="12559" width="13" style="538" bestFit="1" customWidth="1"/>
    <col min="12560" max="12561" width="13.28515625" style="538" bestFit="1" customWidth="1"/>
    <col min="12562" max="12582" width="10.7109375" style="538" customWidth="1"/>
    <col min="12583" max="12800" width="9.140625" style="538"/>
    <col min="12801" max="12801" width="53.85546875" style="538" customWidth="1"/>
    <col min="12802" max="12802" width="13.85546875" style="538" customWidth="1"/>
    <col min="12803" max="12803" width="14.7109375" style="538" customWidth="1"/>
    <col min="12804" max="12805" width="13.28515625" style="538" bestFit="1" customWidth="1"/>
    <col min="12806" max="12806" width="13.42578125" style="538" bestFit="1" customWidth="1"/>
    <col min="12807" max="12807" width="13.28515625" style="538" bestFit="1" customWidth="1"/>
    <col min="12808" max="12808" width="13.42578125" style="538" bestFit="1" customWidth="1"/>
    <col min="12809" max="12810" width="13.28515625" style="538" bestFit="1" customWidth="1"/>
    <col min="12811" max="12811" width="13.42578125" style="538" bestFit="1" customWidth="1"/>
    <col min="12812" max="12814" width="13.28515625" style="538" bestFit="1" customWidth="1"/>
    <col min="12815" max="12815" width="13" style="538" bestFit="1" customWidth="1"/>
    <col min="12816" max="12817" width="13.28515625" style="538" bestFit="1" customWidth="1"/>
    <col min="12818" max="12838" width="10.7109375" style="538" customWidth="1"/>
    <col min="12839" max="13056" width="9.140625" style="538"/>
    <col min="13057" max="13057" width="53.85546875" style="538" customWidth="1"/>
    <col min="13058" max="13058" width="13.85546875" style="538" customWidth="1"/>
    <col min="13059" max="13059" width="14.7109375" style="538" customWidth="1"/>
    <col min="13060" max="13061" width="13.28515625" style="538" bestFit="1" customWidth="1"/>
    <col min="13062" max="13062" width="13.42578125" style="538" bestFit="1" customWidth="1"/>
    <col min="13063" max="13063" width="13.28515625" style="538" bestFit="1" customWidth="1"/>
    <col min="13064" max="13064" width="13.42578125" style="538" bestFit="1" customWidth="1"/>
    <col min="13065" max="13066" width="13.28515625" style="538" bestFit="1" customWidth="1"/>
    <col min="13067" max="13067" width="13.42578125" style="538" bestFit="1" customWidth="1"/>
    <col min="13068" max="13070" width="13.28515625" style="538" bestFit="1" customWidth="1"/>
    <col min="13071" max="13071" width="13" style="538" bestFit="1" customWidth="1"/>
    <col min="13072" max="13073" width="13.28515625" style="538" bestFit="1" customWidth="1"/>
    <col min="13074" max="13094" width="10.7109375" style="538" customWidth="1"/>
    <col min="13095" max="13312" width="9.140625" style="538"/>
    <col min="13313" max="13313" width="53.85546875" style="538" customWidth="1"/>
    <col min="13314" max="13314" width="13.85546875" style="538" customWidth="1"/>
    <col min="13315" max="13315" width="14.7109375" style="538" customWidth="1"/>
    <col min="13316" max="13317" width="13.28515625" style="538" bestFit="1" customWidth="1"/>
    <col min="13318" max="13318" width="13.42578125" style="538" bestFit="1" customWidth="1"/>
    <col min="13319" max="13319" width="13.28515625" style="538" bestFit="1" customWidth="1"/>
    <col min="13320" max="13320" width="13.42578125" style="538" bestFit="1" customWidth="1"/>
    <col min="13321" max="13322" width="13.28515625" style="538" bestFit="1" customWidth="1"/>
    <col min="13323" max="13323" width="13.42578125" style="538" bestFit="1" customWidth="1"/>
    <col min="13324" max="13326" width="13.28515625" style="538" bestFit="1" customWidth="1"/>
    <col min="13327" max="13327" width="13" style="538" bestFit="1" customWidth="1"/>
    <col min="13328" max="13329" width="13.28515625" style="538" bestFit="1" customWidth="1"/>
    <col min="13330" max="13350" width="10.7109375" style="538" customWidth="1"/>
    <col min="13351" max="13568" width="9.140625" style="538"/>
    <col min="13569" max="13569" width="53.85546875" style="538" customWidth="1"/>
    <col min="13570" max="13570" width="13.85546875" style="538" customWidth="1"/>
    <col min="13571" max="13571" width="14.7109375" style="538" customWidth="1"/>
    <col min="13572" max="13573" width="13.28515625" style="538" bestFit="1" customWidth="1"/>
    <col min="13574" max="13574" width="13.42578125" style="538" bestFit="1" customWidth="1"/>
    <col min="13575" max="13575" width="13.28515625" style="538" bestFit="1" customWidth="1"/>
    <col min="13576" max="13576" width="13.42578125" style="538" bestFit="1" customWidth="1"/>
    <col min="13577" max="13578" width="13.28515625" style="538" bestFit="1" customWidth="1"/>
    <col min="13579" max="13579" width="13.42578125" style="538" bestFit="1" customWidth="1"/>
    <col min="13580" max="13582" width="13.28515625" style="538" bestFit="1" customWidth="1"/>
    <col min="13583" max="13583" width="13" style="538" bestFit="1" customWidth="1"/>
    <col min="13584" max="13585" width="13.28515625" style="538" bestFit="1" customWidth="1"/>
    <col min="13586" max="13606" width="10.7109375" style="538" customWidth="1"/>
    <col min="13607" max="13824" width="9.140625" style="538"/>
    <col min="13825" max="13825" width="53.85546875" style="538" customWidth="1"/>
    <col min="13826" max="13826" width="13.85546875" style="538" customWidth="1"/>
    <col min="13827" max="13827" width="14.7109375" style="538" customWidth="1"/>
    <col min="13828" max="13829" width="13.28515625" style="538" bestFit="1" customWidth="1"/>
    <col min="13830" max="13830" width="13.42578125" style="538" bestFit="1" customWidth="1"/>
    <col min="13831" max="13831" width="13.28515625" style="538" bestFit="1" customWidth="1"/>
    <col min="13832" max="13832" width="13.42578125" style="538" bestFit="1" customWidth="1"/>
    <col min="13833" max="13834" width="13.28515625" style="538" bestFit="1" customWidth="1"/>
    <col min="13835" max="13835" width="13.42578125" style="538" bestFit="1" customWidth="1"/>
    <col min="13836" max="13838" width="13.28515625" style="538" bestFit="1" customWidth="1"/>
    <col min="13839" max="13839" width="13" style="538" bestFit="1" customWidth="1"/>
    <col min="13840" max="13841" width="13.28515625" style="538" bestFit="1" customWidth="1"/>
    <col min="13842" max="13862" width="10.7109375" style="538" customWidth="1"/>
    <col min="13863" max="14080" width="9.140625" style="538"/>
    <col min="14081" max="14081" width="53.85546875" style="538" customWidth="1"/>
    <col min="14082" max="14082" width="13.85546875" style="538" customWidth="1"/>
    <col min="14083" max="14083" width="14.7109375" style="538" customWidth="1"/>
    <col min="14084" max="14085" width="13.28515625" style="538" bestFit="1" customWidth="1"/>
    <col min="14086" max="14086" width="13.42578125" style="538" bestFit="1" customWidth="1"/>
    <col min="14087" max="14087" width="13.28515625" style="538" bestFit="1" customWidth="1"/>
    <col min="14088" max="14088" width="13.42578125" style="538" bestFit="1" customWidth="1"/>
    <col min="14089" max="14090" width="13.28515625" style="538" bestFit="1" customWidth="1"/>
    <col min="14091" max="14091" width="13.42578125" style="538" bestFit="1" customWidth="1"/>
    <col min="14092" max="14094" width="13.28515625" style="538" bestFit="1" customWidth="1"/>
    <col min="14095" max="14095" width="13" style="538" bestFit="1" customWidth="1"/>
    <col min="14096" max="14097" width="13.28515625" style="538" bestFit="1" customWidth="1"/>
    <col min="14098" max="14118" width="10.7109375" style="538" customWidth="1"/>
    <col min="14119" max="14336" width="9.140625" style="538"/>
    <col min="14337" max="14337" width="53.85546875" style="538" customWidth="1"/>
    <col min="14338" max="14338" width="13.85546875" style="538" customWidth="1"/>
    <col min="14339" max="14339" width="14.7109375" style="538" customWidth="1"/>
    <col min="14340" max="14341" width="13.28515625" style="538" bestFit="1" customWidth="1"/>
    <col min="14342" max="14342" width="13.42578125" style="538" bestFit="1" customWidth="1"/>
    <col min="14343" max="14343" width="13.28515625" style="538" bestFit="1" customWidth="1"/>
    <col min="14344" max="14344" width="13.42578125" style="538" bestFit="1" customWidth="1"/>
    <col min="14345" max="14346" width="13.28515625" style="538" bestFit="1" customWidth="1"/>
    <col min="14347" max="14347" width="13.42578125" style="538" bestFit="1" customWidth="1"/>
    <col min="14348" max="14350" width="13.28515625" style="538" bestFit="1" customWidth="1"/>
    <col min="14351" max="14351" width="13" style="538" bestFit="1" customWidth="1"/>
    <col min="14352" max="14353" width="13.28515625" style="538" bestFit="1" customWidth="1"/>
    <col min="14354" max="14374" width="10.7109375" style="538" customWidth="1"/>
    <col min="14375" max="14592" width="9.140625" style="538"/>
    <col min="14593" max="14593" width="53.85546875" style="538" customWidth="1"/>
    <col min="14594" max="14594" width="13.85546875" style="538" customWidth="1"/>
    <col min="14595" max="14595" width="14.7109375" style="538" customWidth="1"/>
    <col min="14596" max="14597" width="13.28515625" style="538" bestFit="1" customWidth="1"/>
    <col min="14598" max="14598" width="13.42578125" style="538" bestFit="1" customWidth="1"/>
    <col min="14599" max="14599" width="13.28515625" style="538" bestFit="1" customWidth="1"/>
    <col min="14600" max="14600" width="13.42578125" style="538" bestFit="1" customWidth="1"/>
    <col min="14601" max="14602" width="13.28515625" style="538" bestFit="1" customWidth="1"/>
    <col min="14603" max="14603" width="13.42578125" style="538" bestFit="1" customWidth="1"/>
    <col min="14604" max="14606" width="13.28515625" style="538" bestFit="1" customWidth="1"/>
    <col min="14607" max="14607" width="13" style="538" bestFit="1" customWidth="1"/>
    <col min="14608" max="14609" width="13.28515625" style="538" bestFit="1" customWidth="1"/>
    <col min="14610" max="14630" width="10.7109375" style="538" customWidth="1"/>
    <col min="14631" max="14848" width="9.140625" style="538"/>
    <col min="14849" max="14849" width="53.85546875" style="538" customWidth="1"/>
    <col min="14850" max="14850" width="13.85546875" style="538" customWidth="1"/>
    <col min="14851" max="14851" width="14.7109375" style="538" customWidth="1"/>
    <col min="14852" max="14853" width="13.28515625" style="538" bestFit="1" customWidth="1"/>
    <col min="14854" max="14854" width="13.42578125" style="538" bestFit="1" customWidth="1"/>
    <col min="14855" max="14855" width="13.28515625" style="538" bestFit="1" customWidth="1"/>
    <col min="14856" max="14856" width="13.42578125" style="538" bestFit="1" customWidth="1"/>
    <col min="14857" max="14858" width="13.28515625" style="538" bestFit="1" customWidth="1"/>
    <col min="14859" max="14859" width="13.42578125" style="538" bestFit="1" customWidth="1"/>
    <col min="14860" max="14862" width="13.28515625" style="538" bestFit="1" customWidth="1"/>
    <col min="14863" max="14863" width="13" style="538" bestFit="1" customWidth="1"/>
    <col min="14864" max="14865" width="13.28515625" style="538" bestFit="1" customWidth="1"/>
    <col min="14866" max="14886" width="10.7109375" style="538" customWidth="1"/>
    <col min="14887" max="15104" width="9.140625" style="538"/>
    <col min="15105" max="15105" width="53.85546875" style="538" customWidth="1"/>
    <col min="15106" max="15106" width="13.85546875" style="538" customWidth="1"/>
    <col min="15107" max="15107" width="14.7109375" style="538" customWidth="1"/>
    <col min="15108" max="15109" width="13.28515625" style="538" bestFit="1" customWidth="1"/>
    <col min="15110" max="15110" width="13.42578125" style="538" bestFit="1" customWidth="1"/>
    <col min="15111" max="15111" width="13.28515625" style="538" bestFit="1" customWidth="1"/>
    <col min="15112" max="15112" width="13.42578125" style="538" bestFit="1" customWidth="1"/>
    <col min="15113" max="15114" width="13.28515625" style="538" bestFit="1" customWidth="1"/>
    <col min="15115" max="15115" width="13.42578125" style="538" bestFit="1" customWidth="1"/>
    <col min="15116" max="15118" width="13.28515625" style="538" bestFit="1" customWidth="1"/>
    <col min="15119" max="15119" width="13" style="538" bestFit="1" customWidth="1"/>
    <col min="15120" max="15121" width="13.28515625" style="538" bestFit="1" customWidth="1"/>
    <col min="15122" max="15142" width="10.7109375" style="538" customWidth="1"/>
    <col min="15143" max="15360" width="9.140625" style="538"/>
    <col min="15361" max="15361" width="53.85546875" style="538" customWidth="1"/>
    <col min="15362" max="15362" width="13.85546875" style="538" customWidth="1"/>
    <col min="15363" max="15363" width="14.7109375" style="538" customWidth="1"/>
    <col min="15364" max="15365" width="13.28515625" style="538" bestFit="1" customWidth="1"/>
    <col min="15366" max="15366" width="13.42578125" style="538" bestFit="1" customWidth="1"/>
    <col min="15367" max="15367" width="13.28515625" style="538" bestFit="1" customWidth="1"/>
    <col min="15368" max="15368" width="13.42578125" style="538" bestFit="1" customWidth="1"/>
    <col min="15369" max="15370" width="13.28515625" style="538" bestFit="1" customWidth="1"/>
    <col min="15371" max="15371" width="13.42578125" style="538" bestFit="1" customWidth="1"/>
    <col min="15372" max="15374" width="13.28515625" style="538" bestFit="1" customWidth="1"/>
    <col min="15375" max="15375" width="13" style="538" bestFit="1" customWidth="1"/>
    <col min="15376" max="15377" width="13.28515625" style="538" bestFit="1" customWidth="1"/>
    <col min="15378" max="15398" width="10.7109375" style="538" customWidth="1"/>
    <col min="15399" max="15616" width="9.140625" style="538"/>
    <col min="15617" max="15617" width="53.85546875" style="538" customWidth="1"/>
    <col min="15618" max="15618" width="13.85546875" style="538" customWidth="1"/>
    <col min="15619" max="15619" width="14.7109375" style="538" customWidth="1"/>
    <col min="15620" max="15621" width="13.28515625" style="538" bestFit="1" customWidth="1"/>
    <col min="15622" max="15622" width="13.42578125" style="538" bestFit="1" customWidth="1"/>
    <col min="15623" max="15623" width="13.28515625" style="538" bestFit="1" customWidth="1"/>
    <col min="15624" max="15624" width="13.42578125" style="538" bestFit="1" customWidth="1"/>
    <col min="15625" max="15626" width="13.28515625" style="538" bestFit="1" customWidth="1"/>
    <col min="15627" max="15627" width="13.42578125" style="538" bestFit="1" customWidth="1"/>
    <col min="15628" max="15630" width="13.28515625" style="538" bestFit="1" customWidth="1"/>
    <col min="15631" max="15631" width="13" style="538" bestFit="1" customWidth="1"/>
    <col min="15632" max="15633" width="13.28515625" style="538" bestFit="1" customWidth="1"/>
    <col min="15634" max="15654" width="10.7109375" style="538" customWidth="1"/>
    <col min="15655" max="15872" width="9.140625" style="538"/>
    <col min="15873" max="15873" width="53.85546875" style="538" customWidth="1"/>
    <col min="15874" max="15874" width="13.85546875" style="538" customWidth="1"/>
    <col min="15875" max="15875" width="14.7109375" style="538" customWidth="1"/>
    <col min="15876" max="15877" width="13.28515625" style="538" bestFit="1" customWidth="1"/>
    <col min="15878" max="15878" width="13.42578125" style="538" bestFit="1" customWidth="1"/>
    <col min="15879" max="15879" width="13.28515625" style="538" bestFit="1" customWidth="1"/>
    <col min="15880" max="15880" width="13.42578125" style="538" bestFit="1" customWidth="1"/>
    <col min="15881" max="15882" width="13.28515625" style="538" bestFit="1" customWidth="1"/>
    <col min="15883" max="15883" width="13.42578125" style="538" bestFit="1" customWidth="1"/>
    <col min="15884" max="15886" width="13.28515625" style="538" bestFit="1" customWidth="1"/>
    <col min="15887" max="15887" width="13" style="538" bestFit="1" customWidth="1"/>
    <col min="15888" max="15889" width="13.28515625" style="538" bestFit="1" customWidth="1"/>
    <col min="15890" max="15910" width="10.7109375" style="538" customWidth="1"/>
    <col min="15911" max="16128" width="9.140625" style="538"/>
    <col min="16129" max="16129" width="53.85546875" style="538" customWidth="1"/>
    <col min="16130" max="16130" width="13.85546875" style="538" customWidth="1"/>
    <col min="16131" max="16131" width="14.7109375" style="538" customWidth="1"/>
    <col min="16132" max="16133" width="13.28515625" style="538" bestFit="1" customWidth="1"/>
    <col min="16134" max="16134" width="13.42578125" style="538" bestFit="1" customWidth="1"/>
    <col min="16135" max="16135" width="13.28515625" style="538" bestFit="1" customWidth="1"/>
    <col min="16136" max="16136" width="13.42578125" style="538" bestFit="1" customWidth="1"/>
    <col min="16137" max="16138" width="13.28515625" style="538" bestFit="1" customWidth="1"/>
    <col min="16139" max="16139" width="13.42578125" style="538" bestFit="1" customWidth="1"/>
    <col min="16140" max="16142" width="13.28515625" style="538" bestFit="1" customWidth="1"/>
    <col min="16143" max="16143" width="13" style="538" bestFit="1" customWidth="1"/>
    <col min="16144" max="16145" width="13.28515625" style="538" bestFit="1" customWidth="1"/>
    <col min="16146" max="16166" width="10.7109375" style="538" customWidth="1"/>
    <col min="16167" max="16384" width="9.140625" style="538"/>
  </cols>
  <sheetData>
    <row r="1" spans="1:38" ht="18.75">
      <c r="A1" s="537" t="s">
        <v>605</v>
      </c>
      <c r="AA1" s="539"/>
      <c r="AB1" s="539"/>
      <c r="AC1" s="539"/>
      <c r="AD1" s="539"/>
      <c r="AE1" s="539"/>
      <c r="AF1" s="539"/>
    </row>
    <row r="2" spans="1:38" ht="15" customHeight="1" thickBot="1">
      <c r="A2" s="540"/>
      <c r="M2" s="3263"/>
      <c r="N2" s="3263"/>
      <c r="R2" s="541"/>
      <c r="T2" s="541"/>
      <c r="U2" s="541"/>
      <c r="V2" s="541"/>
      <c r="W2" s="541"/>
      <c r="X2" s="541"/>
      <c r="Y2" s="541"/>
      <c r="Z2" s="541"/>
      <c r="AA2" s="541"/>
      <c r="AB2" s="541"/>
      <c r="AC2" s="541"/>
      <c r="AD2" s="541"/>
      <c r="AE2" s="541"/>
      <c r="AH2" s="541"/>
      <c r="AI2" s="541"/>
      <c r="AL2" s="541" t="s">
        <v>12</v>
      </c>
    </row>
    <row r="3" spans="1:38" ht="15" customHeight="1" thickTop="1" thickBot="1">
      <c r="A3" s="542"/>
      <c r="B3" s="543">
        <v>40179</v>
      </c>
      <c r="C3" s="543">
        <v>40210</v>
      </c>
      <c r="D3" s="543">
        <v>40238</v>
      </c>
      <c r="E3" s="543">
        <v>40269</v>
      </c>
      <c r="F3" s="543">
        <v>40299</v>
      </c>
      <c r="G3" s="543">
        <v>40330</v>
      </c>
      <c r="H3" s="543">
        <v>40360</v>
      </c>
      <c r="I3" s="543">
        <v>40391</v>
      </c>
      <c r="J3" s="543">
        <v>40422</v>
      </c>
      <c r="K3" s="543">
        <v>40452</v>
      </c>
      <c r="L3" s="543">
        <v>40483</v>
      </c>
      <c r="M3" s="543">
        <v>40513</v>
      </c>
      <c r="N3" s="543">
        <v>40544</v>
      </c>
      <c r="O3" s="543">
        <v>40575</v>
      </c>
      <c r="P3" s="543">
        <v>40603</v>
      </c>
      <c r="Q3" s="543">
        <v>40634</v>
      </c>
      <c r="R3" s="543">
        <v>40668</v>
      </c>
      <c r="S3" s="543">
        <v>40699</v>
      </c>
      <c r="T3" s="543">
        <v>40729</v>
      </c>
      <c r="U3" s="543">
        <v>40760</v>
      </c>
      <c r="V3" s="543">
        <v>40791</v>
      </c>
      <c r="W3" s="543">
        <v>40821</v>
      </c>
      <c r="X3" s="543">
        <v>40852</v>
      </c>
      <c r="Y3" s="543">
        <v>40882</v>
      </c>
      <c r="Z3" s="543">
        <v>40913</v>
      </c>
      <c r="AA3" s="543">
        <v>40944</v>
      </c>
      <c r="AB3" s="543">
        <v>40973</v>
      </c>
      <c r="AC3" s="543">
        <v>41004</v>
      </c>
      <c r="AD3" s="543">
        <v>41034</v>
      </c>
      <c r="AE3" s="543">
        <v>41065</v>
      </c>
      <c r="AF3" s="543">
        <v>41095</v>
      </c>
      <c r="AG3" s="543">
        <v>41126</v>
      </c>
      <c r="AH3" s="544">
        <v>41157</v>
      </c>
      <c r="AI3" s="543">
        <v>41187</v>
      </c>
      <c r="AJ3" s="543">
        <v>41218</v>
      </c>
      <c r="AK3" s="543">
        <v>41248</v>
      </c>
      <c r="AL3" s="545">
        <v>41279</v>
      </c>
    </row>
    <row r="4" spans="1:38" ht="15" customHeight="1" thickTop="1">
      <c r="A4" s="546"/>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8"/>
      <c r="AI4" s="549"/>
      <c r="AJ4" s="547"/>
      <c r="AK4" s="547"/>
      <c r="AL4" s="550"/>
    </row>
    <row r="5" spans="1:38" ht="15" customHeight="1">
      <c r="A5" s="551" t="s">
        <v>606</v>
      </c>
      <c r="B5" s="552">
        <v>289410.72792542854</v>
      </c>
      <c r="C5" s="552">
        <v>292791.70235634677</v>
      </c>
      <c r="D5" s="552">
        <v>297432.04491911986</v>
      </c>
      <c r="E5" s="552">
        <v>279938.10502433998</v>
      </c>
      <c r="F5" s="552">
        <v>327910.8320255389</v>
      </c>
      <c r="G5" s="552">
        <v>320171.30679858039</v>
      </c>
      <c r="H5" s="552">
        <v>280822.53492081689</v>
      </c>
      <c r="I5" s="552">
        <v>304449.98967204109</v>
      </c>
      <c r="J5" s="552">
        <v>301088.89713564055</v>
      </c>
      <c r="K5" s="552">
        <v>302930.04240626586</v>
      </c>
      <c r="L5" s="552">
        <v>312451.91898554342</v>
      </c>
      <c r="M5" s="552">
        <v>318118.48321293283</v>
      </c>
      <c r="N5" s="552">
        <v>323227.47303719167</v>
      </c>
      <c r="O5" s="552">
        <v>317121.40861257981</v>
      </c>
      <c r="P5" s="552">
        <v>286354.90462211403</v>
      </c>
      <c r="Q5" s="552">
        <v>301260.61578368506</v>
      </c>
      <c r="R5" s="552">
        <v>291716.10072829016</v>
      </c>
      <c r="S5" s="552">
        <v>318687.03130866907</v>
      </c>
      <c r="T5" s="552">
        <v>305188.07283541822</v>
      </c>
      <c r="U5" s="552">
        <v>287606.55099744862</v>
      </c>
      <c r="V5" s="552">
        <v>293475.2466610134</v>
      </c>
      <c r="W5" s="552">
        <v>292604.82713334222</v>
      </c>
      <c r="X5" s="552">
        <v>347383.24200691615</v>
      </c>
      <c r="Y5" s="552">
        <v>290654.23951224022</v>
      </c>
      <c r="Z5" s="552">
        <v>267988.61551349226</v>
      </c>
      <c r="AA5" s="552">
        <v>274768.44322053925</v>
      </c>
      <c r="AB5" s="552">
        <v>321049.06011849875</v>
      </c>
      <c r="AC5" s="552">
        <v>321847.61654908379</v>
      </c>
      <c r="AD5" s="552">
        <v>340836.36152997706</v>
      </c>
      <c r="AE5" s="552">
        <v>273456.51895855844</v>
      </c>
      <c r="AF5" s="552">
        <v>304922.60916409292</v>
      </c>
      <c r="AG5" s="552">
        <v>262526.97220607544</v>
      </c>
      <c r="AH5" s="552">
        <v>286567.44082683767</v>
      </c>
      <c r="AI5" s="553">
        <v>306184.25194562681</v>
      </c>
      <c r="AJ5" s="552">
        <v>306172.36115914932</v>
      </c>
      <c r="AK5" s="552">
        <v>309761.08105135418</v>
      </c>
      <c r="AL5" s="554">
        <v>331111.15474308265</v>
      </c>
    </row>
    <row r="6" spans="1:38" ht="15" customHeight="1">
      <c r="A6" s="555" t="s">
        <v>607</v>
      </c>
      <c r="B6" s="556">
        <v>554129.25189955614</v>
      </c>
      <c r="C6" s="556">
        <v>574198.55662555143</v>
      </c>
      <c r="D6" s="556">
        <v>595999.30990686174</v>
      </c>
      <c r="E6" s="556">
        <v>592325.27184835775</v>
      </c>
      <c r="F6" s="556">
        <v>690782.21328024485</v>
      </c>
      <c r="G6" s="556">
        <v>671738.656082973</v>
      </c>
      <c r="H6" s="556">
        <v>615185.20037483866</v>
      </c>
      <c r="I6" s="556">
        <v>649487.02620965545</v>
      </c>
      <c r="J6" s="556">
        <v>665659.57883432286</v>
      </c>
      <c r="K6" s="556">
        <v>683035.47805789532</v>
      </c>
      <c r="L6" s="556">
        <v>655369.07597230945</v>
      </c>
      <c r="M6" s="556">
        <v>701809.95337544847</v>
      </c>
      <c r="N6" s="556">
        <v>718145.26458332082</v>
      </c>
      <c r="O6" s="556">
        <v>724484.74699546129</v>
      </c>
      <c r="P6" s="556">
        <v>695498.74745078781</v>
      </c>
      <c r="Q6" s="556">
        <v>757252.14003806759</v>
      </c>
      <c r="R6" s="556">
        <v>683532.74611194688</v>
      </c>
      <c r="S6" s="556">
        <v>739275.68099999998</v>
      </c>
      <c r="T6" s="556">
        <v>713079.36609643954</v>
      </c>
      <c r="U6" s="556">
        <v>689923.28349499148</v>
      </c>
      <c r="V6" s="556">
        <v>770300.32276175159</v>
      </c>
      <c r="W6" s="556">
        <v>743847.0539604628</v>
      </c>
      <c r="X6" s="556">
        <v>776997.92170646996</v>
      </c>
      <c r="Y6" s="556">
        <v>783159.19996672636</v>
      </c>
      <c r="Z6" s="556">
        <v>803323.10318789806</v>
      </c>
      <c r="AA6" s="556">
        <v>844333.87104523438</v>
      </c>
      <c r="AB6" s="556">
        <v>855506.44080762076</v>
      </c>
      <c r="AC6" s="556">
        <v>829173.73109211109</v>
      </c>
      <c r="AD6" s="556">
        <v>863015.68687695405</v>
      </c>
      <c r="AE6" s="556">
        <v>839674.20833327714</v>
      </c>
      <c r="AF6" s="556">
        <v>873225.06715132389</v>
      </c>
      <c r="AG6" s="556">
        <v>824222.32142519916</v>
      </c>
      <c r="AH6" s="556">
        <v>842221.48180383351</v>
      </c>
      <c r="AI6" s="557">
        <v>839944.4604024936</v>
      </c>
      <c r="AJ6" s="556">
        <v>807682.83964783652</v>
      </c>
      <c r="AK6" s="556">
        <v>802935.72269750375</v>
      </c>
      <c r="AL6" s="558">
        <v>830727.99263529305</v>
      </c>
    </row>
    <row r="7" spans="1:38" ht="15" customHeight="1">
      <c r="A7" s="555" t="s">
        <v>608</v>
      </c>
      <c r="B7" s="556">
        <v>-264718.5239741276</v>
      </c>
      <c r="C7" s="556">
        <v>-281406.85426920466</v>
      </c>
      <c r="D7" s="556">
        <v>-298567.26498774189</v>
      </c>
      <c r="E7" s="556">
        <v>-312387.16682401777</v>
      </c>
      <c r="F7" s="556">
        <v>-362871.38125470595</v>
      </c>
      <c r="G7" s="556">
        <v>-351567.34928439261</v>
      </c>
      <c r="H7" s="556">
        <v>-334362.66545402177</v>
      </c>
      <c r="I7" s="556">
        <v>-345037.03653761436</v>
      </c>
      <c r="J7" s="556">
        <v>-364570.68169868231</v>
      </c>
      <c r="K7" s="556">
        <v>-380105.43565162946</v>
      </c>
      <c r="L7" s="556">
        <v>-342917.15698676603</v>
      </c>
      <c r="M7" s="556">
        <v>-383691.47016251564</v>
      </c>
      <c r="N7" s="556">
        <v>-394917.79154612916</v>
      </c>
      <c r="O7" s="556">
        <v>-407363.33838288148</v>
      </c>
      <c r="P7" s="556">
        <v>-409143.84282867378</v>
      </c>
      <c r="Q7" s="556">
        <v>-455991.52425438253</v>
      </c>
      <c r="R7" s="556">
        <v>-391816.64538365672</v>
      </c>
      <c r="S7" s="556">
        <v>-420588.64969133091</v>
      </c>
      <c r="T7" s="556">
        <v>-407891.29326102132</v>
      </c>
      <c r="U7" s="556">
        <v>-402316.73249754286</v>
      </c>
      <c r="V7" s="556">
        <v>-476825.0761007382</v>
      </c>
      <c r="W7" s="556">
        <v>-451242.22682712058</v>
      </c>
      <c r="X7" s="556">
        <v>-429614.67969955382</v>
      </c>
      <c r="Y7" s="556">
        <v>-492504.96045448614</v>
      </c>
      <c r="Z7" s="556">
        <v>-535334.4876744058</v>
      </c>
      <c r="AA7" s="556">
        <v>-569565.42782469513</v>
      </c>
      <c r="AB7" s="556">
        <v>-534457.38068912202</v>
      </c>
      <c r="AC7" s="556">
        <v>-507326.1145430273</v>
      </c>
      <c r="AD7" s="556">
        <v>-522179.32534697698</v>
      </c>
      <c r="AE7" s="556">
        <v>-566217.6893747187</v>
      </c>
      <c r="AF7" s="556">
        <v>-568302.45798723097</v>
      </c>
      <c r="AG7" s="556">
        <v>-561695.34921912372</v>
      </c>
      <c r="AH7" s="556">
        <v>-555654.04097699584</v>
      </c>
      <c r="AI7" s="557">
        <v>-533760.20845686679</v>
      </c>
      <c r="AJ7" s="556">
        <v>-501510.47848868719</v>
      </c>
      <c r="AK7" s="556">
        <v>-493174.64164614957</v>
      </c>
      <c r="AL7" s="558">
        <v>-499616.8378922104</v>
      </c>
    </row>
    <row r="8" spans="1:38" ht="15" customHeight="1">
      <c r="A8" s="555"/>
      <c r="B8" s="556"/>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7"/>
      <c r="AJ8" s="556"/>
      <c r="AK8" s="556"/>
      <c r="AL8" s="558"/>
    </row>
    <row r="9" spans="1:38" ht="15" customHeight="1">
      <c r="A9" s="551" t="s">
        <v>609</v>
      </c>
      <c r="B9" s="552">
        <v>15883.54626933713</v>
      </c>
      <c r="C9" s="552">
        <v>19204.398491121799</v>
      </c>
      <c r="D9" s="552">
        <v>22795.501324295175</v>
      </c>
      <c r="E9" s="552">
        <v>20531.286862214078</v>
      </c>
      <c r="F9" s="552">
        <v>20818.509804281664</v>
      </c>
      <c r="G9" s="552">
        <v>22185.535998862859</v>
      </c>
      <c r="H9" s="552">
        <v>23556.414353128181</v>
      </c>
      <c r="I9" s="552">
        <v>21518.199613537079</v>
      </c>
      <c r="J9" s="552">
        <v>25248.348319826946</v>
      </c>
      <c r="K9" s="552">
        <v>27381.67336833676</v>
      </c>
      <c r="L9" s="552">
        <v>28293.545060959175</v>
      </c>
      <c r="M9" s="552">
        <v>29434.82293110558</v>
      </c>
      <c r="N9" s="552">
        <v>30390.546227934283</v>
      </c>
      <c r="O9" s="552">
        <v>31076.999940529997</v>
      </c>
      <c r="P9" s="552">
        <v>30091.098269384391</v>
      </c>
      <c r="Q9" s="552">
        <v>30980.17593003501</v>
      </c>
      <c r="R9" s="552">
        <v>30034.995411972028</v>
      </c>
      <c r="S9" s="552">
        <v>31617.683999999997</v>
      </c>
      <c r="T9" s="552">
        <v>31908.506064140747</v>
      </c>
      <c r="U9" s="552">
        <v>33473.694393502381</v>
      </c>
      <c r="V9" s="552">
        <v>30969.328194597925</v>
      </c>
      <c r="W9" s="552">
        <v>30773.4028834204</v>
      </c>
      <c r="X9" s="552">
        <v>30649.208384962472</v>
      </c>
      <c r="Y9" s="552">
        <v>33371.31098330504</v>
      </c>
      <c r="Z9" s="552">
        <v>30528.812363751418</v>
      </c>
      <c r="AA9" s="552">
        <v>31819.07879519276</v>
      </c>
      <c r="AB9" s="552">
        <v>31406.353760574326</v>
      </c>
      <c r="AC9" s="552">
        <v>31033.287909103608</v>
      </c>
      <c r="AD9" s="552">
        <v>30952.833307015837</v>
      </c>
      <c r="AE9" s="552">
        <v>31581.437679148868</v>
      </c>
      <c r="AF9" s="552">
        <v>31415.124832631391</v>
      </c>
      <c r="AG9" s="552">
        <v>30875.81402145933</v>
      </c>
      <c r="AH9" s="552">
        <v>31887.315677383078</v>
      </c>
      <c r="AI9" s="553">
        <v>30820.132658355989</v>
      </c>
      <c r="AJ9" s="552">
        <v>29633.958087153787</v>
      </c>
      <c r="AK9" s="552">
        <v>34037.183666135119</v>
      </c>
      <c r="AL9" s="554">
        <v>35233.724996757279</v>
      </c>
    </row>
    <row r="10" spans="1:38" ht="15" customHeight="1">
      <c r="A10" s="555" t="s">
        <v>610</v>
      </c>
      <c r="B10" s="556">
        <v>2780.4818602185601</v>
      </c>
      <c r="C10" s="556">
        <v>2661.1428895894396</v>
      </c>
      <c r="D10" s="556">
        <v>2898.1288821314602</v>
      </c>
      <c r="E10" s="556">
        <v>2715.3582111474198</v>
      </c>
      <c r="F10" s="556">
        <v>2684.0971327969996</v>
      </c>
      <c r="G10" s="556">
        <v>2744.9043118847799</v>
      </c>
      <c r="H10" s="556">
        <v>2589.7509924748701</v>
      </c>
      <c r="I10" s="556">
        <v>2818.4901145357098</v>
      </c>
      <c r="J10" s="556">
        <v>2854.1944993078296</v>
      </c>
      <c r="K10" s="556">
        <v>2652.7364417868398</v>
      </c>
      <c r="L10" s="556">
        <v>2792.7197988087801</v>
      </c>
      <c r="M10" s="556">
        <v>3616.75520117109</v>
      </c>
      <c r="N10" s="556">
        <v>3226.06529056934</v>
      </c>
      <c r="O10" s="556">
        <v>2789.5613597740103</v>
      </c>
      <c r="P10" s="556">
        <v>3064.4438332881496</v>
      </c>
      <c r="Q10" s="556">
        <v>2706.3366797338899</v>
      </c>
      <c r="R10" s="556">
        <v>3000.4766235805801</v>
      </c>
      <c r="S10" s="556">
        <v>2937.2269999999999</v>
      </c>
      <c r="T10" s="556">
        <v>2860.3833820514101</v>
      </c>
      <c r="U10" s="556">
        <v>3375.9320411612498</v>
      </c>
      <c r="V10" s="556">
        <v>3198.9278438555498</v>
      </c>
      <c r="W10" s="556">
        <v>3543.8328578868195</v>
      </c>
      <c r="X10" s="556">
        <v>3523.5380632228698</v>
      </c>
      <c r="Y10" s="556">
        <v>4161.9693968672</v>
      </c>
      <c r="Z10" s="556">
        <v>3378.4848058553798</v>
      </c>
      <c r="AA10" s="556">
        <v>3248.23803906067</v>
      </c>
      <c r="AB10" s="556">
        <v>2883.3512458578198</v>
      </c>
      <c r="AC10" s="556">
        <v>2977.8079643617698</v>
      </c>
      <c r="AD10" s="556">
        <v>3403.95765762887</v>
      </c>
      <c r="AE10" s="556">
        <v>2731.8580123987799</v>
      </c>
      <c r="AF10" s="556">
        <v>2921.5261027483198</v>
      </c>
      <c r="AG10" s="556">
        <v>3285.2655863486998</v>
      </c>
      <c r="AH10" s="556">
        <v>3218.97800381967</v>
      </c>
      <c r="AI10" s="557">
        <v>3775.3428060113501</v>
      </c>
      <c r="AJ10" s="556">
        <v>3586.6000795631298</v>
      </c>
      <c r="AK10" s="556">
        <v>4791.5966149175529</v>
      </c>
      <c r="AL10" s="558">
        <v>4198.8004375281098</v>
      </c>
    </row>
    <row r="11" spans="1:38" ht="15" customHeight="1">
      <c r="A11" s="555" t="s">
        <v>611</v>
      </c>
      <c r="B11" s="556">
        <v>13103.06440911857</v>
      </c>
      <c r="C11" s="556">
        <v>15440.03880347136</v>
      </c>
      <c r="D11" s="556">
        <v>19039.147348759965</v>
      </c>
      <c r="E11" s="556">
        <v>16779.205501493328</v>
      </c>
      <c r="F11" s="556">
        <v>15997.32476802577</v>
      </c>
      <c r="G11" s="556">
        <v>18820.724511978078</v>
      </c>
      <c r="H11" s="556">
        <v>19036.469558432131</v>
      </c>
      <c r="I11" s="556">
        <v>17179.597992931718</v>
      </c>
      <c r="J11" s="556">
        <v>17080.557081261119</v>
      </c>
      <c r="K11" s="556">
        <v>19591.851296260469</v>
      </c>
      <c r="L11" s="556">
        <v>20372.515139623167</v>
      </c>
      <c r="M11" s="556">
        <v>22158.698883537549</v>
      </c>
      <c r="N11" s="556">
        <v>22866.410367366283</v>
      </c>
      <c r="O11" s="556">
        <v>22793.917400515667</v>
      </c>
      <c r="P11" s="556">
        <v>21927.07894676127</v>
      </c>
      <c r="Q11" s="556">
        <v>22959.958484987659</v>
      </c>
      <c r="R11" s="556">
        <v>20852.85236387136</v>
      </c>
      <c r="S11" s="556">
        <v>21290.077999999998</v>
      </c>
      <c r="T11" s="556">
        <v>21041.356357863908</v>
      </c>
      <c r="U11" s="556">
        <v>22394.577515877951</v>
      </c>
      <c r="V11" s="556">
        <v>20955.744019507987</v>
      </c>
      <c r="W11" s="556">
        <v>20389.512999437429</v>
      </c>
      <c r="X11" s="556">
        <v>20287.807507148442</v>
      </c>
      <c r="Y11" s="556">
        <v>23667.518772783042</v>
      </c>
      <c r="Z11" s="556">
        <v>21143.898082034419</v>
      </c>
      <c r="AA11" s="556">
        <v>22595.355402345889</v>
      </c>
      <c r="AB11" s="556">
        <v>22642.908420646967</v>
      </c>
      <c r="AC11" s="556">
        <v>22438.039174189456</v>
      </c>
      <c r="AD11" s="556">
        <v>22470.955748627337</v>
      </c>
      <c r="AE11" s="556">
        <v>23952.999551973287</v>
      </c>
      <c r="AF11" s="556">
        <v>23711.907692205081</v>
      </c>
      <c r="AG11" s="556">
        <v>23526.400576950011</v>
      </c>
      <c r="AH11" s="556">
        <v>24570.12411190939</v>
      </c>
      <c r="AI11" s="557">
        <v>23309.13281240355</v>
      </c>
      <c r="AJ11" s="556">
        <v>22121.435074765439</v>
      </c>
      <c r="AK11" s="556">
        <v>25339.887051448743</v>
      </c>
      <c r="AL11" s="558">
        <v>24811.603418029583</v>
      </c>
    </row>
    <row r="12" spans="1:38" ht="15" customHeight="1">
      <c r="A12" s="555" t="s">
        <v>612</v>
      </c>
      <c r="B12" s="556">
        <v>0</v>
      </c>
      <c r="C12" s="556">
        <v>1103.216798061</v>
      </c>
      <c r="D12" s="556">
        <v>858.22509340374995</v>
      </c>
      <c r="E12" s="556">
        <v>1036.7231495733299</v>
      </c>
      <c r="F12" s="556">
        <v>2137.0879034588929</v>
      </c>
      <c r="G12" s="556">
        <v>619.90717499999994</v>
      </c>
      <c r="H12" s="556">
        <v>1930.1938022211798</v>
      </c>
      <c r="I12" s="556">
        <v>1520.11150606965</v>
      </c>
      <c r="J12" s="556">
        <v>5313.5967392580005</v>
      </c>
      <c r="K12" s="556">
        <v>5137.0856302894499</v>
      </c>
      <c r="L12" s="556">
        <v>5128.3101225272303</v>
      </c>
      <c r="M12" s="556">
        <v>3659.3688463969402</v>
      </c>
      <c r="N12" s="556">
        <v>4298.0705699986602</v>
      </c>
      <c r="O12" s="556">
        <v>5493.5211802403201</v>
      </c>
      <c r="P12" s="556">
        <v>5099.5754893349704</v>
      </c>
      <c r="Q12" s="556">
        <v>5313.88076531346</v>
      </c>
      <c r="R12" s="556">
        <v>6181.66642452009</v>
      </c>
      <c r="S12" s="556">
        <v>7390.3789999999999</v>
      </c>
      <c r="T12" s="556">
        <v>8006.7663242254293</v>
      </c>
      <c r="U12" s="556">
        <v>7703.1848364631796</v>
      </c>
      <c r="V12" s="556">
        <v>6814.6563312343897</v>
      </c>
      <c r="W12" s="556">
        <v>6840.0570260961504</v>
      </c>
      <c r="X12" s="556">
        <v>6837.8628145911598</v>
      </c>
      <c r="Y12" s="556">
        <v>5541.8228136548005</v>
      </c>
      <c r="Z12" s="556">
        <v>6006.4294758616197</v>
      </c>
      <c r="AA12" s="556">
        <v>5975.4853537861991</v>
      </c>
      <c r="AB12" s="556">
        <v>5880.09409406954</v>
      </c>
      <c r="AC12" s="556">
        <v>5617.440770552379</v>
      </c>
      <c r="AD12" s="556">
        <v>5077.9199007596299</v>
      </c>
      <c r="AE12" s="556">
        <v>4896.5801147767997</v>
      </c>
      <c r="AF12" s="556">
        <v>4781.6910376779897</v>
      </c>
      <c r="AG12" s="556">
        <v>4064.1478581606202</v>
      </c>
      <c r="AH12" s="556">
        <v>4098.2135616540199</v>
      </c>
      <c r="AI12" s="557">
        <v>3735.6570399410898</v>
      </c>
      <c r="AJ12" s="556">
        <v>3925.92293282522</v>
      </c>
      <c r="AK12" s="556">
        <v>3905.6999997688235</v>
      </c>
      <c r="AL12" s="558">
        <v>6223.3211411995881</v>
      </c>
    </row>
    <row r="13" spans="1:38" ht="15" customHeight="1">
      <c r="A13" s="555"/>
      <c r="B13" s="556"/>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7"/>
      <c r="AJ13" s="556"/>
      <c r="AK13" s="556"/>
      <c r="AL13" s="558"/>
    </row>
    <row r="14" spans="1:38" ht="15" customHeight="1">
      <c r="A14" s="551" t="s">
        <v>613</v>
      </c>
      <c r="B14" s="552">
        <v>46202.381153037422</v>
      </c>
      <c r="C14" s="552">
        <v>46228.406055545434</v>
      </c>
      <c r="D14" s="552">
        <v>41536.992128390921</v>
      </c>
      <c r="E14" s="552">
        <v>44882.80088516805</v>
      </c>
      <c r="F14" s="552">
        <v>45475.44274596269</v>
      </c>
      <c r="G14" s="552">
        <v>44794.197115178016</v>
      </c>
      <c r="H14" s="552">
        <v>42743.634040358695</v>
      </c>
      <c r="I14" s="552">
        <v>42684.666598872558</v>
      </c>
      <c r="J14" s="552">
        <v>39512.084307652403</v>
      </c>
      <c r="K14" s="552">
        <v>37873.234926130637</v>
      </c>
      <c r="L14" s="552">
        <v>38047.671032386119</v>
      </c>
      <c r="M14" s="552">
        <v>39530.568073384442</v>
      </c>
      <c r="N14" s="552">
        <v>37970.913603621055</v>
      </c>
      <c r="O14" s="552">
        <v>37627.442935225292</v>
      </c>
      <c r="P14" s="552">
        <v>37124.316265183399</v>
      </c>
      <c r="Q14" s="552">
        <v>37498.010716390738</v>
      </c>
      <c r="R14" s="552">
        <v>39156.500657266479</v>
      </c>
      <c r="S14" s="552">
        <v>39719.398716347743</v>
      </c>
      <c r="T14" s="552">
        <v>40015.946904981633</v>
      </c>
      <c r="U14" s="552">
        <v>38104.583793049038</v>
      </c>
      <c r="V14" s="552">
        <v>38569.778049363464</v>
      </c>
      <c r="W14" s="552">
        <v>39102.256814221233</v>
      </c>
      <c r="X14" s="552">
        <v>40235.09569635136</v>
      </c>
      <c r="Y14" s="552">
        <v>38010.725821035056</v>
      </c>
      <c r="Z14" s="552">
        <v>37715.524786278307</v>
      </c>
      <c r="AA14" s="552">
        <v>37198.005824070475</v>
      </c>
      <c r="AB14" s="552">
        <v>39388.131370601855</v>
      </c>
      <c r="AC14" s="552">
        <v>37729.771750879547</v>
      </c>
      <c r="AD14" s="552">
        <v>38466.088325971257</v>
      </c>
      <c r="AE14" s="552">
        <v>38614.536427936197</v>
      </c>
      <c r="AF14" s="552">
        <v>36020.403238634601</v>
      </c>
      <c r="AG14" s="552">
        <v>38023.271401596801</v>
      </c>
      <c r="AH14" s="552">
        <v>38782.171932746089</v>
      </c>
      <c r="AI14" s="553">
        <v>40042.67679724047</v>
      </c>
      <c r="AJ14" s="552">
        <v>40388.807298398693</v>
      </c>
      <c r="AK14" s="552">
        <v>38215.234501639141</v>
      </c>
      <c r="AL14" s="554">
        <v>38620.833582376174</v>
      </c>
    </row>
    <row r="15" spans="1:38" ht="15" customHeight="1">
      <c r="A15" s="555" t="s">
        <v>614</v>
      </c>
      <c r="B15" s="556">
        <v>61697.699491806692</v>
      </c>
      <c r="C15" s="556">
        <v>61527.770521082202</v>
      </c>
      <c r="D15" s="556">
        <v>58144.213647966099</v>
      </c>
      <c r="E15" s="556">
        <v>60200.988352624197</v>
      </c>
      <c r="F15" s="556">
        <v>60772.32521689569</v>
      </c>
      <c r="G15" s="556">
        <v>61607.820306387795</v>
      </c>
      <c r="H15" s="556">
        <v>58363.919896878702</v>
      </c>
      <c r="I15" s="556">
        <v>57105.798453794298</v>
      </c>
      <c r="J15" s="556">
        <v>55485.379014505001</v>
      </c>
      <c r="K15" s="556">
        <v>54502.82545001019</v>
      </c>
      <c r="L15" s="556">
        <v>55811.491806131999</v>
      </c>
      <c r="M15" s="556">
        <v>57799.429730604592</v>
      </c>
      <c r="N15" s="556">
        <v>55154.155917721793</v>
      </c>
      <c r="O15" s="556">
        <v>53730.606421803001</v>
      </c>
      <c r="P15" s="556">
        <v>53584.161687032698</v>
      </c>
      <c r="Q15" s="556">
        <v>54224.1075535458</v>
      </c>
      <c r="R15" s="556">
        <v>54041.613664753</v>
      </c>
      <c r="S15" s="556">
        <v>53369.036999999997</v>
      </c>
      <c r="T15" s="556">
        <v>54168.068775473293</v>
      </c>
      <c r="U15" s="556">
        <v>52462.482641120398</v>
      </c>
      <c r="V15" s="556">
        <v>51968.032708957195</v>
      </c>
      <c r="W15" s="556">
        <v>53745.253183736495</v>
      </c>
      <c r="X15" s="556">
        <v>52340.988993587001</v>
      </c>
      <c r="Y15" s="556">
        <v>51334.594771566495</v>
      </c>
      <c r="Z15" s="556">
        <v>52042.447587275899</v>
      </c>
      <c r="AA15" s="556">
        <v>50971.725694157401</v>
      </c>
      <c r="AB15" s="556">
        <v>52771.889928957207</v>
      </c>
      <c r="AC15" s="556">
        <v>51559.155262933498</v>
      </c>
      <c r="AD15" s="556">
        <v>52664.915751283894</v>
      </c>
      <c r="AE15" s="556">
        <v>53230.1549786256</v>
      </c>
      <c r="AF15" s="556">
        <v>51457.523353041099</v>
      </c>
      <c r="AG15" s="556">
        <v>52862.332407013098</v>
      </c>
      <c r="AH15" s="556">
        <v>52766.2205435664</v>
      </c>
      <c r="AI15" s="557">
        <v>54521.632375816698</v>
      </c>
      <c r="AJ15" s="556">
        <v>56235.882947774793</v>
      </c>
      <c r="AK15" s="556">
        <v>56068.183178167761</v>
      </c>
      <c r="AL15" s="558">
        <v>55077.431588997802</v>
      </c>
    </row>
    <row r="16" spans="1:38" ht="15" customHeight="1">
      <c r="A16" s="555" t="s">
        <v>615</v>
      </c>
      <c r="B16" s="556">
        <v>-15495.318338769268</v>
      </c>
      <c r="C16" s="556">
        <v>-15299.364465536764</v>
      </c>
      <c r="D16" s="556">
        <v>-16607.221519575178</v>
      </c>
      <c r="E16" s="556">
        <v>-15318.187467456148</v>
      </c>
      <c r="F16" s="556">
        <v>-15296.882470933002</v>
      </c>
      <c r="G16" s="556">
        <v>-16813.623191209776</v>
      </c>
      <c r="H16" s="556">
        <v>-15620.285856520004</v>
      </c>
      <c r="I16" s="556">
        <v>-14421.131854921736</v>
      </c>
      <c r="J16" s="556">
        <v>-15973.294706852601</v>
      </c>
      <c r="K16" s="556">
        <v>-16629.590523879549</v>
      </c>
      <c r="L16" s="556">
        <v>-17763.820773745876</v>
      </c>
      <c r="M16" s="556">
        <v>-18268.86165722015</v>
      </c>
      <c r="N16" s="556">
        <v>-17183.242314100742</v>
      </c>
      <c r="O16" s="556">
        <v>-16103.163486577711</v>
      </c>
      <c r="P16" s="556">
        <v>-16459.845421849299</v>
      </c>
      <c r="Q16" s="556">
        <v>-16726.096837155063</v>
      </c>
      <c r="R16" s="556">
        <v>-14885.11300748652</v>
      </c>
      <c r="S16" s="556">
        <v>-13649.638283652252</v>
      </c>
      <c r="T16" s="556">
        <v>-14152.121870491659</v>
      </c>
      <c r="U16" s="556">
        <v>-14357.898848071361</v>
      </c>
      <c r="V16" s="556">
        <v>-13398.254659593729</v>
      </c>
      <c r="W16" s="556">
        <v>-14642.99636951526</v>
      </c>
      <c r="X16" s="556">
        <v>-12105.893297235638</v>
      </c>
      <c r="Y16" s="556">
        <v>-13323.868950531438</v>
      </c>
      <c r="Z16" s="556">
        <v>-14326.922800997592</v>
      </c>
      <c r="AA16" s="556">
        <v>-13773.719870086928</v>
      </c>
      <c r="AB16" s="556">
        <v>-13383.758558355355</v>
      </c>
      <c r="AC16" s="556">
        <v>-13829.38351205395</v>
      </c>
      <c r="AD16" s="556">
        <v>-14198.827425312636</v>
      </c>
      <c r="AE16" s="556">
        <v>-14615.618550689402</v>
      </c>
      <c r="AF16" s="556">
        <v>-15437.120114406496</v>
      </c>
      <c r="AG16" s="556">
        <v>-14839.061005416299</v>
      </c>
      <c r="AH16" s="556">
        <v>-13984.048610820311</v>
      </c>
      <c r="AI16" s="557">
        <v>-14478.955578576226</v>
      </c>
      <c r="AJ16" s="556">
        <v>-15847.075649376096</v>
      </c>
      <c r="AK16" s="556">
        <v>-17852.94867652862</v>
      </c>
      <c r="AL16" s="558">
        <v>-16456.598006621625</v>
      </c>
    </row>
    <row r="17" spans="1:40" ht="15" customHeight="1">
      <c r="A17" s="551"/>
      <c r="B17" s="552"/>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3"/>
      <c r="AJ17" s="552"/>
      <c r="AK17" s="552"/>
      <c r="AL17" s="554"/>
    </row>
    <row r="18" spans="1:40" ht="15" customHeight="1">
      <c r="A18" s="551" t="s">
        <v>587</v>
      </c>
      <c r="B18" s="552">
        <v>248896.44796015669</v>
      </c>
      <c r="C18" s="552">
        <v>248653.45619608354</v>
      </c>
      <c r="D18" s="552">
        <v>251077.63427885834</v>
      </c>
      <c r="E18" s="552">
        <v>252425.94624199052</v>
      </c>
      <c r="F18" s="552">
        <v>263632.61535834562</v>
      </c>
      <c r="G18" s="552">
        <v>267429.23357882927</v>
      </c>
      <c r="H18" s="552">
        <v>266409.72737461125</v>
      </c>
      <c r="I18" s="552">
        <v>271789.49549483845</v>
      </c>
      <c r="J18" s="552">
        <v>272438.92333583586</v>
      </c>
      <c r="K18" s="552">
        <v>274786.27410636976</v>
      </c>
      <c r="L18" s="552">
        <v>276758.11127369711</v>
      </c>
      <c r="M18" s="552">
        <v>278722.79442939977</v>
      </c>
      <c r="N18" s="552">
        <v>278600.24378589995</v>
      </c>
      <c r="O18" s="552">
        <v>281528.0408852456</v>
      </c>
      <c r="P18" s="552">
        <v>282270.29557447811</v>
      </c>
      <c r="Q18" s="552">
        <v>286205.00782829389</v>
      </c>
      <c r="R18" s="552">
        <v>288062.89631386375</v>
      </c>
      <c r="S18" s="552">
        <v>291979.36699999997</v>
      </c>
      <c r="T18" s="552">
        <v>295765.24081791023</v>
      </c>
      <c r="U18" s="552">
        <v>298723.10082013893</v>
      </c>
      <c r="V18" s="552">
        <v>304169.75661760999</v>
      </c>
      <c r="W18" s="552">
        <v>312829.84980890236</v>
      </c>
      <c r="X18" s="552">
        <v>311259.87505072553</v>
      </c>
      <c r="Y18" s="552">
        <v>310940.94408568816</v>
      </c>
      <c r="Z18" s="552">
        <v>311430.19972326333</v>
      </c>
      <c r="AA18" s="552">
        <v>311817.78021051805</v>
      </c>
      <c r="AB18" s="552">
        <v>316023.83094058069</v>
      </c>
      <c r="AC18" s="552">
        <v>322035.05858234013</v>
      </c>
      <c r="AD18" s="552">
        <v>328217.72178075509</v>
      </c>
      <c r="AE18" s="552">
        <v>339849.9028008671</v>
      </c>
      <c r="AF18" s="552">
        <v>344055.84470338566</v>
      </c>
      <c r="AG18" s="552">
        <v>346600.31551877788</v>
      </c>
      <c r="AH18" s="552">
        <v>349150.76667742536</v>
      </c>
      <c r="AI18" s="553">
        <v>353662.92069438443</v>
      </c>
      <c r="AJ18" s="552">
        <v>357257.64889147726</v>
      </c>
      <c r="AK18" s="552">
        <v>364089.16545909585</v>
      </c>
      <c r="AL18" s="554">
        <v>365541.50957684341</v>
      </c>
    </row>
    <row r="19" spans="1:40" ht="15" customHeight="1">
      <c r="A19" s="559"/>
      <c r="B19" s="556"/>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7"/>
      <c r="AJ19" s="556"/>
      <c r="AK19" s="556"/>
      <c r="AL19" s="558"/>
    </row>
    <row r="20" spans="1:40" ht="15" customHeight="1">
      <c r="A20" s="551" t="s">
        <v>616</v>
      </c>
      <c r="B20" s="552">
        <v>354.97145637</v>
      </c>
      <c r="C20" s="552">
        <v>1458.0634336810001</v>
      </c>
      <c r="D20" s="552">
        <v>1234.8880738037499</v>
      </c>
      <c r="E20" s="552">
        <v>1426.9580185933298</v>
      </c>
      <c r="F20" s="552">
        <v>1799.6625738501998</v>
      </c>
      <c r="G20" s="552">
        <v>1018.8706620099999</v>
      </c>
      <c r="H20" s="552">
        <v>934.56167797000001</v>
      </c>
      <c r="I20" s="552">
        <v>570.37408744000004</v>
      </c>
      <c r="J20" s="552">
        <v>753.09918457000003</v>
      </c>
      <c r="K20" s="552">
        <v>624.16111209999997</v>
      </c>
      <c r="L20" s="552">
        <v>1020.68219698</v>
      </c>
      <c r="M20" s="552">
        <v>1003.2277356599999</v>
      </c>
      <c r="N20" s="552">
        <v>994.98082905999991</v>
      </c>
      <c r="O20" s="552">
        <v>994.86971218999997</v>
      </c>
      <c r="P20" s="552">
        <v>233.12811006999999</v>
      </c>
      <c r="Q20" s="552">
        <v>222.31467438999996</v>
      </c>
      <c r="R20" s="552">
        <v>623.47827548999999</v>
      </c>
      <c r="S20" s="552">
        <v>208.369</v>
      </c>
      <c r="T20" s="552">
        <v>1780.2658135799998</v>
      </c>
      <c r="U20" s="552">
        <v>1060.8937028600001</v>
      </c>
      <c r="V20" s="552">
        <v>753.35824074999994</v>
      </c>
      <c r="W20" s="552">
        <v>939.68474980999986</v>
      </c>
      <c r="X20" s="552">
        <v>1096.7768037200001</v>
      </c>
      <c r="Y20" s="552">
        <v>1145.3559687899999</v>
      </c>
      <c r="Z20" s="552">
        <v>1123.0559826400001</v>
      </c>
      <c r="AA20" s="552">
        <v>1132.92843081</v>
      </c>
      <c r="AB20" s="552">
        <v>1132.9984324300001</v>
      </c>
      <c r="AC20" s="552">
        <v>1114.9996515999999</v>
      </c>
      <c r="AD20" s="552">
        <v>82.772141879999992</v>
      </c>
      <c r="AE20" s="552">
        <v>447.20645667000002</v>
      </c>
      <c r="AF20" s="552">
        <v>181.53818857999997</v>
      </c>
      <c r="AG20" s="552">
        <v>429.82487684</v>
      </c>
      <c r="AH20" s="552">
        <v>771.05274240999995</v>
      </c>
      <c r="AI20" s="553">
        <v>1174.1884462799999</v>
      </c>
      <c r="AJ20" s="552">
        <v>1345.1627521099999</v>
      </c>
      <c r="AK20" s="552">
        <v>1721.84122639</v>
      </c>
      <c r="AL20" s="554">
        <v>2044.3475266400001</v>
      </c>
    </row>
    <row r="21" spans="1:40" ht="15" customHeight="1">
      <c r="A21" s="55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7"/>
      <c r="AJ21" s="556"/>
      <c r="AK21" s="556"/>
      <c r="AL21" s="558"/>
    </row>
    <row r="22" spans="1:40" ht="15" customHeight="1">
      <c r="A22" s="551" t="s">
        <v>617</v>
      </c>
      <c r="B22" s="552">
        <v>68417.576114417345</v>
      </c>
      <c r="C22" s="552">
        <v>69653.631969699985</v>
      </c>
      <c r="D22" s="552">
        <v>70215.348591119095</v>
      </c>
      <c r="E22" s="552">
        <v>68338.963920090217</v>
      </c>
      <c r="F22" s="552">
        <v>70215.250846567549</v>
      </c>
      <c r="G22" s="552">
        <v>71274.171742057268</v>
      </c>
      <c r="H22" s="552">
        <v>64471.853299839051</v>
      </c>
      <c r="I22" s="552">
        <v>60661.93993289076</v>
      </c>
      <c r="J22" s="552">
        <v>62154.188763703103</v>
      </c>
      <c r="K22" s="552">
        <v>64297.935015412811</v>
      </c>
      <c r="L22" s="552">
        <v>62964.396630661162</v>
      </c>
      <c r="M22" s="552">
        <v>66798.141782746941</v>
      </c>
      <c r="N22" s="552">
        <v>66843.4212763182</v>
      </c>
      <c r="O22" s="552">
        <v>64714.829885364074</v>
      </c>
      <c r="P22" s="552">
        <v>64923.221281450686</v>
      </c>
      <c r="Q22" s="552">
        <v>64083.54788373335</v>
      </c>
      <c r="R22" s="552">
        <v>64808.801830606011</v>
      </c>
      <c r="S22" s="552">
        <v>67724.779263747987</v>
      </c>
      <c r="T22" s="552">
        <v>65041.300731756433</v>
      </c>
      <c r="U22" s="552">
        <v>67309.642340643681</v>
      </c>
      <c r="V22" s="552">
        <v>67613.559138661833</v>
      </c>
      <c r="W22" s="552">
        <v>66007.450705723328</v>
      </c>
      <c r="X22" s="552">
        <v>69174.68774187642</v>
      </c>
      <c r="Y22" s="552">
        <v>69409.104881614985</v>
      </c>
      <c r="Z22" s="552">
        <v>70398.977756641951</v>
      </c>
      <c r="AA22" s="552">
        <v>68945.312493441015</v>
      </c>
      <c r="AB22" s="552">
        <v>68951.221762668312</v>
      </c>
      <c r="AC22" s="552">
        <v>69926.762835496062</v>
      </c>
      <c r="AD22" s="552">
        <v>71122.489226837395</v>
      </c>
      <c r="AE22" s="552">
        <v>72242.56115368141</v>
      </c>
      <c r="AF22" s="552">
        <v>71290.812961026197</v>
      </c>
      <c r="AG22" s="552">
        <v>70857.429743249348</v>
      </c>
      <c r="AH22" s="552">
        <v>71447.475539043153</v>
      </c>
      <c r="AI22" s="553">
        <v>72952.083069411558</v>
      </c>
      <c r="AJ22" s="552">
        <v>74578.349415192075</v>
      </c>
      <c r="AK22" s="552">
        <v>74618.532625004475</v>
      </c>
      <c r="AL22" s="554">
        <v>71871.101379207234</v>
      </c>
    </row>
    <row r="23" spans="1:40" ht="15" customHeight="1">
      <c r="A23" s="55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3"/>
      <c r="AJ23" s="552"/>
      <c r="AK23" s="552"/>
      <c r="AL23" s="554"/>
    </row>
    <row r="24" spans="1:40" ht="15" customHeight="1">
      <c r="A24" s="551" t="s">
        <v>618</v>
      </c>
      <c r="B24" s="552">
        <v>86002.005008486682</v>
      </c>
      <c r="C24" s="552">
        <v>86430.334994463396</v>
      </c>
      <c r="D24" s="552">
        <v>87980.657385565777</v>
      </c>
      <c r="E24" s="552">
        <v>88701.149805639681</v>
      </c>
      <c r="F24" s="552">
        <v>89270.248456882007</v>
      </c>
      <c r="G24" s="552">
        <v>89154.323627973514</v>
      </c>
      <c r="H24" s="552">
        <v>90701.193436550544</v>
      </c>
      <c r="I24" s="552">
        <v>94966.115896958989</v>
      </c>
      <c r="J24" s="552">
        <v>96640.404973560464</v>
      </c>
      <c r="K24" s="552">
        <v>98032.756931829164</v>
      </c>
      <c r="L24" s="552">
        <v>97861.717844145649</v>
      </c>
      <c r="M24" s="552">
        <v>103724.85564967337</v>
      </c>
      <c r="N24" s="552">
        <v>104389.22207054911</v>
      </c>
      <c r="O24" s="552">
        <v>106664.57534290411</v>
      </c>
      <c r="P24" s="552">
        <v>107206.88138370164</v>
      </c>
      <c r="Q24" s="552">
        <v>108620.08748099591</v>
      </c>
      <c r="R24" s="552">
        <v>107655.14280378608</v>
      </c>
      <c r="S24" s="552">
        <v>108184.74986758425</v>
      </c>
      <c r="T24" s="552">
        <v>108733.92540058088</v>
      </c>
      <c r="U24" s="552">
        <v>109085.11095657838</v>
      </c>
      <c r="V24" s="552">
        <v>108846.39305074242</v>
      </c>
      <c r="W24" s="552">
        <v>109719.8377185056</v>
      </c>
      <c r="X24" s="552">
        <v>109948.1827041051</v>
      </c>
      <c r="Y24" s="552">
        <v>114277.70110134366</v>
      </c>
      <c r="Z24" s="552">
        <v>113985.53990418378</v>
      </c>
      <c r="AA24" s="552">
        <v>116610.20363369156</v>
      </c>
      <c r="AB24" s="552">
        <v>117693.25363014425</v>
      </c>
      <c r="AC24" s="552">
        <v>116060.31403665496</v>
      </c>
      <c r="AD24" s="552">
        <v>116163.6332307518</v>
      </c>
      <c r="AE24" s="552">
        <v>118175.51892211345</v>
      </c>
      <c r="AF24" s="552">
        <v>117894.59109897181</v>
      </c>
      <c r="AG24" s="552">
        <v>117293.51383782346</v>
      </c>
      <c r="AH24" s="552">
        <v>118335.53065373108</v>
      </c>
      <c r="AI24" s="553">
        <v>118419.04652726192</v>
      </c>
      <c r="AJ24" s="552">
        <v>120267.96107586552</v>
      </c>
      <c r="AK24" s="552">
        <v>123940.24706978291</v>
      </c>
      <c r="AL24" s="554">
        <v>125927.59113183178</v>
      </c>
    </row>
    <row r="25" spans="1:40" ht="15" customHeight="1">
      <c r="A25" s="551"/>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3"/>
      <c r="AJ25" s="552"/>
      <c r="AK25" s="552"/>
      <c r="AL25" s="554"/>
    </row>
    <row r="26" spans="1:40" ht="15" customHeight="1">
      <c r="A26" s="551" t="s">
        <v>619</v>
      </c>
      <c r="B26" s="552">
        <v>108186.14460182063</v>
      </c>
      <c r="C26" s="552">
        <v>107871.64613230935</v>
      </c>
      <c r="D26" s="552">
        <v>106472.46624005419</v>
      </c>
      <c r="E26" s="552">
        <v>108063.35612843526</v>
      </c>
      <c r="F26" s="552">
        <v>109526.84877539893</v>
      </c>
      <c r="G26" s="552">
        <v>109237.11205135696</v>
      </c>
      <c r="H26" s="552">
        <v>109451.94414594011</v>
      </c>
      <c r="I26" s="552">
        <v>108901.9461516438</v>
      </c>
      <c r="J26" s="552">
        <v>106914.66391770453</v>
      </c>
      <c r="K26" s="552">
        <v>107100.24215791043</v>
      </c>
      <c r="L26" s="552">
        <v>109055.36053895146</v>
      </c>
      <c r="M26" s="552">
        <v>109207.81382407888</v>
      </c>
      <c r="N26" s="552">
        <v>107745.74287748217</v>
      </c>
      <c r="O26" s="552">
        <v>107599.41045783951</v>
      </c>
      <c r="P26" s="552">
        <v>106746.66606577481</v>
      </c>
      <c r="Q26" s="552">
        <v>106849.11315212832</v>
      </c>
      <c r="R26" s="552">
        <v>107417.14382677035</v>
      </c>
      <c r="S26" s="552">
        <v>110511.24299510724</v>
      </c>
      <c r="T26" s="552">
        <v>111052.85472120719</v>
      </c>
      <c r="U26" s="552">
        <v>111654.30310460235</v>
      </c>
      <c r="V26" s="552">
        <v>112467.72002936109</v>
      </c>
      <c r="W26" s="552">
        <v>113219.37896141577</v>
      </c>
      <c r="X26" s="552">
        <v>113547.22391566647</v>
      </c>
      <c r="Y26" s="552">
        <v>113435.48782537348</v>
      </c>
      <c r="Z26" s="552">
        <v>112461.82849679363</v>
      </c>
      <c r="AA26" s="552">
        <v>111714.22892767936</v>
      </c>
      <c r="AB26" s="552">
        <v>113270.70949100395</v>
      </c>
      <c r="AC26" s="552">
        <v>114177.36675103454</v>
      </c>
      <c r="AD26" s="552">
        <v>116075.87533956936</v>
      </c>
      <c r="AE26" s="552">
        <v>116355.8678889685</v>
      </c>
      <c r="AF26" s="552">
        <v>118325.33974725219</v>
      </c>
      <c r="AG26" s="552">
        <v>119849.00138286772</v>
      </c>
      <c r="AH26" s="552">
        <v>120208.58510439517</v>
      </c>
      <c r="AI26" s="553">
        <v>121769.56355380318</v>
      </c>
      <c r="AJ26" s="552">
        <v>120139.4397799687</v>
      </c>
      <c r="AK26" s="552">
        <v>122767.9044164784</v>
      </c>
      <c r="AL26" s="554">
        <v>119814.13086053214</v>
      </c>
      <c r="AN26" s="560"/>
    </row>
    <row r="27" spans="1:40" ht="15" customHeight="1">
      <c r="A27" s="561"/>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7"/>
      <c r="AJ27" s="556"/>
      <c r="AK27" s="556"/>
      <c r="AL27" s="558"/>
    </row>
    <row r="28" spans="1:40" ht="15" customHeight="1">
      <c r="A28" s="551" t="s">
        <v>620</v>
      </c>
      <c r="B28" s="552">
        <v>783.64372534999995</v>
      </c>
      <c r="C28" s="552">
        <v>795.03426162999995</v>
      </c>
      <c r="D28" s="552">
        <v>806.36142286999996</v>
      </c>
      <c r="E28" s="552">
        <v>817.11920386999998</v>
      </c>
      <c r="F28" s="552">
        <v>829.69099342999993</v>
      </c>
      <c r="G28" s="552">
        <v>841.75958768999999</v>
      </c>
      <c r="H28" s="552">
        <v>841.34192214999996</v>
      </c>
      <c r="I28" s="552">
        <v>850.71337003999997</v>
      </c>
      <c r="J28" s="552">
        <v>860.90493549999997</v>
      </c>
      <c r="K28" s="552">
        <v>871.46817457999998</v>
      </c>
      <c r="L28" s="552">
        <v>882.04527718999998</v>
      </c>
      <c r="M28" s="552">
        <v>892.00809129999993</v>
      </c>
      <c r="N28" s="552">
        <v>903.91998392999994</v>
      </c>
      <c r="O28" s="552">
        <v>913.01940185000001</v>
      </c>
      <c r="P28" s="552">
        <v>921.02394779999986</v>
      </c>
      <c r="Q28" s="552">
        <v>929.69761501999994</v>
      </c>
      <c r="R28" s="552">
        <v>941.94318426999996</v>
      </c>
      <c r="S28" s="552">
        <v>951.54399999999998</v>
      </c>
      <c r="T28" s="552">
        <v>951.26087802999996</v>
      </c>
      <c r="U28" s="552">
        <v>960.51654224999993</v>
      </c>
      <c r="V28" s="552">
        <v>959.27091483000004</v>
      </c>
      <c r="W28" s="552">
        <v>968.69937096000001</v>
      </c>
      <c r="X28" s="552">
        <v>976.84763184999997</v>
      </c>
      <c r="Y28" s="552">
        <v>987.94876219000002</v>
      </c>
      <c r="Z28" s="552">
        <v>997.67433128999994</v>
      </c>
      <c r="AA28" s="552">
        <v>1008.33392694</v>
      </c>
      <c r="AB28" s="552">
        <v>1018.04001825</v>
      </c>
      <c r="AC28" s="552">
        <v>1027.9046779099999</v>
      </c>
      <c r="AD28" s="552">
        <v>1034.54105153</v>
      </c>
      <c r="AE28" s="552">
        <v>1046.3292143399999</v>
      </c>
      <c r="AF28" s="552">
        <v>1056.93696527</v>
      </c>
      <c r="AG28" s="552">
        <v>1068.1048831099999</v>
      </c>
      <c r="AH28" s="552">
        <v>1086.2447271099998</v>
      </c>
      <c r="AI28" s="553">
        <v>1094.8958103199998</v>
      </c>
      <c r="AJ28" s="552">
        <v>1103.7077119</v>
      </c>
      <c r="AK28" s="552">
        <v>1114.0039380399999</v>
      </c>
      <c r="AL28" s="554">
        <v>1126.4172563299999</v>
      </c>
    </row>
    <row r="29" spans="1:40" ht="15" customHeight="1">
      <c r="A29" s="555"/>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7"/>
      <c r="AJ29" s="556"/>
      <c r="AK29" s="556"/>
      <c r="AL29" s="558"/>
    </row>
    <row r="30" spans="1:40" ht="15" customHeight="1">
      <c r="A30" s="551" t="s">
        <v>621</v>
      </c>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3"/>
      <c r="AJ30" s="552"/>
      <c r="AK30" s="552"/>
      <c r="AL30" s="554"/>
    </row>
    <row r="31" spans="1:40" ht="15" customHeight="1">
      <c r="A31" s="546" t="s">
        <v>622</v>
      </c>
      <c r="B31" s="552">
        <v>249360.69651986239</v>
      </c>
      <c r="C31" s="552">
        <v>251622.7170243435</v>
      </c>
      <c r="D31" s="552">
        <v>257215.39942037046</v>
      </c>
      <c r="E31" s="552">
        <v>240972.03568809986</v>
      </c>
      <c r="F31" s="552">
        <v>288254.52867823391</v>
      </c>
      <c r="G31" s="552">
        <v>283442.52268889075</v>
      </c>
      <c r="H31" s="552">
        <v>249839.02988721139</v>
      </c>
      <c r="I31" s="552">
        <v>274342.31773691805</v>
      </c>
      <c r="J31" s="552">
        <v>273779.93564134021</v>
      </c>
      <c r="K31" s="552">
        <v>272801.95000061835</v>
      </c>
      <c r="L31" s="552">
        <v>280387.78172803833</v>
      </c>
      <c r="M31" s="552">
        <v>285066.20083127124</v>
      </c>
      <c r="N31" s="552">
        <v>285888.7361757406</v>
      </c>
      <c r="O31" s="552">
        <v>282314.17421844183</v>
      </c>
      <c r="P31" s="552">
        <v>252067.54477551434</v>
      </c>
      <c r="Q31" s="552">
        <v>269744.23065324407</v>
      </c>
      <c r="R31" s="552">
        <v>262472.03593615501</v>
      </c>
      <c r="S31" s="552">
        <v>288101.32264357829</v>
      </c>
      <c r="T31" s="552">
        <v>276970.62324911181</v>
      </c>
      <c r="U31" s="552">
        <v>259096.97982526961</v>
      </c>
      <c r="V31" s="552">
        <v>263239.52009323618</v>
      </c>
      <c r="W31" s="552">
        <v>265845.06246742804</v>
      </c>
      <c r="X31" s="552">
        <v>316404.36635368416</v>
      </c>
      <c r="Y31" s="552">
        <v>258918.40932451026</v>
      </c>
      <c r="Z31" s="552">
        <v>232975.13791190481</v>
      </c>
      <c r="AA31" s="552">
        <v>237937.95141806465</v>
      </c>
      <c r="AB31" s="552">
        <v>285684.36288633069</v>
      </c>
      <c r="AC31" s="552">
        <v>285988.67051305622</v>
      </c>
      <c r="AD31" s="552">
        <v>302666.35092124564</v>
      </c>
      <c r="AE31" s="552">
        <v>237796.98005223632</v>
      </c>
      <c r="AF31" s="552">
        <v>265847.36200055724</v>
      </c>
      <c r="AG31" s="552">
        <v>226859.55689751479</v>
      </c>
      <c r="AH31" s="552">
        <v>250067.2693901007</v>
      </c>
      <c r="AI31" s="553">
        <v>267852.03612333984</v>
      </c>
      <c r="AJ31" s="552">
        <v>268085.52613238478</v>
      </c>
      <c r="AK31" s="552">
        <v>269984.1691173499</v>
      </c>
      <c r="AL31" s="554">
        <v>293403.84355044481</v>
      </c>
    </row>
    <row r="32" spans="1:40" ht="15" customHeight="1">
      <c r="A32" s="551"/>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3"/>
      <c r="AJ32" s="552"/>
      <c r="AK32" s="552"/>
      <c r="AL32" s="554"/>
    </row>
    <row r="33" spans="1:38" ht="15" hidden="1" customHeight="1">
      <c r="A33" s="562"/>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7"/>
      <c r="AJ33" s="556"/>
      <c r="AK33" s="556"/>
      <c r="AL33" s="558"/>
    </row>
    <row r="34" spans="1:38" ht="15" customHeight="1">
      <c r="A34" s="551" t="s">
        <v>623</v>
      </c>
      <c r="B34" s="552">
        <v>779.8563754780231</v>
      </c>
      <c r="C34" s="552">
        <v>1306.3706472020708</v>
      </c>
      <c r="D34" s="552">
        <v>869.81856441823697</v>
      </c>
      <c r="E34" s="552">
        <v>905.77134001740285</v>
      </c>
      <c r="F34" s="552">
        <v>953.61912509870194</v>
      </c>
      <c r="G34" s="552">
        <v>905.59047324829282</v>
      </c>
      <c r="H34" s="552">
        <v>893.14782032191704</v>
      </c>
      <c r="I34" s="552">
        <v>886.28017686064481</v>
      </c>
      <c r="J34" s="552">
        <v>918.87860321704704</v>
      </c>
      <c r="K34" s="552">
        <v>960.71175483604384</v>
      </c>
      <c r="L34" s="552">
        <v>1029.7745460104779</v>
      </c>
      <c r="M34" s="552">
        <v>975.48743325026498</v>
      </c>
      <c r="N34" s="552">
        <v>1031.204026959666</v>
      </c>
      <c r="O34" s="552">
        <v>978.166643874898</v>
      </c>
      <c r="P34" s="552">
        <v>965.73138316948803</v>
      </c>
      <c r="Q34" s="552">
        <v>1075.015738483263</v>
      </c>
      <c r="R34" s="552">
        <v>922.63988792454199</v>
      </c>
      <c r="S34" s="552">
        <v>850.86400000000003</v>
      </c>
      <c r="T34" s="552">
        <v>788.9558609616289</v>
      </c>
      <c r="U34" s="552">
        <v>790.719423331896</v>
      </c>
      <c r="V34" s="552">
        <v>793.71809299350195</v>
      </c>
      <c r="W34" s="552">
        <v>954.91120817975002</v>
      </c>
      <c r="X34" s="552">
        <v>1214.5715763658072</v>
      </c>
      <c r="Y34" s="552">
        <v>1019.2733192047189</v>
      </c>
      <c r="Z34" s="552">
        <v>1086.111822120298</v>
      </c>
      <c r="AA34" s="552">
        <v>1082.1906095791599</v>
      </c>
      <c r="AB34" s="552">
        <v>1127.0450183855298</v>
      </c>
      <c r="AC34" s="552">
        <v>1032.7614692868167</v>
      </c>
      <c r="AD34" s="552">
        <v>989.92551787866694</v>
      </c>
      <c r="AE34" s="552">
        <v>1120.38707868651</v>
      </c>
      <c r="AF34" s="552">
        <v>979.2667800134459</v>
      </c>
      <c r="AG34" s="552">
        <v>1063.945033827616</v>
      </c>
      <c r="AH34" s="552">
        <v>1203.5788762601721</v>
      </c>
      <c r="AI34" s="553">
        <v>1240.2975364657088</v>
      </c>
      <c r="AJ34" s="552">
        <v>1027.1574170188649</v>
      </c>
      <c r="AK34" s="552">
        <v>878.796846807836</v>
      </c>
      <c r="AL34" s="554">
        <v>1192.2947044366099</v>
      </c>
    </row>
    <row r="35" spans="1:38" ht="15" customHeight="1">
      <c r="A35" s="562"/>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7"/>
      <c r="AJ35" s="556"/>
      <c r="AK35" s="556"/>
      <c r="AL35" s="558"/>
    </row>
    <row r="36" spans="1:38" ht="15" customHeight="1">
      <c r="A36" s="551" t="s">
        <v>322</v>
      </c>
      <c r="B36" s="552">
        <v>954.40139647000001</v>
      </c>
      <c r="C36" s="552">
        <v>773.83237627999995</v>
      </c>
      <c r="D36" s="552">
        <v>832.74037261000001</v>
      </c>
      <c r="E36" s="552">
        <v>877.0711045999999</v>
      </c>
      <c r="F36" s="552">
        <v>912.78641126999992</v>
      </c>
      <c r="G36" s="552">
        <v>990.83616271999995</v>
      </c>
      <c r="H36" s="552">
        <v>1178.8645466399998</v>
      </c>
      <c r="I36" s="552">
        <v>1144.15429767</v>
      </c>
      <c r="J36" s="552">
        <v>935.40036557999997</v>
      </c>
      <c r="K36" s="552">
        <v>736.85754703999999</v>
      </c>
      <c r="L36" s="552">
        <v>890.49728249999998</v>
      </c>
      <c r="M36" s="552">
        <v>1197.75504847</v>
      </c>
      <c r="N36" s="552">
        <v>1098.23310578</v>
      </c>
      <c r="O36" s="552">
        <v>1073.3048325499999</v>
      </c>
      <c r="P36" s="552">
        <v>1154.3039894599997</v>
      </c>
      <c r="Q36" s="552">
        <v>1163.7714331699999</v>
      </c>
      <c r="R36" s="552">
        <v>1462.8666796499999</v>
      </c>
      <c r="S36" s="552">
        <v>1434.5940000000001</v>
      </c>
      <c r="T36" s="552">
        <v>1579.19917358</v>
      </c>
      <c r="U36" s="552">
        <v>1497.92577121</v>
      </c>
      <c r="V36" s="552">
        <v>1707.9922760499999</v>
      </c>
      <c r="W36" s="552">
        <v>1700.3897597799998</v>
      </c>
      <c r="X36" s="552">
        <v>1729.7772085899996</v>
      </c>
      <c r="Y36" s="552">
        <v>1762.5908422200002</v>
      </c>
      <c r="Z36" s="552">
        <v>1682.78710776</v>
      </c>
      <c r="AA36" s="552">
        <v>1713.32924157</v>
      </c>
      <c r="AB36" s="552">
        <v>1656.5536764200001</v>
      </c>
      <c r="AC36" s="552">
        <v>1632.2673410399998</v>
      </c>
      <c r="AD36" s="552">
        <v>1685.5414563100001</v>
      </c>
      <c r="AE36" s="552">
        <v>1851.5900833599997</v>
      </c>
      <c r="AF36" s="552">
        <v>1868.84614268</v>
      </c>
      <c r="AG36" s="552">
        <v>1748.8815379</v>
      </c>
      <c r="AH36" s="552">
        <v>1722.18598217</v>
      </c>
      <c r="AI36" s="553">
        <v>1714.25887257</v>
      </c>
      <c r="AJ36" s="552">
        <v>2049.9443790199998</v>
      </c>
      <c r="AK36" s="552">
        <v>2023.3571086500001</v>
      </c>
      <c r="AL36" s="554">
        <v>2043.31956182</v>
      </c>
    </row>
    <row r="37" spans="1:38" ht="15" customHeight="1">
      <c r="A37" s="562"/>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7"/>
      <c r="AJ37" s="556"/>
      <c r="AK37" s="556"/>
      <c r="AL37" s="558"/>
    </row>
    <row r="38" spans="1:38" ht="15" customHeight="1">
      <c r="A38" s="551" t="s">
        <v>528</v>
      </c>
      <c r="B38" s="552">
        <v>8004.9418573799994</v>
      </c>
      <c r="C38" s="552">
        <v>6345.2660890399993</v>
      </c>
      <c r="D38" s="552">
        <v>7274.3973694999995</v>
      </c>
      <c r="E38" s="552">
        <v>7471.1022488100007</v>
      </c>
      <c r="F38" s="552">
        <v>12450.12102138</v>
      </c>
      <c r="G38" s="552">
        <v>13043.306204839999</v>
      </c>
      <c r="H38" s="552">
        <v>13172.8547151776</v>
      </c>
      <c r="I38" s="552">
        <v>14515.80547266</v>
      </c>
      <c r="J38" s="552">
        <v>13240.189651499</v>
      </c>
      <c r="K38" s="552">
        <v>13236.251026315998</v>
      </c>
      <c r="L38" s="552">
        <v>13317.192274773599</v>
      </c>
      <c r="M38" s="552">
        <v>9501.1873320228879</v>
      </c>
      <c r="N38" s="552">
        <v>10357.0032780292</v>
      </c>
      <c r="O38" s="552">
        <v>11055.461459829201</v>
      </c>
      <c r="P38" s="552">
        <v>11127.2517693058</v>
      </c>
      <c r="Q38" s="552">
        <v>12865.488681405699</v>
      </c>
      <c r="R38" s="552">
        <v>12319.008321619429</v>
      </c>
      <c r="S38" s="552">
        <v>12482.525</v>
      </c>
      <c r="T38" s="552">
        <v>14247.6379276189</v>
      </c>
      <c r="U38" s="552">
        <v>14089.231251202</v>
      </c>
      <c r="V38" s="552">
        <v>16530.263901124497</v>
      </c>
      <c r="W38" s="552">
        <v>20328.644211066796</v>
      </c>
      <c r="X38" s="552">
        <v>17594.954029616001</v>
      </c>
      <c r="Y38" s="552">
        <v>17280.523779515599</v>
      </c>
      <c r="Z38" s="552">
        <v>17821.451958536396</v>
      </c>
      <c r="AA38" s="552">
        <v>18147.069136084898</v>
      </c>
      <c r="AB38" s="552">
        <v>17882.999953672599</v>
      </c>
      <c r="AC38" s="552">
        <v>20587.424013521402</v>
      </c>
      <c r="AD38" s="552">
        <v>24441.2549489757</v>
      </c>
      <c r="AE38" s="552">
        <v>27500.8282418255</v>
      </c>
      <c r="AF38" s="552">
        <v>31205.986672913001</v>
      </c>
      <c r="AG38" s="552">
        <v>29918.687292360497</v>
      </c>
      <c r="AH38" s="552">
        <v>30731.6072824232</v>
      </c>
      <c r="AI38" s="553">
        <v>31935.307121929403</v>
      </c>
      <c r="AJ38" s="552">
        <v>31548.632029781798</v>
      </c>
      <c r="AK38" s="552">
        <v>33922.982514620904</v>
      </c>
      <c r="AL38" s="554">
        <v>37130.725390234526</v>
      </c>
    </row>
    <row r="39" spans="1:38" ht="15" customHeight="1">
      <c r="A39" s="551"/>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3"/>
      <c r="AJ39" s="552"/>
      <c r="AK39" s="552"/>
      <c r="AL39" s="554"/>
    </row>
    <row r="40" spans="1:38" ht="15" customHeight="1">
      <c r="A40" s="551" t="s">
        <v>526</v>
      </c>
      <c r="B40" s="552">
        <v>0</v>
      </c>
      <c r="C40" s="552">
        <v>0</v>
      </c>
      <c r="D40" s="552">
        <v>0</v>
      </c>
      <c r="E40" s="552">
        <v>0</v>
      </c>
      <c r="F40" s="552">
        <v>0</v>
      </c>
      <c r="G40" s="552">
        <v>0</v>
      </c>
      <c r="H40" s="552">
        <v>0</v>
      </c>
      <c r="I40" s="552">
        <v>0</v>
      </c>
      <c r="J40" s="552">
        <v>0</v>
      </c>
      <c r="K40" s="552">
        <v>0</v>
      </c>
      <c r="L40" s="552">
        <v>0</v>
      </c>
      <c r="M40" s="552">
        <v>0</v>
      </c>
      <c r="N40" s="552">
        <v>0</v>
      </c>
      <c r="O40" s="552">
        <v>0</v>
      </c>
      <c r="P40" s="552">
        <v>0</v>
      </c>
      <c r="Q40" s="552">
        <v>0</v>
      </c>
      <c r="R40" s="552">
        <v>0</v>
      </c>
      <c r="S40" s="552">
        <v>0</v>
      </c>
      <c r="T40" s="552">
        <v>0</v>
      </c>
      <c r="U40" s="552">
        <v>0</v>
      </c>
      <c r="V40" s="552">
        <v>0</v>
      </c>
      <c r="W40" s="552">
        <v>0</v>
      </c>
      <c r="X40" s="552">
        <v>0</v>
      </c>
      <c r="Y40" s="552">
        <v>0</v>
      </c>
      <c r="Z40" s="552">
        <v>0</v>
      </c>
      <c r="AA40" s="552">
        <v>0</v>
      </c>
      <c r="AB40" s="552">
        <v>0</v>
      </c>
      <c r="AC40" s="552">
        <v>0</v>
      </c>
      <c r="AD40" s="552">
        <v>0</v>
      </c>
      <c r="AE40" s="552">
        <v>0</v>
      </c>
      <c r="AF40" s="552">
        <v>0</v>
      </c>
      <c r="AG40" s="552">
        <v>0</v>
      </c>
      <c r="AH40" s="552">
        <v>0</v>
      </c>
      <c r="AI40" s="553">
        <v>0</v>
      </c>
      <c r="AJ40" s="552">
        <v>0</v>
      </c>
      <c r="AK40" s="552">
        <v>0</v>
      </c>
      <c r="AL40" s="554">
        <v>0</v>
      </c>
    </row>
    <row r="41" spans="1:38" ht="15" customHeight="1">
      <c r="A41" s="562"/>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7"/>
      <c r="AJ41" s="556"/>
      <c r="AK41" s="556"/>
      <c r="AL41" s="558"/>
    </row>
    <row r="42" spans="1:38" ht="15" customHeight="1">
      <c r="A42" s="551" t="s">
        <v>524</v>
      </c>
      <c r="B42" s="552">
        <v>71967.09499391506</v>
      </c>
      <c r="C42" s="552">
        <v>73271.353804589889</v>
      </c>
      <c r="D42" s="552">
        <v>73849.64023806437</v>
      </c>
      <c r="E42" s="552">
        <v>73862.058317793577</v>
      </c>
      <c r="F42" s="552">
        <v>77052.783139840336</v>
      </c>
      <c r="G42" s="552">
        <v>79057.57761715159</v>
      </c>
      <c r="H42" s="552">
        <v>77330.420374281079</v>
      </c>
      <c r="I42" s="552">
        <v>78550.015576745995</v>
      </c>
      <c r="J42" s="552">
        <v>78280.792370200536</v>
      </c>
      <c r="K42" s="552">
        <v>79300.37753948255</v>
      </c>
      <c r="L42" s="552">
        <v>84473.648619102561</v>
      </c>
      <c r="M42" s="552">
        <v>85038.856916136458</v>
      </c>
      <c r="N42" s="552">
        <v>85694.832314834028</v>
      </c>
      <c r="O42" s="552">
        <v>86701.463298792325</v>
      </c>
      <c r="P42" s="552">
        <v>87084.157034179283</v>
      </c>
      <c r="Q42" s="552">
        <v>87096.461957007064</v>
      </c>
      <c r="R42" s="552">
        <v>87336.869322237821</v>
      </c>
      <c r="S42" s="552">
        <v>89036.786999999982</v>
      </c>
      <c r="T42" s="552">
        <v>89235.765023424581</v>
      </c>
      <c r="U42" s="552">
        <v>89112.41465844195</v>
      </c>
      <c r="V42" s="552">
        <v>92001.030889734771</v>
      </c>
      <c r="W42" s="552">
        <v>92823.985168123545</v>
      </c>
      <c r="X42" s="552">
        <v>94911.198696198597</v>
      </c>
      <c r="Y42" s="552">
        <v>92655.583889346017</v>
      </c>
      <c r="Z42" s="552">
        <v>93387.414470685457</v>
      </c>
      <c r="AA42" s="552">
        <v>94311.266267564599</v>
      </c>
      <c r="AB42" s="552">
        <v>96065.613651277527</v>
      </c>
      <c r="AC42" s="552">
        <v>96868.179552567439</v>
      </c>
      <c r="AD42" s="552">
        <v>99970.689341133475</v>
      </c>
      <c r="AE42" s="552">
        <v>102143.89963464859</v>
      </c>
      <c r="AF42" s="552">
        <v>102986.73584132361</v>
      </c>
      <c r="AG42" s="552">
        <v>103873.18199425921</v>
      </c>
      <c r="AH42" s="552">
        <v>104115.39616690503</v>
      </c>
      <c r="AI42" s="553">
        <v>105223.37593117298</v>
      </c>
      <c r="AJ42" s="552">
        <v>106183.29106794487</v>
      </c>
      <c r="AK42" s="552">
        <v>109157.30970641968</v>
      </c>
      <c r="AL42" s="554">
        <v>110133.521328831</v>
      </c>
    </row>
    <row r="43" spans="1:38" ht="15" customHeight="1">
      <c r="A43" s="555"/>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7"/>
      <c r="AJ43" s="556"/>
      <c r="AK43" s="556"/>
      <c r="AL43" s="558"/>
    </row>
    <row r="44" spans="1:38" ht="15" customHeight="1">
      <c r="A44" s="551" t="s">
        <v>599</v>
      </c>
      <c r="B44" s="552">
        <v>5581.7712577664606</v>
      </c>
      <c r="C44" s="552">
        <v>7349.7123653095168</v>
      </c>
      <c r="D44" s="552">
        <v>6090.4550390823679</v>
      </c>
      <c r="E44" s="552">
        <v>6342.5532362396898</v>
      </c>
      <c r="F44" s="552">
        <v>6571.8599122411506</v>
      </c>
      <c r="G44" s="552">
        <v>5614.203526141453</v>
      </c>
      <c r="H44" s="552">
        <v>4717.0988415455067</v>
      </c>
      <c r="I44" s="552">
        <v>5052.6886590529721</v>
      </c>
      <c r="J44" s="552">
        <v>3809.7946721767003</v>
      </c>
      <c r="K44" s="552">
        <v>5008.5135263069751</v>
      </c>
      <c r="L44" s="552">
        <v>3668.1493908827251</v>
      </c>
      <c r="M44" s="552">
        <v>2401.1339812109291</v>
      </c>
      <c r="N44" s="552">
        <v>5241.8806941717303</v>
      </c>
      <c r="O44" s="552">
        <v>4344.6170981780451</v>
      </c>
      <c r="P44" s="552">
        <v>3410.7049704305682</v>
      </c>
      <c r="Q44" s="552">
        <v>3294.0737302186244</v>
      </c>
      <c r="R44" s="552">
        <v>3010.5630233639567</v>
      </c>
      <c r="S44" s="552">
        <v>2516.7033064554053</v>
      </c>
      <c r="T44" s="552">
        <v>2495.977819549611</v>
      </c>
      <c r="U44" s="552">
        <v>3250.1924065643507</v>
      </c>
      <c r="V44" s="552">
        <v>2271.2828734367395</v>
      </c>
      <c r="W44" s="552">
        <v>2802.2922956597322</v>
      </c>
      <c r="X44" s="552">
        <v>2928.8344544064785</v>
      </c>
      <c r="Y44" s="552">
        <v>2085.2406866995916</v>
      </c>
      <c r="Z44" s="552">
        <v>1743.1726232611036</v>
      </c>
      <c r="AA44" s="552">
        <v>3000.4939441840688</v>
      </c>
      <c r="AB44" s="552">
        <v>3384.5776468462318</v>
      </c>
      <c r="AC44" s="552">
        <v>4229.0839280067703</v>
      </c>
      <c r="AD44" s="552">
        <v>4239.932745127011</v>
      </c>
      <c r="AE44" s="552">
        <v>4821.2281403044799</v>
      </c>
      <c r="AF44" s="552">
        <v>4776.5675367843505</v>
      </c>
      <c r="AG44" s="552">
        <v>5064.2456663633056</v>
      </c>
      <c r="AH44" s="552">
        <v>6698.7686477010793</v>
      </c>
      <c r="AI44" s="553">
        <v>7334.9291003506769</v>
      </c>
      <c r="AJ44" s="552">
        <v>7123.602673258807</v>
      </c>
      <c r="AK44" s="552">
        <v>5973.5201074144206</v>
      </c>
      <c r="AL44" s="554">
        <v>5819.9302087925425</v>
      </c>
    </row>
    <row r="45" spans="1:38" ht="15" customHeight="1" thickBot="1">
      <c r="A45" s="563"/>
      <c r="B45" s="564"/>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5"/>
      <c r="AJ45" s="564"/>
      <c r="AK45" s="564"/>
      <c r="AL45" s="566"/>
    </row>
    <row r="46" spans="1:38" ht="15" hidden="1" customHeight="1">
      <c r="A46" s="567" t="s">
        <v>577</v>
      </c>
    </row>
    <row r="47" spans="1:38" ht="15" customHeight="1" thickTop="1">
      <c r="A47" s="567" t="s">
        <v>624</v>
      </c>
    </row>
    <row r="48" spans="1:38" ht="15" customHeight="1">
      <c r="A48" s="568" t="s">
        <v>625</v>
      </c>
    </row>
    <row r="49" spans="1:9" s="280" customFormat="1" ht="13.5">
      <c r="A49" s="569" t="s">
        <v>626</v>
      </c>
      <c r="B49" s="129"/>
      <c r="C49" s="129"/>
      <c r="D49" s="129"/>
      <c r="E49" s="129"/>
      <c r="F49" s="570"/>
      <c r="G49" s="129"/>
      <c r="H49" s="129"/>
      <c r="I49" s="350"/>
    </row>
    <row r="50" spans="1:9" ht="15" customHeight="1">
      <c r="A50" s="571" t="s">
        <v>361</v>
      </c>
      <c r="B50" s="560"/>
    </row>
    <row r="51" spans="1:9" ht="15" customHeight="1">
      <c r="A51" s="572" t="s">
        <v>303</v>
      </c>
      <c r="B51" s="560"/>
    </row>
    <row r="52" spans="1:9" ht="15" customHeight="1">
      <c r="B52" s="560"/>
    </row>
  </sheetData>
  <mergeCells count="1">
    <mergeCell ref="M2:N2"/>
  </mergeCells>
  <printOptions horizontalCentered="1" verticalCentered="1"/>
  <pageMargins left="0" right="0" top="0" bottom="0" header="0" footer="0"/>
  <pageSetup paperSize="9" scale="53" orientation="landscape" r:id="rId1"/>
  <headerFooter alignWithMargins="0"/>
  <colBreaks count="1" manualBreakCount="1">
    <brk id="17"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zoomScaleNormal="100" workbookViewId="0">
      <pane xSplit="1" ySplit="6" topLeftCell="AE7" activePane="bottomRight" state="frozen"/>
      <selection pane="topRight" activeCell="B1" sqref="B1"/>
      <selection pane="bottomLeft" activeCell="A7" sqref="A7"/>
      <selection pane="bottomRight" activeCell="AN11" sqref="AN11"/>
    </sheetView>
  </sheetViews>
  <sheetFormatPr defaultRowHeight="15.75" customHeight="1"/>
  <cols>
    <col min="1" max="1" width="57.28515625" style="538" customWidth="1"/>
    <col min="2" max="2" width="14.140625" style="538" bestFit="1" customWidth="1"/>
    <col min="3" max="3" width="13.42578125" style="538" bestFit="1" customWidth="1"/>
    <col min="4" max="4" width="14.140625" style="538" bestFit="1" customWidth="1"/>
    <col min="5" max="5" width="14" style="538" bestFit="1" customWidth="1"/>
    <col min="6" max="6" width="14.42578125" style="538" bestFit="1" customWidth="1"/>
    <col min="7" max="7" width="13.42578125" style="538" bestFit="1" customWidth="1"/>
    <col min="8" max="8" width="14.140625" style="538" bestFit="1" customWidth="1"/>
    <col min="9" max="9" width="13.42578125" style="538" bestFit="1" customWidth="1"/>
    <col min="10" max="12" width="14" style="538" bestFit="1" customWidth="1"/>
    <col min="13" max="13" width="13.42578125" style="538" bestFit="1" customWidth="1"/>
    <col min="14" max="14" width="14" style="538" bestFit="1" customWidth="1"/>
    <col min="15" max="15" width="14.7109375" style="538" bestFit="1" customWidth="1"/>
    <col min="16" max="16" width="14.140625" style="538" bestFit="1" customWidth="1"/>
    <col min="17" max="17" width="13.28515625" style="538" bestFit="1" customWidth="1"/>
    <col min="18" max="18" width="13.7109375" style="538" bestFit="1" customWidth="1"/>
    <col min="19" max="19" width="14" style="538" bestFit="1" customWidth="1"/>
    <col min="20" max="22" width="14.140625" style="538" bestFit="1" customWidth="1"/>
    <col min="23" max="23" width="13.42578125" style="538" bestFit="1" customWidth="1"/>
    <col min="24" max="24" width="14.140625" style="538" bestFit="1" customWidth="1"/>
    <col min="25" max="31" width="14" style="538" bestFit="1" customWidth="1"/>
    <col min="32" max="32" width="14.140625" style="538" bestFit="1" customWidth="1"/>
    <col min="33" max="34" width="13.28515625" style="538" bestFit="1" customWidth="1"/>
    <col min="35" max="35" width="14" style="538" bestFit="1" customWidth="1"/>
    <col min="36" max="36" width="13.42578125" style="538" bestFit="1" customWidth="1"/>
    <col min="37" max="37" width="14.140625" style="538" bestFit="1" customWidth="1"/>
    <col min="38" max="38" width="14" style="538" bestFit="1" customWidth="1"/>
    <col min="39" max="256" width="9.140625" style="538"/>
    <col min="257" max="257" width="57.28515625" style="538" customWidth="1"/>
    <col min="258" max="258" width="14.140625" style="538" bestFit="1" customWidth="1"/>
    <col min="259" max="259" width="13.42578125" style="538" bestFit="1" customWidth="1"/>
    <col min="260" max="260" width="14.140625" style="538" bestFit="1" customWidth="1"/>
    <col min="261" max="261" width="14" style="538" bestFit="1" customWidth="1"/>
    <col min="262" max="262" width="14.42578125" style="538" bestFit="1" customWidth="1"/>
    <col min="263" max="263" width="13.42578125" style="538" bestFit="1" customWidth="1"/>
    <col min="264" max="264" width="14.140625" style="538" bestFit="1" customWidth="1"/>
    <col min="265" max="265" width="13.42578125" style="538" bestFit="1" customWidth="1"/>
    <col min="266" max="268" width="14" style="538" bestFit="1" customWidth="1"/>
    <col min="269" max="269" width="13.42578125" style="538" bestFit="1" customWidth="1"/>
    <col min="270" max="270" width="14" style="538" bestFit="1" customWidth="1"/>
    <col min="271" max="271" width="14.7109375" style="538" bestFit="1" customWidth="1"/>
    <col min="272" max="272" width="14.140625" style="538" bestFit="1" customWidth="1"/>
    <col min="273" max="273" width="13.28515625" style="538" bestFit="1" customWidth="1"/>
    <col min="274" max="274" width="13.7109375" style="538" bestFit="1" customWidth="1"/>
    <col min="275" max="275" width="14" style="538" bestFit="1" customWidth="1"/>
    <col min="276" max="278" width="14.140625" style="538" bestFit="1" customWidth="1"/>
    <col min="279" max="279" width="13.42578125" style="538" bestFit="1" customWidth="1"/>
    <col min="280" max="280" width="14.140625" style="538" bestFit="1" customWidth="1"/>
    <col min="281" max="287" width="14" style="538" bestFit="1" customWidth="1"/>
    <col min="288" max="288" width="14.140625" style="538" bestFit="1" customWidth="1"/>
    <col min="289" max="290" width="13.28515625" style="538" bestFit="1" customWidth="1"/>
    <col min="291" max="291" width="14" style="538" bestFit="1" customWidth="1"/>
    <col min="292" max="292" width="13.42578125" style="538" bestFit="1" customWidth="1"/>
    <col min="293" max="293" width="14.140625" style="538" bestFit="1" customWidth="1"/>
    <col min="294" max="294" width="14" style="538" bestFit="1" customWidth="1"/>
    <col min="295" max="512" width="9.140625" style="538"/>
    <col min="513" max="513" width="57.28515625" style="538" customWidth="1"/>
    <col min="514" max="514" width="14.140625" style="538" bestFit="1" customWidth="1"/>
    <col min="515" max="515" width="13.42578125" style="538" bestFit="1" customWidth="1"/>
    <col min="516" max="516" width="14.140625" style="538" bestFit="1" customWidth="1"/>
    <col min="517" max="517" width="14" style="538" bestFit="1" customWidth="1"/>
    <col min="518" max="518" width="14.42578125" style="538" bestFit="1" customWidth="1"/>
    <col min="519" max="519" width="13.42578125" style="538" bestFit="1" customWidth="1"/>
    <col min="520" max="520" width="14.140625" style="538" bestFit="1" customWidth="1"/>
    <col min="521" max="521" width="13.42578125" style="538" bestFit="1" customWidth="1"/>
    <col min="522" max="524" width="14" style="538" bestFit="1" customWidth="1"/>
    <col min="525" max="525" width="13.42578125" style="538" bestFit="1" customWidth="1"/>
    <col min="526" max="526" width="14" style="538" bestFit="1" customWidth="1"/>
    <col min="527" max="527" width="14.7109375" style="538" bestFit="1" customWidth="1"/>
    <col min="528" max="528" width="14.140625" style="538" bestFit="1" customWidth="1"/>
    <col min="529" max="529" width="13.28515625" style="538" bestFit="1" customWidth="1"/>
    <col min="530" max="530" width="13.7109375" style="538" bestFit="1" customWidth="1"/>
    <col min="531" max="531" width="14" style="538" bestFit="1" customWidth="1"/>
    <col min="532" max="534" width="14.140625" style="538" bestFit="1" customWidth="1"/>
    <col min="535" max="535" width="13.42578125" style="538" bestFit="1" customWidth="1"/>
    <col min="536" max="536" width="14.140625" style="538" bestFit="1" customWidth="1"/>
    <col min="537" max="543" width="14" style="538" bestFit="1" customWidth="1"/>
    <col min="544" max="544" width="14.140625" style="538" bestFit="1" customWidth="1"/>
    <col min="545" max="546" width="13.28515625" style="538" bestFit="1" customWidth="1"/>
    <col min="547" max="547" width="14" style="538" bestFit="1" customWidth="1"/>
    <col min="548" max="548" width="13.42578125" style="538" bestFit="1" customWidth="1"/>
    <col min="549" max="549" width="14.140625" style="538" bestFit="1" customWidth="1"/>
    <col min="550" max="550" width="14" style="538" bestFit="1" customWidth="1"/>
    <col min="551" max="768" width="9.140625" style="538"/>
    <col min="769" max="769" width="57.28515625" style="538" customWidth="1"/>
    <col min="770" max="770" width="14.140625" style="538" bestFit="1" customWidth="1"/>
    <col min="771" max="771" width="13.42578125" style="538" bestFit="1" customWidth="1"/>
    <col min="772" max="772" width="14.140625" style="538" bestFit="1" customWidth="1"/>
    <col min="773" max="773" width="14" style="538" bestFit="1" customWidth="1"/>
    <col min="774" max="774" width="14.42578125" style="538" bestFit="1" customWidth="1"/>
    <col min="775" max="775" width="13.42578125" style="538" bestFit="1" customWidth="1"/>
    <col min="776" max="776" width="14.140625" style="538" bestFit="1" customWidth="1"/>
    <col min="777" max="777" width="13.42578125" style="538" bestFit="1" customWidth="1"/>
    <col min="778" max="780" width="14" style="538" bestFit="1" customWidth="1"/>
    <col min="781" max="781" width="13.42578125" style="538" bestFit="1" customWidth="1"/>
    <col min="782" max="782" width="14" style="538" bestFit="1" customWidth="1"/>
    <col min="783" max="783" width="14.7109375" style="538" bestFit="1" customWidth="1"/>
    <col min="784" max="784" width="14.140625" style="538" bestFit="1" customWidth="1"/>
    <col min="785" max="785" width="13.28515625" style="538" bestFit="1" customWidth="1"/>
    <col min="786" max="786" width="13.7109375" style="538" bestFit="1" customWidth="1"/>
    <col min="787" max="787" width="14" style="538" bestFit="1" customWidth="1"/>
    <col min="788" max="790" width="14.140625" style="538" bestFit="1" customWidth="1"/>
    <col min="791" max="791" width="13.42578125" style="538" bestFit="1" customWidth="1"/>
    <col min="792" max="792" width="14.140625" style="538" bestFit="1" customWidth="1"/>
    <col min="793" max="799" width="14" style="538" bestFit="1" customWidth="1"/>
    <col min="800" max="800" width="14.140625" style="538" bestFit="1" customWidth="1"/>
    <col min="801" max="802" width="13.28515625" style="538" bestFit="1" customWidth="1"/>
    <col min="803" max="803" width="14" style="538" bestFit="1" customWidth="1"/>
    <col min="804" max="804" width="13.42578125" style="538" bestFit="1" customWidth="1"/>
    <col min="805" max="805" width="14.140625" style="538" bestFit="1" customWidth="1"/>
    <col min="806" max="806" width="14" style="538" bestFit="1" customWidth="1"/>
    <col min="807" max="1024" width="9.140625" style="538"/>
    <col min="1025" max="1025" width="57.28515625" style="538" customWidth="1"/>
    <col min="1026" max="1026" width="14.140625" style="538" bestFit="1" customWidth="1"/>
    <col min="1027" max="1027" width="13.42578125" style="538" bestFit="1" customWidth="1"/>
    <col min="1028" max="1028" width="14.140625" style="538" bestFit="1" customWidth="1"/>
    <col min="1029" max="1029" width="14" style="538" bestFit="1" customWidth="1"/>
    <col min="1030" max="1030" width="14.42578125" style="538" bestFit="1" customWidth="1"/>
    <col min="1031" max="1031" width="13.42578125" style="538" bestFit="1" customWidth="1"/>
    <col min="1032" max="1032" width="14.140625" style="538" bestFit="1" customWidth="1"/>
    <col min="1033" max="1033" width="13.42578125" style="538" bestFit="1" customWidth="1"/>
    <col min="1034" max="1036" width="14" style="538" bestFit="1" customWidth="1"/>
    <col min="1037" max="1037" width="13.42578125" style="538" bestFit="1" customWidth="1"/>
    <col min="1038" max="1038" width="14" style="538" bestFit="1" customWidth="1"/>
    <col min="1039" max="1039" width="14.7109375" style="538" bestFit="1" customWidth="1"/>
    <col min="1040" max="1040" width="14.140625" style="538" bestFit="1" customWidth="1"/>
    <col min="1041" max="1041" width="13.28515625" style="538" bestFit="1" customWidth="1"/>
    <col min="1042" max="1042" width="13.7109375" style="538" bestFit="1" customWidth="1"/>
    <col min="1043" max="1043" width="14" style="538" bestFit="1" customWidth="1"/>
    <col min="1044" max="1046" width="14.140625" style="538" bestFit="1" customWidth="1"/>
    <col min="1047" max="1047" width="13.42578125" style="538" bestFit="1" customWidth="1"/>
    <col min="1048" max="1048" width="14.140625" style="538" bestFit="1" customWidth="1"/>
    <col min="1049" max="1055" width="14" style="538" bestFit="1" customWidth="1"/>
    <col min="1056" max="1056" width="14.140625" style="538" bestFit="1" customWidth="1"/>
    <col min="1057" max="1058" width="13.28515625" style="538" bestFit="1" customWidth="1"/>
    <col min="1059" max="1059" width="14" style="538" bestFit="1" customWidth="1"/>
    <col min="1060" max="1060" width="13.42578125" style="538" bestFit="1" customWidth="1"/>
    <col min="1061" max="1061" width="14.140625" style="538" bestFit="1" customWidth="1"/>
    <col min="1062" max="1062" width="14" style="538" bestFit="1" customWidth="1"/>
    <col min="1063" max="1280" width="9.140625" style="538"/>
    <col min="1281" max="1281" width="57.28515625" style="538" customWidth="1"/>
    <col min="1282" max="1282" width="14.140625" style="538" bestFit="1" customWidth="1"/>
    <col min="1283" max="1283" width="13.42578125" style="538" bestFit="1" customWidth="1"/>
    <col min="1284" max="1284" width="14.140625" style="538" bestFit="1" customWidth="1"/>
    <col min="1285" max="1285" width="14" style="538" bestFit="1" customWidth="1"/>
    <col min="1286" max="1286" width="14.42578125" style="538" bestFit="1" customWidth="1"/>
    <col min="1287" max="1287" width="13.42578125" style="538" bestFit="1" customWidth="1"/>
    <col min="1288" max="1288" width="14.140625" style="538" bestFit="1" customWidth="1"/>
    <col min="1289" max="1289" width="13.42578125" style="538" bestFit="1" customWidth="1"/>
    <col min="1290" max="1292" width="14" style="538" bestFit="1" customWidth="1"/>
    <col min="1293" max="1293" width="13.42578125" style="538" bestFit="1" customWidth="1"/>
    <col min="1294" max="1294" width="14" style="538" bestFit="1" customWidth="1"/>
    <col min="1295" max="1295" width="14.7109375" style="538" bestFit="1" customWidth="1"/>
    <col min="1296" max="1296" width="14.140625" style="538" bestFit="1" customWidth="1"/>
    <col min="1297" max="1297" width="13.28515625" style="538" bestFit="1" customWidth="1"/>
    <col min="1298" max="1298" width="13.7109375" style="538" bestFit="1" customWidth="1"/>
    <col min="1299" max="1299" width="14" style="538" bestFit="1" customWidth="1"/>
    <col min="1300" max="1302" width="14.140625" style="538" bestFit="1" customWidth="1"/>
    <col min="1303" max="1303" width="13.42578125" style="538" bestFit="1" customWidth="1"/>
    <col min="1304" max="1304" width="14.140625" style="538" bestFit="1" customWidth="1"/>
    <col min="1305" max="1311" width="14" style="538" bestFit="1" customWidth="1"/>
    <col min="1312" max="1312" width="14.140625" style="538" bestFit="1" customWidth="1"/>
    <col min="1313" max="1314" width="13.28515625" style="538" bestFit="1" customWidth="1"/>
    <col min="1315" max="1315" width="14" style="538" bestFit="1" customWidth="1"/>
    <col min="1316" max="1316" width="13.42578125" style="538" bestFit="1" customWidth="1"/>
    <col min="1317" max="1317" width="14.140625" style="538" bestFit="1" customWidth="1"/>
    <col min="1318" max="1318" width="14" style="538" bestFit="1" customWidth="1"/>
    <col min="1319" max="1536" width="9.140625" style="538"/>
    <col min="1537" max="1537" width="57.28515625" style="538" customWidth="1"/>
    <col min="1538" max="1538" width="14.140625" style="538" bestFit="1" customWidth="1"/>
    <col min="1539" max="1539" width="13.42578125" style="538" bestFit="1" customWidth="1"/>
    <col min="1540" max="1540" width="14.140625" style="538" bestFit="1" customWidth="1"/>
    <col min="1541" max="1541" width="14" style="538" bestFit="1" customWidth="1"/>
    <col min="1542" max="1542" width="14.42578125" style="538" bestFit="1" customWidth="1"/>
    <col min="1543" max="1543" width="13.42578125" style="538" bestFit="1" customWidth="1"/>
    <col min="1544" max="1544" width="14.140625" style="538" bestFit="1" customWidth="1"/>
    <col min="1545" max="1545" width="13.42578125" style="538" bestFit="1" customWidth="1"/>
    <col min="1546" max="1548" width="14" style="538" bestFit="1" customWidth="1"/>
    <col min="1549" max="1549" width="13.42578125" style="538" bestFit="1" customWidth="1"/>
    <col min="1550" max="1550" width="14" style="538" bestFit="1" customWidth="1"/>
    <col min="1551" max="1551" width="14.7109375" style="538" bestFit="1" customWidth="1"/>
    <col min="1552" max="1552" width="14.140625" style="538" bestFit="1" customWidth="1"/>
    <col min="1553" max="1553" width="13.28515625" style="538" bestFit="1" customWidth="1"/>
    <col min="1554" max="1554" width="13.7109375" style="538" bestFit="1" customWidth="1"/>
    <col min="1555" max="1555" width="14" style="538" bestFit="1" customWidth="1"/>
    <col min="1556" max="1558" width="14.140625" style="538" bestFit="1" customWidth="1"/>
    <col min="1559" max="1559" width="13.42578125" style="538" bestFit="1" customWidth="1"/>
    <col min="1560" max="1560" width="14.140625" style="538" bestFit="1" customWidth="1"/>
    <col min="1561" max="1567" width="14" style="538" bestFit="1" customWidth="1"/>
    <col min="1568" max="1568" width="14.140625" style="538" bestFit="1" customWidth="1"/>
    <col min="1569" max="1570" width="13.28515625" style="538" bestFit="1" customWidth="1"/>
    <col min="1571" max="1571" width="14" style="538" bestFit="1" customWidth="1"/>
    <col min="1572" max="1572" width="13.42578125" style="538" bestFit="1" customWidth="1"/>
    <col min="1573" max="1573" width="14.140625" style="538" bestFit="1" customWidth="1"/>
    <col min="1574" max="1574" width="14" style="538" bestFit="1" customWidth="1"/>
    <col min="1575" max="1792" width="9.140625" style="538"/>
    <col min="1793" max="1793" width="57.28515625" style="538" customWidth="1"/>
    <col min="1794" max="1794" width="14.140625" style="538" bestFit="1" customWidth="1"/>
    <col min="1795" max="1795" width="13.42578125" style="538" bestFit="1" customWidth="1"/>
    <col min="1796" max="1796" width="14.140625" style="538" bestFit="1" customWidth="1"/>
    <col min="1797" max="1797" width="14" style="538" bestFit="1" customWidth="1"/>
    <col min="1798" max="1798" width="14.42578125" style="538" bestFit="1" customWidth="1"/>
    <col min="1799" max="1799" width="13.42578125" style="538" bestFit="1" customWidth="1"/>
    <col min="1800" max="1800" width="14.140625" style="538" bestFit="1" customWidth="1"/>
    <col min="1801" max="1801" width="13.42578125" style="538" bestFit="1" customWidth="1"/>
    <col min="1802" max="1804" width="14" style="538" bestFit="1" customWidth="1"/>
    <col min="1805" max="1805" width="13.42578125" style="538" bestFit="1" customWidth="1"/>
    <col min="1806" max="1806" width="14" style="538" bestFit="1" customWidth="1"/>
    <col min="1807" max="1807" width="14.7109375" style="538" bestFit="1" customWidth="1"/>
    <col min="1808" max="1808" width="14.140625" style="538" bestFit="1" customWidth="1"/>
    <col min="1809" max="1809" width="13.28515625" style="538" bestFit="1" customWidth="1"/>
    <col min="1810" max="1810" width="13.7109375" style="538" bestFit="1" customWidth="1"/>
    <col min="1811" max="1811" width="14" style="538" bestFit="1" customWidth="1"/>
    <col min="1812" max="1814" width="14.140625" style="538" bestFit="1" customWidth="1"/>
    <col min="1815" max="1815" width="13.42578125" style="538" bestFit="1" customWidth="1"/>
    <col min="1816" max="1816" width="14.140625" style="538" bestFit="1" customWidth="1"/>
    <col min="1817" max="1823" width="14" style="538" bestFit="1" customWidth="1"/>
    <col min="1824" max="1824" width="14.140625" style="538" bestFit="1" customWidth="1"/>
    <col min="1825" max="1826" width="13.28515625" style="538" bestFit="1" customWidth="1"/>
    <col min="1827" max="1827" width="14" style="538" bestFit="1" customWidth="1"/>
    <col min="1828" max="1828" width="13.42578125" style="538" bestFit="1" customWidth="1"/>
    <col min="1829" max="1829" width="14.140625" style="538" bestFit="1" customWidth="1"/>
    <col min="1830" max="1830" width="14" style="538" bestFit="1" customWidth="1"/>
    <col min="1831" max="2048" width="9.140625" style="538"/>
    <col min="2049" max="2049" width="57.28515625" style="538" customWidth="1"/>
    <col min="2050" max="2050" width="14.140625" style="538" bestFit="1" customWidth="1"/>
    <col min="2051" max="2051" width="13.42578125" style="538" bestFit="1" customWidth="1"/>
    <col min="2052" max="2052" width="14.140625" style="538" bestFit="1" customWidth="1"/>
    <col min="2053" max="2053" width="14" style="538" bestFit="1" customWidth="1"/>
    <col min="2054" max="2054" width="14.42578125" style="538" bestFit="1" customWidth="1"/>
    <col min="2055" max="2055" width="13.42578125" style="538" bestFit="1" customWidth="1"/>
    <col min="2056" max="2056" width="14.140625" style="538" bestFit="1" customWidth="1"/>
    <col min="2057" max="2057" width="13.42578125" style="538" bestFit="1" customWidth="1"/>
    <col min="2058" max="2060" width="14" style="538" bestFit="1" customWidth="1"/>
    <col min="2061" max="2061" width="13.42578125" style="538" bestFit="1" customWidth="1"/>
    <col min="2062" max="2062" width="14" style="538" bestFit="1" customWidth="1"/>
    <col min="2063" max="2063" width="14.7109375" style="538" bestFit="1" customWidth="1"/>
    <col min="2064" max="2064" width="14.140625" style="538" bestFit="1" customWidth="1"/>
    <col min="2065" max="2065" width="13.28515625" style="538" bestFit="1" customWidth="1"/>
    <col min="2066" max="2066" width="13.7109375" style="538" bestFit="1" customWidth="1"/>
    <col min="2067" max="2067" width="14" style="538" bestFit="1" customWidth="1"/>
    <col min="2068" max="2070" width="14.140625" style="538" bestFit="1" customWidth="1"/>
    <col min="2071" max="2071" width="13.42578125" style="538" bestFit="1" customWidth="1"/>
    <col min="2072" max="2072" width="14.140625" style="538" bestFit="1" customWidth="1"/>
    <col min="2073" max="2079" width="14" style="538" bestFit="1" customWidth="1"/>
    <col min="2080" max="2080" width="14.140625" style="538" bestFit="1" customWidth="1"/>
    <col min="2081" max="2082" width="13.28515625" style="538" bestFit="1" customWidth="1"/>
    <col min="2083" max="2083" width="14" style="538" bestFit="1" customWidth="1"/>
    <col min="2084" max="2084" width="13.42578125" style="538" bestFit="1" customWidth="1"/>
    <col min="2085" max="2085" width="14.140625" style="538" bestFit="1" customWidth="1"/>
    <col min="2086" max="2086" width="14" style="538" bestFit="1" customWidth="1"/>
    <col min="2087" max="2304" width="9.140625" style="538"/>
    <col min="2305" max="2305" width="57.28515625" style="538" customWidth="1"/>
    <col min="2306" max="2306" width="14.140625" style="538" bestFit="1" customWidth="1"/>
    <col min="2307" max="2307" width="13.42578125" style="538" bestFit="1" customWidth="1"/>
    <col min="2308" max="2308" width="14.140625" style="538" bestFit="1" customWidth="1"/>
    <col min="2309" max="2309" width="14" style="538" bestFit="1" customWidth="1"/>
    <col min="2310" max="2310" width="14.42578125" style="538" bestFit="1" customWidth="1"/>
    <col min="2311" max="2311" width="13.42578125" style="538" bestFit="1" customWidth="1"/>
    <col min="2312" max="2312" width="14.140625" style="538" bestFit="1" customWidth="1"/>
    <col min="2313" max="2313" width="13.42578125" style="538" bestFit="1" customWidth="1"/>
    <col min="2314" max="2316" width="14" style="538" bestFit="1" customWidth="1"/>
    <col min="2317" max="2317" width="13.42578125" style="538" bestFit="1" customWidth="1"/>
    <col min="2318" max="2318" width="14" style="538" bestFit="1" customWidth="1"/>
    <col min="2319" max="2319" width="14.7109375" style="538" bestFit="1" customWidth="1"/>
    <col min="2320" max="2320" width="14.140625" style="538" bestFit="1" customWidth="1"/>
    <col min="2321" max="2321" width="13.28515625" style="538" bestFit="1" customWidth="1"/>
    <col min="2322" max="2322" width="13.7109375" style="538" bestFit="1" customWidth="1"/>
    <col min="2323" max="2323" width="14" style="538" bestFit="1" customWidth="1"/>
    <col min="2324" max="2326" width="14.140625" style="538" bestFit="1" customWidth="1"/>
    <col min="2327" max="2327" width="13.42578125" style="538" bestFit="1" customWidth="1"/>
    <col min="2328" max="2328" width="14.140625" style="538" bestFit="1" customWidth="1"/>
    <col min="2329" max="2335" width="14" style="538" bestFit="1" customWidth="1"/>
    <col min="2336" max="2336" width="14.140625" style="538" bestFit="1" customWidth="1"/>
    <col min="2337" max="2338" width="13.28515625" style="538" bestFit="1" customWidth="1"/>
    <col min="2339" max="2339" width="14" style="538" bestFit="1" customWidth="1"/>
    <col min="2340" max="2340" width="13.42578125" style="538" bestFit="1" customWidth="1"/>
    <col min="2341" max="2341" width="14.140625" style="538" bestFit="1" customWidth="1"/>
    <col min="2342" max="2342" width="14" style="538" bestFit="1" customWidth="1"/>
    <col min="2343" max="2560" width="9.140625" style="538"/>
    <col min="2561" max="2561" width="57.28515625" style="538" customWidth="1"/>
    <col min="2562" max="2562" width="14.140625" style="538" bestFit="1" customWidth="1"/>
    <col min="2563" max="2563" width="13.42578125" style="538" bestFit="1" customWidth="1"/>
    <col min="2564" max="2564" width="14.140625" style="538" bestFit="1" customWidth="1"/>
    <col min="2565" max="2565" width="14" style="538" bestFit="1" customWidth="1"/>
    <col min="2566" max="2566" width="14.42578125" style="538" bestFit="1" customWidth="1"/>
    <col min="2567" max="2567" width="13.42578125" style="538" bestFit="1" customWidth="1"/>
    <col min="2568" max="2568" width="14.140625" style="538" bestFit="1" customWidth="1"/>
    <col min="2569" max="2569" width="13.42578125" style="538" bestFit="1" customWidth="1"/>
    <col min="2570" max="2572" width="14" style="538" bestFit="1" customWidth="1"/>
    <col min="2573" max="2573" width="13.42578125" style="538" bestFit="1" customWidth="1"/>
    <col min="2574" max="2574" width="14" style="538" bestFit="1" customWidth="1"/>
    <col min="2575" max="2575" width="14.7109375" style="538" bestFit="1" customWidth="1"/>
    <col min="2576" max="2576" width="14.140625" style="538" bestFit="1" customWidth="1"/>
    <col min="2577" max="2577" width="13.28515625" style="538" bestFit="1" customWidth="1"/>
    <col min="2578" max="2578" width="13.7109375" style="538" bestFit="1" customWidth="1"/>
    <col min="2579" max="2579" width="14" style="538" bestFit="1" customWidth="1"/>
    <col min="2580" max="2582" width="14.140625" style="538" bestFit="1" customWidth="1"/>
    <col min="2583" max="2583" width="13.42578125" style="538" bestFit="1" customWidth="1"/>
    <col min="2584" max="2584" width="14.140625" style="538" bestFit="1" customWidth="1"/>
    <col min="2585" max="2591" width="14" style="538" bestFit="1" customWidth="1"/>
    <col min="2592" max="2592" width="14.140625" style="538" bestFit="1" customWidth="1"/>
    <col min="2593" max="2594" width="13.28515625" style="538" bestFit="1" customWidth="1"/>
    <col min="2595" max="2595" width="14" style="538" bestFit="1" customWidth="1"/>
    <col min="2596" max="2596" width="13.42578125" style="538" bestFit="1" customWidth="1"/>
    <col min="2597" max="2597" width="14.140625" style="538" bestFit="1" customWidth="1"/>
    <col min="2598" max="2598" width="14" style="538" bestFit="1" customWidth="1"/>
    <col min="2599" max="2816" width="9.140625" style="538"/>
    <col min="2817" max="2817" width="57.28515625" style="538" customWidth="1"/>
    <col min="2818" max="2818" width="14.140625" style="538" bestFit="1" customWidth="1"/>
    <col min="2819" max="2819" width="13.42578125" style="538" bestFit="1" customWidth="1"/>
    <col min="2820" max="2820" width="14.140625" style="538" bestFit="1" customWidth="1"/>
    <col min="2821" max="2821" width="14" style="538" bestFit="1" customWidth="1"/>
    <col min="2822" max="2822" width="14.42578125" style="538" bestFit="1" customWidth="1"/>
    <col min="2823" max="2823" width="13.42578125" style="538" bestFit="1" customWidth="1"/>
    <col min="2824" max="2824" width="14.140625" style="538" bestFit="1" customWidth="1"/>
    <col min="2825" max="2825" width="13.42578125" style="538" bestFit="1" customWidth="1"/>
    <col min="2826" max="2828" width="14" style="538" bestFit="1" customWidth="1"/>
    <col min="2829" max="2829" width="13.42578125" style="538" bestFit="1" customWidth="1"/>
    <col min="2830" max="2830" width="14" style="538" bestFit="1" customWidth="1"/>
    <col min="2831" max="2831" width="14.7109375" style="538" bestFit="1" customWidth="1"/>
    <col min="2832" max="2832" width="14.140625" style="538" bestFit="1" customWidth="1"/>
    <col min="2833" max="2833" width="13.28515625" style="538" bestFit="1" customWidth="1"/>
    <col min="2834" max="2834" width="13.7109375" style="538" bestFit="1" customWidth="1"/>
    <col min="2835" max="2835" width="14" style="538" bestFit="1" customWidth="1"/>
    <col min="2836" max="2838" width="14.140625" style="538" bestFit="1" customWidth="1"/>
    <col min="2839" max="2839" width="13.42578125" style="538" bestFit="1" customWidth="1"/>
    <col min="2840" max="2840" width="14.140625" style="538" bestFit="1" customWidth="1"/>
    <col min="2841" max="2847" width="14" style="538" bestFit="1" customWidth="1"/>
    <col min="2848" max="2848" width="14.140625" style="538" bestFit="1" customWidth="1"/>
    <col min="2849" max="2850" width="13.28515625" style="538" bestFit="1" customWidth="1"/>
    <col min="2851" max="2851" width="14" style="538" bestFit="1" customWidth="1"/>
    <col min="2852" max="2852" width="13.42578125" style="538" bestFit="1" customWidth="1"/>
    <col min="2853" max="2853" width="14.140625" style="538" bestFit="1" customWidth="1"/>
    <col min="2854" max="2854" width="14" style="538" bestFit="1" customWidth="1"/>
    <col min="2855" max="3072" width="9.140625" style="538"/>
    <col min="3073" max="3073" width="57.28515625" style="538" customWidth="1"/>
    <col min="3074" max="3074" width="14.140625" style="538" bestFit="1" customWidth="1"/>
    <col min="3075" max="3075" width="13.42578125" style="538" bestFit="1" customWidth="1"/>
    <col min="3076" max="3076" width="14.140625" style="538" bestFit="1" customWidth="1"/>
    <col min="3077" max="3077" width="14" style="538" bestFit="1" customWidth="1"/>
    <col min="3078" max="3078" width="14.42578125" style="538" bestFit="1" customWidth="1"/>
    <col min="3079" max="3079" width="13.42578125" style="538" bestFit="1" customWidth="1"/>
    <col min="3080" max="3080" width="14.140625" style="538" bestFit="1" customWidth="1"/>
    <col min="3081" max="3081" width="13.42578125" style="538" bestFit="1" customWidth="1"/>
    <col min="3082" max="3084" width="14" style="538" bestFit="1" customWidth="1"/>
    <col min="3085" max="3085" width="13.42578125" style="538" bestFit="1" customWidth="1"/>
    <col min="3086" max="3086" width="14" style="538" bestFit="1" customWidth="1"/>
    <col min="3087" max="3087" width="14.7109375" style="538" bestFit="1" customWidth="1"/>
    <col min="3088" max="3088" width="14.140625" style="538" bestFit="1" customWidth="1"/>
    <col min="3089" max="3089" width="13.28515625" style="538" bestFit="1" customWidth="1"/>
    <col min="3090" max="3090" width="13.7109375" style="538" bestFit="1" customWidth="1"/>
    <col min="3091" max="3091" width="14" style="538" bestFit="1" customWidth="1"/>
    <col min="3092" max="3094" width="14.140625" style="538" bestFit="1" customWidth="1"/>
    <col min="3095" max="3095" width="13.42578125" style="538" bestFit="1" customWidth="1"/>
    <col min="3096" max="3096" width="14.140625" style="538" bestFit="1" customWidth="1"/>
    <col min="3097" max="3103" width="14" style="538" bestFit="1" customWidth="1"/>
    <col min="3104" max="3104" width="14.140625" style="538" bestFit="1" customWidth="1"/>
    <col min="3105" max="3106" width="13.28515625" style="538" bestFit="1" customWidth="1"/>
    <col min="3107" max="3107" width="14" style="538" bestFit="1" customWidth="1"/>
    <col min="3108" max="3108" width="13.42578125" style="538" bestFit="1" customWidth="1"/>
    <col min="3109" max="3109" width="14.140625" style="538" bestFit="1" customWidth="1"/>
    <col min="3110" max="3110" width="14" style="538" bestFit="1" customWidth="1"/>
    <col min="3111" max="3328" width="9.140625" style="538"/>
    <col min="3329" max="3329" width="57.28515625" style="538" customWidth="1"/>
    <col min="3330" max="3330" width="14.140625" style="538" bestFit="1" customWidth="1"/>
    <col min="3331" max="3331" width="13.42578125" style="538" bestFit="1" customWidth="1"/>
    <col min="3332" max="3332" width="14.140625" style="538" bestFit="1" customWidth="1"/>
    <col min="3333" max="3333" width="14" style="538" bestFit="1" customWidth="1"/>
    <col min="3334" max="3334" width="14.42578125" style="538" bestFit="1" customWidth="1"/>
    <col min="3335" max="3335" width="13.42578125" style="538" bestFit="1" customWidth="1"/>
    <col min="3336" max="3336" width="14.140625" style="538" bestFit="1" customWidth="1"/>
    <col min="3337" max="3337" width="13.42578125" style="538" bestFit="1" customWidth="1"/>
    <col min="3338" max="3340" width="14" style="538" bestFit="1" customWidth="1"/>
    <col min="3341" max="3341" width="13.42578125" style="538" bestFit="1" customWidth="1"/>
    <col min="3342" max="3342" width="14" style="538" bestFit="1" customWidth="1"/>
    <col min="3343" max="3343" width="14.7109375" style="538" bestFit="1" customWidth="1"/>
    <col min="3344" max="3344" width="14.140625" style="538" bestFit="1" customWidth="1"/>
    <col min="3345" max="3345" width="13.28515625" style="538" bestFit="1" customWidth="1"/>
    <col min="3346" max="3346" width="13.7109375" style="538" bestFit="1" customWidth="1"/>
    <col min="3347" max="3347" width="14" style="538" bestFit="1" customWidth="1"/>
    <col min="3348" max="3350" width="14.140625" style="538" bestFit="1" customWidth="1"/>
    <col min="3351" max="3351" width="13.42578125" style="538" bestFit="1" customWidth="1"/>
    <col min="3352" max="3352" width="14.140625" style="538" bestFit="1" customWidth="1"/>
    <col min="3353" max="3359" width="14" style="538" bestFit="1" customWidth="1"/>
    <col min="3360" max="3360" width="14.140625" style="538" bestFit="1" customWidth="1"/>
    <col min="3361" max="3362" width="13.28515625" style="538" bestFit="1" customWidth="1"/>
    <col min="3363" max="3363" width="14" style="538" bestFit="1" customWidth="1"/>
    <col min="3364" max="3364" width="13.42578125" style="538" bestFit="1" customWidth="1"/>
    <col min="3365" max="3365" width="14.140625" style="538" bestFit="1" customWidth="1"/>
    <col min="3366" max="3366" width="14" style="538" bestFit="1" customWidth="1"/>
    <col min="3367" max="3584" width="9.140625" style="538"/>
    <col min="3585" max="3585" width="57.28515625" style="538" customWidth="1"/>
    <col min="3586" max="3586" width="14.140625" style="538" bestFit="1" customWidth="1"/>
    <col min="3587" max="3587" width="13.42578125" style="538" bestFit="1" customWidth="1"/>
    <col min="3588" max="3588" width="14.140625" style="538" bestFit="1" customWidth="1"/>
    <col min="3589" max="3589" width="14" style="538" bestFit="1" customWidth="1"/>
    <col min="3590" max="3590" width="14.42578125" style="538" bestFit="1" customWidth="1"/>
    <col min="3591" max="3591" width="13.42578125" style="538" bestFit="1" customWidth="1"/>
    <col min="3592" max="3592" width="14.140625" style="538" bestFit="1" customWidth="1"/>
    <col min="3593" max="3593" width="13.42578125" style="538" bestFit="1" customWidth="1"/>
    <col min="3594" max="3596" width="14" style="538" bestFit="1" customWidth="1"/>
    <col min="3597" max="3597" width="13.42578125" style="538" bestFit="1" customWidth="1"/>
    <col min="3598" max="3598" width="14" style="538" bestFit="1" customWidth="1"/>
    <col min="3599" max="3599" width="14.7109375" style="538" bestFit="1" customWidth="1"/>
    <col min="3600" max="3600" width="14.140625" style="538" bestFit="1" customWidth="1"/>
    <col min="3601" max="3601" width="13.28515625" style="538" bestFit="1" customWidth="1"/>
    <col min="3602" max="3602" width="13.7109375" style="538" bestFit="1" customWidth="1"/>
    <col min="3603" max="3603" width="14" style="538" bestFit="1" customWidth="1"/>
    <col min="3604" max="3606" width="14.140625" style="538" bestFit="1" customWidth="1"/>
    <col min="3607" max="3607" width="13.42578125" style="538" bestFit="1" customWidth="1"/>
    <col min="3608" max="3608" width="14.140625" style="538" bestFit="1" customWidth="1"/>
    <col min="3609" max="3615" width="14" style="538" bestFit="1" customWidth="1"/>
    <col min="3616" max="3616" width="14.140625" style="538" bestFit="1" customWidth="1"/>
    <col min="3617" max="3618" width="13.28515625" style="538" bestFit="1" customWidth="1"/>
    <col min="3619" max="3619" width="14" style="538" bestFit="1" customWidth="1"/>
    <col min="3620" max="3620" width="13.42578125" style="538" bestFit="1" customWidth="1"/>
    <col min="3621" max="3621" width="14.140625" style="538" bestFit="1" customWidth="1"/>
    <col min="3622" max="3622" width="14" style="538" bestFit="1" customWidth="1"/>
    <col min="3623" max="3840" width="9.140625" style="538"/>
    <col min="3841" max="3841" width="57.28515625" style="538" customWidth="1"/>
    <col min="3842" max="3842" width="14.140625" style="538" bestFit="1" customWidth="1"/>
    <col min="3843" max="3843" width="13.42578125" style="538" bestFit="1" customWidth="1"/>
    <col min="3844" max="3844" width="14.140625" style="538" bestFit="1" customWidth="1"/>
    <col min="3845" max="3845" width="14" style="538" bestFit="1" customWidth="1"/>
    <col min="3846" max="3846" width="14.42578125" style="538" bestFit="1" customWidth="1"/>
    <col min="3847" max="3847" width="13.42578125" style="538" bestFit="1" customWidth="1"/>
    <col min="3848" max="3848" width="14.140625" style="538" bestFit="1" customWidth="1"/>
    <col min="3849" max="3849" width="13.42578125" style="538" bestFit="1" customWidth="1"/>
    <col min="3850" max="3852" width="14" style="538" bestFit="1" customWidth="1"/>
    <col min="3853" max="3853" width="13.42578125" style="538" bestFit="1" customWidth="1"/>
    <col min="3854" max="3854" width="14" style="538" bestFit="1" customWidth="1"/>
    <col min="3855" max="3855" width="14.7109375" style="538" bestFit="1" customWidth="1"/>
    <col min="3856" max="3856" width="14.140625" style="538" bestFit="1" customWidth="1"/>
    <col min="3857" max="3857" width="13.28515625" style="538" bestFit="1" customWidth="1"/>
    <col min="3858" max="3858" width="13.7109375" style="538" bestFit="1" customWidth="1"/>
    <col min="3859" max="3859" width="14" style="538" bestFit="1" customWidth="1"/>
    <col min="3860" max="3862" width="14.140625" style="538" bestFit="1" customWidth="1"/>
    <col min="3863" max="3863" width="13.42578125" style="538" bestFit="1" customWidth="1"/>
    <col min="3864" max="3864" width="14.140625" style="538" bestFit="1" customWidth="1"/>
    <col min="3865" max="3871" width="14" style="538" bestFit="1" customWidth="1"/>
    <col min="3872" max="3872" width="14.140625" style="538" bestFit="1" customWidth="1"/>
    <col min="3873" max="3874" width="13.28515625" style="538" bestFit="1" customWidth="1"/>
    <col min="3875" max="3875" width="14" style="538" bestFit="1" customWidth="1"/>
    <col min="3876" max="3876" width="13.42578125" style="538" bestFit="1" customWidth="1"/>
    <col min="3877" max="3877" width="14.140625" style="538" bestFit="1" customWidth="1"/>
    <col min="3878" max="3878" width="14" style="538" bestFit="1" customWidth="1"/>
    <col min="3879" max="4096" width="9.140625" style="538"/>
    <col min="4097" max="4097" width="57.28515625" style="538" customWidth="1"/>
    <col min="4098" max="4098" width="14.140625" style="538" bestFit="1" customWidth="1"/>
    <col min="4099" max="4099" width="13.42578125" style="538" bestFit="1" customWidth="1"/>
    <col min="4100" max="4100" width="14.140625" style="538" bestFit="1" customWidth="1"/>
    <col min="4101" max="4101" width="14" style="538" bestFit="1" customWidth="1"/>
    <col min="4102" max="4102" width="14.42578125" style="538" bestFit="1" customWidth="1"/>
    <col min="4103" max="4103" width="13.42578125" style="538" bestFit="1" customWidth="1"/>
    <col min="4104" max="4104" width="14.140625" style="538" bestFit="1" customWidth="1"/>
    <col min="4105" max="4105" width="13.42578125" style="538" bestFit="1" customWidth="1"/>
    <col min="4106" max="4108" width="14" style="538" bestFit="1" customWidth="1"/>
    <col min="4109" max="4109" width="13.42578125" style="538" bestFit="1" customWidth="1"/>
    <col min="4110" max="4110" width="14" style="538" bestFit="1" customWidth="1"/>
    <col min="4111" max="4111" width="14.7109375" style="538" bestFit="1" customWidth="1"/>
    <col min="4112" max="4112" width="14.140625" style="538" bestFit="1" customWidth="1"/>
    <col min="4113" max="4113" width="13.28515625" style="538" bestFit="1" customWidth="1"/>
    <col min="4114" max="4114" width="13.7109375" style="538" bestFit="1" customWidth="1"/>
    <col min="4115" max="4115" width="14" style="538" bestFit="1" customWidth="1"/>
    <col min="4116" max="4118" width="14.140625" style="538" bestFit="1" customWidth="1"/>
    <col min="4119" max="4119" width="13.42578125" style="538" bestFit="1" customWidth="1"/>
    <col min="4120" max="4120" width="14.140625" style="538" bestFit="1" customWidth="1"/>
    <col min="4121" max="4127" width="14" style="538" bestFit="1" customWidth="1"/>
    <col min="4128" max="4128" width="14.140625" style="538" bestFit="1" customWidth="1"/>
    <col min="4129" max="4130" width="13.28515625" style="538" bestFit="1" customWidth="1"/>
    <col min="4131" max="4131" width="14" style="538" bestFit="1" customWidth="1"/>
    <col min="4132" max="4132" width="13.42578125" style="538" bestFit="1" customWidth="1"/>
    <col min="4133" max="4133" width="14.140625" style="538" bestFit="1" customWidth="1"/>
    <col min="4134" max="4134" width="14" style="538" bestFit="1" customWidth="1"/>
    <col min="4135" max="4352" width="9.140625" style="538"/>
    <col min="4353" max="4353" width="57.28515625" style="538" customWidth="1"/>
    <col min="4354" max="4354" width="14.140625" style="538" bestFit="1" customWidth="1"/>
    <col min="4355" max="4355" width="13.42578125" style="538" bestFit="1" customWidth="1"/>
    <col min="4356" max="4356" width="14.140625" style="538" bestFit="1" customWidth="1"/>
    <col min="4357" max="4357" width="14" style="538" bestFit="1" customWidth="1"/>
    <col min="4358" max="4358" width="14.42578125" style="538" bestFit="1" customWidth="1"/>
    <col min="4359" max="4359" width="13.42578125" style="538" bestFit="1" customWidth="1"/>
    <col min="4360" max="4360" width="14.140625" style="538" bestFit="1" customWidth="1"/>
    <col min="4361" max="4361" width="13.42578125" style="538" bestFit="1" customWidth="1"/>
    <col min="4362" max="4364" width="14" style="538" bestFit="1" customWidth="1"/>
    <col min="4365" max="4365" width="13.42578125" style="538" bestFit="1" customWidth="1"/>
    <col min="4366" max="4366" width="14" style="538" bestFit="1" customWidth="1"/>
    <col min="4367" max="4367" width="14.7109375" style="538" bestFit="1" customWidth="1"/>
    <col min="4368" max="4368" width="14.140625" style="538" bestFit="1" customWidth="1"/>
    <col min="4369" max="4369" width="13.28515625" style="538" bestFit="1" customWidth="1"/>
    <col min="4370" max="4370" width="13.7109375" style="538" bestFit="1" customWidth="1"/>
    <col min="4371" max="4371" width="14" style="538" bestFit="1" customWidth="1"/>
    <col min="4372" max="4374" width="14.140625" style="538" bestFit="1" customWidth="1"/>
    <col min="4375" max="4375" width="13.42578125" style="538" bestFit="1" customWidth="1"/>
    <col min="4376" max="4376" width="14.140625" style="538" bestFit="1" customWidth="1"/>
    <col min="4377" max="4383" width="14" style="538" bestFit="1" customWidth="1"/>
    <col min="4384" max="4384" width="14.140625" style="538" bestFit="1" customWidth="1"/>
    <col min="4385" max="4386" width="13.28515625" style="538" bestFit="1" customWidth="1"/>
    <col min="4387" max="4387" width="14" style="538" bestFit="1" customWidth="1"/>
    <col min="4388" max="4388" width="13.42578125" style="538" bestFit="1" customWidth="1"/>
    <col min="4389" max="4389" width="14.140625" style="538" bestFit="1" customWidth="1"/>
    <col min="4390" max="4390" width="14" style="538" bestFit="1" customWidth="1"/>
    <col min="4391" max="4608" width="9.140625" style="538"/>
    <col min="4609" max="4609" width="57.28515625" style="538" customWidth="1"/>
    <col min="4610" max="4610" width="14.140625" style="538" bestFit="1" customWidth="1"/>
    <col min="4611" max="4611" width="13.42578125" style="538" bestFit="1" customWidth="1"/>
    <col min="4612" max="4612" width="14.140625" style="538" bestFit="1" customWidth="1"/>
    <col min="4613" max="4613" width="14" style="538" bestFit="1" customWidth="1"/>
    <col min="4614" max="4614" width="14.42578125" style="538" bestFit="1" customWidth="1"/>
    <col min="4615" max="4615" width="13.42578125" style="538" bestFit="1" customWidth="1"/>
    <col min="4616" max="4616" width="14.140625" style="538" bestFit="1" customWidth="1"/>
    <col min="4617" max="4617" width="13.42578125" style="538" bestFit="1" customWidth="1"/>
    <col min="4618" max="4620" width="14" style="538" bestFit="1" customWidth="1"/>
    <col min="4621" max="4621" width="13.42578125" style="538" bestFit="1" customWidth="1"/>
    <col min="4622" max="4622" width="14" style="538" bestFit="1" customWidth="1"/>
    <col min="4623" max="4623" width="14.7109375" style="538" bestFit="1" customWidth="1"/>
    <col min="4624" max="4624" width="14.140625" style="538" bestFit="1" customWidth="1"/>
    <col min="4625" max="4625" width="13.28515625" style="538" bestFit="1" customWidth="1"/>
    <col min="4626" max="4626" width="13.7109375" style="538" bestFit="1" customWidth="1"/>
    <col min="4627" max="4627" width="14" style="538" bestFit="1" customWidth="1"/>
    <col min="4628" max="4630" width="14.140625" style="538" bestFit="1" customWidth="1"/>
    <col min="4631" max="4631" width="13.42578125" style="538" bestFit="1" customWidth="1"/>
    <col min="4632" max="4632" width="14.140625" style="538" bestFit="1" customWidth="1"/>
    <col min="4633" max="4639" width="14" style="538" bestFit="1" customWidth="1"/>
    <col min="4640" max="4640" width="14.140625" style="538" bestFit="1" customWidth="1"/>
    <col min="4641" max="4642" width="13.28515625" style="538" bestFit="1" customWidth="1"/>
    <col min="4643" max="4643" width="14" style="538" bestFit="1" customWidth="1"/>
    <col min="4644" max="4644" width="13.42578125" style="538" bestFit="1" customWidth="1"/>
    <col min="4645" max="4645" width="14.140625" style="538" bestFit="1" customWidth="1"/>
    <col min="4646" max="4646" width="14" style="538" bestFit="1" customWidth="1"/>
    <col min="4647" max="4864" width="9.140625" style="538"/>
    <col min="4865" max="4865" width="57.28515625" style="538" customWidth="1"/>
    <col min="4866" max="4866" width="14.140625" style="538" bestFit="1" customWidth="1"/>
    <col min="4867" max="4867" width="13.42578125" style="538" bestFit="1" customWidth="1"/>
    <col min="4868" max="4868" width="14.140625" style="538" bestFit="1" customWidth="1"/>
    <col min="4869" max="4869" width="14" style="538" bestFit="1" customWidth="1"/>
    <col min="4870" max="4870" width="14.42578125" style="538" bestFit="1" customWidth="1"/>
    <col min="4871" max="4871" width="13.42578125" style="538" bestFit="1" customWidth="1"/>
    <col min="4872" max="4872" width="14.140625" style="538" bestFit="1" customWidth="1"/>
    <col min="4873" max="4873" width="13.42578125" style="538" bestFit="1" customWidth="1"/>
    <col min="4874" max="4876" width="14" style="538" bestFit="1" customWidth="1"/>
    <col min="4877" max="4877" width="13.42578125" style="538" bestFit="1" customWidth="1"/>
    <col min="4878" max="4878" width="14" style="538" bestFit="1" customWidth="1"/>
    <col min="4879" max="4879" width="14.7109375" style="538" bestFit="1" customWidth="1"/>
    <col min="4880" max="4880" width="14.140625" style="538" bestFit="1" customWidth="1"/>
    <col min="4881" max="4881" width="13.28515625" style="538" bestFit="1" customWidth="1"/>
    <col min="4882" max="4882" width="13.7109375" style="538" bestFit="1" customWidth="1"/>
    <col min="4883" max="4883" width="14" style="538" bestFit="1" customWidth="1"/>
    <col min="4884" max="4886" width="14.140625" style="538" bestFit="1" customWidth="1"/>
    <col min="4887" max="4887" width="13.42578125" style="538" bestFit="1" customWidth="1"/>
    <col min="4888" max="4888" width="14.140625" style="538" bestFit="1" customWidth="1"/>
    <col min="4889" max="4895" width="14" style="538" bestFit="1" customWidth="1"/>
    <col min="4896" max="4896" width="14.140625" style="538" bestFit="1" customWidth="1"/>
    <col min="4897" max="4898" width="13.28515625" style="538" bestFit="1" customWidth="1"/>
    <col min="4899" max="4899" width="14" style="538" bestFit="1" customWidth="1"/>
    <col min="4900" max="4900" width="13.42578125" style="538" bestFit="1" customWidth="1"/>
    <col min="4901" max="4901" width="14.140625" style="538" bestFit="1" customWidth="1"/>
    <col min="4902" max="4902" width="14" style="538" bestFit="1" customWidth="1"/>
    <col min="4903" max="5120" width="9.140625" style="538"/>
    <col min="5121" max="5121" width="57.28515625" style="538" customWidth="1"/>
    <col min="5122" max="5122" width="14.140625" style="538" bestFit="1" customWidth="1"/>
    <col min="5123" max="5123" width="13.42578125" style="538" bestFit="1" customWidth="1"/>
    <col min="5124" max="5124" width="14.140625" style="538" bestFit="1" customWidth="1"/>
    <col min="5125" max="5125" width="14" style="538" bestFit="1" customWidth="1"/>
    <col min="5126" max="5126" width="14.42578125" style="538" bestFit="1" customWidth="1"/>
    <col min="5127" max="5127" width="13.42578125" style="538" bestFit="1" customWidth="1"/>
    <col min="5128" max="5128" width="14.140625" style="538" bestFit="1" customWidth="1"/>
    <col min="5129" max="5129" width="13.42578125" style="538" bestFit="1" customWidth="1"/>
    <col min="5130" max="5132" width="14" style="538" bestFit="1" customWidth="1"/>
    <col min="5133" max="5133" width="13.42578125" style="538" bestFit="1" customWidth="1"/>
    <col min="5134" max="5134" width="14" style="538" bestFit="1" customWidth="1"/>
    <col min="5135" max="5135" width="14.7109375" style="538" bestFit="1" customWidth="1"/>
    <col min="5136" max="5136" width="14.140625" style="538" bestFit="1" customWidth="1"/>
    <col min="5137" max="5137" width="13.28515625" style="538" bestFit="1" customWidth="1"/>
    <col min="5138" max="5138" width="13.7109375" style="538" bestFit="1" customWidth="1"/>
    <col min="5139" max="5139" width="14" style="538" bestFit="1" customWidth="1"/>
    <col min="5140" max="5142" width="14.140625" style="538" bestFit="1" customWidth="1"/>
    <col min="5143" max="5143" width="13.42578125" style="538" bestFit="1" customWidth="1"/>
    <col min="5144" max="5144" width="14.140625" style="538" bestFit="1" customWidth="1"/>
    <col min="5145" max="5151" width="14" style="538" bestFit="1" customWidth="1"/>
    <col min="5152" max="5152" width="14.140625" style="538" bestFit="1" customWidth="1"/>
    <col min="5153" max="5154" width="13.28515625" style="538" bestFit="1" customWidth="1"/>
    <col min="5155" max="5155" width="14" style="538" bestFit="1" customWidth="1"/>
    <col min="5156" max="5156" width="13.42578125" style="538" bestFit="1" customWidth="1"/>
    <col min="5157" max="5157" width="14.140625" style="538" bestFit="1" customWidth="1"/>
    <col min="5158" max="5158" width="14" style="538" bestFit="1" customWidth="1"/>
    <col min="5159" max="5376" width="9.140625" style="538"/>
    <col min="5377" max="5377" width="57.28515625" style="538" customWidth="1"/>
    <col min="5378" max="5378" width="14.140625" style="538" bestFit="1" customWidth="1"/>
    <col min="5379" max="5379" width="13.42578125" style="538" bestFit="1" customWidth="1"/>
    <col min="5380" max="5380" width="14.140625" style="538" bestFit="1" customWidth="1"/>
    <col min="5381" max="5381" width="14" style="538" bestFit="1" customWidth="1"/>
    <col min="5382" max="5382" width="14.42578125" style="538" bestFit="1" customWidth="1"/>
    <col min="5383" max="5383" width="13.42578125" style="538" bestFit="1" customWidth="1"/>
    <col min="5384" max="5384" width="14.140625" style="538" bestFit="1" customWidth="1"/>
    <col min="5385" max="5385" width="13.42578125" style="538" bestFit="1" customWidth="1"/>
    <col min="5386" max="5388" width="14" style="538" bestFit="1" customWidth="1"/>
    <col min="5389" max="5389" width="13.42578125" style="538" bestFit="1" customWidth="1"/>
    <col min="5390" max="5390" width="14" style="538" bestFit="1" customWidth="1"/>
    <col min="5391" max="5391" width="14.7109375" style="538" bestFit="1" customWidth="1"/>
    <col min="5392" max="5392" width="14.140625" style="538" bestFit="1" customWidth="1"/>
    <col min="5393" max="5393" width="13.28515625" style="538" bestFit="1" customWidth="1"/>
    <col min="5394" max="5394" width="13.7109375" style="538" bestFit="1" customWidth="1"/>
    <col min="5395" max="5395" width="14" style="538" bestFit="1" customWidth="1"/>
    <col min="5396" max="5398" width="14.140625" style="538" bestFit="1" customWidth="1"/>
    <col min="5399" max="5399" width="13.42578125" style="538" bestFit="1" customWidth="1"/>
    <col min="5400" max="5400" width="14.140625" style="538" bestFit="1" customWidth="1"/>
    <col min="5401" max="5407" width="14" style="538" bestFit="1" customWidth="1"/>
    <col min="5408" max="5408" width="14.140625" style="538" bestFit="1" customWidth="1"/>
    <col min="5409" max="5410" width="13.28515625" style="538" bestFit="1" customWidth="1"/>
    <col min="5411" max="5411" width="14" style="538" bestFit="1" customWidth="1"/>
    <col min="5412" max="5412" width="13.42578125" style="538" bestFit="1" customWidth="1"/>
    <col min="5413" max="5413" width="14.140625" style="538" bestFit="1" customWidth="1"/>
    <col min="5414" max="5414" width="14" style="538" bestFit="1" customWidth="1"/>
    <col min="5415" max="5632" width="9.140625" style="538"/>
    <col min="5633" max="5633" width="57.28515625" style="538" customWidth="1"/>
    <col min="5634" max="5634" width="14.140625" style="538" bestFit="1" customWidth="1"/>
    <col min="5635" max="5635" width="13.42578125" style="538" bestFit="1" customWidth="1"/>
    <col min="5636" max="5636" width="14.140625" style="538" bestFit="1" customWidth="1"/>
    <col min="5637" max="5637" width="14" style="538" bestFit="1" customWidth="1"/>
    <col min="5638" max="5638" width="14.42578125" style="538" bestFit="1" customWidth="1"/>
    <col min="5639" max="5639" width="13.42578125" style="538" bestFit="1" customWidth="1"/>
    <col min="5640" max="5640" width="14.140625" style="538" bestFit="1" customWidth="1"/>
    <col min="5641" max="5641" width="13.42578125" style="538" bestFit="1" customWidth="1"/>
    <col min="5642" max="5644" width="14" style="538" bestFit="1" customWidth="1"/>
    <col min="5645" max="5645" width="13.42578125" style="538" bestFit="1" customWidth="1"/>
    <col min="5646" max="5646" width="14" style="538" bestFit="1" customWidth="1"/>
    <col min="5647" max="5647" width="14.7109375" style="538" bestFit="1" customWidth="1"/>
    <col min="5648" max="5648" width="14.140625" style="538" bestFit="1" customWidth="1"/>
    <col min="5649" max="5649" width="13.28515625" style="538" bestFit="1" customWidth="1"/>
    <col min="5650" max="5650" width="13.7109375" style="538" bestFit="1" customWidth="1"/>
    <col min="5651" max="5651" width="14" style="538" bestFit="1" customWidth="1"/>
    <col min="5652" max="5654" width="14.140625" style="538" bestFit="1" customWidth="1"/>
    <col min="5655" max="5655" width="13.42578125" style="538" bestFit="1" customWidth="1"/>
    <col min="5656" max="5656" width="14.140625" style="538" bestFit="1" customWidth="1"/>
    <col min="5657" max="5663" width="14" style="538" bestFit="1" customWidth="1"/>
    <col min="5664" max="5664" width="14.140625" style="538" bestFit="1" customWidth="1"/>
    <col min="5665" max="5666" width="13.28515625" style="538" bestFit="1" customWidth="1"/>
    <col min="5667" max="5667" width="14" style="538" bestFit="1" customWidth="1"/>
    <col min="5668" max="5668" width="13.42578125" style="538" bestFit="1" customWidth="1"/>
    <col min="5669" max="5669" width="14.140625" style="538" bestFit="1" customWidth="1"/>
    <col min="5670" max="5670" width="14" style="538" bestFit="1" customWidth="1"/>
    <col min="5671" max="5888" width="9.140625" style="538"/>
    <col min="5889" max="5889" width="57.28515625" style="538" customWidth="1"/>
    <col min="5890" max="5890" width="14.140625" style="538" bestFit="1" customWidth="1"/>
    <col min="5891" max="5891" width="13.42578125" style="538" bestFit="1" customWidth="1"/>
    <col min="5892" max="5892" width="14.140625" style="538" bestFit="1" customWidth="1"/>
    <col min="5893" max="5893" width="14" style="538" bestFit="1" customWidth="1"/>
    <col min="5894" max="5894" width="14.42578125" style="538" bestFit="1" customWidth="1"/>
    <col min="5895" max="5895" width="13.42578125" style="538" bestFit="1" customWidth="1"/>
    <col min="5896" max="5896" width="14.140625" style="538" bestFit="1" customWidth="1"/>
    <col min="5897" max="5897" width="13.42578125" style="538" bestFit="1" customWidth="1"/>
    <col min="5898" max="5900" width="14" style="538" bestFit="1" customWidth="1"/>
    <col min="5901" max="5901" width="13.42578125" style="538" bestFit="1" customWidth="1"/>
    <col min="5902" max="5902" width="14" style="538" bestFit="1" customWidth="1"/>
    <col min="5903" max="5903" width="14.7109375" style="538" bestFit="1" customWidth="1"/>
    <col min="5904" max="5904" width="14.140625" style="538" bestFit="1" customWidth="1"/>
    <col min="5905" max="5905" width="13.28515625" style="538" bestFit="1" customWidth="1"/>
    <col min="5906" max="5906" width="13.7109375" style="538" bestFit="1" customWidth="1"/>
    <col min="5907" max="5907" width="14" style="538" bestFit="1" customWidth="1"/>
    <col min="5908" max="5910" width="14.140625" style="538" bestFit="1" customWidth="1"/>
    <col min="5911" max="5911" width="13.42578125" style="538" bestFit="1" customWidth="1"/>
    <col min="5912" max="5912" width="14.140625" style="538" bestFit="1" customWidth="1"/>
    <col min="5913" max="5919" width="14" style="538" bestFit="1" customWidth="1"/>
    <col min="5920" max="5920" width="14.140625" style="538" bestFit="1" customWidth="1"/>
    <col min="5921" max="5922" width="13.28515625" style="538" bestFit="1" customWidth="1"/>
    <col min="5923" max="5923" width="14" style="538" bestFit="1" customWidth="1"/>
    <col min="5924" max="5924" width="13.42578125" style="538" bestFit="1" customWidth="1"/>
    <col min="5925" max="5925" width="14.140625" style="538" bestFit="1" customWidth="1"/>
    <col min="5926" max="5926" width="14" style="538" bestFit="1" customWidth="1"/>
    <col min="5927" max="6144" width="9.140625" style="538"/>
    <col min="6145" max="6145" width="57.28515625" style="538" customWidth="1"/>
    <col min="6146" max="6146" width="14.140625" style="538" bestFit="1" customWidth="1"/>
    <col min="6147" max="6147" width="13.42578125" style="538" bestFit="1" customWidth="1"/>
    <col min="6148" max="6148" width="14.140625" style="538" bestFit="1" customWidth="1"/>
    <col min="6149" max="6149" width="14" style="538" bestFit="1" customWidth="1"/>
    <col min="6150" max="6150" width="14.42578125" style="538" bestFit="1" customWidth="1"/>
    <col min="6151" max="6151" width="13.42578125" style="538" bestFit="1" customWidth="1"/>
    <col min="6152" max="6152" width="14.140625" style="538" bestFit="1" customWidth="1"/>
    <col min="6153" max="6153" width="13.42578125" style="538" bestFit="1" customWidth="1"/>
    <col min="6154" max="6156" width="14" style="538" bestFit="1" customWidth="1"/>
    <col min="6157" max="6157" width="13.42578125" style="538" bestFit="1" customWidth="1"/>
    <col min="6158" max="6158" width="14" style="538" bestFit="1" customWidth="1"/>
    <col min="6159" max="6159" width="14.7109375" style="538" bestFit="1" customWidth="1"/>
    <col min="6160" max="6160" width="14.140625" style="538" bestFit="1" customWidth="1"/>
    <col min="6161" max="6161" width="13.28515625" style="538" bestFit="1" customWidth="1"/>
    <col min="6162" max="6162" width="13.7109375" style="538" bestFit="1" customWidth="1"/>
    <col min="6163" max="6163" width="14" style="538" bestFit="1" customWidth="1"/>
    <col min="6164" max="6166" width="14.140625" style="538" bestFit="1" customWidth="1"/>
    <col min="6167" max="6167" width="13.42578125" style="538" bestFit="1" customWidth="1"/>
    <col min="6168" max="6168" width="14.140625" style="538" bestFit="1" customWidth="1"/>
    <col min="6169" max="6175" width="14" style="538" bestFit="1" customWidth="1"/>
    <col min="6176" max="6176" width="14.140625" style="538" bestFit="1" customWidth="1"/>
    <col min="6177" max="6178" width="13.28515625" style="538" bestFit="1" customWidth="1"/>
    <col min="6179" max="6179" width="14" style="538" bestFit="1" customWidth="1"/>
    <col min="6180" max="6180" width="13.42578125" style="538" bestFit="1" customWidth="1"/>
    <col min="6181" max="6181" width="14.140625" style="538" bestFit="1" customWidth="1"/>
    <col min="6182" max="6182" width="14" style="538" bestFit="1" customWidth="1"/>
    <col min="6183" max="6400" width="9.140625" style="538"/>
    <col min="6401" max="6401" width="57.28515625" style="538" customWidth="1"/>
    <col min="6402" max="6402" width="14.140625" style="538" bestFit="1" customWidth="1"/>
    <col min="6403" max="6403" width="13.42578125" style="538" bestFit="1" customWidth="1"/>
    <col min="6404" max="6404" width="14.140625" style="538" bestFit="1" customWidth="1"/>
    <col min="6405" max="6405" width="14" style="538" bestFit="1" customWidth="1"/>
    <col min="6406" max="6406" width="14.42578125" style="538" bestFit="1" customWidth="1"/>
    <col min="6407" max="6407" width="13.42578125" style="538" bestFit="1" customWidth="1"/>
    <col min="6408" max="6408" width="14.140625" style="538" bestFit="1" customWidth="1"/>
    <col min="6409" max="6409" width="13.42578125" style="538" bestFit="1" customWidth="1"/>
    <col min="6410" max="6412" width="14" style="538" bestFit="1" customWidth="1"/>
    <col min="6413" max="6413" width="13.42578125" style="538" bestFit="1" customWidth="1"/>
    <col min="6414" max="6414" width="14" style="538" bestFit="1" customWidth="1"/>
    <col min="6415" max="6415" width="14.7109375" style="538" bestFit="1" customWidth="1"/>
    <col min="6416" max="6416" width="14.140625" style="538" bestFit="1" customWidth="1"/>
    <col min="6417" max="6417" width="13.28515625" style="538" bestFit="1" customWidth="1"/>
    <col min="6418" max="6418" width="13.7109375" style="538" bestFit="1" customWidth="1"/>
    <col min="6419" max="6419" width="14" style="538" bestFit="1" customWidth="1"/>
    <col min="6420" max="6422" width="14.140625" style="538" bestFit="1" customWidth="1"/>
    <col min="6423" max="6423" width="13.42578125" style="538" bestFit="1" customWidth="1"/>
    <col min="6424" max="6424" width="14.140625" style="538" bestFit="1" customWidth="1"/>
    <col min="6425" max="6431" width="14" style="538" bestFit="1" customWidth="1"/>
    <col min="6432" max="6432" width="14.140625" style="538" bestFit="1" customWidth="1"/>
    <col min="6433" max="6434" width="13.28515625" style="538" bestFit="1" customWidth="1"/>
    <col min="6435" max="6435" width="14" style="538" bestFit="1" customWidth="1"/>
    <col min="6436" max="6436" width="13.42578125" style="538" bestFit="1" customWidth="1"/>
    <col min="6437" max="6437" width="14.140625" style="538" bestFit="1" customWidth="1"/>
    <col min="6438" max="6438" width="14" style="538" bestFit="1" customWidth="1"/>
    <col min="6439" max="6656" width="9.140625" style="538"/>
    <col min="6657" max="6657" width="57.28515625" style="538" customWidth="1"/>
    <col min="6658" max="6658" width="14.140625" style="538" bestFit="1" customWidth="1"/>
    <col min="6659" max="6659" width="13.42578125" style="538" bestFit="1" customWidth="1"/>
    <col min="6660" max="6660" width="14.140625" style="538" bestFit="1" customWidth="1"/>
    <col min="6661" max="6661" width="14" style="538" bestFit="1" customWidth="1"/>
    <col min="6662" max="6662" width="14.42578125" style="538" bestFit="1" customWidth="1"/>
    <col min="6663" max="6663" width="13.42578125" style="538" bestFit="1" customWidth="1"/>
    <col min="6664" max="6664" width="14.140625" style="538" bestFit="1" customWidth="1"/>
    <col min="6665" max="6665" width="13.42578125" style="538" bestFit="1" customWidth="1"/>
    <col min="6666" max="6668" width="14" style="538" bestFit="1" customWidth="1"/>
    <col min="6669" max="6669" width="13.42578125" style="538" bestFit="1" customWidth="1"/>
    <col min="6670" max="6670" width="14" style="538" bestFit="1" customWidth="1"/>
    <col min="6671" max="6671" width="14.7109375" style="538" bestFit="1" customWidth="1"/>
    <col min="6672" max="6672" width="14.140625" style="538" bestFit="1" customWidth="1"/>
    <col min="6673" max="6673" width="13.28515625" style="538" bestFit="1" customWidth="1"/>
    <col min="6674" max="6674" width="13.7109375" style="538" bestFit="1" customWidth="1"/>
    <col min="6675" max="6675" width="14" style="538" bestFit="1" customWidth="1"/>
    <col min="6676" max="6678" width="14.140625" style="538" bestFit="1" customWidth="1"/>
    <col min="6679" max="6679" width="13.42578125" style="538" bestFit="1" customWidth="1"/>
    <col min="6680" max="6680" width="14.140625" style="538" bestFit="1" customWidth="1"/>
    <col min="6681" max="6687" width="14" style="538" bestFit="1" customWidth="1"/>
    <col min="6688" max="6688" width="14.140625" style="538" bestFit="1" customWidth="1"/>
    <col min="6689" max="6690" width="13.28515625" style="538" bestFit="1" customWidth="1"/>
    <col min="6691" max="6691" width="14" style="538" bestFit="1" customWidth="1"/>
    <col min="6692" max="6692" width="13.42578125" style="538" bestFit="1" customWidth="1"/>
    <col min="6693" max="6693" width="14.140625" style="538" bestFit="1" customWidth="1"/>
    <col min="6694" max="6694" width="14" style="538" bestFit="1" customWidth="1"/>
    <col min="6695" max="6912" width="9.140625" style="538"/>
    <col min="6913" max="6913" width="57.28515625" style="538" customWidth="1"/>
    <col min="6914" max="6914" width="14.140625" style="538" bestFit="1" customWidth="1"/>
    <col min="6915" max="6915" width="13.42578125" style="538" bestFit="1" customWidth="1"/>
    <col min="6916" max="6916" width="14.140625" style="538" bestFit="1" customWidth="1"/>
    <col min="6917" max="6917" width="14" style="538" bestFit="1" customWidth="1"/>
    <col min="6918" max="6918" width="14.42578125" style="538" bestFit="1" customWidth="1"/>
    <col min="6919" max="6919" width="13.42578125" style="538" bestFit="1" customWidth="1"/>
    <col min="6920" max="6920" width="14.140625" style="538" bestFit="1" customWidth="1"/>
    <col min="6921" max="6921" width="13.42578125" style="538" bestFit="1" customWidth="1"/>
    <col min="6922" max="6924" width="14" style="538" bestFit="1" customWidth="1"/>
    <col min="6925" max="6925" width="13.42578125" style="538" bestFit="1" customWidth="1"/>
    <col min="6926" max="6926" width="14" style="538" bestFit="1" customWidth="1"/>
    <col min="6927" max="6927" width="14.7109375" style="538" bestFit="1" customWidth="1"/>
    <col min="6928" max="6928" width="14.140625" style="538" bestFit="1" customWidth="1"/>
    <col min="6929" max="6929" width="13.28515625" style="538" bestFit="1" customWidth="1"/>
    <col min="6930" max="6930" width="13.7109375" style="538" bestFit="1" customWidth="1"/>
    <col min="6931" max="6931" width="14" style="538" bestFit="1" customWidth="1"/>
    <col min="6932" max="6934" width="14.140625" style="538" bestFit="1" customWidth="1"/>
    <col min="6935" max="6935" width="13.42578125" style="538" bestFit="1" customWidth="1"/>
    <col min="6936" max="6936" width="14.140625" style="538" bestFit="1" customWidth="1"/>
    <col min="6937" max="6943" width="14" style="538" bestFit="1" customWidth="1"/>
    <col min="6944" max="6944" width="14.140625" style="538" bestFit="1" customWidth="1"/>
    <col min="6945" max="6946" width="13.28515625" style="538" bestFit="1" customWidth="1"/>
    <col min="6947" max="6947" width="14" style="538" bestFit="1" customWidth="1"/>
    <col min="6948" max="6948" width="13.42578125" style="538" bestFit="1" customWidth="1"/>
    <col min="6949" max="6949" width="14.140625" style="538" bestFit="1" customWidth="1"/>
    <col min="6950" max="6950" width="14" style="538" bestFit="1" customWidth="1"/>
    <col min="6951" max="7168" width="9.140625" style="538"/>
    <col min="7169" max="7169" width="57.28515625" style="538" customWidth="1"/>
    <col min="7170" max="7170" width="14.140625" style="538" bestFit="1" customWidth="1"/>
    <col min="7171" max="7171" width="13.42578125" style="538" bestFit="1" customWidth="1"/>
    <col min="7172" max="7172" width="14.140625" style="538" bestFit="1" customWidth="1"/>
    <col min="7173" max="7173" width="14" style="538" bestFit="1" customWidth="1"/>
    <col min="7174" max="7174" width="14.42578125" style="538" bestFit="1" customWidth="1"/>
    <col min="7175" max="7175" width="13.42578125" style="538" bestFit="1" customWidth="1"/>
    <col min="7176" max="7176" width="14.140625" style="538" bestFit="1" customWidth="1"/>
    <col min="7177" max="7177" width="13.42578125" style="538" bestFit="1" customWidth="1"/>
    <col min="7178" max="7180" width="14" style="538" bestFit="1" customWidth="1"/>
    <col min="7181" max="7181" width="13.42578125" style="538" bestFit="1" customWidth="1"/>
    <col min="7182" max="7182" width="14" style="538" bestFit="1" customWidth="1"/>
    <col min="7183" max="7183" width="14.7109375" style="538" bestFit="1" customWidth="1"/>
    <col min="7184" max="7184" width="14.140625" style="538" bestFit="1" customWidth="1"/>
    <col min="7185" max="7185" width="13.28515625" style="538" bestFit="1" customWidth="1"/>
    <col min="7186" max="7186" width="13.7109375" style="538" bestFit="1" customWidth="1"/>
    <col min="7187" max="7187" width="14" style="538" bestFit="1" customWidth="1"/>
    <col min="7188" max="7190" width="14.140625" style="538" bestFit="1" customWidth="1"/>
    <col min="7191" max="7191" width="13.42578125" style="538" bestFit="1" customWidth="1"/>
    <col min="7192" max="7192" width="14.140625" style="538" bestFit="1" customWidth="1"/>
    <col min="7193" max="7199" width="14" style="538" bestFit="1" customWidth="1"/>
    <col min="7200" max="7200" width="14.140625" style="538" bestFit="1" customWidth="1"/>
    <col min="7201" max="7202" width="13.28515625" style="538" bestFit="1" customWidth="1"/>
    <col min="7203" max="7203" width="14" style="538" bestFit="1" customWidth="1"/>
    <col min="7204" max="7204" width="13.42578125" style="538" bestFit="1" customWidth="1"/>
    <col min="7205" max="7205" width="14.140625" style="538" bestFit="1" customWidth="1"/>
    <col min="7206" max="7206" width="14" style="538" bestFit="1" customWidth="1"/>
    <col min="7207" max="7424" width="9.140625" style="538"/>
    <col min="7425" max="7425" width="57.28515625" style="538" customWidth="1"/>
    <col min="7426" max="7426" width="14.140625" style="538" bestFit="1" customWidth="1"/>
    <col min="7427" max="7427" width="13.42578125" style="538" bestFit="1" customWidth="1"/>
    <col min="7428" max="7428" width="14.140625" style="538" bestFit="1" customWidth="1"/>
    <col min="7429" max="7429" width="14" style="538" bestFit="1" customWidth="1"/>
    <col min="7430" max="7430" width="14.42578125" style="538" bestFit="1" customWidth="1"/>
    <col min="7431" max="7431" width="13.42578125" style="538" bestFit="1" customWidth="1"/>
    <col min="7432" max="7432" width="14.140625" style="538" bestFit="1" customWidth="1"/>
    <col min="7433" max="7433" width="13.42578125" style="538" bestFit="1" customWidth="1"/>
    <col min="7434" max="7436" width="14" style="538" bestFit="1" customWidth="1"/>
    <col min="7437" max="7437" width="13.42578125" style="538" bestFit="1" customWidth="1"/>
    <col min="7438" max="7438" width="14" style="538" bestFit="1" customWidth="1"/>
    <col min="7439" max="7439" width="14.7109375" style="538" bestFit="1" customWidth="1"/>
    <col min="7440" max="7440" width="14.140625" style="538" bestFit="1" customWidth="1"/>
    <col min="7441" max="7441" width="13.28515625" style="538" bestFit="1" customWidth="1"/>
    <col min="7442" max="7442" width="13.7109375" style="538" bestFit="1" customWidth="1"/>
    <col min="7443" max="7443" width="14" style="538" bestFit="1" customWidth="1"/>
    <col min="7444" max="7446" width="14.140625" style="538" bestFit="1" customWidth="1"/>
    <col min="7447" max="7447" width="13.42578125" style="538" bestFit="1" customWidth="1"/>
    <col min="7448" max="7448" width="14.140625" style="538" bestFit="1" customWidth="1"/>
    <col min="7449" max="7455" width="14" style="538" bestFit="1" customWidth="1"/>
    <col min="7456" max="7456" width="14.140625" style="538" bestFit="1" customWidth="1"/>
    <col min="7457" max="7458" width="13.28515625" style="538" bestFit="1" customWidth="1"/>
    <col min="7459" max="7459" width="14" style="538" bestFit="1" customWidth="1"/>
    <col min="7460" max="7460" width="13.42578125" style="538" bestFit="1" customWidth="1"/>
    <col min="7461" max="7461" width="14.140625" style="538" bestFit="1" customWidth="1"/>
    <col min="7462" max="7462" width="14" style="538" bestFit="1" customWidth="1"/>
    <col min="7463" max="7680" width="9.140625" style="538"/>
    <col min="7681" max="7681" width="57.28515625" style="538" customWidth="1"/>
    <col min="7682" max="7682" width="14.140625" style="538" bestFit="1" customWidth="1"/>
    <col min="7683" max="7683" width="13.42578125" style="538" bestFit="1" customWidth="1"/>
    <col min="7684" max="7684" width="14.140625" style="538" bestFit="1" customWidth="1"/>
    <col min="7685" max="7685" width="14" style="538" bestFit="1" customWidth="1"/>
    <col min="7686" max="7686" width="14.42578125" style="538" bestFit="1" customWidth="1"/>
    <col min="7687" max="7687" width="13.42578125" style="538" bestFit="1" customWidth="1"/>
    <col min="7688" max="7688" width="14.140625" style="538" bestFit="1" customWidth="1"/>
    <col min="7689" max="7689" width="13.42578125" style="538" bestFit="1" customWidth="1"/>
    <col min="7690" max="7692" width="14" style="538" bestFit="1" customWidth="1"/>
    <col min="7693" max="7693" width="13.42578125" style="538" bestFit="1" customWidth="1"/>
    <col min="7694" max="7694" width="14" style="538" bestFit="1" customWidth="1"/>
    <col min="7695" max="7695" width="14.7109375" style="538" bestFit="1" customWidth="1"/>
    <col min="7696" max="7696" width="14.140625" style="538" bestFit="1" customWidth="1"/>
    <col min="7697" max="7697" width="13.28515625" style="538" bestFit="1" customWidth="1"/>
    <col min="7698" max="7698" width="13.7109375" style="538" bestFit="1" customWidth="1"/>
    <col min="7699" max="7699" width="14" style="538" bestFit="1" customWidth="1"/>
    <col min="7700" max="7702" width="14.140625" style="538" bestFit="1" customWidth="1"/>
    <col min="7703" max="7703" width="13.42578125" style="538" bestFit="1" customWidth="1"/>
    <col min="7704" max="7704" width="14.140625" style="538" bestFit="1" customWidth="1"/>
    <col min="7705" max="7711" width="14" style="538" bestFit="1" customWidth="1"/>
    <col min="7712" max="7712" width="14.140625" style="538" bestFit="1" customWidth="1"/>
    <col min="7713" max="7714" width="13.28515625" style="538" bestFit="1" customWidth="1"/>
    <col min="7715" max="7715" width="14" style="538" bestFit="1" customWidth="1"/>
    <col min="7716" max="7716" width="13.42578125" style="538" bestFit="1" customWidth="1"/>
    <col min="7717" max="7717" width="14.140625" style="538" bestFit="1" customWidth="1"/>
    <col min="7718" max="7718" width="14" style="538" bestFit="1" customWidth="1"/>
    <col min="7719" max="7936" width="9.140625" style="538"/>
    <col min="7937" max="7937" width="57.28515625" style="538" customWidth="1"/>
    <col min="7938" max="7938" width="14.140625" style="538" bestFit="1" customWidth="1"/>
    <col min="7939" max="7939" width="13.42578125" style="538" bestFit="1" customWidth="1"/>
    <col min="7940" max="7940" width="14.140625" style="538" bestFit="1" customWidth="1"/>
    <col min="7941" max="7941" width="14" style="538" bestFit="1" customWidth="1"/>
    <col min="7942" max="7942" width="14.42578125" style="538" bestFit="1" customWidth="1"/>
    <col min="7943" max="7943" width="13.42578125" style="538" bestFit="1" customWidth="1"/>
    <col min="7944" max="7944" width="14.140625" style="538" bestFit="1" customWidth="1"/>
    <col min="7945" max="7945" width="13.42578125" style="538" bestFit="1" customWidth="1"/>
    <col min="7946" max="7948" width="14" style="538" bestFit="1" customWidth="1"/>
    <col min="7949" max="7949" width="13.42578125" style="538" bestFit="1" customWidth="1"/>
    <col min="7950" max="7950" width="14" style="538" bestFit="1" customWidth="1"/>
    <col min="7951" max="7951" width="14.7109375" style="538" bestFit="1" customWidth="1"/>
    <col min="7952" max="7952" width="14.140625" style="538" bestFit="1" customWidth="1"/>
    <col min="7953" max="7953" width="13.28515625" style="538" bestFit="1" customWidth="1"/>
    <col min="7954" max="7954" width="13.7109375" style="538" bestFit="1" customWidth="1"/>
    <col min="7955" max="7955" width="14" style="538" bestFit="1" customWidth="1"/>
    <col min="7956" max="7958" width="14.140625" style="538" bestFit="1" customWidth="1"/>
    <col min="7959" max="7959" width="13.42578125" style="538" bestFit="1" customWidth="1"/>
    <col min="7960" max="7960" width="14.140625" style="538" bestFit="1" customWidth="1"/>
    <col min="7961" max="7967" width="14" style="538" bestFit="1" customWidth="1"/>
    <col min="7968" max="7968" width="14.140625" style="538" bestFit="1" customWidth="1"/>
    <col min="7969" max="7970" width="13.28515625" style="538" bestFit="1" customWidth="1"/>
    <col min="7971" max="7971" width="14" style="538" bestFit="1" customWidth="1"/>
    <col min="7972" max="7972" width="13.42578125" style="538" bestFit="1" customWidth="1"/>
    <col min="7973" max="7973" width="14.140625" style="538" bestFit="1" customWidth="1"/>
    <col min="7974" max="7974" width="14" style="538" bestFit="1" customWidth="1"/>
    <col min="7975" max="8192" width="9.140625" style="538"/>
    <col min="8193" max="8193" width="57.28515625" style="538" customWidth="1"/>
    <col min="8194" max="8194" width="14.140625" style="538" bestFit="1" customWidth="1"/>
    <col min="8195" max="8195" width="13.42578125" style="538" bestFit="1" customWidth="1"/>
    <col min="8196" max="8196" width="14.140625" style="538" bestFit="1" customWidth="1"/>
    <col min="8197" max="8197" width="14" style="538" bestFit="1" customWidth="1"/>
    <col min="8198" max="8198" width="14.42578125" style="538" bestFit="1" customWidth="1"/>
    <col min="8199" max="8199" width="13.42578125" style="538" bestFit="1" customWidth="1"/>
    <col min="8200" max="8200" width="14.140625" style="538" bestFit="1" customWidth="1"/>
    <col min="8201" max="8201" width="13.42578125" style="538" bestFit="1" customWidth="1"/>
    <col min="8202" max="8204" width="14" style="538" bestFit="1" customWidth="1"/>
    <col min="8205" max="8205" width="13.42578125" style="538" bestFit="1" customWidth="1"/>
    <col min="8206" max="8206" width="14" style="538" bestFit="1" customWidth="1"/>
    <col min="8207" max="8207" width="14.7109375" style="538" bestFit="1" customWidth="1"/>
    <col min="8208" max="8208" width="14.140625" style="538" bestFit="1" customWidth="1"/>
    <col min="8209" max="8209" width="13.28515625" style="538" bestFit="1" customWidth="1"/>
    <col min="8210" max="8210" width="13.7109375" style="538" bestFit="1" customWidth="1"/>
    <col min="8211" max="8211" width="14" style="538" bestFit="1" customWidth="1"/>
    <col min="8212" max="8214" width="14.140625" style="538" bestFit="1" customWidth="1"/>
    <col min="8215" max="8215" width="13.42578125" style="538" bestFit="1" customWidth="1"/>
    <col min="8216" max="8216" width="14.140625" style="538" bestFit="1" customWidth="1"/>
    <col min="8217" max="8223" width="14" style="538" bestFit="1" customWidth="1"/>
    <col min="8224" max="8224" width="14.140625" style="538" bestFit="1" customWidth="1"/>
    <col min="8225" max="8226" width="13.28515625" style="538" bestFit="1" customWidth="1"/>
    <col min="8227" max="8227" width="14" style="538" bestFit="1" customWidth="1"/>
    <col min="8228" max="8228" width="13.42578125" style="538" bestFit="1" customWidth="1"/>
    <col min="8229" max="8229" width="14.140625" style="538" bestFit="1" customWidth="1"/>
    <col min="8230" max="8230" width="14" style="538" bestFit="1" customWidth="1"/>
    <col min="8231" max="8448" width="9.140625" style="538"/>
    <col min="8449" max="8449" width="57.28515625" style="538" customWidth="1"/>
    <col min="8450" max="8450" width="14.140625" style="538" bestFit="1" customWidth="1"/>
    <col min="8451" max="8451" width="13.42578125" style="538" bestFit="1" customWidth="1"/>
    <col min="8452" max="8452" width="14.140625" style="538" bestFit="1" customWidth="1"/>
    <col min="8453" max="8453" width="14" style="538" bestFit="1" customWidth="1"/>
    <col min="8454" max="8454" width="14.42578125" style="538" bestFit="1" customWidth="1"/>
    <col min="8455" max="8455" width="13.42578125" style="538" bestFit="1" customWidth="1"/>
    <col min="8456" max="8456" width="14.140625" style="538" bestFit="1" customWidth="1"/>
    <col min="8457" max="8457" width="13.42578125" style="538" bestFit="1" customWidth="1"/>
    <col min="8458" max="8460" width="14" style="538" bestFit="1" customWidth="1"/>
    <col min="8461" max="8461" width="13.42578125" style="538" bestFit="1" customWidth="1"/>
    <col min="8462" max="8462" width="14" style="538" bestFit="1" customWidth="1"/>
    <col min="8463" max="8463" width="14.7109375" style="538" bestFit="1" customWidth="1"/>
    <col min="8464" max="8464" width="14.140625" style="538" bestFit="1" customWidth="1"/>
    <col min="8465" max="8465" width="13.28515625" style="538" bestFit="1" customWidth="1"/>
    <col min="8466" max="8466" width="13.7109375" style="538" bestFit="1" customWidth="1"/>
    <col min="8467" max="8467" width="14" style="538" bestFit="1" customWidth="1"/>
    <col min="8468" max="8470" width="14.140625" style="538" bestFit="1" customWidth="1"/>
    <col min="8471" max="8471" width="13.42578125" style="538" bestFit="1" customWidth="1"/>
    <col min="8472" max="8472" width="14.140625" style="538" bestFit="1" customWidth="1"/>
    <col min="8473" max="8479" width="14" style="538" bestFit="1" customWidth="1"/>
    <col min="8480" max="8480" width="14.140625" style="538" bestFit="1" customWidth="1"/>
    <col min="8481" max="8482" width="13.28515625" style="538" bestFit="1" customWidth="1"/>
    <col min="8483" max="8483" width="14" style="538" bestFit="1" customWidth="1"/>
    <col min="8484" max="8484" width="13.42578125" style="538" bestFit="1" customWidth="1"/>
    <col min="8485" max="8485" width="14.140625" style="538" bestFit="1" customWidth="1"/>
    <col min="8486" max="8486" width="14" style="538" bestFit="1" customWidth="1"/>
    <col min="8487" max="8704" width="9.140625" style="538"/>
    <col min="8705" max="8705" width="57.28515625" style="538" customWidth="1"/>
    <col min="8706" max="8706" width="14.140625" style="538" bestFit="1" customWidth="1"/>
    <col min="8707" max="8707" width="13.42578125" style="538" bestFit="1" customWidth="1"/>
    <col min="8708" max="8708" width="14.140625" style="538" bestFit="1" customWidth="1"/>
    <col min="8709" max="8709" width="14" style="538" bestFit="1" customWidth="1"/>
    <col min="8710" max="8710" width="14.42578125" style="538" bestFit="1" customWidth="1"/>
    <col min="8711" max="8711" width="13.42578125" style="538" bestFit="1" customWidth="1"/>
    <col min="8712" max="8712" width="14.140625" style="538" bestFit="1" customWidth="1"/>
    <col min="8713" max="8713" width="13.42578125" style="538" bestFit="1" customWidth="1"/>
    <col min="8714" max="8716" width="14" style="538" bestFit="1" customWidth="1"/>
    <col min="8717" max="8717" width="13.42578125" style="538" bestFit="1" customWidth="1"/>
    <col min="8718" max="8718" width="14" style="538" bestFit="1" customWidth="1"/>
    <col min="8719" max="8719" width="14.7109375" style="538" bestFit="1" customWidth="1"/>
    <col min="8720" max="8720" width="14.140625" style="538" bestFit="1" customWidth="1"/>
    <col min="8721" max="8721" width="13.28515625" style="538" bestFit="1" customWidth="1"/>
    <col min="8722" max="8722" width="13.7109375" style="538" bestFit="1" customWidth="1"/>
    <col min="8723" max="8723" width="14" style="538" bestFit="1" customWidth="1"/>
    <col min="8724" max="8726" width="14.140625" style="538" bestFit="1" customWidth="1"/>
    <col min="8727" max="8727" width="13.42578125" style="538" bestFit="1" customWidth="1"/>
    <col min="8728" max="8728" width="14.140625" style="538" bestFit="1" customWidth="1"/>
    <col min="8729" max="8735" width="14" style="538" bestFit="1" customWidth="1"/>
    <col min="8736" max="8736" width="14.140625" style="538" bestFit="1" customWidth="1"/>
    <col min="8737" max="8738" width="13.28515625" style="538" bestFit="1" customWidth="1"/>
    <col min="8739" max="8739" width="14" style="538" bestFit="1" customWidth="1"/>
    <col min="8740" max="8740" width="13.42578125" style="538" bestFit="1" customWidth="1"/>
    <col min="8741" max="8741" width="14.140625" style="538" bestFit="1" customWidth="1"/>
    <col min="8742" max="8742" width="14" style="538" bestFit="1" customWidth="1"/>
    <col min="8743" max="8960" width="9.140625" style="538"/>
    <col min="8961" max="8961" width="57.28515625" style="538" customWidth="1"/>
    <col min="8962" max="8962" width="14.140625" style="538" bestFit="1" customWidth="1"/>
    <col min="8963" max="8963" width="13.42578125" style="538" bestFit="1" customWidth="1"/>
    <col min="8964" max="8964" width="14.140625" style="538" bestFit="1" customWidth="1"/>
    <col min="8965" max="8965" width="14" style="538" bestFit="1" customWidth="1"/>
    <col min="8966" max="8966" width="14.42578125" style="538" bestFit="1" customWidth="1"/>
    <col min="8967" max="8967" width="13.42578125" style="538" bestFit="1" customWidth="1"/>
    <col min="8968" max="8968" width="14.140625" style="538" bestFit="1" customWidth="1"/>
    <col min="8969" max="8969" width="13.42578125" style="538" bestFit="1" customWidth="1"/>
    <col min="8970" max="8972" width="14" style="538" bestFit="1" customWidth="1"/>
    <col min="8973" max="8973" width="13.42578125" style="538" bestFit="1" customWidth="1"/>
    <col min="8974" max="8974" width="14" style="538" bestFit="1" customWidth="1"/>
    <col min="8975" max="8975" width="14.7109375" style="538" bestFit="1" customWidth="1"/>
    <col min="8976" max="8976" width="14.140625" style="538" bestFit="1" customWidth="1"/>
    <col min="8977" max="8977" width="13.28515625" style="538" bestFit="1" customWidth="1"/>
    <col min="8978" max="8978" width="13.7109375" style="538" bestFit="1" customWidth="1"/>
    <col min="8979" max="8979" width="14" style="538" bestFit="1" customWidth="1"/>
    <col min="8980" max="8982" width="14.140625" style="538" bestFit="1" customWidth="1"/>
    <col min="8983" max="8983" width="13.42578125" style="538" bestFit="1" customWidth="1"/>
    <col min="8984" max="8984" width="14.140625" style="538" bestFit="1" customWidth="1"/>
    <col min="8985" max="8991" width="14" style="538" bestFit="1" customWidth="1"/>
    <col min="8992" max="8992" width="14.140625" style="538" bestFit="1" customWidth="1"/>
    <col min="8993" max="8994" width="13.28515625" style="538" bestFit="1" customWidth="1"/>
    <col min="8995" max="8995" width="14" style="538" bestFit="1" customWidth="1"/>
    <col min="8996" max="8996" width="13.42578125" style="538" bestFit="1" customWidth="1"/>
    <col min="8997" max="8997" width="14.140625" style="538" bestFit="1" customWidth="1"/>
    <col min="8998" max="8998" width="14" style="538" bestFit="1" customWidth="1"/>
    <col min="8999" max="9216" width="9.140625" style="538"/>
    <col min="9217" max="9217" width="57.28515625" style="538" customWidth="1"/>
    <col min="9218" max="9218" width="14.140625" style="538" bestFit="1" customWidth="1"/>
    <col min="9219" max="9219" width="13.42578125" style="538" bestFit="1" customWidth="1"/>
    <col min="9220" max="9220" width="14.140625" style="538" bestFit="1" customWidth="1"/>
    <col min="9221" max="9221" width="14" style="538" bestFit="1" customWidth="1"/>
    <col min="9222" max="9222" width="14.42578125" style="538" bestFit="1" customWidth="1"/>
    <col min="9223" max="9223" width="13.42578125" style="538" bestFit="1" customWidth="1"/>
    <col min="9224" max="9224" width="14.140625" style="538" bestFit="1" customWidth="1"/>
    <col min="9225" max="9225" width="13.42578125" style="538" bestFit="1" customWidth="1"/>
    <col min="9226" max="9228" width="14" style="538" bestFit="1" customWidth="1"/>
    <col min="9229" max="9229" width="13.42578125" style="538" bestFit="1" customWidth="1"/>
    <col min="9230" max="9230" width="14" style="538" bestFit="1" customWidth="1"/>
    <col min="9231" max="9231" width="14.7109375" style="538" bestFit="1" customWidth="1"/>
    <col min="9232" max="9232" width="14.140625" style="538" bestFit="1" customWidth="1"/>
    <col min="9233" max="9233" width="13.28515625" style="538" bestFit="1" customWidth="1"/>
    <col min="9234" max="9234" width="13.7109375" style="538" bestFit="1" customWidth="1"/>
    <col min="9235" max="9235" width="14" style="538" bestFit="1" customWidth="1"/>
    <col min="9236" max="9238" width="14.140625" style="538" bestFit="1" customWidth="1"/>
    <col min="9239" max="9239" width="13.42578125" style="538" bestFit="1" customWidth="1"/>
    <col min="9240" max="9240" width="14.140625" style="538" bestFit="1" customWidth="1"/>
    <col min="9241" max="9247" width="14" style="538" bestFit="1" customWidth="1"/>
    <col min="9248" max="9248" width="14.140625" style="538" bestFit="1" customWidth="1"/>
    <col min="9249" max="9250" width="13.28515625" style="538" bestFit="1" customWidth="1"/>
    <col min="9251" max="9251" width="14" style="538" bestFit="1" customWidth="1"/>
    <col min="9252" max="9252" width="13.42578125" style="538" bestFit="1" customWidth="1"/>
    <col min="9253" max="9253" width="14.140625" style="538" bestFit="1" customWidth="1"/>
    <col min="9254" max="9254" width="14" style="538" bestFit="1" customWidth="1"/>
    <col min="9255" max="9472" width="9.140625" style="538"/>
    <col min="9473" max="9473" width="57.28515625" style="538" customWidth="1"/>
    <col min="9474" max="9474" width="14.140625" style="538" bestFit="1" customWidth="1"/>
    <col min="9475" max="9475" width="13.42578125" style="538" bestFit="1" customWidth="1"/>
    <col min="9476" max="9476" width="14.140625" style="538" bestFit="1" customWidth="1"/>
    <col min="9477" max="9477" width="14" style="538" bestFit="1" customWidth="1"/>
    <col min="9478" max="9478" width="14.42578125" style="538" bestFit="1" customWidth="1"/>
    <col min="9479" max="9479" width="13.42578125" style="538" bestFit="1" customWidth="1"/>
    <col min="9480" max="9480" width="14.140625" style="538" bestFit="1" customWidth="1"/>
    <col min="9481" max="9481" width="13.42578125" style="538" bestFit="1" customWidth="1"/>
    <col min="9482" max="9484" width="14" style="538" bestFit="1" customWidth="1"/>
    <col min="9485" max="9485" width="13.42578125" style="538" bestFit="1" customWidth="1"/>
    <col min="9486" max="9486" width="14" style="538" bestFit="1" customWidth="1"/>
    <col min="9487" max="9487" width="14.7109375" style="538" bestFit="1" customWidth="1"/>
    <col min="9488" max="9488" width="14.140625" style="538" bestFit="1" customWidth="1"/>
    <col min="9489" max="9489" width="13.28515625" style="538" bestFit="1" customWidth="1"/>
    <col min="9490" max="9490" width="13.7109375" style="538" bestFit="1" customWidth="1"/>
    <col min="9491" max="9491" width="14" style="538" bestFit="1" customWidth="1"/>
    <col min="9492" max="9494" width="14.140625" style="538" bestFit="1" customWidth="1"/>
    <col min="9495" max="9495" width="13.42578125" style="538" bestFit="1" customWidth="1"/>
    <col min="9496" max="9496" width="14.140625" style="538" bestFit="1" customWidth="1"/>
    <col min="9497" max="9503" width="14" style="538" bestFit="1" customWidth="1"/>
    <col min="9504" max="9504" width="14.140625" style="538" bestFit="1" customWidth="1"/>
    <col min="9505" max="9506" width="13.28515625" style="538" bestFit="1" customWidth="1"/>
    <col min="9507" max="9507" width="14" style="538" bestFit="1" customWidth="1"/>
    <col min="9508" max="9508" width="13.42578125" style="538" bestFit="1" customWidth="1"/>
    <col min="9509" max="9509" width="14.140625" style="538" bestFit="1" customWidth="1"/>
    <col min="9510" max="9510" width="14" style="538" bestFit="1" customWidth="1"/>
    <col min="9511" max="9728" width="9.140625" style="538"/>
    <col min="9729" max="9729" width="57.28515625" style="538" customWidth="1"/>
    <col min="9730" max="9730" width="14.140625" style="538" bestFit="1" customWidth="1"/>
    <col min="9731" max="9731" width="13.42578125" style="538" bestFit="1" customWidth="1"/>
    <col min="9732" max="9732" width="14.140625" style="538" bestFit="1" customWidth="1"/>
    <col min="9733" max="9733" width="14" style="538" bestFit="1" customWidth="1"/>
    <col min="9734" max="9734" width="14.42578125" style="538" bestFit="1" customWidth="1"/>
    <col min="9735" max="9735" width="13.42578125" style="538" bestFit="1" customWidth="1"/>
    <col min="9736" max="9736" width="14.140625" style="538" bestFit="1" customWidth="1"/>
    <col min="9737" max="9737" width="13.42578125" style="538" bestFit="1" customWidth="1"/>
    <col min="9738" max="9740" width="14" style="538" bestFit="1" customWidth="1"/>
    <col min="9741" max="9741" width="13.42578125" style="538" bestFit="1" customWidth="1"/>
    <col min="9742" max="9742" width="14" style="538" bestFit="1" customWidth="1"/>
    <col min="9743" max="9743" width="14.7109375" style="538" bestFit="1" customWidth="1"/>
    <col min="9744" max="9744" width="14.140625" style="538" bestFit="1" customWidth="1"/>
    <col min="9745" max="9745" width="13.28515625" style="538" bestFit="1" customWidth="1"/>
    <col min="9746" max="9746" width="13.7109375" style="538" bestFit="1" customWidth="1"/>
    <col min="9747" max="9747" width="14" style="538" bestFit="1" customWidth="1"/>
    <col min="9748" max="9750" width="14.140625" style="538" bestFit="1" customWidth="1"/>
    <col min="9751" max="9751" width="13.42578125" style="538" bestFit="1" customWidth="1"/>
    <col min="9752" max="9752" width="14.140625" style="538" bestFit="1" customWidth="1"/>
    <col min="9753" max="9759" width="14" style="538" bestFit="1" customWidth="1"/>
    <col min="9760" max="9760" width="14.140625" style="538" bestFit="1" customWidth="1"/>
    <col min="9761" max="9762" width="13.28515625" style="538" bestFit="1" customWidth="1"/>
    <col min="9763" max="9763" width="14" style="538" bestFit="1" customWidth="1"/>
    <col min="9764" max="9764" width="13.42578125" style="538" bestFit="1" customWidth="1"/>
    <col min="9765" max="9765" width="14.140625" style="538" bestFit="1" customWidth="1"/>
    <col min="9766" max="9766" width="14" style="538" bestFit="1" customWidth="1"/>
    <col min="9767" max="9984" width="9.140625" style="538"/>
    <col min="9985" max="9985" width="57.28515625" style="538" customWidth="1"/>
    <col min="9986" max="9986" width="14.140625" style="538" bestFit="1" customWidth="1"/>
    <col min="9987" max="9987" width="13.42578125" style="538" bestFit="1" customWidth="1"/>
    <col min="9988" max="9988" width="14.140625" style="538" bestFit="1" customWidth="1"/>
    <col min="9989" max="9989" width="14" style="538" bestFit="1" customWidth="1"/>
    <col min="9990" max="9990" width="14.42578125" style="538" bestFit="1" customWidth="1"/>
    <col min="9991" max="9991" width="13.42578125" style="538" bestFit="1" customWidth="1"/>
    <col min="9992" max="9992" width="14.140625" style="538" bestFit="1" customWidth="1"/>
    <col min="9993" max="9993" width="13.42578125" style="538" bestFit="1" customWidth="1"/>
    <col min="9994" max="9996" width="14" style="538" bestFit="1" customWidth="1"/>
    <col min="9997" max="9997" width="13.42578125" style="538" bestFit="1" customWidth="1"/>
    <col min="9998" max="9998" width="14" style="538" bestFit="1" customWidth="1"/>
    <col min="9999" max="9999" width="14.7109375" style="538" bestFit="1" customWidth="1"/>
    <col min="10000" max="10000" width="14.140625" style="538" bestFit="1" customWidth="1"/>
    <col min="10001" max="10001" width="13.28515625" style="538" bestFit="1" customWidth="1"/>
    <col min="10002" max="10002" width="13.7109375" style="538" bestFit="1" customWidth="1"/>
    <col min="10003" max="10003" width="14" style="538" bestFit="1" customWidth="1"/>
    <col min="10004" max="10006" width="14.140625" style="538" bestFit="1" customWidth="1"/>
    <col min="10007" max="10007" width="13.42578125" style="538" bestFit="1" customWidth="1"/>
    <col min="10008" max="10008" width="14.140625" style="538" bestFit="1" customWidth="1"/>
    <col min="10009" max="10015" width="14" style="538" bestFit="1" customWidth="1"/>
    <col min="10016" max="10016" width="14.140625" style="538" bestFit="1" customWidth="1"/>
    <col min="10017" max="10018" width="13.28515625" style="538" bestFit="1" customWidth="1"/>
    <col min="10019" max="10019" width="14" style="538" bestFit="1" customWidth="1"/>
    <col min="10020" max="10020" width="13.42578125" style="538" bestFit="1" customWidth="1"/>
    <col min="10021" max="10021" width="14.140625" style="538" bestFit="1" customWidth="1"/>
    <col min="10022" max="10022" width="14" style="538" bestFit="1" customWidth="1"/>
    <col min="10023" max="10240" width="9.140625" style="538"/>
    <col min="10241" max="10241" width="57.28515625" style="538" customWidth="1"/>
    <col min="10242" max="10242" width="14.140625" style="538" bestFit="1" customWidth="1"/>
    <col min="10243" max="10243" width="13.42578125" style="538" bestFit="1" customWidth="1"/>
    <col min="10244" max="10244" width="14.140625" style="538" bestFit="1" customWidth="1"/>
    <col min="10245" max="10245" width="14" style="538" bestFit="1" customWidth="1"/>
    <col min="10246" max="10246" width="14.42578125" style="538" bestFit="1" customWidth="1"/>
    <col min="10247" max="10247" width="13.42578125" style="538" bestFit="1" customWidth="1"/>
    <col min="10248" max="10248" width="14.140625" style="538" bestFit="1" customWidth="1"/>
    <col min="10249" max="10249" width="13.42578125" style="538" bestFit="1" customWidth="1"/>
    <col min="10250" max="10252" width="14" style="538" bestFit="1" customWidth="1"/>
    <col min="10253" max="10253" width="13.42578125" style="538" bestFit="1" customWidth="1"/>
    <col min="10254" max="10254" width="14" style="538" bestFit="1" customWidth="1"/>
    <col min="10255" max="10255" width="14.7109375" style="538" bestFit="1" customWidth="1"/>
    <col min="10256" max="10256" width="14.140625" style="538" bestFit="1" customWidth="1"/>
    <col min="10257" max="10257" width="13.28515625" style="538" bestFit="1" customWidth="1"/>
    <col min="10258" max="10258" width="13.7109375" style="538" bestFit="1" customWidth="1"/>
    <col min="10259" max="10259" width="14" style="538" bestFit="1" customWidth="1"/>
    <col min="10260" max="10262" width="14.140625" style="538" bestFit="1" customWidth="1"/>
    <col min="10263" max="10263" width="13.42578125" style="538" bestFit="1" customWidth="1"/>
    <col min="10264" max="10264" width="14.140625" style="538" bestFit="1" customWidth="1"/>
    <col min="10265" max="10271" width="14" style="538" bestFit="1" customWidth="1"/>
    <col min="10272" max="10272" width="14.140625" style="538" bestFit="1" customWidth="1"/>
    <col min="10273" max="10274" width="13.28515625" style="538" bestFit="1" customWidth="1"/>
    <col min="10275" max="10275" width="14" style="538" bestFit="1" customWidth="1"/>
    <col min="10276" max="10276" width="13.42578125" style="538" bestFit="1" customWidth="1"/>
    <col min="10277" max="10277" width="14.140625" style="538" bestFit="1" customWidth="1"/>
    <col min="10278" max="10278" width="14" style="538" bestFit="1" customWidth="1"/>
    <col min="10279" max="10496" width="9.140625" style="538"/>
    <col min="10497" max="10497" width="57.28515625" style="538" customWidth="1"/>
    <col min="10498" max="10498" width="14.140625" style="538" bestFit="1" customWidth="1"/>
    <col min="10499" max="10499" width="13.42578125" style="538" bestFit="1" customWidth="1"/>
    <col min="10500" max="10500" width="14.140625" style="538" bestFit="1" customWidth="1"/>
    <col min="10501" max="10501" width="14" style="538" bestFit="1" customWidth="1"/>
    <col min="10502" max="10502" width="14.42578125" style="538" bestFit="1" customWidth="1"/>
    <col min="10503" max="10503" width="13.42578125" style="538" bestFit="1" customWidth="1"/>
    <col min="10504" max="10504" width="14.140625" style="538" bestFit="1" customWidth="1"/>
    <col min="10505" max="10505" width="13.42578125" style="538" bestFit="1" customWidth="1"/>
    <col min="10506" max="10508" width="14" style="538" bestFit="1" customWidth="1"/>
    <col min="10509" max="10509" width="13.42578125" style="538" bestFit="1" customWidth="1"/>
    <col min="10510" max="10510" width="14" style="538" bestFit="1" customWidth="1"/>
    <col min="10511" max="10511" width="14.7109375" style="538" bestFit="1" customWidth="1"/>
    <col min="10512" max="10512" width="14.140625" style="538" bestFit="1" customWidth="1"/>
    <col min="10513" max="10513" width="13.28515625" style="538" bestFit="1" customWidth="1"/>
    <col min="10514" max="10514" width="13.7109375" style="538" bestFit="1" customWidth="1"/>
    <col min="10515" max="10515" width="14" style="538" bestFit="1" customWidth="1"/>
    <col min="10516" max="10518" width="14.140625" style="538" bestFit="1" customWidth="1"/>
    <col min="10519" max="10519" width="13.42578125" style="538" bestFit="1" customWidth="1"/>
    <col min="10520" max="10520" width="14.140625" style="538" bestFit="1" customWidth="1"/>
    <col min="10521" max="10527" width="14" style="538" bestFit="1" customWidth="1"/>
    <col min="10528" max="10528" width="14.140625" style="538" bestFit="1" customWidth="1"/>
    <col min="10529" max="10530" width="13.28515625" style="538" bestFit="1" customWidth="1"/>
    <col min="10531" max="10531" width="14" style="538" bestFit="1" customWidth="1"/>
    <col min="10532" max="10532" width="13.42578125" style="538" bestFit="1" customWidth="1"/>
    <col min="10533" max="10533" width="14.140625" style="538" bestFit="1" customWidth="1"/>
    <col min="10534" max="10534" width="14" style="538" bestFit="1" customWidth="1"/>
    <col min="10535" max="10752" width="9.140625" style="538"/>
    <col min="10753" max="10753" width="57.28515625" style="538" customWidth="1"/>
    <col min="10754" max="10754" width="14.140625" style="538" bestFit="1" customWidth="1"/>
    <col min="10755" max="10755" width="13.42578125" style="538" bestFit="1" customWidth="1"/>
    <col min="10756" max="10756" width="14.140625" style="538" bestFit="1" customWidth="1"/>
    <col min="10757" max="10757" width="14" style="538" bestFit="1" customWidth="1"/>
    <col min="10758" max="10758" width="14.42578125" style="538" bestFit="1" customWidth="1"/>
    <col min="10759" max="10759" width="13.42578125" style="538" bestFit="1" customWidth="1"/>
    <col min="10760" max="10760" width="14.140625" style="538" bestFit="1" customWidth="1"/>
    <col min="10761" max="10761" width="13.42578125" style="538" bestFit="1" customWidth="1"/>
    <col min="10762" max="10764" width="14" style="538" bestFit="1" customWidth="1"/>
    <col min="10765" max="10765" width="13.42578125" style="538" bestFit="1" customWidth="1"/>
    <col min="10766" max="10766" width="14" style="538" bestFit="1" customWidth="1"/>
    <col min="10767" max="10767" width="14.7109375" style="538" bestFit="1" customWidth="1"/>
    <col min="10768" max="10768" width="14.140625" style="538" bestFit="1" customWidth="1"/>
    <col min="10769" max="10769" width="13.28515625" style="538" bestFit="1" customWidth="1"/>
    <col min="10770" max="10770" width="13.7109375" style="538" bestFit="1" customWidth="1"/>
    <col min="10771" max="10771" width="14" style="538" bestFit="1" customWidth="1"/>
    <col min="10772" max="10774" width="14.140625" style="538" bestFit="1" customWidth="1"/>
    <col min="10775" max="10775" width="13.42578125" style="538" bestFit="1" customWidth="1"/>
    <col min="10776" max="10776" width="14.140625" style="538" bestFit="1" customWidth="1"/>
    <col min="10777" max="10783" width="14" style="538" bestFit="1" customWidth="1"/>
    <col min="10784" max="10784" width="14.140625" style="538" bestFit="1" customWidth="1"/>
    <col min="10785" max="10786" width="13.28515625" style="538" bestFit="1" customWidth="1"/>
    <col min="10787" max="10787" width="14" style="538" bestFit="1" customWidth="1"/>
    <col min="10788" max="10788" width="13.42578125" style="538" bestFit="1" customWidth="1"/>
    <col min="10789" max="10789" width="14.140625" style="538" bestFit="1" customWidth="1"/>
    <col min="10790" max="10790" width="14" style="538" bestFit="1" customWidth="1"/>
    <col min="10791" max="11008" width="9.140625" style="538"/>
    <col min="11009" max="11009" width="57.28515625" style="538" customWidth="1"/>
    <col min="11010" max="11010" width="14.140625" style="538" bestFit="1" customWidth="1"/>
    <col min="11011" max="11011" width="13.42578125" style="538" bestFit="1" customWidth="1"/>
    <col min="11012" max="11012" width="14.140625" style="538" bestFit="1" customWidth="1"/>
    <col min="11013" max="11013" width="14" style="538" bestFit="1" customWidth="1"/>
    <col min="11014" max="11014" width="14.42578125" style="538" bestFit="1" customWidth="1"/>
    <col min="11015" max="11015" width="13.42578125" style="538" bestFit="1" customWidth="1"/>
    <col min="11016" max="11016" width="14.140625" style="538" bestFit="1" customWidth="1"/>
    <col min="11017" max="11017" width="13.42578125" style="538" bestFit="1" customWidth="1"/>
    <col min="11018" max="11020" width="14" style="538" bestFit="1" customWidth="1"/>
    <col min="11021" max="11021" width="13.42578125" style="538" bestFit="1" customWidth="1"/>
    <col min="11022" max="11022" width="14" style="538" bestFit="1" customWidth="1"/>
    <col min="11023" max="11023" width="14.7109375" style="538" bestFit="1" customWidth="1"/>
    <col min="11024" max="11024" width="14.140625" style="538" bestFit="1" customWidth="1"/>
    <col min="11025" max="11025" width="13.28515625" style="538" bestFit="1" customWidth="1"/>
    <col min="11026" max="11026" width="13.7109375" style="538" bestFit="1" customWidth="1"/>
    <col min="11027" max="11027" width="14" style="538" bestFit="1" customWidth="1"/>
    <col min="11028" max="11030" width="14.140625" style="538" bestFit="1" customWidth="1"/>
    <col min="11031" max="11031" width="13.42578125" style="538" bestFit="1" customWidth="1"/>
    <col min="11032" max="11032" width="14.140625" style="538" bestFit="1" customWidth="1"/>
    <col min="11033" max="11039" width="14" style="538" bestFit="1" customWidth="1"/>
    <col min="11040" max="11040" width="14.140625" style="538" bestFit="1" customWidth="1"/>
    <col min="11041" max="11042" width="13.28515625" style="538" bestFit="1" customWidth="1"/>
    <col min="11043" max="11043" width="14" style="538" bestFit="1" customWidth="1"/>
    <col min="11044" max="11044" width="13.42578125" style="538" bestFit="1" customWidth="1"/>
    <col min="11045" max="11045" width="14.140625" style="538" bestFit="1" customWidth="1"/>
    <col min="11046" max="11046" width="14" style="538" bestFit="1" customWidth="1"/>
    <col min="11047" max="11264" width="9.140625" style="538"/>
    <col min="11265" max="11265" width="57.28515625" style="538" customWidth="1"/>
    <col min="11266" max="11266" width="14.140625" style="538" bestFit="1" customWidth="1"/>
    <col min="11267" max="11267" width="13.42578125" style="538" bestFit="1" customWidth="1"/>
    <col min="11268" max="11268" width="14.140625" style="538" bestFit="1" customWidth="1"/>
    <col min="11269" max="11269" width="14" style="538" bestFit="1" customWidth="1"/>
    <col min="11270" max="11270" width="14.42578125" style="538" bestFit="1" customWidth="1"/>
    <col min="11271" max="11271" width="13.42578125" style="538" bestFit="1" customWidth="1"/>
    <col min="11272" max="11272" width="14.140625" style="538" bestFit="1" customWidth="1"/>
    <col min="11273" max="11273" width="13.42578125" style="538" bestFit="1" customWidth="1"/>
    <col min="11274" max="11276" width="14" style="538" bestFit="1" customWidth="1"/>
    <col min="11277" max="11277" width="13.42578125" style="538" bestFit="1" customWidth="1"/>
    <col min="11278" max="11278" width="14" style="538" bestFit="1" customWidth="1"/>
    <col min="11279" max="11279" width="14.7109375" style="538" bestFit="1" customWidth="1"/>
    <col min="11280" max="11280" width="14.140625" style="538" bestFit="1" customWidth="1"/>
    <col min="11281" max="11281" width="13.28515625" style="538" bestFit="1" customWidth="1"/>
    <col min="11282" max="11282" width="13.7109375" style="538" bestFit="1" customWidth="1"/>
    <col min="11283" max="11283" width="14" style="538" bestFit="1" customWidth="1"/>
    <col min="11284" max="11286" width="14.140625" style="538" bestFit="1" customWidth="1"/>
    <col min="11287" max="11287" width="13.42578125" style="538" bestFit="1" customWidth="1"/>
    <col min="11288" max="11288" width="14.140625" style="538" bestFit="1" customWidth="1"/>
    <col min="11289" max="11295" width="14" style="538" bestFit="1" customWidth="1"/>
    <col min="11296" max="11296" width="14.140625" style="538" bestFit="1" customWidth="1"/>
    <col min="11297" max="11298" width="13.28515625" style="538" bestFit="1" customWidth="1"/>
    <col min="11299" max="11299" width="14" style="538" bestFit="1" customWidth="1"/>
    <col min="11300" max="11300" width="13.42578125" style="538" bestFit="1" customWidth="1"/>
    <col min="11301" max="11301" width="14.140625" style="538" bestFit="1" customWidth="1"/>
    <col min="11302" max="11302" width="14" style="538" bestFit="1" customWidth="1"/>
    <col min="11303" max="11520" width="9.140625" style="538"/>
    <col min="11521" max="11521" width="57.28515625" style="538" customWidth="1"/>
    <col min="11522" max="11522" width="14.140625" style="538" bestFit="1" customWidth="1"/>
    <col min="11523" max="11523" width="13.42578125" style="538" bestFit="1" customWidth="1"/>
    <col min="11524" max="11524" width="14.140625" style="538" bestFit="1" customWidth="1"/>
    <col min="11525" max="11525" width="14" style="538" bestFit="1" customWidth="1"/>
    <col min="11526" max="11526" width="14.42578125" style="538" bestFit="1" customWidth="1"/>
    <col min="11527" max="11527" width="13.42578125" style="538" bestFit="1" customWidth="1"/>
    <col min="11528" max="11528" width="14.140625" style="538" bestFit="1" customWidth="1"/>
    <col min="11529" max="11529" width="13.42578125" style="538" bestFit="1" customWidth="1"/>
    <col min="11530" max="11532" width="14" style="538" bestFit="1" customWidth="1"/>
    <col min="11533" max="11533" width="13.42578125" style="538" bestFit="1" customWidth="1"/>
    <col min="11534" max="11534" width="14" style="538" bestFit="1" customWidth="1"/>
    <col min="11535" max="11535" width="14.7109375" style="538" bestFit="1" customWidth="1"/>
    <col min="11536" max="11536" width="14.140625" style="538" bestFit="1" customWidth="1"/>
    <col min="11537" max="11537" width="13.28515625" style="538" bestFit="1" customWidth="1"/>
    <col min="11538" max="11538" width="13.7109375" style="538" bestFit="1" customWidth="1"/>
    <col min="11539" max="11539" width="14" style="538" bestFit="1" customWidth="1"/>
    <col min="11540" max="11542" width="14.140625" style="538" bestFit="1" customWidth="1"/>
    <col min="11543" max="11543" width="13.42578125" style="538" bestFit="1" customWidth="1"/>
    <col min="11544" max="11544" width="14.140625" style="538" bestFit="1" customWidth="1"/>
    <col min="11545" max="11551" width="14" style="538" bestFit="1" customWidth="1"/>
    <col min="11552" max="11552" width="14.140625" style="538" bestFit="1" customWidth="1"/>
    <col min="11553" max="11554" width="13.28515625" style="538" bestFit="1" customWidth="1"/>
    <col min="11555" max="11555" width="14" style="538" bestFit="1" customWidth="1"/>
    <col min="11556" max="11556" width="13.42578125" style="538" bestFit="1" customWidth="1"/>
    <col min="11557" max="11557" width="14.140625" style="538" bestFit="1" customWidth="1"/>
    <col min="11558" max="11558" width="14" style="538" bestFit="1" customWidth="1"/>
    <col min="11559" max="11776" width="9.140625" style="538"/>
    <col min="11777" max="11777" width="57.28515625" style="538" customWidth="1"/>
    <col min="11778" max="11778" width="14.140625" style="538" bestFit="1" customWidth="1"/>
    <col min="11779" max="11779" width="13.42578125" style="538" bestFit="1" customWidth="1"/>
    <col min="11780" max="11780" width="14.140625" style="538" bestFit="1" customWidth="1"/>
    <col min="11781" max="11781" width="14" style="538" bestFit="1" customWidth="1"/>
    <col min="11782" max="11782" width="14.42578125" style="538" bestFit="1" customWidth="1"/>
    <col min="11783" max="11783" width="13.42578125" style="538" bestFit="1" customWidth="1"/>
    <col min="11784" max="11784" width="14.140625" style="538" bestFit="1" customWidth="1"/>
    <col min="11785" max="11785" width="13.42578125" style="538" bestFit="1" customWidth="1"/>
    <col min="11786" max="11788" width="14" style="538" bestFit="1" customWidth="1"/>
    <col min="11789" max="11789" width="13.42578125" style="538" bestFit="1" customWidth="1"/>
    <col min="11790" max="11790" width="14" style="538" bestFit="1" customWidth="1"/>
    <col min="11791" max="11791" width="14.7109375" style="538" bestFit="1" customWidth="1"/>
    <col min="11792" max="11792" width="14.140625" style="538" bestFit="1" customWidth="1"/>
    <col min="11793" max="11793" width="13.28515625" style="538" bestFit="1" customWidth="1"/>
    <col min="11794" max="11794" width="13.7109375" style="538" bestFit="1" customWidth="1"/>
    <col min="11795" max="11795" width="14" style="538" bestFit="1" customWidth="1"/>
    <col min="11796" max="11798" width="14.140625" style="538" bestFit="1" customWidth="1"/>
    <col min="11799" max="11799" width="13.42578125" style="538" bestFit="1" customWidth="1"/>
    <col min="11800" max="11800" width="14.140625" style="538" bestFit="1" customWidth="1"/>
    <col min="11801" max="11807" width="14" style="538" bestFit="1" customWidth="1"/>
    <col min="11808" max="11808" width="14.140625" style="538" bestFit="1" customWidth="1"/>
    <col min="11809" max="11810" width="13.28515625" style="538" bestFit="1" customWidth="1"/>
    <col min="11811" max="11811" width="14" style="538" bestFit="1" customWidth="1"/>
    <col min="11812" max="11812" width="13.42578125" style="538" bestFit="1" customWidth="1"/>
    <col min="11813" max="11813" width="14.140625" style="538" bestFit="1" customWidth="1"/>
    <col min="11814" max="11814" width="14" style="538" bestFit="1" customWidth="1"/>
    <col min="11815" max="12032" width="9.140625" style="538"/>
    <col min="12033" max="12033" width="57.28515625" style="538" customWidth="1"/>
    <col min="12034" max="12034" width="14.140625" style="538" bestFit="1" customWidth="1"/>
    <col min="12035" max="12035" width="13.42578125" style="538" bestFit="1" customWidth="1"/>
    <col min="12036" max="12036" width="14.140625" style="538" bestFit="1" customWidth="1"/>
    <col min="12037" max="12037" width="14" style="538" bestFit="1" customWidth="1"/>
    <col min="12038" max="12038" width="14.42578125" style="538" bestFit="1" customWidth="1"/>
    <col min="12039" max="12039" width="13.42578125" style="538" bestFit="1" customWidth="1"/>
    <col min="12040" max="12040" width="14.140625" style="538" bestFit="1" customWidth="1"/>
    <col min="12041" max="12041" width="13.42578125" style="538" bestFit="1" customWidth="1"/>
    <col min="12042" max="12044" width="14" style="538" bestFit="1" customWidth="1"/>
    <col min="12045" max="12045" width="13.42578125" style="538" bestFit="1" customWidth="1"/>
    <col min="12046" max="12046" width="14" style="538" bestFit="1" customWidth="1"/>
    <col min="12047" max="12047" width="14.7109375" style="538" bestFit="1" customWidth="1"/>
    <col min="12048" max="12048" width="14.140625" style="538" bestFit="1" customWidth="1"/>
    <col min="12049" max="12049" width="13.28515625" style="538" bestFit="1" customWidth="1"/>
    <col min="12050" max="12050" width="13.7109375" style="538" bestFit="1" customWidth="1"/>
    <col min="12051" max="12051" width="14" style="538" bestFit="1" customWidth="1"/>
    <col min="12052" max="12054" width="14.140625" style="538" bestFit="1" customWidth="1"/>
    <col min="12055" max="12055" width="13.42578125" style="538" bestFit="1" customWidth="1"/>
    <col min="12056" max="12056" width="14.140625" style="538" bestFit="1" customWidth="1"/>
    <col min="12057" max="12063" width="14" style="538" bestFit="1" customWidth="1"/>
    <col min="12064" max="12064" width="14.140625" style="538" bestFit="1" customWidth="1"/>
    <col min="12065" max="12066" width="13.28515625" style="538" bestFit="1" customWidth="1"/>
    <col min="12067" max="12067" width="14" style="538" bestFit="1" customWidth="1"/>
    <col min="12068" max="12068" width="13.42578125" style="538" bestFit="1" customWidth="1"/>
    <col min="12069" max="12069" width="14.140625" style="538" bestFit="1" customWidth="1"/>
    <col min="12070" max="12070" width="14" style="538" bestFit="1" customWidth="1"/>
    <col min="12071" max="12288" width="9.140625" style="538"/>
    <col min="12289" max="12289" width="57.28515625" style="538" customWidth="1"/>
    <col min="12290" max="12290" width="14.140625" style="538" bestFit="1" customWidth="1"/>
    <col min="12291" max="12291" width="13.42578125" style="538" bestFit="1" customWidth="1"/>
    <col min="12292" max="12292" width="14.140625" style="538" bestFit="1" customWidth="1"/>
    <col min="12293" max="12293" width="14" style="538" bestFit="1" customWidth="1"/>
    <col min="12294" max="12294" width="14.42578125" style="538" bestFit="1" customWidth="1"/>
    <col min="12295" max="12295" width="13.42578125" style="538" bestFit="1" customWidth="1"/>
    <col min="12296" max="12296" width="14.140625" style="538" bestFit="1" customWidth="1"/>
    <col min="12297" max="12297" width="13.42578125" style="538" bestFit="1" customWidth="1"/>
    <col min="12298" max="12300" width="14" style="538" bestFit="1" customWidth="1"/>
    <col min="12301" max="12301" width="13.42578125" style="538" bestFit="1" customWidth="1"/>
    <col min="12302" max="12302" width="14" style="538" bestFit="1" customWidth="1"/>
    <col min="12303" max="12303" width="14.7109375" style="538" bestFit="1" customWidth="1"/>
    <col min="12304" max="12304" width="14.140625" style="538" bestFit="1" customWidth="1"/>
    <col min="12305" max="12305" width="13.28515625" style="538" bestFit="1" customWidth="1"/>
    <col min="12306" max="12306" width="13.7109375" style="538" bestFit="1" customWidth="1"/>
    <col min="12307" max="12307" width="14" style="538" bestFit="1" customWidth="1"/>
    <col min="12308" max="12310" width="14.140625" style="538" bestFit="1" customWidth="1"/>
    <col min="12311" max="12311" width="13.42578125" style="538" bestFit="1" customWidth="1"/>
    <col min="12312" max="12312" width="14.140625" style="538" bestFit="1" customWidth="1"/>
    <col min="12313" max="12319" width="14" style="538" bestFit="1" customWidth="1"/>
    <col min="12320" max="12320" width="14.140625" style="538" bestFit="1" customWidth="1"/>
    <col min="12321" max="12322" width="13.28515625" style="538" bestFit="1" customWidth="1"/>
    <col min="12323" max="12323" width="14" style="538" bestFit="1" customWidth="1"/>
    <col min="12324" max="12324" width="13.42578125" style="538" bestFit="1" customWidth="1"/>
    <col min="12325" max="12325" width="14.140625" style="538" bestFit="1" customWidth="1"/>
    <col min="12326" max="12326" width="14" style="538" bestFit="1" customWidth="1"/>
    <col min="12327" max="12544" width="9.140625" style="538"/>
    <col min="12545" max="12545" width="57.28515625" style="538" customWidth="1"/>
    <col min="12546" max="12546" width="14.140625" style="538" bestFit="1" customWidth="1"/>
    <col min="12547" max="12547" width="13.42578125" style="538" bestFit="1" customWidth="1"/>
    <col min="12548" max="12548" width="14.140625" style="538" bestFit="1" customWidth="1"/>
    <col min="12549" max="12549" width="14" style="538" bestFit="1" customWidth="1"/>
    <col min="12550" max="12550" width="14.42578125" style="538" bestFit="1" customWidth="1"/>
    <col min="12551" max="12551" width="13.42578125" style="538" bestFit="1" customWidth="1"/>
    <col min="12552" max="12552" width="14.140625" style="538" bestFit="1" customWidth="1"/>
    <col min="12553" max="12553" width="13.42578125" style="538" bestFit="1" customWidth="1"/>
    <col min="12554" max="12556" width="14" style="538" bestFit="1" customWidth="1"/>
    <col min="12557" max="12557" width="13.42578125" style="538" bestFit="1" customWidth="1"/>
    <col min="12558" max="12558" width="14" style="538" bestFit="1" customWidth="1"/>
    <col min="12559" max="12559" width="14.7109375" style="538" bestFit="1" customWidth="1"/>
    <col min="12560" max="12560" width="14.140625" style="538" bestFit="1" customWidth="1"/>
    <col min="12561" max="12561" width="13.28515625" style="538" bestFit="1" customWidth="1"/>
    <col min="12562" max="12562" width="13.7109375" style="538" bestFit="1" customWidth="1"/>
    <col min="12563" max="12563" width="14" style="538" bestFit="1" customWidth="1"/>
    <col min="12564" max="12566" width="14.140625" style="538" bestFit="1" customWidth="1"/>
    <col min="12567" max="12567" width="13.42578125" style="538" bestFit="1" customWidth="1"/>
    <col min="12568" max="12568" width="14.140625" style="538" bestFit="1" customWidth="1"/>
    <col min="12569" max="12575" width="14" style="538" bestFit="1" customWidth="1"/>
    <col min="12576" max="12576" width="14.140625" style="538" bestFit="1" customWidth="1"/>
    <col min="12577" max="12578" width="13.28515625" style="538" bestFit="1" customWidth="1"/>
    <col min="12579" max="12579" width="14" style="538" bestFit="1" customWidth="1"/>
    <col min="12580" max="12580" width="13.42578125" style="538" bestFit="1" customWidth="1"/>
    <col min="12581" max="12581" width="14.140625" style="538" bestFit="1" customWidth="1"/>
    <col min="12582" max="12582" width="14" style="538" bestFit="1" customWidth="1"/>
    <col min="12583" max="12800" width="9.140625" style="538"/>
    <col min="12801" max="12801" width="57.28515625" style="538" customWidth="1"/>
    <col min="12802" max="12802" width="14.140625" style="538" bestFit="1" customWidth="1"/>
    <col min="12803" max="12803" width="13.42578125" style="538" bestFit="1" customWidth="1"/>
    <col min="12804" max="12804" width="14.140625" style="538" bestFit="1" customWidth="1"/>
    <col min="12805" max="12805" width="14" style="538" bestFit="1" customWidth="1"/>
    <col min="12806" max="12806" width="14.42578125" style="538" bestFit="1" customWidth="1"/>
    <col min="12807" max="12807" width="13.42578125" style="538" bestFit="1" customWidth="1"/>
    <col min="12808" max="12808" width="14.140625" style="538" bestFit="1" customWidth="1"/>
    <col min="12809" max="12809" width="13.42578125" style="538" bestFit="1" customWidth="1"/>
    <col min="12810" max="12812" width="14" style="538" bestFit="1" customWidth="1"/>
    <col min="12813" max="12813" width="13.42578125" style="538" bestFit="1" customWidth="1"/>
    <col min="12814" max="12814" width="14" style="538" bestFit="1" customWidth="1"/>
    <col min="12815" max="12815" width="14.7109375" style="538" bestFit="1" customWidth="1"/>
    <col min="12816" max="12816" width="14.140625" style="538" bestFit="1" customWidth="1"/>
    <col min="12817" max="12817" width="13.28515625" style="538" bestFit="1" customWidth="1"/>
    <col min="12818" max="12818" width="13.7109375" style="538" bestFit="1" customWidth="1"/>
    <col min="12819" max="12819" width="14" style="538" bestFit="1" customWidth="1"/>
    <col min="12820" max="12822" width="14.140625" style="538" bestFit="1" customWidth="1"/>
    <col min="12823" max="12823" width="13.42578125" style="538" bestFit="1" customWidth="1"/>
    <col min="12824" max="12824" width="14.140625" style="538" bestFit="1" customWidth="1"/>
    <col min="12825" max="12831" width="14" style="538" bestFit="1" customWidth="1"/>
    <col min="12832" max="12832" width="14.140625" style="538" bestFit="1" customWidth="1"/>
    <col min="12833" max="12834" width="13.28515625" style="538" bestFit="1" customWidth="1"/>
    <col min="12835" max="12835" width="14" style="538" bestFit="1" customWidth="1"/>
    <col min="12836" max="12836" width="13.42578125" style="538" bestFit="1" customWidth="1"/>
    <col min="12837" max="12837" width="14.140625" style="538" bestFit="1" customWidth="1"/>
    <col min="12838" max="12838" width="14" style="538" bestFit="1" customWidth="1"/>
    <col min="12839" max="13056" width="9.140625" style="538"/>
    <col min="13057" max="13057" width="57.28515625" style="538" customWidth="1"/>
    <col min="13058" max="13058" width="14.140625" style="538" bestFit="1" customWidth="1"/>
    <col min="13059" max="13059" width="13.42578125" style="538" bestFit="1" customWidth="1"/>
    <col min="13060" max="13060" width="14.140625" style="538" bestFit="1" customWidth="1"/>
    <col min="13061" max="13061" width="14" style="538" bestFit="1" customWidth="1"/>
    <col min="13062" max="13062" width="14.42578125" style="538" bestFit="1" customWidth="1"/>
    <col min="13063" max="13063" width="13.42578125" style="538" bestFit="1" customWidth="1"/>
    <col min="13064" max="13064" width="14.140625" style="538" bestFit="1" customWidth="1"/>
    <col min="13065" max="13065" width="13.42578125" style="538" bestFit="1" customWidth="1"/>
    <col min="13066" max="13068" width="14" style="538" bestFit="1" customWidth="1"/>
    <col min="13069" max="13069" width="13.42578125" style="538" bestFit="1" customWidth="1"/>
    <col min="13070" max="13070" width="14" style="538" bestFit="1" customWidth="1"/>
    <col min="13071" max="13071" width="14.7109375" style="538" bestFit="1" customWidth="1"/>
    <col min="13072" max="13072" width="14.140625" style="538" bestFit="1" customWidth="1"/>
    <col min="13073" max="13073" width="13.28515625" style="538" bestFit="1" customWidth="1"/>
    <col min="13074" max="13074" width="13.7109375" style="538" bestFit="1" customWidth="1"/>
    <col min="13075" max="13075" width="14" style="538" bestFit="1" customWidth="1"/>
    <col min="13076" max="13078" width="14.140625" style="538" bestFit="1" customWidth="1"/>
    <col min="13079" max="13079" width="13.42578125" style="538" bestFit="1" customWidth="1"/>
    <col min="13080" max="13080" width="14.140625" style="538" bestFit="1" customWidth="1"/>
    <col min="13081" max="13087" width="14" style="538" bestFit="1" customWidth="1"/>
    <col min="13088" max="13088" width="14.140625" style="538" bestFit="1" customWidth="1"/>
    <col min="13089" max="13090" width="13.28515625" style="538" bestFit="1" customWidth="1"/>
    <col min="13091" max="13091" width="14" style="538" bestFit="1" customWidth="1"/>
    <col min="13092" max="13092" width="13.42578125" style="538" bestFit="1" customWidth="1"/>
    <col min="13093" max="13093" width="14.140625" style="538" bestFit="1" customWidth="1"/>
    <col min="13094" max="13094" width="14" style="538" bestFit="1" customWidth="1"/>
    <col min="13095" max="13312" width="9.140625" style="538"/>
    <col min="13313" max="13313" width="57.28515625" style="538" customWidth="1"/>
    <col min="13314" max="13314" width="14.140625" style="538" bestFit="1" customWidth="1"/>
    <col min="13315" max="13315" width="13.42578125" style="538" bestFit="1" customWidth="1"/>
    <col min="13316" max="13316" width="14.140625" style="538" bestFit="1" customWidth="1"/>
    <col min="13317" max="13317" width="14" style="538" bestFit="1" customWidth="1"/>
    <col min="13318" max="13318" width="14.42578125" style="538" bestFit="1" customWidth="1"/>
    <col min="13319" max="13319" width="13.42578125" style="538" bestFit="1" customWidth="1"/>
    <col min="13320" max="13320" width="14.140625" style="538" bestFit="1" customWidth="1"/>
    <col min="13321" max="13321" width="13.42578125" style="538" bestFit="1" customWidth="1"/>
    <col min="13322" max="13324" width="14" style="538" bestFit="1" customWidth="1"/>
    <col min="13325" max="13325" width="13.42578125" style="538" bestFit="1" customWidth="1"/>
    <col min="13326" max="13326" width="14" style="538" bestFit="1" customWidth="1"/>
    <col min="13327" max="13327" width="14.7109375" style="538" bestFit="1" customWidth="1"/>
    <col min="13328" max="13328" width="14.140625" style="538" bestFit="1" customWidth="1"/>
    <col min="13329" max="13329" width="13.28515625" style="538" bestFit="1" customWidth="1"/>
    <col min="13330" max="13330" width="13.7109375" style="538" bestFit="1" customWidth="1"/>
    <col min="13331" max="13331" width="14" style="538" bestFit="1" customWidth="1"/>
    <col min="13332" max="13334" width="14.140625" style="538" bestFit="1" customWidth="1"/>
    <col min="13335" max="13335" width="13.42578125" style="538" bestFit="1" customWidth="1"/>
    <col min="13336" max="13336" width="14.140625" style="538" bestFit="1" customWidth="1"/>
    <col min="13337" max="13343" width="14" style="538" bestFit="1" customWidth="1"/>
    <col min="13344" max="13344" width="14.140625" style="538" bestFit="1" customWidth="1"/>
    <col min="13345" max="13346" width="13.28515625" style="538" bestFit="1" customWidth="1"/>
    <col min="13347" max="13347" width="14" style="538" bestFit="1" customWidth="1"/>
    <col min="13348" max="13348" width="13.42578125" style="538" bestFit="1" customWidth="1"/>
    <col min="13349" max="13349" width="14.140625" style="538" bestFit="1" customWidth="1"/>
    <col min="13350" max="13350" width="14" style="538" bestFit="1" customWidth="1"/>
    <col min="13351" max="13568" width="9.140625" style="538"/>
    <col min="13569" max="13569" width="57.28515625" style="538" customWidth="1"/>
    <col min="13570" max="13570" width="14.140625" style="538" bestFit="1" customWidth="1"/>
    <col min="13571" max="13571" width="13.42578125" style="538" bestFit="1" customWidth="1"/>
    <col min="13572" max="13572" width="14.140625" style="538" bestFit="1" customWidth="1"/>
    <col min="13573" max="13573" width="14" style="538" bestFit="1" customWidth="1"/>
    <col min="13574" max="13574" width="14.42578125" style="538" bestFit="1" customWidth="1"/>
    <col min="13575" max="13575" width="13.42578125" style="538" bestFit="1" customWidth="1"/>
    <col min="13576" max="13576" width="14.140625" style="538" bestFit="1" customWidth="1"/>
    <col min="13577" max="13577" width="13.42578125" style="538" bestFit="1" customWidth="1"/>
    <col min="13578" max="13580" width="14" style="538" bestFit="1" customWidth="1"/>
    <col min="13581" max="13581" width="13.42578125" style="538" bestFit="1" customWidth="1"/>
    <col min="13582" max="13582" width="14" style="538" bestFit="1" customWidth="1"/>
    <col min="13583" max="13583" width="14.7109375" style="538" bestFit="1" customWidth="1"/>
    <col min="13584" max="13584" width="14.140625" style="538" bestFit="1" customWidth="1"/>
    <col min="13585" max="13585" width="13.28515625" style="538" bestFit="1" customWidth="1"/>
    <col min="13586" max="13586" width="13.7109375" style="538" bestFit="1" customWidth="1"/>
    <col min="13587" max="13587" width="14" style="538" bestFit="1" customWidth="1"/>
    <col min="13588" max="13590" width="14.140625" style="538" bestFit="1" customWidth="1"/>
    <col min="13591" max="13591" width="13.42578125" style="538" bestFit="1" customWidth="1"/>
    <col min="13592" max="13592" width="14.140625" style="538" bestFit="1" customWidth="1"/>
    <col min="13593" max="13599" width="14" style="538" bestFit="1" customWidth="1"/>
    <col min="13600" max="13600" width="14.140625" style="538" bestFit="1" customWidth="1"/>
    <col min="13601" max="13602" width="13.28515625" style="538" bestFit="1" customWidth="1"/>
    <col min="13603" max="13603" width="14" style="538" bestFit="1" customWidth="1"/>
    <col min="13604" max="13604" width="13.42578125" style="538" bestFit="1" customWidth="1"/>
    <col min="13605" max="13605" width="14.140625" style="538" bestFit="1" customWidth="1"/>
    <col min="13606" max="13606" width="14" style="538" bestFit="1" customWidth="1"/>
    <col min="13607" max="13824" width="9.140625" style="538"/>
    <col min="13825" max="13825" width="57.28515625" style="538" customWidth="1"/>
    <col min="13826" max="13826" width="14.140625" style="538" bestFit="1" customWidth="1"/>
    <col min="13827" max="13827" width="13.42578125" style="538" bestFit="1" customWidth="1"/>
    <col min="13828" max="13828" width="14.140625" style="538" bestFit="1" customWidth="1"/>
    <col min="13829" max="13829" width="14" style="538" bestFit="1" customWidth="1"/>
    <col min="13830" max="13830" width="14.42578125" style="538" bestFit="1" customWidth="1"/>
    <col min="13831" max="13831" width="13.42578125" style="538" bestFit="1" customWidth="1"/>
    <col min="13832" max="13832" width="14.140625" style="538" bestFit="1" customWidth="1"/>
    <col min="13833" max="13833" width="13.42578125" style="538" bestFit="1" customWidth="1"/>
    <col min="13834" max="13836" width="14" style="538" bestFit="1" customWidth="1"/>
    <col min="13837" max="13837" width="13.42578125" style="538" bestFit="1" customWidth="1"/>
    <col min="13838" max="13838" width="14" style="538" bestFit="1" customWidth="1"/>
    <col min="13839" max="13839" width="14.7109375" style="538" bestFit="1" customWidth="1"/>
    <col min="13840" max="13840" width="14.140625" style="538" bestFit="1" customWidth="1"/>
    <col min="13841" max="13841" width="13.28515625" style="538" bestFit="1" customWidth="1"/>
    <col min="13842" max="13842" width="13.7109375" style="538" bestFit="1" customWidth="1"/>
    <col min="13843" max="13843" width="14" style="538" bestFit="1" customWidth="1"/>
    <col min="13844" max="13846" width="14.140625" style="538" bestFit="1" customWidth="1"/>
    <col min="13847" max="13847" width="13.42578125" style="538" bestFit="1" customWidth="1"/>
    <col min="13848" max="13848" width="14.140625" style="538" bestFit="1" customWidth="1"/>
    <col min="13849" max="13855" width="14" style="538" bestFit="1" customWidth="1"/>
    <col min="13856" max="13856" width="14.140625" style="538" bestFit="1" customWidth="1"/>
    <col min="13857" max="13858" width="13.28515625" style="538" bestFit="1" customWidth="1"/>
    <col min="13859" max="13859" width="14" style="538" bestFit="1" customWidth="1"/>
    <col min="13860" max="13860" width="13.42578125" style="538" bestFit="1" customWidth="1"/>
    <col min="13861" max="13861" width="14.140625" style="538" bestFit="1" customWidth="1"/>
    <col min="13862" max="13862" width="14" style="538" bestFit="1" customWidth="1"/>
    <col min="13863" max="14080" width="9.140625" style="538"/>
    <col min="14081" max="14081" width="57.28515625" style="538" customWidth="1"/>
    <col min="14082" max="14082" width="14.140625" style="538" bestFit="1" customWidth="1"/>
    <col min="14083" max="14083" width="13.42578125" style="538" bestFit="1" customWidth="1"/>
    <col min="14084" max="14084" width="14.140625" style="538" bestFit="1" customWidth="1"/>
    <col min="14085" max="14085" width="14" style="538" bestFit="1" customWidth="1"/>
    <col min="14086" max="14086" width="14.42578125" style="538" bestFit="1" customWidth="1"/>
    <col min="14087" max="14087" width="13.42578125" style="538" bestFit="1" customWidth="1"/>
    <col min="14088" max="14088" width="14.140625" style="538" bestFit="1" customWidth="1"/>
    <col min="14089" max="14089" width="13.42578125" style="538" bestFit="1" customWidth="1"/>
    <col min="14090" max="14092" width="14" style="538" bestFit="1" customWidth="1"/>
    <col min="14093" max="14093" width="13.42578125" style="538" bestFit="1" customWidth="1"/>
    <col min="14094" max="14094" width="14" style="538" bestFit="1" customWidth="1"/>
    <col min="14095" max="14095" width="14.7109375" style="538" bestFit="1" customWidth="1"/>
    <col min="14096" max="14096" width="14.140625" style="538" bestFit="1" customWidth="1"/>
    <col min="14097" max="14097" width="13.28515625" style="538" bestFit="1" customWidth="1"/>
    <col min="14098" max="14098" width="13.7109375" style="538" bestFit="1" customWidth="1"/>
    <col min="14099" max="14099" width="14" style="538" bestFit="1" customWidth="1"/>
    <col min="14100" max="14102" width="14.140625" style="538" bestFit="1" customWidth="1"/>
    <col min="14103" max="14103" width="13.42578125" style="538" bestFit="1" customWidth="1"/>
    <col min="14104" max="14104" width="14.140625" style="538" bestFit="1" customWidth="1"/>
    <col min="14105" max="14111" width="14" style="538" bestFit="1" customWidth="1"/>
    <col min="14112" max="14112" width="14.140625" style="538" bestFit="1" customWidth="1"/>
    <col min="14113" max="14114" width="13.28515625" style="538" bestFit="1" customWidth="1"/>
    <col min="14115" max="14115" width="14" style="538" bestFit="1" customWidth="1"/>
    <col min="14116" max="14116" width="13.42578125" style="538" bestFit="1" customWidth="1"/>
    <col min="14117" max="14117" width="14.140625" style="538" bestFit="1" customWidth="1"/>
    <col min="14118" max="14118" width="14" style="538" bestFit="1" customWidth="1"/>
    <col min="14119" max="14336" width="9.140625" style="538"/>
    <col min="14337" max="14337" width="57.28515625" style="538" customWidth="1"/>
    <col min="14338" max="14338" width="14.140625" style="538" bestFit="1" customWidth="1"/>
    <col min="14339" max="14339" width="13.42578125" style="538" bestFit="1" customWidth="1"/>
    <col min="14340" max="14340" width="14.140625" style="538" bestFit="1" customWidth="1"/>
    <col min="14341" max="14341" width="14" style="538" bestFit="1" customWidth="1"/>
    <col min="14342" max="14342" width="14.42578125" style="538" bestFit="1" customWidth="1"/>
    <col min="14343" max="14343" width="13.42578125" style="538" bestFit="1" customWidth="1"/>
    <col min="14344" max="14344" width="14.140625" style="538" bestFit="1" customWidth="1"/>
    <col min="14345" max="14345" width="13.42578125" style="538" bestFit="1" customWidth="1"/>
    <col min="14346" max="14348" width="14" style="538" bestFit="1" customWidth="1"/>
    <col min="14349" max="14349" width="13.42578125" style="538" bestFit="1" customWidth="1"/>
    <col min="14350" max="14350" width="14" style="538" bestFit="1" customWidth="1"/>
    <col min="14351" max="14351" width="14.7109375" style="538" bestFit="1" customWidth="1"/>
    <col min="14352" max="14352" width="14.140625" style="538" bestFit="1" customWidth="1"/>
    <col min="14353" max="14353" width="13.28515625" style="538" bestFit="1" customWidth="1"/>
    <col min="14354" max="14354" width="13.7109375" style="538" bestFit="1" customWidth="1"/>
    <col min="14355" max="14355" width="14" style="538" bestFit="1" customWidth="1"/>
    <col min="14356" max="14358" width="14.140625" style="538" bestFit="1" customWidth="1"/>
    <col min="14359" max="14359" width="13.42578125" style="538" bestFit="1" customWidth="1"/>
    <col min="14360" max="14360" width="14.140625" style="538" bestFit="1" customWidth="1"/>
    <col min="14361" max="14367" width="14" style="538" bestFit="1" customWidth="1"/>
    <col min="14368" max="14368" width="14.140625" style="538" bestFit="1" customWidth="1"/>
    <col min="14369" max="14370" width="13.28515625" style="538" bestFit="1" customWidth="1"/>
    <col min="14371" max="14371" width="14" style="538" bestFit="1" customWidth="1"/>
    <col min="14372" max="14372" width="13.42578125" style="538" bestFit="1" customWidth="1"/>
    <col min="14373" max="14373" width="14.140625" style="538" bestFit="1" customWidth="1"/>
    <col min="14374" max="14374" width="14" style="538" bestFit="1" customWidth="1"/>
    <col min="14375" max="14592" width="9.140625" style="538"/>
    <col min="14593" max="14593" width="57.28515625" style="538" customWidth="1"/>
    <col min="14594" max="14594" width="14.140625" style="538" bestFit="1" customWidth="1"/>
    <col min="14595" max="14595" width="13.42578125" style="538" bestFit="1" customWidth="1"/>
    <col min="14596" max="14596" width="14.140625" style="538" bestFit="1" customWidth="1"/>
    <col min="14597" max="14597" width="14" style="538" bestFit="1" customWidth="1"/>
    <col min="14598" max="14598" width="14.42578125" style="538" bestFit="1" customWidth="1"/>
    <col min="14599" max="14599" width="13.42578125" style="538" bestFit="1" customWidth="1"/>
    <col min="14600" max="14600" width="14.140625" style="538" bestFit="1" customWidth="1"/>
    <col min="14601" max="14601" width="13.42578125" style="538" bestFit="1" customWidth="1"/>
    <col min="14602" max="14604" width="14" style="538" bestFit="1" customWidth="1"/>
    <col min="14605" max="14605" width="13.42578125" style="538" bestFit="1" customWidth="1"/>
    <col min="14606" max="14606" width="14" style="538" bestFit="1" customWidth="1"/>
    <col min="14607" max="14607" width="14.7109375" style="538" bestFit="1" customWidth="1"/>
    <col min="14608" max="14608" width="14.140625" style="538" bestFit="1" customWidth="1"/>
    <col min="14609" max="14609" width="13.28515625" style="538" bestFit="1" customWidth="1"/>
    <col min="14610" max="14610" width="13.7109375" style="538" bestFit="1" customWidth="1"/>
    <col min="14611" max="14611" width="14" style="538" bestFit="1" customWidth="1"/>
    <col min="14612" max="14614" width="14.140625" style="538" bestFit="1" customWidth="1"/>
    <col min="14615" max="14615" width="13.42578125" style="538" bestFit="1" customWidth="1"/>
    <col min="14616" max="14616" width="14.140625" style="538" bestFit="1" customWidth="1"/>
    <col min="14617" max="14623" width="14" style="538" bestFit="1" customWidth="1"/>
    <col min="14624" max="14624" width="14.140625" style="538" bestFit="1" customWidth="1"/>
    <col min="14625" max="14626" width="13.28515625" style="538" bestFit="1" customWidth="1"/>
    <col min="14627" max="14627" width="14" style="538" bestFit="1" customWidth="1"/>
    <col min="14628" max="14628" width="13.42578125" style="538" bestFit="1" customWidth="1"/>
    <col min="14629" max="14629" width="14.140625" style="538" bestFit="1" customWidth="1"/>
    <col min="14630" max="14630" width="14" style="538" bestFit="1" customWidth="1"/>
    <col min="14631" max="14848" width="9.140625" style="538"/>
    <col min="14849" max="14849" width="57.28515625" style="538" customWidth="1"/>
    <col min="14850" max="14850" width="14.140625" style="538" bestFit="1" customWidth="1"/>
    <col min="14851" max="14851" width="13.42578125" style="538" bestFit="1" customWidth="1"/>
    <col min="14852" max="14852" width="14.140625" style="538" bestFit="1" customWidth="1"/>
    <col min="14853" max="14853" width="14" style="538" bestFit="1" customWidth="1"/>
    <col min="14854" max="14854" width="14.42578125" style="538" bestFit="1" customWidth="1"/>
    <col min="14855" max="14855" width="13.42578125" style="538" bestFit="1" customWidth="1"/>
    <col min="14856" max="14856" width="14.140625" style="538" bestFit="1" customWidth="1"/>
    <col min="14857" max="14857" width="13.42578125" style="538" bestFit="1" customWidth="1"/>
    <col min="14858" max="14860" width="14" style="538" bestFit="1" customWidth="1"/>
    <col min="14861" max="14861" width="13.42578125" style="538" bestFit="1" customWidth="1"/>
    <col min="14862" max="14862" width="14" style="538" bestFit="1" customWidth="1"/>
    <col min="14863" max="14863" width="14.7109375" style="538" bestFit="1" customWidth="1"/>
    <col min="14864" max="14864" width="14.140625" style="538" bestFit="1" customWidth="1"/>
    <col min="14865" max="14865" width="13.28515625" style="538" bestFit="1" customWidth="1"/>
    <col min="14866" max="14866" width="13.7109375" style="538" bestFit="1" customWidth="1"/>
    <col min="14867" max="14867" width="14" style="538" bestFit="1" customWidth="1"/>
    <col min="14868" max="14870" width="14.140625" style="538" bestFit="1" customWidth="1"/>
    <col min="14871" max="14871" width="13.42578125" style="538" bestFit="1" customWidth="1"/>
    <col min="14872" max="14872" width="14.140625" style="538" bestFit="1" customWidth="1"/>
    <col min="14873" max="14879" width="14" style="538" bestFit="1" customWidth="1"/>
    <col min="14880" max="14880" width="14.140625" style="538" bestFit="1" customWidth="1"/>
    <col min="14881" max="14882" width="13.28515625" style="538" bestFit="1" customWidth="1"/>
    <col min="14883" max="14883" width="14" style="538" bestFit="1" customWidth="1"/>
    <col min="14884" max="14884" width="13.42578125" style="538" bestFit="1" customWidth="1"/>
    <col min="14885" max="14885" width="14.140625" style="538" bestFit="1" customWidth="1"/>
    <col min="14886" max="14886" width="14" style="538" bestFit="1" customWidth="1"/>
    <col min="14887" max="15104" width="9.140625" style="538"/>
    <col min="15105" max="15105" width="57.28515625" style="538" customWidth="1"/>
    <col min="15106" max="15106" width="14.140625" style="538" bestFit="1" customWidth="1"/>
    <col min="15107" max="15107" width="13.42578125" style="538" bestFit="1" customWidth="1"/>
    <col min="15108" max="15108" width="14.140625" style="538" bestFit="1" customWidth="1"/>
    <col min="15109" max="15109" width="14" style="538" bestFit="1" customWidth="1"/>
    <col min="15110" max="15110" width="14.42578125" style="538" bestFit="1" customWidth="1"/>
    <col min="15111" max="15111" width="13.42578125" style="538" bestFit="1" customWidth="1"/>
    <col min="15112" max="15112" width="14.140625" style="538" bestFit="1" customWidth="1"/>
    <col min="15113" max="15113" width="13.42578125" style="538" bestFit="1" customWidth="1"/>
    <col min="15114" max="15116" width="14" style="538" bestFit="1" customWidth="1"/>
    <col min="15117" max="15117" width="13.42578125" style="538" bestFit="1" customWidth="1"/>
    <col min="15118" max="15118" width="14" style="538" bestFit="1" customWidth="1"/>
    <col min="15119" max="15119" width="14.7109375" style="538" bestFit="1" customWidth="1"/>
    <col min="15120" max="15120" width="14.140625" style="538" bestFit="1" customWidth="1"/>
    <col min="15121" max="15121" width="13.28515625" style="538" bestFit="1" customWidth="1"/>
    <col min="15122" max="15122" width="13.7109375" style="538" bestFit="1" customWidth="1"/>
    <col min="15123" max="15123" width="14" style="538" bestFit="1" customWidth="1"/>
    <col min="15124" max="15126" width="14.140625" style="538" bestFit="1" customWidth="1"/>
    <col min="15127" max="15127" width="13.42578125" style="538" bestFit="1" customWidth="1"/>
    <col min="15128" max="15128" width="14.140625" style="538" bestFit="1" customWidth="1"/>
    <col min="15129" max="15135" width="14" style="538" bestFit="1" customWidth="1"/>
    <col min="15136" max="15136" width="14.140625" style="538" bestFit="1" customWidth="1"/>
    <col min="15137" max="15138" width="13.28515625" style="538" bestFit="1" customWidth="1"/>
    <col min="15139" max="15139" width="14" style="538" bestFit="1" customWidth="1"/>
    <col min="15140" max="15140" width="13.42578125" style="538" bestFit="1" customWidth="1"/>
    <col min="15141" max="15141" width="14.140625" style="538" bestFit="1" customWidth="1"/>
    <col min="15142" max="15142" width="14" style="538" bestFit="1" customWidth="1"/>
    <col min="15143" max="15360" width="9.140625" style="538"/>
    <col min="15361" max="15361" width="57.28515625" style="538" customWidth="1"/>
    <col min="15362" max="15362" width="14.140625" style="538" bestFit="1" customWidth="1"/>
    <col min="15363" max="15363" width="13.42578125" style="538" bestFit="1" customWidth="1"/>
    <col min="15364" max="15364" width="14.140625" style="538" bestFit="1" customWidth="1"/>
    <col min="15365" max="15365" width="14" style="538" bestFit="1" customWidth="1"/>
    <col min="15366" max="15366" width="14.42578125" style="538" bestFit="1" customWidth="1"/>
    <col min="15367" max="15367" width="13.42578125" style="538" bestFit="1" customWidth="1"/>
    <col min="15368" max="15368" width="14.140625" style="538" bestFit="1" customWidth="1"/>
    <col min="15369" max="15369" width="13.42578125" style="538" bestFit="1" customWidth="1"/>
    <col min="15370" max="15372" width="14" style="538" bestFit="1" customWidth="1"/>
    <col min="15373" max="15373" width="13.42578125" style="538" bestFit="1" customWidth="1"/>
    <col min="15374" max="15374" width="14" style="538" bestFit="1" customWidth="1"/>
    <col min="15375" max="15375" width="14.7109375" style="538" bestFit="1" customWidth="1"/>
    <col min="15376" max="15376" width="14.140625" style="538" bestFit="1" customWidth="1"/>
    <col min="15377" max="15377" width="13.28515625" style="538" bestFit="1" customWidth="1"/>
    <col min="15378" max="15378" width="13.7109375" style="538" bestFit="1" customWidth="1"/>
    <col min="15379" max="15379" width="14" style="538" bestFit="1" customWidth="1"/>
    <col min="15380" max="15382" width="14.140625" style="538" bestFit="1" customWidth="1"/>
    <col min="15383" max="15383" width="13.42578125" style="538" bestFit="1" customWidth="1"/>
    <col min="15384" max="15384" width="14.140625" style="538" bestFit="1" customWidth="1"/>
    <col min="15385" max="15391" width="14" style="538" bestFit="1" customWidth="1"/>
    <col min="15392" max="15392" width="14.140625" style="538" bestFit="1" customWidth="1"/>
    <col min="15393" max="15394" width="13.28515625" style="538" bestFit="1" customWidth="1"/>
    <col min="15395" max="15395" width="14" style="538" bestFit="1" customWidth="1"/>
    <col min="15396" max="15396" width="13.42578125" style="538" bestFit="1" customWidth="1"/>
    <col min="15397" max="15397" width="14.140625" style="538" bestFit="1" customWidth="1"/>
    <col min="15398" max="15398" width="14" style="538" bestFit="1" customWidth="1"/>
    <col min="15399" max="15616" width="9.140625" style="538"/>
    <col min="15617" max="15617" width="57.28515625" style="538" customWidth="1"/>
    <col min="15618" max="15618" width="14.140625" style="538" bestFit="1" customWidth="1"/>
    <col min="15619" max="15619" width="13.42578125" style="538" bestFit="1" customWidth="1"/>
    <col min="15620" max="15620" width="14.140625" style="538" bestFit="1" customWidth="1"/>
    <col min="15621" max="15621" width="14" style="538" bestFit="1" customWidth="1"/>
    <col min="15622" max="15622" width="14.42578125" style="538" bestFit="1" customWidth="1"/>
    <col min="15623" max="15623" width="13.42578125" style="538" bestFit="1" customWidth="1"/>
    <col min="15624" max="15624" width="14.140625" style="538" bestFit="1" customWidth="1"/>
    <col min="15625" max="15625" width="13.42578125" style="538" bestFit="1" customWidth="1"/>
    <col min="15626" max="15628" width="14" style="538" bestFit="1" customWidth="1"/>
    <col min="15629" max="15629" width="13.42578125" style="538" bestFit="1" customWidth="1"/>
    <col min="15630" max="15630" width="14" style="538" bestFit="1" customWidth="1"/>
    <col min="15631" max="15631" width="14.7109375" style="538" bestFit="1" customWidth="1"/>
    <col min="15632" max="15632" width="14.140625" style="538" bestFit="1" customWidth="1"/>
    <col min="15633" max="15633" width="13.28515625" style="538" bestFit="1" customWidth="1"/>
    <col min="15634" max="15634" width="13.7109375" style="538" bestFit="1" customWidth="1"/>
    <col min="15635" max="15635" width="14" style="538" bestFit="1" customWidth="1"/>
    <col min="15636" max="15638" width="14.140625" style="538" bestFit="1" customWidth="1"/>
    <col min="15639" max="15639" width="13.42578125" style="538" bestFit="1" customWidth="1"/>
    <col min="15640" max="15640" width="14.140625" style="538" bestFit="1" customWidth="1"/>
    <col min="15641" max="15647" width="14" style="538" bestFit="1" customWidth="1"/>
    <col min="15648" max="15648" width="14.140625" style="538" bestFit="1" customWidth="1"/>
    <col min="15649" max="15650" width="13.28515625" style="538" bestFit="1" customWidth="1"/>
    <col min="15651" max="15651" width="14" style="538" bestFit="1" customWidth="1"/>
    <col min="15652" max="15652" width="13.42578125" style="538" bestFit="1" customWidth="1"/>
    <col min="15653" max="15653" width="14.140625" style="538" bestFit="1" customWidth="1"/>
    <col min="15654" max="15654" width="14" style="538" bestFit="1" customWidth="1"/>
    <col min="15655" max="15872" width="9.140625" style="538"/>
    <col min="15873" max="15873" width="57.28515625" style="538" customWidth="1"/>
    <col min="15874" max="15874" width="14.140625" style="538" bestFit="1" customWidth="1"/>
    <col min="15875" max="15875" width="13.42578125" style="538" bestFit="1" customWidth="1"/>
    <col min="15876" max="15876" width="14.140625" style="538" bestFit="1" customWidth="1"/>
    <col min="15877" max="15877" width="14" style="538" bestFit="1" customWidth="1"/>
    <col min="15878" max="15878" width="14.42578125" style="538" bestFit="1" customWidth="1"/>
    <col min="15879" max="15879" width="13.42578125" style="538" bestFit="1" customWidth="1"/>
    <col min="15880" max="15880" width="14.140625" style="538" bestFit="1" customWidth="1"/>
    <col min="15881" max="15881" width="13.42578125" style="538" bestFit="1" customWidth="1"/>
    <col min="15882" max="15884" width="14" style="538" bestFit="1" customWidth="1"/>
    <col min="15885" max="15885" width="13.42578125" style="538" bestFit="1" customWidth="1"/>
    <col min="15886" max="15886" width="14" style="538" bestFit="1" customWidth="1"/>
    <col min="15887" max="15887" width="14.7109375" style="538" bestFit="1" customWidth="1"/>
    <col min="15888" max="15888" width="14.140625" style="538" bestFit="1" customWidth="1"/>
    <col min="15889" max="15889" width="13.28515625" style="538" bestFit="1" customWidth="1"/>
    <col min="15890" max="15890" width="13.7109375" style="538" bestFit="1" customWidth="1"/>
    <col min="15891" max="15891" width="14" style="538" bestFit="1" customWidth="1"/>
    <col min="15892" max="15894" width="14.140625" style="538" bestFit="1" customWidth="1"/>
    <col min="15895" max="15895" width="13.42578125" style="538" bestFit="1" customWidth="1"/>
    <col min="15896" max="15896" width="14.140625" style="538" bestFit="1" customWidth="1"/>
    <col min="15897" max="15903" width="14" style="538" bestFit="1" customWidth="1"/>
    <col min="15904" max="15904" width="14.140625" style="538" bestFit="1" customWidth="1"/>
    <col min="15905" max="15906" width="13.28515625" style="538" bestFit="1" customWidth="1"/>
    <col min="15907" max="15907" width="14" style="538" bestFit="1" customWidth="1"/>
    <col min="15908" max="15908" width="13.42578125" style="538" bestFit="1" customWidth="1"/>
    <col min="15909" max="15909" width="14.140625" style="538" bestFit="1" customWidth="1"/>
    <col min="15910" max="15910" width="14" style="538" bestFit="1" customWidth="1"/>
    <col min="15911" max="16128" width="9.140625" style="538"/>
    <col min="16129" max="16129" width="57.28515625" style="538" customWidth="1"/>
    <col min="16130" max="16130" width="14.140625" style="538" bestFit="1" customWidth="1"/>
    <col min="16131" max="16131" width="13.42578125" style="538" bestFit="1" customWidth="1"/>
    <col min="16132" max="16132" width="14.140625" style="538" bestFit="1" customWidth="1"/>
    <col min="16133" max="16133" width="14" style="538" bestFit="1" customWidth="1"/>
    <col min="16134" max="16134" width="14.42578125" style="538" bestFit="1" customWidth="1"/>
    <col min="16135" max="16135" width="13.42578125" style="538" bestFit="1" customWidth="1"/>
    <col min="16136" max="16136" width="14.140625" style="538" bestFit="1" customWidth="1"/>
    <col min="16137" max="16137" width="13.42578125" style="538" bestFit="1" customWidth="1"/>
    <col min="16138" max="16140" width="14" style="538" bestFit="1" customWidth="1"/>
    <col min="16141" max="16141" width="13.42578125" style="538" bestFit="1" customWidth="1"/>
    <col min="16142" max="16142" width="14" style="538" bestFit="1" customWidth="1"/>
    <col min="16143" max="16143" width="14.7109375" style="538" bestFit="1" customWidth="1"/>
    <col min="16144" max="16144" width="14.140625" style="538" bestFit="1" customWidth="1"/>
    <col min="16145" max="16145" width="13.28515625" style="538" bestFit="1" customWidth="1"/>
    <col min="16146" max="16146" width="13.7109375" style="538" bestFit="1" customWidth="1"/>
    <col min="16147" max="16147" width="14" style="538" bestFit="1" customWidth="1"/>
    <col min="16148" max="16150" width="14.140625" style="538" bestFit="1" customWidth="1"/>
    <col min="16151" max="16151" width="13.42578125" style="538" bestFit="1" customWidth="1"/>
    <col min="16152" max="16152" width="14.140625" style="538" bestFit="1" customWidth="1"/>
    <col min="16153" max="16159" width="14" style="538" bestFit="1" customWidth="1"/>
    <col min="16160" max="16160" width="14.140625" style="538" bestFit="1" customWidth="1"/>
    <col min="16161" max="16162" width="13.28515625" style="538" bestFit="1" customWidth="1"/>
    <col min="16163" max="16163" width="14" style="538" bestFit="1" customWidth="1"/>
    <col min="16164" max="16164" width="13.42578125" style="538" bestFit="1" customWidth="1"/>
    <col min="16165" max="16165" width="14.140625" style="538" bestFit="1" customWidth="1"/>
    <col min="16166" max="16166" width="14" style="538" bestFit="1" customWidth="1"/>
    <col min="16167" max="16384" width="9.140625" style="538"/>
  </cols>
  <sheetData>
    <row r="1" spans="1:38" ht="19.5">
      <c r="A1" s="573" t="s">
        <v>627</v>
      </c>
      <c r="AA1" s="539"/>
      <c r="AB1" s="539"/>
      <c r="AC1" s="539"/>
      <c r="AD1" s="539"/>
      <c r="AE1" s="539"/>
      <c r="AF1" s="539"/>
      <c r="AG1" s="539"/>
      <c r="AH1" s="539"/>
      <c r="AI1" s="539"/>
      <c r="AJ1" s="539"/>
      <c r="AK1" s="539"/>
      <c r="AL1" s="539"/>
    </row>
    <row r="2" spans="1:38" ht="5.0999999999999996" customHeight="1">
      <c r="A2" s="574"/>
    </row>
    <row r="3" spans="1:38" ht="15" customHeight="1">
      <c r="A3" s="574"/>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row>
    <row r="4" spans="1:38" ht="13.5" thickBot="1">
      <c r="A4" s="575"/>
      <c r="R4" s="541"/>
      <c r="S4" s="576"/>
      <c r="T4" s="577"/>
      <c r="U4" s="577"/>
      <c r="V4" s="577"/>
      <c r="W4" s="577"/>
      <c r="X4" s="577"/>
      <c r="Y4" s="577"/>
      <c r="Z4" s="577"/>
      <c r="AB4" s="577"/>
      <c r="AC4" s="577"/>
      <c r="AD4" s="577"/>
      <c r="AH4" s="577"/>
      <c r="AI4" s="577"/>
      <c r="AL4" s="577" t="s">
        <v>12</v>
      </c>
    </row>
    <row r="5" spans="1:38" ht="15.75" customHeight="1" thickTop="1" thickBot="1">
      <c r="A5" s="578"/>
      <c r="B5" s="543">
        <v>40179</v>
      </c>
      <c r="C5" s="543">
        <v>40210</v>
      </c>
      <c r="D5" s="543">
        <v>40238</v>
      </c>
      <c r="E5" s="543">
        <v>40269</v>
      </c>
      <c r="F5" s="543">
        <v>40299</v>
      </c>
      <c r="G5" s="543">
        <v>40330</v>
      </c>
      <c r="H5" s="543">
        <v>40360</v>
      </c>
      <c r="I5" s="543">
        <v>40391</v>
      </c>
      <c r="J5" s="543">
        <v>40422</v>
      </c>
      <c r="K5" s="543">
        <v>40452</v>
      </c>
      <c r="L5" s="543">
        <v>40483</v>
      </c>
      <c r="M5" s="543">
        <v>40513</v>
      </c>
      <c r="N5" s="543">
        <v>40544</v>
      </c>
      <c r="O5" s="543">
        <v>40575</v>
      </c>
      <c r="P5" s="543">
        <v>40603</v>
      </c>
      <c r="Q5" s="543">
        <v>40634</v>
      </c>
      <c r="R5" s="543">
        <v>40664</v>
      </c>
      <c r="S5" s="543">
        <v>40695</v>
      </c>
      <c r="T5" s="543">
        <v>40725</v>
      </c>
      <c r="U5" s="543">
        <v>40756</v>
      </c>
      <c r="V5" s="543">
        <v>40787</v>
      </c>
      <c r="W5" s="543">
        <v>40817</v>
      </c>
      <c r="X5" s="543">
        <v>40848</v>
      </c>
      <c r="Y5" s="543">
        <v>40878</v>
      </c>
      <c r="Z5" s="543">
        <v>40909</v>
      </c>
      <c r="AA5" s="543">
        <v>40940</v>
      </c>
      <c r="AB5" s="543">
        <v>40969</v>
      </c>
      <c r="AC5" s="543">
        <v>41000</v>
      </c>
      <c r="AD5" s="543">
        <v>41030</v>
      </c>
      <c r="AE5" s="543">
        <v>41061</v>
      </c>
      <c r="AF5" s="543">
        <v>41091</v>
      </c>
      <c r="AG5" s="543">
        <v>41122</v>
      </c>
      <c r="AH5" s="543">
        <v>41153</v>
      </c>
      <c r="AI5" s="543">
        <v>41183</v>
      </c>
      <c r="AJ5" s="543">
        <v>41214</v>
      </c>
      <c r="AK5" s="543">
        <v>41244</v>
      </c>
      <c r="AL5" s="544">
        <v>41275</v>
      </c>
    </row>
    <row r="6" spans="1:38" ht="5.0999999999999996" customHeight="1" thickTop="1">
      <c r="A6" s="555"/>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79"/>
    </row>
    <row r="7" spans="1:38" ht="15.75" customHeight="1">
      <c r="A7" s="551" t="s">
        <v>580</v>
      </c>
      <c r="B7" s="552">
        <v>355837.03116140142</v>
      </c>
      <c r="C7" s="552">
        <v>360605.04953497002</v>
      </c>
      <c r="D7" s="552">
        <v>364782.5979084057</v>
      </c>
      <c r="E7" s="552">
        <v>347836.52930073522</v>
      </c>
      <c r="F7" s="552">
        <v>398474.36596555047</v>
      </c>
      <c r="G7" s="552">
        <v>389200.51288481901</v>
      </c>
      <c r="H7" s="552">
        <v>349996.3624868911</v>
      </c>
      <c r="I7" s="552">
        <v>374559.74357372645</v>
      </c>
      <c r="J7" s="552">
        <v>374311.56619276927</v>
      </c>
      <c r="K7" s="552">
        <v>375558.9529931749</v>
      </c>
      <c r="L7" s="552">
        <v>387400.46029459574</v>
      </c>
      <c r="M7" s="552">
        <v>396025.74941314518</v>
      </c>
      <c r="N7" s="552">
        <v>397868.12297975575</v>
      </c>
      <c r="O7" s="552">
        <v>391740.02392533404</v>
      </c>
      <c r="P7" s="552">
        <v>362731.64003700012</v>
      </c>
      <c r="Q7" s="552">
        <v>376961.4054074281</v>
      </c>
      <c r="R7" s="552">
        <v>368985.79309799575</v>
      </c>
      <c r="S7" s="552">
        <v>398640.04925210681</v>
      </c>
      <c r="T7" s="552">
        <v>384262.82808588771</v>
      </c>
      <c r="U7" s="552">
        <v>367127.21882008214</v>
      </c>
      <c r="V7" s="552">
        <v>372146.50669052522</v>
      </c>
      <c r="W7" s="552">
        <v>373804.4944400455</v>
      </c>
      <c r="X7" s="552">
        <v>424939.29194978258</v>
      </c>
      <c r="Y7" s="552">
        <v>370755.1153975288</v>
      </c>
      <c r="Z7" s="552">
        <v>348029.36244730791</v>
      </c>
      <c r="AA7" s="552">
        <v>354708.02445732511</v>
      </c>
      <c r="AB7" s="552">
        <v>400460.7283425614</v>
      </c>
      <c r="AC7" s="552">
        <v>400880.36506270594</v>
      </c>
      <c r="AD7" s="552">
        <v>418934.88927327801</v>
      </c>
      <c r="AE7" s="552">
        <v>358615.76786022121</v>
      </c>
      <c r="AF7" s="552">
        <v>391317.48373264505</v>
      </c>
      <c r="AG7" s="552">
        <v>349407.08494980843</v>
      </c>
      <c r="AH7" s="552">
        <v>374495.6656296209</v>
      </c>
      <c r="AI7" s="552">
        <v>394291.12349107314</v>
      </c>
      <c r="AJ7" s="552">
        <v>396660.75575007958</v>
      </c>
      <c r="AK7" s="552">
        <v>401320.90685726877</v>
      </c>
      <c r="AL7" s="580">
        <v>425209.26168858795</v>
      </c>
    </row>
    <row r="8" spans="1:38" ht="15.75" customHeight="1">
      <c r="A8" s="555" t="s">
        <v>628</v>
      </c>
      <c r="B8" s="556">
        <v>620621.837699419</v>
      </c>
      <c r="C8" s="556">
        <v>642060.5751907127</v>
      </c>
      <c r="D8" s="556">
        <v>663429.32725319162</v>
      </c>
      <c r="E8" s="556">
        <v>660270.72395054298</v>
      </c>
      <c r="F8" s="556">
        <v>761396.68320768641</v>
      </c>
      <c r="G8" s="556">
        <v>740816.47303832963</v>
      </c>
      <c r="H8" s="556">
        <v>684450.63034732884</v>
      </c>
      <c r="I8" s="556">
        <v>719711.28924938058</v>
      </c>
      <c r="J8" s="556">
        <v>738966.31493576558</v>
      </c>
      <c r="K8" s="556">
        <v>755773.34799536539</v>
      </c>
      <c r="L8" s="556">
        <v>730427.97133117379</v>
      </c>
      <c r="M8" s="556">
        <v>779836.93405729183</v>
      </c>
      <c r="N8" s="556">
        <v>792904.66706368059</v>
      </c>
      <c r="O8" s="556">
        <v>799241.37941142917</v>
      </c>
      <c r="P8" s="556">
        <v>772002.0620707114</v>
      </c>
      <c r="Q8" s="556">
        <v>833074.86156630307</v>
      </c>
      <c r="R8" s="556">
        <v>760932.48047136737</v>
      </c>
      <c r="S8" s="556">
        <v>819704.2215900477</v>
      </c>
      <c r="T8" s="556">
        <v>792283.31229378958</v>
      </c>
      <c r="U8" s="556">
        <v>769573.7503542318</v>
      </c>
      <c r="V8" s="556">
        <v>849145.78153435339</v>
      </c>
      <c r="W8" s="556">
        <v>825213.0197940846</v>
      </c>
      <c r="X8" s="556">
        <v>854786.67227450153</v>
      </c>
      <c r="Y8" s="556">
        <v>863396.30990770692</v>
      </c>
      <c r="Z8" s="556">
        <v>883499.28029810451</v>
      </c>
      <c r="AA8" s="556">
        <v>924410.43065504672</v>
      </c>
      <c r="AB8" s="556">
        <v>935054.73596600047</v>
      </c>
      <c r="AC8" s="556">
        <v>908344.72760092339</v>
      </c>
      <c r="AD8" s="556">
        <v>941275.38883481221</v>
      </c>
      <c r="AE8" s="556">
        <v>924975.40282542526</v>
      </c>
      <c r="AF8" s="556">
        <v>959761.68273227406</v>
      </c>
      <c r="AG8" s="556">
        <v>911198.20442511863</v>
      </c>
      <c r="AH8" s="556">
        <v>930253.01125973463</v>
      </c>
      <c r="AI8" s="556">
        <v>928154.8538077781</v>
      </c>
      <c r="AJ8" s="556">
        <v>898275.10606672254</v>
      </c>
      <c r="AK8" s="556">
        <v>894597.72456951183</v>
      </c>
      <c r="AL8" s="581">
        <v>924934.29948737414</v>
      </c>
    </row>
    <row r="9" spans="1:38" ht="15.75" customHeight="1">
      <c r="A9" s="555" t="s">
        <v>629</v>
      </c>
      <c r="B9" s="556">
        <v>-264784.80653801758</v>
      </c>
      <c r="C9" s="556">
        <v>-281455.52565574268</v>
      </c>
      <c r="D9" s="556">
        <v>-298646.72934478591</v>
      </c>
      <c r="E9" s="556">
        <v>-312434.19464980776</v>
      </c>
      <c r="F9" s="556">
        <v>-362922.31724213593</v>
      </c>
      <c r="G9" s="556">
        <v>-351615.96015351062</v>
      </c>
      <c r="H9" s="556">
        <v>-334454.26786043774</v>
      </c>
      <c r="I9" s="556">
        <v>-345151.54567565414</v>
      </c>
      <c r="J9" s="556">
        <v>-364654.74874299631</v>
      </c>
      <c r="K9" s="556">
        <v>-380214.39500219049</v>
      </c>
      <c r="L9" s="556">
        <v>-343027.51103657804</v>
      </c>
      <c r="M9" s="556">
        <v>-383811.18464414665</v>
      </c>
      <c r="N9" s="556">
        <v>-395036.54408392485</v>
      </c>
      <c r="O9" s="556">
        <v>-407501.35548609513</v>
      </c>
      <c r="P9" s="556">
        <v>-409270.42203371128</v>
      </c>
      <c r="Q9" s="556">
        <v>-456113.45615887496</v>
      </c>
      <c r="R9" s="556">
        <v>-391946.68737337162</v>
      </c>
      <c r="S9" s="556">
        <v>-421064.17233794089</v>
      </c>
      <c r="T9" s="556">
        <v>-408020.48420790187</v>
      </c>
      <c r="U9" s="556">
        <v>-402446.53153414966</v>
      </c>
      <c r="V9" s="556">
        <v>-476999.27484382817</v>
      </c>
      <c r="W9" s="556">
        <v>-451408.5253540391</v>
      </c>
      <c r="X9" s="556">
        <v>-429847.38032471895</v>
      </c>
      <c r="Y9" s="556">
        <v>-492641.19451017812</v>
      </c>
      <c r="Z9" s="556">
        <v>-535469.9178507966</v>
      </c>
      <c r="AA9" s="556">
        <v>-569702.4061977216</v>
      </c>
      <c r="AB9" s="556">
        <v>-534594.00762343907</v>
      </c>
      <c r="AC9" s="556">
        <v>-507464.36253821745</v>
      </c>
      <c r="AD9" s="556">
        <v>-522340.4995615342</v>
      </c>
      <c r="AE9" s="556">
        <v>-566359.63496520405</v>
      </c>
      <c r="AF9" s="556">
        <v>-568444.19899962901</v>
      </c>
      <c r="AG9" s="556">
        <v>-561791.1194753102</v>
      </c>
      <c r="AH9" s="556">
        <v>-555757.34563011373</v>
      </c>
      <c r="AI9" s="556">
        <v>-533863.73031670495</v>
      </c>
      <c r="AJ9" s="556">
        <v>-501614.35031664296</v>
      </c>
      <c r="AK9" s="556">
        <v>-493276.81771224306</v>
      </c>
      <c r="AL9" s="581">
        <v>-499725.03779878619</v>
      </c>
    </row>
    <row r="10" spans="1:38" ht="15.75" customHeight="1">
      <c r="A10" s="555"/>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81"/>
    </row>
    <row r="11" spans="1:38" ht="15.75" customHeight="1">
      <c r="A11" s="551" t="s">
        <v>630</v>
      </c>
      <c r="B11" s="552">
        <v>279157.43526341411</v>
      </c>
      <c r="C11" s="552">
        <v>279902.18730475899</v>
      </c>
      <c r="D11" s="552">
        <v>282179.07488706929</v>
      </c>
      <c r="E11" s="552">
        <v>284293.81727101858</v>
      </c>
      <c r="F11" s="552">
        <v>296063.50983825832</v>
      </c>
      <c r="G11" s="552">
        <v>299764.75971159729</v>
      </c>
      <c r="H11" s="552">
        <v>296640.42558030994</v>
      </c>
      <c r="I11" s="552">
        <v>301219.99726796104</v>
      </c>
      <c r="J11" s="552">
        <v>301406.34361678822</v>
      </c>
      <c r="K11" s="552">
        <v>304915.96386952046</v>
      </c>
      <c r="L11" s="552">
        <v>305276.74972660322</v>
      </c>
      <c r="M11" s="552">
        <v>310354.32733513421</v>
      </c>
      <c r="N11" s="552">
        <v>310110.25401270104</v>
      </c>
      <c r="O11" s="552">
        <v>313342.83276571089</v>
      </c>
      <c r="P11" s="552">
        <v>310347.15915863146</v>
      </c>
      <c r="Q11" s="552">
        <v>316328.80839456466</v>
      </c>
      <c r="R11" s="552">
        <v>318175.85633825022</v>
      </c>
      <c r="S11" s="552">
        <v>323656.17091862776</v>
      </c>
      <c r="T11" s="552">
        <v>326807.05659842183</v>
      </c>
      <c r="U11" s="552">
        <v>330695.36664728797</v>
      </c>
      <c r="V11" s="552">
        <v>334408.29326811346</v>
      </c>
      <c r="W11" s="552">
        <v>342951.26347203361</v>
      </c>
      <c r="X11" s="552">
        <v>344329.6586145669</v>
      </c>
      <c r="Y11" s="552">
        <v>343384.65084449324</v>
      </c>
      <c r="Z11" s="552">
        <v>341358.81967497163</v>
      </c>
      <c r="AA11" s="552">
        <v>342667.71359812852</v>
      </c>
      <c r="AB11" s="552">
        <v>348376.17522498261</v>
      </c>
      <c r="AC11" s="552">
        <v>353136.04266553966</v>
      </c>
      <c r="AD11" s="552">
        <v>360160.05331389629</v>
      </c>
      <c r="AE11" s="552">
        <v>369461.53970948333</v>
      </c>
      <c r="AF11" s="552">
        <v>370901.20954399026</v>
      </c>
      <c r="AG11" s="552">
        <v>373432.68984035472</v>
      </c>
      <c r="AH11" s="552">
        <v>377682.31123020151</v>
      </c>
      <c r="AI11" s="552">
        <v>381957.30660863488</v>
      </c>
      <c r="AJ11" s="552">
        <v>382404.84402194602</v>
      </c>
      <c r="AK11" s="552">
        <v>392767.72737007495</v>
      </c>
      <c r="AL11" s="580">
        <v>392748.99474125961</v>
      </c>
    </row>
    <row r="12" spans="1:38" ht="15.75" customHeight="1">
      <c r="A12" s="551" t="s">
        <v>631</v>
      </c>
      <c r="B12" s="552">
        <v>30107.789499937426</v>
      </c>
      <c r="C12" s="552">
        <v>31094.415139565437</v>
      </c>
      <c r="D12" s="552">
        <v>30962.734737710922</v>
      </c>
      <c r="E12" s="552">
        <v>31722.669563358046</v>
      </c>
      <c r="F12" s="552">
        <v>32291.245409282688</v>
      </c>
      <c r="G12" s="552">
        <v>32190.982644318014</v>
      </c>
      <c r="H12" s="552">
        <v>30094.231303218698</v>
      </c>
      <c r="I12" s="552">
        <v>29292.800738552563</v>
      </c>
      <c r="J12" s="552">
        <v>28801.138058792396</v>
      </c>
      <c r="K12" s="552">
        <v>29965.587047910638</v>
      </c>
      <c r="L12" s="552">
        <v>28330.268785776119</v>
      </c>
      <c r="M12" s="552">
        <v>31342.426757704441</v>
      </c>
      <c r="N12" s="552">
        <v>31184.750943821047</v>
      </c>
      <c r="O12" s="552">
        <v>31548.530888865287</v>
      </c>
      <c r="P12" s="552">
        <v>27794.701247333403</v>
      </c>
      <c r="Q12" s="552">
        <v>29797.607674650739</v>
      </c>
      <c r="R12" s="552">
        <v>29756.993887896482</v>
      </c>
      <c r="S12" s="552">
        <v>31531.850906857744</v>
      </c>
      <c r="T12" s="552">
        <v>30896.766175541634</v>
      </c>
      <c r="U12" s="552">
        <v>31826.081259769035</v>
      </c>
      <c r="V12" s="552">
        <v>30090.548292793464</v>
      </c>
      <c r="W12" s="552">
        <v>29931.536737561233</v>
      </c>
      <c r="X12" s="552">
        <v>32881.097839031361</v>
      </c>
      <c r="Y12" s="552">
        <v>32256.044949765062</v>
      </c>
      <c r="Z12" s="552">
        <v>29743.857539278302</v>
      </c>
      <c r="AA12" s="552">
        <v>30613.969072840475</v>
      </c>
      <c r="AB12" s="552">
        <v>32123.542996331853</v>
      </c>
      <c r="AC12" s="552">
        <v>30898.681239639547</v>
      </c>
      <c r="AD12" s="552">
        <v>31735.014727031259</v>
      </c>
      <c r="AE12" s="552">
        <v>29469.319834896196</v>
      </c>
      <c r="AF12" s="552">
        <v>26599.066031824608</v>
      </c>
      <c r="AG12" s="552">
        <v>26674.760938416795</v>
      </c>
      <c r="AH12" s="552">
        <v>28345.006986206088</v>
      </c>
      <c r="AI12" s="552">
        <v>28108.383252590473</v>
      </c>
      <c r="AJ12" s="552">
        <v>24998.993463898696</v>
      </c>
      <c r="AK12" s="552">
        <v>28494.088645989137</v>
      </c>
      <c r="AL12" s="580">
        <v>27048.984055426175</v>
      </c>
    </row>
    <row r="13" spans="1:38" ht="15.75" customHeight="1">
      <c r="A13" s="555" t="s">
        <v>632</v>
      </c>
      <c r="B13" s="556">
        <v>62247.449598796695</v>
      </c>
      <c r="C13" s="556">
        <v>62078.627513342202</v>
      </c>
      <c r="D13" s="556">
        <v>58621.628512086099</v>
      </c>
      <c r="E13" s="556">
        <v>61059.940191024194</v>
      </c>
      <c r="F13" s="556">
        <v>62075.973603945691</v>
      </c>
      <c r="G13" s="556">
        <v>63451.930288277792</v>
      </c>
      <c r="H13" s="556">
        <v>60329.759144688702</v>
      </c>
      <c r="I13" s="556">
        <v>59364.753885714301</v>
      </c>
      <c r="J13" s="556">
        <v>58071.370773454997</v>
      </c>
      <c r="K13" s="556">
        <v>58355.757920710188</v>
      </c>
      <c r="L13" s="556">
        <v>60527.158519901997</v>
      </c>
      <c r="M13" s="556">
        <v>63181.795107204591</v>
      </c>
      <c r="N13" s="556">
        <v>60527.455175031791</v>
      </c>
      <c r="O13" s="556">
        <v>59228.258593532999</v>
      </c>
      <c r="P13" s="556">
        <v>59090.206294092699</v>
      </c>
      <c r="Q13" s="556">
        <v>59977.721164235802</v>
      </c>
      <c r="R13" s="556">
        <v>59610.460310873001</v>
      </c>
      <c r="S13" s="556">
        <v>59154.092239929996</v>
      </c>
      <c r="T13" s="556">
        <v>60056.864967213296</v>
      </c>
      <c r="U13" s="556">
        <v>58790.068792390397</v>
      </c>
      <c r="V13" s="556">
        <v>58238.144413407193</v>
      </c>
      <c r="W13" s="556">
        <v>60426.469304216494</v>
      </c>
      <c r="X13" s="556">
        <v>60787.891064987001</v>
      </c>
      <c r="Y13" s="556">
        <v>60487.665919956497</v>
      </c>
      <c r="Z13" s="556">
        <v>61557.747562835895</v>
      </c>
      <c r="AA13" s="556">
        <v>60765.079328507403</v>
      </c>
      <c r="AB13" s="556">
        <v>62239.532246027207</v>
      </c>
      <c r="AC13" s="556">
        <v>61389.677588403494</v>
      </c>
      <c r="AD13" s="556">
        <v>62491.376489843897</v>
      </c>
      <c r="AE13" s="556">
        <v>62494.342657425601</v>
      </c>
      <c r="AF13" s="556">
        <v>60676.384979231101</v>
      </c>
      <c r="AG13" s="556">
        <v>61284.490368013096</v>
      </c>
      <c r="AH13" s="556">
        <v>60724.533443126398</v>
      </c>
      <c r="AI13" s="556">
        <v>61380.022424516697</v>
      </c>
      <c r="AJ13" s="556">
        <v>61423.613334974791</v>
      </c>
      <c r="AK13" s="556">
        <v>61251.304019367759</v>
      </c>
      <c r="AL13" s="581">
        <v>61263.400885697803</v>
      </c>
    </row>
    <row r="14" spans="1:38" ht="15.75" customHeight="1">
      <c r="A14" s="555" t="s">
        <v>633</v>
      </c>
      <c r="B14" s="556">
        <v>-32139.660098859269</v>
      </c>
      <c r="C14" s="556">
        <v>-30984.212373776765</v>
      </c>
      <c r="D14" s="556">
        <v>-27658.893774375178</v>
      </c>
      <c r="E14" s="556">
        <v>-29337.270627666148</v>
      </c>
      <c r="F14" s="556">
        <v>-29784.728194663003</v>
      </c>
      <c r="G14" s="556">
        <v>-31260.947643959778</v>
      </c>
      <c r="H14" s="556">
        <v>-30235.527841470004</v>
      </c>
      <c r="I14" s="556">
        <v>-30071.953147161737</v>
      </c>
      <c r="J14" s="556">
        <v>-29270.232714662601</v>
      </c>
      <c r="K14" s="556">
        <v>-28390.17087279955</v>
      </c>
      <c r="L14" s="556">
        <v>-32196.889734125878</v>
      </c>
      <c r="M14" s="556">
        <v>-31839.36834950015</v>
      </c>
      <c r="N14" s="556">
        <v>-29342.704231210744</v>
      </c>
      <c r="O14" s="556">
        <v>-27679.727704667712</v>
      </c>
      <c r="P14" s="556">
        <v>-31295.505046759296</v>
      </c>
      <c r="Q14" s="556">
        <v>-30180.113489585063</v>
      </c>
      <c r="R14" s="556">
        <v>-29853.466422976519</v>
      </c>
      <c r="S14" s="556">
        <v>-27622.241333072252</v>
      </c>
      <c r="T14" s="556">
        <v>-29160.098791671662</v>
      </c>
      <c r="U14" s="556">
        <v>-26963.987532621362</v>
      </c>
      <c r="V14" s="556">
        <v>-28147.596120613729</v>
      </c>
      <c r="W14" s="556">
        <v>-30494.932566655261</v>
      </c>
      <c r="X14" s="556">
        <v>-27906.79322595564</v>
      </c>
      <c r="Y14" s="556">
        <v>-28231.620970191434</v>
      </c>
      <c r="Z14" s="556">
        <v>-31813.890023557593</v>
      </c>
      <c r="AA14" s="556">
        <v>-30151.110255666928</v>
      </c>
      <c r="AB14" s="556">
        <v>-30115.989249695354</v>
      </c>
      <c r="AC14" s="556">
        <v>-30490.996348763947</v>
      </c>
      <c r="AD14" s="556">
        <v>-30756.361762812638</v>
      </c>
      <c r="AE14" s="556">
        <v>-33025.022822529405</v>
      </c>
      <c r="AF14" s="556">
        <v>-34077.318947406493</v>
      </c>
      <c r="AG14" s="556">
        <v>-34609.7294295963</v>
      </c>
      <c r="AH14" s="556">
        <v>-32379.52645692031</v>
      </c>
      <c r="AI14" s="556">
        <v>-33271.639171926225</v>
      </c>
      <c r="AJ14" s="556">
        <v>-36424.619871076095</v>
      </c>
      <c r="AK14" s="556">
        <v>-32757.215373378622</v>
      </c>
      <c r="AL14" s="581">
        <v>-34214.416830271628</v>
      </c>
    </row>
    <row r="15" spans="1:38" ht="15.75" customHeight="1">
      <c r="A15" s="551" t="s">
        <v>634</v>
      </c>
      <c r="B15" s="552">
        <v>249049.64576347667</v>
      </c>
      <c r="C15" s="552">
        <v>248807.77216519357</v>
      </c>
      <c r="D15" s="552">
        <v>251216.34014935835</v>
      </c>
      <c r="E15" s="552">
        <v>252571.14770766054</v>
      </c>
      <c r="F15" s="552">
        <v>263772.26442897564</v>
      </c>
      <c r="G15" s="552">
        <v>267573.77706727927</v>
      </c>
      <c r="H15" s="552">
        <v>266546.19427709124</v>
      </c>
      <c r="I15" s="552">
        <v>271927.19652940845</v>
      </c>
      <c r="J15" s="552">
        <v>272605.20555799583</v>
      </c>
      <c r="K15" s="552">
        <v>274950.3768216098</v>
      </c>
      <c r="L15" s="552">
        <v>276946.48094082711</v>
      </c>
      <c r="M15" s="552">
        <v>279011.90057742974</v>
      </c>
      <c r="N15" s="552">
        <v>278925.50306888</v>
      </c>
      <c r="O15" s="552">
        <v>281794.30187684559</v>
      </c>
      <c r="P15" s="552">
        <v>282552.45791129809</v>
      </c>
      <c r="Q15" s="552">
        <v>286531.20071991393</v>
      </c>
      <c r="R15" s="552">
        <v>288418.86245035374</v>
      </c>
      <c r="S15" s="552">
        <v>292124.32001177</v>
      </c>
      <c r="T15" s="552">
        <v>295910.29042288021</v>
      </c>
      <c r="U15" s="552">
        <v>298869.28538751893</v>
      </c>
      <c r="V15" s="552">
        <v>304317.74497532001</v>
      </c>
      <c r="W15" s="552">
        <v>313019.72673447238</v>
      </c>
      <c r="X15" s="552">
        <v>311448.56077553553</v>
      </c>
      <c r="Y15" s="552">
        <v>311128.60589472816</v>
      </c>
      <c r="Z15" s="552">
        <v>311614.96213569335</v>
      </c>
      <c r="AA15" s="552">
        <v>312053.74452528806</v>
      </c>
      <c r="AB15" s="552">
        <v>316252.63222865073</v>
      </c>
      <c r="AC15" s="552">
        <v>322237.36142590013</v>
      </c>
      <c r="AD15" s="552">
        <v>328425.03858686506</v>
      </c>
      <c r="AE15" s="552">
        <v>339992.21987458714</v>
      </c>
      <c r="AF15" s="552">
        <v>344302.14351216564</v>
      </c>
      <c r="AG15" s="552">
        <v>346757.92890193791</v>
      </c>
      <c r="AH15" s="552">
        <v>349337.3042439954</v>
      </c>
      <c r="AI15" s="552">
        <v>353848.9233560444</v>
      </c>
      <c r="AJ15" s="552">
        <v>357405.8505580473</v>
      </c>
      <c r="AK15" s="552">
        <v>364273.63872408582</v>
      </c>
      <c r="AL15" s="580">
        <v>365700.0106858334</v>
      </c>
    </row>
    <row r="16" spans="1:38" ht="16.5" customHeight="1">
      <c r="A16" s="555"/>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81"/>
    </row>
    <row r="17" spans="1:40" ht="15.75" customHeight="1">
      <c r="A17" s="551" t="s">
        <v>635</v>
      </c>
      <c r="B17" s="552">
        <v>279735.10531540611</v>
      </c>
      <c r="C17" s="552">
        <v>280832.71616430738</v>
      </c>
      <c r="D17" s="552">
        <v>281427.58380275633</v>
      </c>
      <c r="E17" s="552">
        <v>282053.88717788778</v>
      </c>
      <c r="F17" s="552">
        <v>286161.75081736082</v>
      </c>
      <c r="G17" s="552">
        <v>286852.74157677876</v>
      </c>
      <c r="H17" s="552">
        <v>281980.74913940532</v>
      </c>
      <c r="I17" s="552">
        <v>282712.82567522553</v>
      </c>
      <c r="J17" s="552">
        <v>285180.28833263821</v>
      </c>
      <c r="K17" s="552">
        <v>289017.80016139155</v>
      </c>
      <c r="L17" s="552">
        <v>289734.620291211</v>
      </c>
      <c r="M17" s="552">
        <v>301730.9260945883</v>
      </c>
      <c r="N17" s="552">
        <v>300154.74346408364</v>
      </c>
      <c r="O17" s="552">
        <v>300026.05885581445</v>
      </c>
      <c r="P17" s="552">
        <v>300002.57554363151</v>
      </c>
      <c r="Q17" s="552">
        <v>300966.07615024463</v>
      </c>
      <c r="R17" s="552">
        <v>301415.31749961438</v>
      </c>
      <c r="S17" s="552">
        <v>308208.91533158562</v>
      </c>
      <c r="T17" s="552">
        <v>307475.96241075313</v>
      </c>
      <c r="U17" s="552">
        <v>310852.68915894144</v>
      </c>
      <c r="V17" s="552">
        <v>311203.44306939794</v>
      </c>
      <c r="W17" s="552">
        <v>311668.65898183768</v>
      </c>
      <c r="X17" s="552">
        <v>314841.29194972775</v>
      </c>
      <c r="Y17" s="552">
        <v>321619.28921400232</v>
      </c>
      <c r="Z17" s="552">
        <v>320283.08922018326</v>
      </c>
      <c r="AA17" s="552">
        <v>320419.80702659045</v>
      </c>
      <c r="AB17" s="552">
        <v>323136.4265485463</v>
      </c>
      <c r="AC17" s="552">
        <v>323292.54406884749</v>
      </c>
      <c r="AD17" s="552">
        <v>326043.52125445002</v>
      </c>
      <c r="AE17" s="552">
        <v>329885.71773652226</v>
      </c>
      <c r="AF17" s="552">
        <v>330908.11281957186</v>
      </c>
      <c r="AG17" s="552">
        <v>331041.41982169566</v>
      </c>
      <c r="AH17" s="552">
        <v>332705.60261823976</v>
      </c>
      <c r="AI17" s="552">
        <v>335774.69608215534</v>
      </c>
      <c r="AJ17" s="552">
        <v>338081.65165036317</v>
      </c>
      <c r="AK17" s="552">
        <v>347363.01683040825</v>
      </c>
      <c r="AL17" s="580">
        <v>342987.34719614306</v>
      </c>
    </row>
    <row r="18" spans="1:40" ht="15.75" customHeight="1">
      <c r="A18" s="555" t="s">
        <v>636</v>
      </c>
      <c r="B18" s="556">
        <v>16171.960026841442</v>
      </c>
      <c r="C18" s="556">
        <v>15979.91850439056</v>
      </c>
      <c r="D18" s="556">
        <v>15845.174678718537</v>
      </c>
      <c r="E18" s="556">
        <v>16036.327574022576</v>
      </c>
      <c r="F18" s="556">
        <v>16227.254416493</v>
      </c>
      <c r="G18" s="556">
        <v>15904.557043885219</v>
      </c>
      <c r="H18" s="556">
        <v>16369.72122726513</v>
      </c>
      <c r="I18" s="556">
        <v>16281.244842284286</v>
      </c>
      <c r="J18" s="556">
        <v>16241.98075845217</v>
      </c>
      <c r="K18" s="556">
        <v>16473.996105313156</v>
      </c>
      <c r="L18" s="556">
        <v>16722.43897559122</v>
      </c>
      <c r="M18" s="556">
        <v>18975.00627066891</v>
      </c>
      <c r="N18" s="556">
        <v>18010.593082900661</v>
      </c>
      <c r="O18" s="556">
        <v>17749.329653375993</v>
      </c>
      <c r="P18" s="556">
        <v>17492.407133231849</v>
      </c>
      <c r="Q18" s="556">
        <v>17646.497592686108</v>
      </c>
      <c r="R18" s="556">
        <v>17594.772439179418</v>
      </c>
      <c r="S18" s="556">
        <v>17516.570603709999</v>
      </c>
      <c r="T18" s="556">
        <v>18045.28066906859</v>
      </c>
      <c r="U18" s="556">
        <v>18269.48957031875</v>
      </c>
      <c r="V18" s="556">
        <v>17957.873646394451</v>
      </c>
      <c r="W18" s="556">
        <v>18294.304306683178</v>
      </c>
      <c r="X18" s="556">
        <v>17891.407119467127</v>
      </c>
      <c r="Y18" s="556">
        <v>20307.786446312799</v>
      </c>
      <c r="Z18" s="556">
        <v>19209.573208944617</v>
      </c>
      <c r="AA18" s="556">
        <v>18923.022119759327</v>
      </c>
      <c r="AB18" s="556">
        <v>18978.695497382181</v>
      </c>
      <c r="AC18" s="556">
        <v>18961.549992068227</v>
      </c>
      <c r="AD18" s="556">
        <v>18678.032246711129</v>
      </c>
      <c r="AE18" s="556">
        <v>19013.633662171218</v>
      </c>
      <c r="AF18" s="556">
        <v>19228.100893541679</v>
      </c>
      <c r="AG18" s="556">
        <v>19287.1599017013</v>
      </c>
      <c r="AH18" s="556">
        <v>19233.798105900332</v>
      </c>
      <c r="AI18" s="556">
        <v>19257.554559318651</v>
      </c>
      <c r="AJ18" s="556">
        <v>19629.552590686868</v>
      </c>
      <c r="AK18" s="556">
        <v>22169.717386902448</v>
      </c>
      <c r="AL18" s="581">
        <v>20964.304899561892</v>
      </c>
    </row>
    <row r="19" spans="1:40" ht="15.75" customHeight="1">
      <c r="A19" s="555" t="s">
        <v>637</v>
      </c>
      <c r="B19" s="556">
        <v>68440.163460267344</v>
      </c>
      <c r="C19" s="556">
        <v>69678.376510214075</v>
      </c>
      <c r="D19" s="556">
        <v>70239.198428667893</v>
      </c>
      <c r="E19" s="556">
        <v>68357.192898560214</v>
      </c>
      <c r="F19" s="556">
        <v>70233.514626166798</v>
      </c>
      <c r="G19" s="556">
        <v>71294.937109063059</v>
      </c>
      <c r="H19" s="556">
        <v>64491.572058049554</v>
      </c>
      <c r="I19" s="556">
        <v>60686.73659774851</v>
      </c>
      <c r="J19" s="556">
        <v>62178.475800750988</v>
      </c>
      <c r="K19" s="556">
        <v>64317.477482118862</v>
      </c>
      <c r="L19" s="556">
        <v>62986.395870102693</v>
      </c>
      <c r="M19" s="556">
        <v>66822.635577947105</v>
      </c>
      <c r="N19" s="556">
        <v>66857.771529601625</v>
      </c>
      <c r="O19" s="556">
        <v>64726.969441204834</v>
      </c>
      <c r="P19" s="556">
        <v>64935.200147133197</v>
      </c>
      <c r="Q19" s="556">
        <v>64094.286390514229</v>
      </c>
      <c r="R19" s="556">
        <v>64820.00739616865</v>
      </c>
      <c r="S19" s="556">
        <v>67735.366582814095</v>
      </c>
      <c r="T19" s="556">
        <v>65055.410495106407</v>
      </c>
      <c r="U19" s="556">
        <v>67323.280074791997</v>
      </c>
      <c r="V19" s="556">
        <v>67629.257695279957</v>
      </c>
      <c r="W19" s="556">
        <v>66022.057503493124</v>
      </c>
      <c r="X19" s="556">
        <v>69189.806936289024</v>
      </c>
      <c r="Y19" s="556">
        <v>69425.492196942403</v>
      </c>
      <c r="Z19" s="556">
        <v>70418.374468171169</v>
      </c>
      <c r="AA19" s="556">
        <v>68961.007171570134</v>
      </c>
      <c r="AB19" s="556">
        <v>68966.851754985924</v>
      </c>
      <c r="AC19" s="556">
        <v>69935.361099149726</v>
      </c>
      <c r="AD19" s="556">
        <v>71130.84171565772</v>
      </c>
      <c r="AE19" s="556">
        <v>72252.999345979173</v>
      </c>
      <c r="AF19" s="556">
        <v>71299.755115606196</v>
      </c>
      <c r="AG19" s="556">
        <v>70869.552863209348</v>
      </c>
      <c r="AH19" s="556">
        <v>71457.467026263155</v>
      </c>
      <c r="AI19" s="556">
        <v>72962.716282801557</v>
      </c>
      <c r="AJ19" s="556">
        <v>74593.484911332082</v>
      </c>
      <c r="AK19" s="556">
        <v>74630.800585144476</v>
      </c>
      <c r="AL19" s="581">
        <v>71880.550028447236</v>
      </c>
    </row>
    <row r="20" spans="1:40" ht="15.75" customHeight="1">
      <c r="A20" s="555" t="s">
        <v>638</v>
      </c>
      <c r="B20" s="556">
        <v>86002.005008486682</v>
      </c>
      <c r="C20" s="556">
        <v>86430.334994463396</v>
      </c>
      <c r="D20" s="556">
        <v>87980.657385565777</v>
      </c>
      <c r="E20" s="556">
        <v>88701.149805639681</v>
      </c>
      <c r="F20" s="556">
        <v>89270.248456882007</v>
      </c>
      <c r="G20" s="556">
        <v>89154.323627973514</v>
      </c>
      <c r="H20" s="556">
        <v>90701.193436550544</v>
      </c>
      <c r="I20" s="556">
        <v>94966.115896958989</v>
      </c>
      <c r="J20" s="556">
        <v>96640.404973560464</v>
      </c>
      <c r="K20" s="556">
        <v>98032.756931829164</v>
      </c>
      <c r="L20" s="556">
        <v>97861.717844145649</v>
      </c>
      <c r="M20" s="556">
        <v>103724.85564967337</v>
      </c>
      <c r="N20" s="556">
        <v>104389.22207054911</v>
      </c>
      <c r="O20" s="556">
        <v>106664.57534290411</v>
      </c>
      <c r="P20" s="556">
        <v>107206.88138370164</v>
      </c>
      <c r="Q20" s="556">
        <v>108620.08748099591</v>
      </c>
      <c r="R20" s="556">
        <v>107655.14280378608</v>
      </c>
      <c r="S20" s="556">
        <v>108184.74986758425</v>
      </c>
      <c r="T20" s="556">
        <v>108733.92540058088</v>
      </c>
      <c r="U20" s="556">
        <v>109085.11095657838</v>
      </c>
      <c r="V20" s="556">
        <v>108846.39305074242</v>
      </c>
      <c r="W20" s="556">
        <v>109719.8377185056</v>
      </c>
      <c r="X20" s="556">
        <v>109948.1827041051</v>
      </c>
      <c r="Y20" s="556">
        <v>114277.70110134366</v>
      </c>
      <c r="Z20" s="556">
        <v>113985.53990418378</v>
      </c>
      <c r="AA20" s="556">
        <v>116610.20363369156</v>
      </c>
      <c r="AB20" s="556">
        <v>117693.25363014425</v>
      </c>
      <c r="AC20" s="556">
        <v>116060.31403665496</v>
      </c>
      <c r="AD20" s="556">
        <v>116163.6332307518</v>
      </c>
      <c r="AE20" s="556">
        <v>118175.51892211345</v>
      </c>
      <c r="AF20" s="556">
        <v>117894.59109897181</v>
      </c>
      <c r="AG20" s="556">
        <v>117293.51383782346</v>
      </c>
      <c r="AH20" s="556">
        <v>118335.53065373108</v>
      </c>
      <c r="AI20" s="556">
        <v>118419.04652726192</v>
      </c>
      <c r="AJ20" s="556">
        <v>120267.96107586552</v>
      </c>
      <c r="AK20" s="556">
        <v>123940.24706978291</v>
      </c>
      <c r="AL20" s="581">
        <v>125927.59113183178</v>
      </c>
    </row>
    <row r="21" spans="1:40" ht="15.75" customHeight="1">
      <c r="A21" s="555" t="s">
        <v>639</v>
      </c>
      <c r="B21" s="556">
        <v>108337.33309446063</v>
      </c>
      <c r="C21" s="556">
        <v>107949.05189360936</v>
      </c>
      <c r="D21" s="556">
        <v>106556.19188693419</v>
      </c>
      <c r="E21" s="556">
        <v>108142.09769579527</v>
      </c>
      <c r="F21" s="556">
        <v>109601.04232438894</v>
      </c>
      <c r="G21" s="556">
        <v>109657.16420816696</v>
      </c>
      <c r="H21" s="556">
        <v>109576.92049539011</v>
      </c>
      <c r="I21" s="556">
        <v>109016.7679681938</v>
      </c>
      <c r="J21" s="556">
        <v>107157.51622137454</v>
      </c>
      <c r="K21" s="556">
        <v>107221.09582455043</v>
      </c>
      <c r="L21" s="556">
        <v>109181.01668118146</v>
      </c>
      <c r="M21" s="556">
        <v>109339.50361199888</v>
      </c>
      <c r="N21" s="556">
        <v>107872.76478810217</v>
      </c>
      <c r="O21" s="556">
        <v>107752.41611847951</v>
      </c>
      <c r="P21" s="556">
        <v>106890.97035476481</v>
      </c>
      <c r="Q21" s="556">
        <v>107008.91315902832</v>
      </c>
      <c r="R21" s="556">
        <v>107524.86084521035</v>
      </c>
      <c r="S21" s="556">
        <v>110727.71958847724</v>
      </c>
      <c r="T21" s="556">
        <v>111186.35170496718</v>
      </c>
      <c r="U21" s="556">
        <v>111785.71807500235</v>
      </c>
      <c r="V21" s="556">
        <v>112630.6284661511</v>
      </c>
      <c r="W21" s="556">
        <v>113433.63924819577</v>
      </c>
      <c r="X21" s="556">
        <v>113678.05241101647</v>
      </c>
      <c r="Y21" s="556">
        <v>113563.84232721348</v>
      </c>
      <c r="Z21" s="556">
        <v>112576.62210909363</v>
      </c>
      <c r="AA21" s="556">
        <v>111821.33194981936</v>
      </c>
      <c r="AB21" s="556">
        <v>113383.38799960395</v>
      </c>
      <c r="AC21" s="556">
        <v>114294.08627406454</v>
      </c>
      <c r="AD21" s="556">
        <v>116172.37551745937</v>
      </c>
      <c r="AE21" s="556">
        <v>116533.5371812285</v>
      </c>
      <c r="AF21" s="556">
        <v>118514.46922049219</v>
      </c>
      <c r="AG21" s="556">
        <v>119908.68858915771</v>
      </c>
      <c r="AH21" s="556">
        <v>120422.23327013517</v>
      </c>
      <c r="AI21" s="556">
        <v>121997.54910909318</v>
      </c>
      <c r="AJ21" s="556">
        <v>120275.77831936871</v>
      </c>
      <c r="AK21" s="556">
        <v>122902.1138271384</v>
      </c>
      <c r="AL21" s="581">
        <v>119874.03095146213</v>
      </c>
    </row>
    <row r="22" spans="1:40" ht="15.75" customHeight="1">
      <c r="A22" s="555" t="s">
        <v>640</v>
      </c>
      <c r="B22" s="556">
        <v>783.64372534999995</v>
      </c>
      <c r="C22" s="556">
        <v>795.03426162999995</v>
      </c>
      <c r="D22" s="556">
        <v>806.36142286999996</v>
      </c>
      <c r="E22" s="556">
        <v>817.11920386999998</v>
      </c>
      <c r="F22" s="556">
        <v>829.69099342999993</v>
      </c>
      <c r="G22" s="556">
        <v>841.75958768999999</v>
      </c>
      <c r="H22" s="556">
        <v>841.34192214999996</v>
      </c>
      <c r="I22" s="556">
        <v>1761.9603700399998</v>
      </c>
      <c r="J22" s="556">
        <v>2961.9105785000002</v>
      </c>
      <c r="K22" s="556">
        <v>2972.4738175799998</v>
      </c>
      <c r="L22" s="556">
        <v>2983.0509201899999</v>
      </c>
      <c r="M22" s="556">
        <v>2868.9249842999998</v>
      </c>
      <c r="N22" s="556">
        <v>3024.39199293</v>
      </c>
      <c r="O22" s="556">
        <v>3132.7682998499999</v>
      </c>
      <c r="P22" s="556">
        <v>3477.1165247999998</v>
      </c>
      <c r="Q22" s="556">
        <v>3596.2915270199996</v>
      </c>
      <c r="R22" s="556">
        <v>3820.5340152700001</v>
      </c>
      <c r="S22" s="556">
        <v>4044.5086889999998</v>
      </c>
      <c r="T22" s="556">
        <v>4454.9941410299998</v>
      </c>
      <c r="U22" s="556">
        <v>4389.0904822499997</v>
      </c>
      <c r="V22" s="556">
        <v>4139.2902108300004</v>
      </c>
      <c r="W22" s="556">
        <v>4198.8202049599995</v>
      </c>
      <c r="X22" s="556">
        <v>4133.8427788499994</v>
      </c>
      <c r="Y22" s="556">
        <v>4044.4671421900002</v>
      </c>
      <c r="Z22" s="556">
        <v>4092.9795297899996</v>
      </c>
      <c r="AA22" s="556">
        <v>4104.2421517499997</v>
      </c>
      <c r="AB22" s="556">
        <v>4114.23766643</v>
      </c>
      <c r="AC22" s="556">
        <v>4041.2326669099998</v>
      </c>
      <c r="AD22" s="556">
        <v>3898.6385438699999</v>
      </c>
      <c r="AE22" s="556">
        <v>3910.0286250299996</v>
      </c>
      <c r="AF22" s="556">
        <v>3971.1964909600001</v>
      </c>
      <c r="AG22" s="556">
        <v>3682.5046298037933</v>
      </c>
      <c r="AH22" s="556">
        <v>3256.5735622100001</v>
      </c>
      <c r="AI22" s="556">
        <v>3137.8296036799993</v>
      </c>
      <c r="AJ22" s="556">
        <v>3314.8747531100003</v>
      </c>
      <c r="AK22" s="556">
        <v>3720.1379614400003</v>
      </c>
      <c r="AL22" s="581">
        <v>4340.8701848399996</v>
      </c>
      <c r="AN22" s="560"/>
    </row>
    <row r="23" spans="1:40" ht="16.5" customHeight="1">
      <c r="A23" s="555"/>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81"/>
    </row>
    <row r="24" spans="1:40" ht="16.5" customHeight="1">
      <c r="A24" s="551" t="s">
        <v>641</v>
      </c>
      <c r="B24" s="552">
        <v>249421.72343086239</v>
      </c>
      <c r="C24" s="552">
        <v>251683.73343534349</v>
      </c>
      <c r="D24" s="552">
        <v>257276.41783137046</v>
      </c>
      <c r="E24" s="552">
        <v>241033.05509909985</v>
      </c>
      <c r="F24" s="552">
        <v>288315.54908923391</v>
      </c>
      <c r="G24" s="552">
        <v>283503.54409989074</v>
      </c>
      <c r="H24" s="552">
        <v>249900.05129821139</v>
      </c>
      <c r="I24" s="552">
        <v>274403.34114791802</v>
      </c>
      <c r="J24" s="552">
        <v>273840.96005234023</v>
      </c>
      <c r="K24" s="552">
        <v>272862.97441161837</v>
      </c>
      <c r="L24" s="552">
        <v>280448.80813903833</v>
      </c>
      <c r="M24" s="552">
        <v>285127.22824227123</v>
      </c>
      <c r="N24" s="552">
        <v>285949.76458674058</v>
      </c>
      <c r="O24" s="552">
        <v>282375.20362944185</v>
      </c>
      <c r="P24" s="552">
        <v>252128.57518651435</v>
      </c>
      <c r="Q24" s="552">
        <v>269805.26106424408</v>
      </c>
      <c r="R24" s="552">
        <v>262543.19234715501</v>
      </c>
      <c r="S24" s="552">
        <v>288168.8524665783</v>
      </c>
      <c r="T24" s="552">
        <v>277038.15307211183</v>
      </c>
      <c r="U24" s="552">
        <v>259164.5096482696</v>
      </c>
      <c r="V24" s="552">
        <v>263307.0499162362</v>
      </c>
      <c r="W24" s="552">
        <v>265912.59229042806</v>
      </c>
      <c r="X24" s="552">
        <v>316471.89617668418</v>
      </c>
      <c r="Y24" s="552">
        <v>258985.93914751025</v>
      </c>
      <c r="Z24" s="552">
        <v>233042.6677349048</v>
      </c>
      <c r="AA24" s="552">
        <v>238005.48124106464</v>
      </c>
      <c r="AB24" s="552">
        <v>285751.89270933071</v>
      </c>
      <c r="AC24" s="552">
        <v>286056.20333105623</v>
      </c>
      <c r="AD24" s="552">
        <v>302733.88373924565</v>
      </c>
      <c r="AE24" s="552">
        <v>237864.52270123633</v>
      </c>
      <c r="AF24" s="552">
        <v>265914.89481855725</v>
      </c>
      <c r="AG24" s="552">
        <v>226927.0897155148</v>
      </c>
      <c r="AH24" s="552">
        <v>250134.81187810071</v>
      </c>
      <c r="AI24" s="552">
        <v>267919.57561633986</v>
      </c>
      <c r="AJ24" s="552">
        <v>268153.0656253848</v>
      </c>
      <c r="AK24" s="552">
        <v>270051.70861034992</v>
      </c>
      <c r="AL24" s="580">
        <v>293471.38304344483</v>
      </c>
    </row>
    <row r="25" spans="1:40" ht="16.5" customHeight="1">
      <c r="A25" s="55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81"/>
    </row>
    <row r="26" spans="1:40" ht="15.75" customHeight="1">
      <c r="A26" s="551" t="s">
        <v>553</v>
      </c>
      <c r="B26" s="552">
        <v>780.83335447802313</v>
      </c>
      <c r="C26" s="552">
        <v>1307.3476262020708</v>
      </c>
      <c r="D26" s="552">
        <v>870.795543418237</v>
      </c>
      <c r="E26" s="552">
        <v>906.74831901740288</v>
      </c>
      <c r="F26" s="552">
        <v>954.59610409870197</v>
      </c>
      <c r="G26" s="552">
        <v>906.56745224829285</v>
      </c>
      <c r="H26" s="552">
        <v>894.12479932191707</v>
      </c>
      <c r="I26" s="552">
        <v>887.25715586064484</v>
      </c>
      <c r="J26" s="552">
        <v>919.85558221704707</v>
      </c>
      <c r="K26" s="552">
        <v>961.68873383604387</v>
      </c>
      <c r="L26" s="552">
        <v>1030.751525010478</v>
      </c>
      <c r="M26" s="552">
        <v>976.46441225026501</v>
      </c>
      <c r="N26" s="552">
        <v>1032.181005959666</v>
      </c>
      <c r="O26" s="552">
        <v>979.14362287489803</v>
      </c>
      <c r="P26" s="552">
        <v>966.705862169488</v>
      </c>
      <c r="Q26" s="552">
        <v>1075.990217483263</v>
      </c>
      <c r="R26" s="552">
        <v>923.61436692454197</v>
      </c>
      <c r="S26" s="552">
        <v>851.83847900000001</v>
      </c>
      <c r="T26" s="552">
        <v>789.93033996162887</v>
      </c>
      <c r="U26" s="552">
        <v>791.66040233189597</v>
      </c>
      <c r="V26" s="552">
        <v>794.65907199350193</v>
      </c>
      <c r="W26" s="552">
        <v>955.85218717974999</v>
      </c>
      <c r="X26" s="552">
        <v>1215.5125553658072</v>
      </c>
      <c r="Y26" s="552">
        <v>1020.2142982047188</v>
      </c>
      <c r="Z26" s="552">
        <v>1087.052801120298</v>
      </c>
      <c r="AA26" s="552">
        <v>1083.1315885791598</v>
      </c>
      <c r="AB26" s="552">
        <v>1127.9859973855298</v>
      </c>
      <c r="AC26" s="552">
        <v>1033.7024482868167</v>
      </c>
      <c r="AD26" s="552">
        <v>990.86649687866691</v>
      </c>
      <c r="AE26" s="552">
        <v>1121.32805768651</v>
      </c>
      <c r="AF26" s="552">
        <v>980.20775901344587</v>
      </c>
      <c r="AG26" s="552">
        <v>1064.886012827616</v>
      </c>
      <c r="AH26" s="552">
        <v>1204.5198552601721</v>
      </c>
      <c r="AI26" s="552">
        <v>1241.2385154657088</v>
      </c>
      <c r="AJ26" s="552">
        <v>1028.0983960188648</v>
      </c>
      <c r="AK26" s="552">
        <v>879.73782580783597</v>
      </c>
      <c r="AL26" s="580">
        <v>1193.2356834366099</v>
      </c>
    </row>
    <row r="27" spans="1:40" ht="15.75" customHeight="1">
      <c r="A27" s="555"/>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81"/>
    </row>
    <row r="28" spans="1:40" ht="15.75" customHeight="1">
      <c r="A28" s="551" t="s">
        <v>322</v>
      </c>
      <c r="B28" s="552">
        <v>954.40139647000001</v>
      </c>
      <c r="C28" s="552">
        <v>773.83237627999995</v>
      </c>
      <c r="D28" s="552">
        <v>832.74037261000001</v>
      </c>
      <c r="E28" s="552">
        <v>877.0711045999999</v>
      </c>
      <c r="F28" s="552">
        <v>912.78641126999992</v>
      </c>
      <c r="G28" s="552">
        <v>990.83616271999995</v>
      </c>
      <c r="H28" s="552">
        <v>1178.8645466399998</v>
      </c>
      <c r="I28" s="552">
        <v>1144.15429767</v>
      </c>
      <c r="J28" s="552">
        <v>935.40036557999997</v>
      </c>
      <c r="K28" s="552">
        <v>736.85754703999999</v>
      </c>
      <c r="L28" s="552">
        <v>890.49728249999998</v>
      </c>
      <c r="M28" s="552">
        <v>1197.75504847</v>
      </c>
      <c r="N28" s="552">
        <v>1098.23310578</v>
      </c>
      <c r="O28" s="552">
        <v>1073.3048325499999</v>
      </c>
      <c r="P28" s="552">
        <v>1154.3039894599997</v>
      </c>
      <c r="Q28" s="552">
        <v>1163.7714331699999</v>
      </c>
      <c r="R28" s="552">
        <v>1462.8666796499999</v>
      </c>
      <c r="S28" s="552">
        <v>1434.5940000000001</v>
      </c>
      <c r="T28" s="552">
        <v>1579.19917358</v>
      </c>
      <c r="U28" s="552">
        <v>1497.92577121</v>
      </c>
      <c r="V28" s="552">
        <v>1707.9922760499999</v>
      </c>
      <c r="W28" s="552">
        <v>1700.3897597799998</v>
      </c>
      <c r="X28" s="552">
        <v>1729.7772085899996</v>
      </c>
      <c r="Y28" s="552">
        <v>1762.5908422200002</v>
      </c>
      <c r="Z28" s="552">
        <v>1682.78710776</v>
      </c>
      <c r="AA28" s="552">
        <v>1713.32924157</v>
      </c>
      <c r="AB28" s="552">
        <v>1656.5536764200001</v>
      </c>
      <c r="AC28" s="552">
        <v>1632.2673410399998</v>
      </c>
      <c r="AD28" s="552">
        <v>1685.5414563100001</v>
      </c>
      <c r="AE28" s="552">
        <v>1851.5900833599997</v>
      </c>
      <c r="AF28" s="552">
        <v>1868.84614268</v>
      </c>
      <c r="AG28" s="552">
        <v>1748.8815379</v>
      </c>
      <c r="AH28" s="552">
        <v>1722.18598217</v>
      </c>
      <c r="AI28" s="552">
        <v>1714.25887257</v>
      </c>
      <c r="AJ28" s="552">
        <v>2049.9443790199998</v>
      </c>
      <c r="AK28" s="552">
        <v>2023.3571086500001</v>
      </c>
      <c r="AL28" s="580">
        <v>2043.31956182</v>
      </c>
    </row>
    <row r="29" spans="1:40" ht="15.75" customHeight="1">
      <c r="A29" s="555"/>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81"/>
    </row>
    <row r="30" spans="1:40" ht="15.75" customHeight="1">
      <c r="A30" s="551" t="s">
        <v>528</v>
      </c>
      <c r="B30" s="552">
        <v>8004.9418573799994</v>
      </c>
      <c r="C30" s="552">
        <v>6345.2660890399993</v>
      </c>
      <c r="D30" s="552">
        <v>7274.3973694999995</v>
      </c>
      <c r="E30" s="552">
        <v>7471.1022488100007</v>
      </c>
      <c r="F30" s="552">
        <v>12450.12102138</v>
      </c>
      <c r="G30" s="552">
        <v>13043.306204839999</v>
      </c>
      <c r="H30" s="552">
        <v>13172.8547151776</v>
      </c>
      <c r="I30" s="552">
        <v>14515.80547266</v>
      </c>
      <c r="J30" s="552">
        <v>13240.189651499</v>
      </c>
      <c r="K30" s="552">
        <v>13236.251026315998</v>
      </c>
      <c r="L30" s="552">
        <v>13317.192274773599</v>
      </c>
      <c r="M30" s="552">
        <v>9501.1873320228879</v>
      </c>
      <c r="N30" s="552">
        <v>10357.0032780292</v>
      </c>
      <c r="O30" s="552">
        <v>11055.461459829201</v>
      </c>
      <c r="P30" s="552">
        <v>11127.2517693058</v>
      </c>
      <c r="Q30" s="552">
        <v>12865.488681405699</v>
      </c>
      <c r="R30" s="552">
        <v>12319.008321619429</v>
      </c>
      <c r="S30" s="552">
        <v>12482.525</v>
      </c>
      <c r="T30" s="552">
        <v>14247.6379276189</v>
      </c>
      <c r="U30" s="552">
        <v>14089.231251202</v>
      </c>
      <c r="V30" s="552">
        <v>16530.263901124497</v>
      </c>
      <c r="W30" s="552">
        <v>20328.644211066796</v>
      </c>
      <c r="X30" s="552">
        <v>17594.954029616001</v>
      </c>
      <c r="Y30" s="552">
        <v>17280.523779515599</v>
      </c>
      <c r="Z30" s="552">
        <v>17821.451958536396</v>
      </c>
      <c r="AA30" s="552">
        <v>18147.069136084898</v>
      </c>
      <c r="AB30" s="552">
        <v>17882.999953672599</v>
      </c>
      <c r="AC30" s="552">
        <v>20587.424013521402</v>
      </c>
      <c r="AD30" s="552">
        <v>24441.2549489757</v>
      </c>
      <c r="AE30" s="552">
        <v>27500.8282418255</v>
      </c>
      <c r="AF30" s="552">
        <v>31205.986672913001</v>
      </c>
      <c r="AG30" s="552">
        <v>29918.687292360497</v>
      </c>
      <c r="AH30" s="552">
        <v>30731.6072824232</v>
      </c>
      <c r="AI30" s="552">
        <v>31935.307121929403</v>
      </c>
      <c r="AJ30" s="552">
        <v>31548.632029781798</v>
      </c>
      <c r="AK30" s="552">
        <v>33922.982514620904</v>
      </c>
      <c r="AL30" s="580">
        <v>37130.725390234526</v>
      </c>
    </row>
    <row r="31" spans="1:40" ht="14.25" customHeight="1">
      <c r="A31" s="55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81"/>
    </row>
    <row r="32" spans="1:40" ht="15.75" customHeight="1">
      <c r="A32" s="551" t="s">
        <v>526</v>
      </c>
      <c r="B32" s="552">
        <v>0</v>
      </c>
      <c r="C32" s="552">
        <v>0</v>
      </c>
      <c r="D32" s="552">
        <v>0</v>
      </c>
      <c r="E32" s="552">
        <v>0</v>
      </c>
      <c r="F32" s="552">
        <v>0</v>
      </c>
      <c r="G32" s="552">
        <v>0</v>
      </c>
      <c r="H32" s="552">
        <v>0</v>
      </c>
      <c r="I32" s="552">
        <v>0</v>
      </c>
      <c r="J32" s="552">
        <v>0</v>
      </c>
      <c r="K32" s="552">
        <v>0</v>
      </c>
      <c r="L32" s="552">
        <v>0</v>
      </c>
      <c r="M32" s="552">
        <v>0</v>
      </c>
      <c r="N32" s="552">
        <v>0</v>
      </c>
      <c r="O32" s="552">
        <v>0</v>
      </c>
      <c r="P32" s="552">
        <v>0</v>
      </c>
      <c r="Q32" s="552">
        <v>0</v>
      </c>
      <c r="R32" s="552">
        <v>0</v>
      </c>
      <c r="S32" s="552">
        <v>0</v>
      </c>
      <c r="T32" s="552">
        <v>0</v>
      </c>
      <c r="U32" s="552">
        <v>0</v>
      </c>
      <c r="V32" s="552">
        <v>0</v>
      </c>
      <c r="W32" s="552">
        <v>0</v>
      </c>
      <c r="X32" s="552">
        <v>0</v>
      </c>
      <c r="Y32" s="552">
        <v>0</v>
      </c>
      <c r="Z32" s="552">
        <v>0</v>
      </c>
      <c r="AA32" s="552">
        <v>0</v>
      </c>
      <c r="AB32" s="552">
        <v>0</v>
      </c>
      <c r="AC32" s="552">
        <v>0</v>
      </c>
      <c r="AD32" s="552">
        <v>0</v>
      </c>
      <c r="AE32" s="552">
        <v>0</v>
      </c>
      <c r="AF32" s="552">
        <v>0</v>
      </c>
      <c r="AG32" s="552">
        <v>0</v>
      </c>
      <c r="AH32" s="552">
        <v>0</v>
      </c>
      <c r="AI32" s="552">
        <v>0</v>
      </c>
      <c r="AJ32" s="552">
        <v>0</v>
      </c>
      <c r="AK32" s="552">
        <v>0</v>
      </c>
      <c r="AL32" s="580">
        <v>0</v>
      </c>
    </row>
    <row r="33" spans="1:38" ht="15.75" customHeight="1">
      <c r="A33" s="551"/>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81"/>
    </row>
    <row r="34" spans="1:38" ht="15.75" customHeight="1">
      <c r="A34" s="551" t="s">
        <v>524</v>
      </c>
      <c r="B34" s="552">
        <v>91931.205161325051</v>
      </c>
      <c r="C34" s="552">
        <v>93727.510363099893</v>
      </c>
      <c r="D34" s="552">
        <v>94506.183742594367</v>
      </c>
      <c r="E34" s="552">
        <v>94838.528273953576</v>
      </c>
      <c r="F34" s="552">
        <v>100595.16788201034</v>
      </c>
      <c r="G34" s="552">
        <v>99331.44868220159</v>
      </c>
      <c r="H34" s="552">
        <v>95838.989661111074</v>
      </c>
      <c r="I34" s="552">
        <v>98022.360128515997</v>
      </c>
      <c r="J34" s="552">
        <v>98776.014559370538</v>
      </c>
      <c r="K34" s="552">
        <v>99602.168756712548</v>
      </c>
      <c r="L34" s="552">
        <v>104664.66887425256</v>
      </c>
      <c r="M34" s="552">
        <v>106399.90190484645</v>
      </c>
      <c r="N34" s="552">
        <v>105108.65961164402</v>
      </c>
      <c r="O34" s="552">
        <v>106283.79045313233</v>
      </c>
      <c r="P34" s="552">
        <v>105327.64207053928</v>
      </c>
      <c r="Q34" s="552">
        <v>105001.19883486707</v>
      </c>
      <c r="R34" s="552">
        <v>106258.75707319782</v>
      </c>
      <c r="S34" s="552">
        <v>109185.94717009999</v>
      </c>
      <c r="T34" s="552">
        <v>107989.00679121458</v>
      </c>
      <c r="U34" s="552">
        <v>108729.78240078196</v>
      </c>
      <c r="V34" s="552">
        <v>111605.25449693477</v>
      </c>
      <c r="W34" s="552">
        <v>114178.72364166354</v>
      </c>
      <c r="X34" s="552">
        <v>115195.0824272186</v>
      </c>
      <c r="Y34" s="552">
        <v>112198.55426725603</v>
      </c>
      <c r="Z34" s="552">
        <v>114678.91798097546</v>
      </c>
      <c r="AA34" s="552">
        <v>115906.3855018546</v>
      </c>
      <c r="AB34" s="552">
        <v>116848.76121707752</v>
      </c>
      <c r="AC34" s="552">
        <v>118071.64878841744</v>
      </c>
      <c r="AD34" s="552">
        <v>119925.04522720347</v>
      </c>
      <c r="AE34" s="552">
        <v>125927.4686794286</v>
      </c>
      <c r="AF34" s="552">
        <v>126766.88139465361</v>
      </c>
      <c r="AG34" s="552">
        <v>127443.02605404922</v>
      </c>
      <c r="AH34" s="552">
        <v>129280.07779198514</v>
      </c>
      <c r="AI34" s="552">
        <v>131248.79180393298</v>
      </c>
      <c r="AJ34" s="552">
        <v>131875.50132312486</v>
      </c>
      <c r="AK34" s="552">
        <v>134541.18717390965</v>
      </c>
      <c r="AL34" s="580">
        <v>136064.41264635103</v>
      </c>
    </row>
    <row r="35" spans="1:38" ht="15.75" customHeight="1">
      <c r="A35" s="555"/>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c r="AI35" s="556"/>
      <c r="AJ35" s="556"/>
      <c r="AK35" s="556"/>
      <c r="AL35" s="581"/>
    </row>
    <row r="36" spans="1:38" ht="15.75" customHeight="1">
      <c r="A36" s="551" t="s">
        <v>599</v>
      </c>
      <c r="B36" s="582">
        <v>4166.2559083107681</v>
      </c>
      <c r="C36" s="582">
        <v>5836.8307848394315</v>
      </c>
      <c r="D36" s="582">
        <v>4773.5541999522748</v>
      </c>
      <c r="E36" s="582">
        <v>4949.9543473415715</v>
      </c>
      <c r="F36" s="582">
        <v>5147.9044785482811</v>
      </c>
      <c r="G36" s="582">
        <v>4336.8289647200054</v>
      </c>
      <c r="H36" s="582">
        <v>3671.1543026623749</v>
      </c>
      <c r="I36" s="582">
        <v>4093.9973592667557</v>
      </c>
      <c r="J36" s="582">
        <v>2825.201247150314</v>
      </c>
      <c r="K36" s="582">
        <v>4057.1762056371635</v>
      </c>
      <c r="L36" s="582">
        <v>2590.6716106366011</v>
      </c>
      <c r="M36" s="582">
        <v>1446.6136928997857</v>
      </c>
      <c r="N36" s="582">
        <v>4277.7919181665729</v>
      </c>
      <c r="O36" s="582">
        <v>3289.8936343798723</v>
      </c>
      <c r="P36" s="582">
        <v>2371.7447532179149</v>
      </c>
      <c r="Q36" s="582">
        <v>2412.4201621529996</v>
      </c>
      <c r="R36" s="582">
        <v>2238.8931284029268</v>
      </c>
      <c r="S36" s="582">
        <v>1963.5477770030498</v>
      </c>
      <c r="T36" s="582">
        <v>1949.9947478903198</v>
      </c>
      <c r="U36" s="582">
        <v>2696.786814233571</v>
      </c>
      <c r="V36" s="582">
        <v>1406.1372073461521</v>
      </c>
      <c r="W36" s="582">
        <v>2010.8968166979798</v>
      </c>
      <c r="X36" s="582">
        <v>2220.4361954284714</v>
      </c>
      <c r="Y36" s="582">
        <v>1272.6546704822965</v>
      </c>
      <c r="Z36" s="582">
        <v>792.21529780152628</v>
      </c>
      <c r="AA36" s="582">
        <v>2100.5342991543275</v>
      </c>
      <c r="AB36" s="582">
        <v>2432.2834422394635</v>
      </c>
      <c r="AC36" s="582">
        <v>3342.6177155972546</v>
      </c>
      <c r="AD36" s="582">
        <v>3274.8304417881586</v>
      </c>
      <c r="AE36" s="582">
        <v>3925.853069862545</v>
      </c>
      <c r="AF36" s="582">
        <v>4573.7656659014074</v>
      </c>
      <c r="AG36" s="582">
        <v>4695.7843545821997</v>
      </c>
      <c r="AH36" s="582">
        <v>6399.17145052878</v>
      </c>
      <c r="AI36" s="582">
        <v>6414.5620846104957</v>
      </c>
      <c r="AJ36" s="582">
        <v>6328.7049696942104</v>
      </c>
      <c r="AK36" s="582">
        <v>5306.6438209349626</v>
      </c>
      <c r="AL36" s="583">
        <v>5067.8329082944792</v>
      </c>
    </row>
    <row r="37" spans="1:38" ht="5.0999999999999996" customHeight="1" thickBot="1">
      <c r="A37" s="563"/>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84"/>
    </row>
    <row r="38" spans="1:38" ht="14.25" hidden="1" thickTop="1">
      <c r="A38" s="567" t="s">
        <v>577</v>
      </c>
      <c r="Q38" s="560"/>
      <c r="R38" s="560"/>
      <c r="S38" s="560"/>
      <c r="T38" s="560"/>
      <c r="U38" s="560"/>
      <c r="V38" s="560"/>
      <c r="W38" s="560"/>
      <c r="X38" s="560"/>
      <c r="Y38" s="560"/>
      <c r="Z38" s="560"/>
      <c r="AA38" s="560"/>
      <c r="AB38" s="560"/>
      <c r="AC38" s="560"/>
      <c r="AD38" s="560"/>
      <c r="AE38" s="560"/>
      <c r="AF38" s="560"/>
      <c r="AG38" s="560"/>
      <c r="AH38" s="560"/>
      <c r="AI38" s="560"/>
      <c r="AJ38" s="560"/>
      <c r="AK38" s="560"/>
      <c r="AL38" s="560"/>
    </row>
    <row r="39" spans="1:38" ht="14.25" thickTop="1">
      <c r="A39" s="567" t="s">
        <v>642</v>
      </c>
    </row>
    <row r="40" spans="1:38" ht="13.5">
      <c r="A40" s="568" t="s">
        <v>643</v>
      </c>
    </row>
    <row r="41" spans="1:38" ht="15.75" customHeight="1">
      <c r="A41" s="571" t="s">
        <v>361</v>
      </c>
      <c r="X41" s="560"/>
      <c r="Y41" s="560"/>
      <c r="Z41" s="560"/>
      <c r="AA41" s="560"/>
      <c r="AB41" s="560"/>
      <c r="AC41" s="560"/>
      <c r="AD41" s="560"/>
      <c r="AE41" s="560"/>
      <c r="AF41" s="560"/>
      <c r="AG41" s="560"/>
      <c r="AH41" s="560"/>
      <c r="AI41" s="560"/>
      <c r="AJ41" s="560"/>
      <c r="AK41" s="560"/>
      <c r="AL41" s="560"/>
    </row>
    <row r="42" spans="1:38" ht="12.75">
      <c r="A42" s="572" t="s">
        <v>303</v>
      </c>
      <c r="X42" s="560"/>
      <c r="Y42" s="560"/>
      <c r="Z42" s="560"/>
      <c r="AA42" s="560"/>
      <c r="AB42" s="560"/>
      <c r="AC42" s="560"/>
      <c r="AD42" s="560"/>
      <c r="AE42" s="560"/>
      <c r="AF42" s="560"/>
      <c r="AG42" s="560"/>
      <c r="AH42" s="560"/>
      <c r="AI42" s="560"/>
      <c r="AJ42" s="560"/>
      <c r="AK42" s="560"/>
      <c r="AL42" s="560"/>
    </row>
    <row r="43" spans="1:38" ht="15.75" customHeight="1">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row>
    <row r="44" spans="1:38" ht="15.75" customHeight="1">
      <c r="B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row>
    <row r="45" spans="1:38" ht="15.75" customHeight="1">
      <c r="N45" s="585"/>
      <c r="O45" s="585"/>
      <c r="P45" s="585"/>
    </row>
    <row r="68" spans="15:15" ht="15.75" customHeight="1">
      <c r="O68" s="538">
        <f>23136-20420</f>
        <v>2716</v>
      </c>
    </row>
    <row r="69" spans="15:15" ht="15.75" customHeight="1">
      <c r="O69" s="538">
        <f>23136/291715*100</f>
        <v>7.9310285724080014</v>
      </c>
    </row>
    <row r="70" spans="15:15" ht="15.75" customHeight="1">
      <c r="O70" s="538">
        <f>23136-20420</f>
        <v>2716</v>
      </c>
    </row>
    <row r="71" spans="15:15" ht="15.75" customHeight="1">
      <c r="O71" s="538">
        <f>23136/291715*100</f>
        <v>7.9310285724080014</v>
      </c>
    </row>
  </sheetData>
  <printOptions horizontalCentered="1" verticalCentered="1"/>
  <pageMargins left="0" right="0" top="0" bottom="0" header="0" footer="0"/>
  <pageSetup paperSize="9" scale="49" orientation="landscape" r:id="rId1"/>
  <headerFooter alignWithMargins="0"/>
  <colBreaks count="2" manualBreakCount="2">
    <brk id="13" max="43" man="1"/>
    <brk id="25" max="4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Normal="100" workbookViewId="0">
      <pane xSplit="1" ySplit="4" topLeftCell="E5" activePane="bottomRight" state="frozen"/>
      <selection pane="topRight" activeCell="B1" sqref="B1"/>
      <selection pane="bottomLeft" activeCell="A4" sqref="A4"/>
      <selection pane="bottomRight" activeCell="J9" sqref="J9"/>
    </sheetView>
  </sheetViews>
  <sheetFormatPr defaultRowHeight="12.75"/>
  <cols>
    <col min="1" max="1" width="48.85546875" style="100" customWidth="1"/>
    <col min="2" max="12" width="13.28515625" style="100" customWidth="1"/>
    <col min="13" max="13" width="15.140625" style="100" bestFit="1" customWidth="1"/>
    <col min="14" max="16384" width="9.140625" style="100"/>
  </cols>
  <sheetData>
    <row r="1" spans="1:17" ht="15.75">
      <c r="A1" s="586" t="s">
        <v>644</v>
      </c>
    </row>
    <row r="2" spans="1:17" ht="15.75">
      <c r="A2" s="586"/>
    </row>
    <row r="3" spans="1:17" ht="15.75">
      <c r="A3" s="586"/>
      <c r="B3" s="356"/>
      <c r="C3" s="356"/>
      <c r="D3" s="356"/>
      <c r="E3" s="356"/>
      <c r="F3" s="356"/>
      <c r="G3" s="356"/>
      <c r="H3" s="356"/>
      <c r="I3" s="356"/>
      <c r="J3" s="356"/>
      <c r="K3" s="356"/>
      <c r="L3" s="356"/>
      <c r="M3" s="356" t="s">
        <v>12</v>
      </c>
    </row>
    <row r="4" spans="1:17" ht="15.95" customHeight="1">
      <c r="A4" s="587" t="s">
        <v>127</v>
      </c>
      <c r="B4" s="588">
        <v>40909</v>
      </c>
      <c r="C4" s="588">
        <v>40940</v>
      </c>
      <c r="D4" s="588">
        <v>40969</v>
      </c>
      <c r="E4" s="588">
        <v>41000</v>
      </c>
      <c r="F4" s="588">
        <v>41030</v>
      </c>
      <c r="G4" s="588">
        <v>41061</v>
      </c>
      <c r="H4" s="588">
        <v>41091</v>
      </c>
      <c r="I4" s="588">
        <v>41122</v>
      </c>
      <c r="J4" s="588">
        <v>41153</v>
      </c>
      <c r="K4" s="588">
        <v>41183</v>
      </c>
      <c r="L4" s="588">
        <v>41214</v>
      </c>
      <c r="M4" s="588">
        <v>41244</v>
      </c>
    </row>
    <row r="5" spans="1:17" ht="15.95" customHeight="1">
      <c r="A5" s="589" t="s">
        <v>645</v>
      </c>
      <c r="B5" s="590">
        <v>3872.98201161</v>
      </c>
      <c r="C5" s="590">
        <v>3784.9486335699999</v>
      </c>
      <c r="D5" s="590">
        <v>4146.7953958849994</v>
      </c>
      <c r="E5" s="590">
        <v>4022.084003985</v>
      </c>
      <c r="F5" s="590">
        <v>3584.497060485</v>
      </c>
      <c r="G5" s="590">
        <v>3225.2424225109999</v>
      </c>
      <c r="H5" s="590">
        <v>3388.0164518410006</v>
      </c>
      <c r="I5" s="590">
        <v>3213.4017549810055</v>
      </c>
      <c r="J5" s="590">
        <v>3294.4372535110065</v>
      </c>
      <c r="K5" s="590">
        <v>3154.4285983910063</v>
      </c>
      <c r="L5" s="590">
        <v>3148.0892080410067</v>
      </c>
      <c r="M5" s="591">
        <v>3345.1358636110058</v>
      </c>
      <c r="P5" s="592"/>
    </row>
    <row r="6" spans="1:17" ht="15.95" customHeight="1">
      <c r="A6" s="589" t="s">
        <v>646</v>
      </c>
      <c r="B6" s="593">
        <v>9251.1944496800006</v>
      </c>
      <c r="C6" s="593">
        <v>9316.2234302199995</v>
      </c>
      <c r="D6" s="593">
        <v>9415.8096210905005</v>
      </c>
      <c r="E6" s="593">
        <v>9535.3307578904987</v>
      </c>
      <c r="F6" s="593">
        <v>7634.3834235704999</v>
      </c>
      <c r="G6" s="593">
        <v>7685.6638522344992</v>
      </c>
      <c r="H6" s="593">
        <v>7769.0335341344999</v>
      </c>
      <c r="I6" s="593">
        <v>7781.6829723244946</v>
      </c>
      <c r="J6" s="593">
        <v>7825.2223860644945</v>
      </c>
      <c r="K6" s="593">
        <v>7905.8672250044929</v>
      </c>
      <c r="L6" s="593">
        <v>7949.0957587237699</v>
      </c>
      <c r="M6" s="591">
        <v>8093.0274049682712</v>
      </c>
      <c r="P6" s="592"/>
    </row>
    <row r="7" spans="1:17" ht="15.95" customHeight="1">
      <c r="A7" s="589" t="s">
        <v>647</v>
      </c>
      <c r="B7" s="590">
        <v>1290.5021659000001</v>
      </c>
      <c r="C7" s="590">
        <v>1290.6051660000001</v>
      </c>
      <c r="D7" s="590">
        <v>1277.0112658987998</v>
      </c>
      <c r="E7" s="590">
        <v>1278.857266</v>
      </c>
      <c r="F7" s="590">
        <v>1051.3130000000001</v>
      </c>
      <c r="G7" s="590">
        <v>1106.2239999999999</v>
      </c>
      <c r="H7" s="590">
        <v>1106.097</v>
      </c>
      <c r="I7" s="590">
        <v>1105.9380000000001</v>
      </c>
      <c r="J7" s="590">
        <v>1106.499</v>
      </c>
      <c r="K7" s="590">
        <v>1186.9690000000001</v>
      </c>
      <c r="L7" s="590">
        <v>1211.5940000000001</v>
      </c>
      <c r="M7" s="591">
        <v>1212.627</v>
      </c>
      <c r="P7" s="592"/>
    </row>
    <row r="8" spans="1:17" ht="15.95" customHeight="1">
      <c r="A8" s="589" t="s">
        <v>322</v>
      </c>
      <c r="B8" s="593">
        <v>1028.9499823600006</v>
      </c>
      <c r="C8" s="593">
        <v>1049.5340839299993</v>
      </c>
      <c r="D8" s="593">
        <v>1035.4049702700015</v>
      </c>
      <c r="E8" s="593">
        <v>1040.5369035600033</v>
      </c>
      <c r="F8" s="593">
        <v>1017.7621709900027</v>
      </c>
      <c r="G8" s="593">
        <v>1053.8905977500001</v>
      </c>
      <c r="H8" s="593">
        <v>1026.8778699199981</v>
      </c>
      <c r="I8" s="593">
        <v>1029.0696868600005</v>
      </c>
      <c r="J8" s="593">
        <v>1066.4551997700005</v>
      </c>
      <c r="K8" s="593">
        <v>1035.9338482200012</v>
      </c>
      <c r="L8" s="593">
        <v>1101.7836990000019</v>
      </c>
      <c r="M8" s="591">
        <v>1101.4117712299994</v>
      </c>
      <c r="P8" s="592"/>
    </row>
    <row r="9" spans="1:17" ht="15.95" customHeight="1">
      <c r="A9" s="589" t="s">
        <v>167</v>
      </c>
      <c r="B9" s="590">
        <v>1744.3415110799999</v>
      </c>
      <c r="C9" s="590">
        <v>1753.9680650199998</v>
      </c>
      <c r="D9" s="590">
        <v>1774.1520941600004</v>
      </c>
      <c r="E9" s="590">
        <v>1787.8331137299999</v>
      </c>
      <c r="F9" s="590">
        <v>1395.2307854299997</v>
      </c>
      <c r="G9" s="590">
        <v>1472.85677018</v>
      </c>
      <c r="H9" s="590">
        <v>1475.1329524554644</v>
      </c>
      <c r="I9" s="590">
        <v>1467.34213931</v>
      </c>
      <c r="J9" s="590">
        <v>1470.5541987900001</v>
      </c>
      <c r="K9" s="590">
        <v>1491.4065421199998</v>
      </c>
      <c r="L9" s="590">
        <v>1518.9228208700001</v>
      </c>
      <c r="M9" s="591">
        <v>1594.0724050400001</v>
      </c>
      <c r="P9" s="592"/>
    </row>
    <row r="10" spans="1:17" ht="15.95" customHeight="1">
      <c r="A10" s="589" t="s">
        <v>136</v>
      </c>
      <c r="B10" s="590">
        <v>3626.5376479399997</v>
      </c>
      <c r="C10" s="590">
        <v>3615.5609109199995</v>
      </c>
      <c r="D10" s="590">
        <v>3591.6548253400001</v>
      </c>
      <c r="E10" s="590">
        <v>3469.77614696</v>
      </c>
      <c r="F10" s="590">
        <v>2711.2755812099999</v>
      </c>
      <c r="G10" s="590">
        <v>2822.6144497200007</v>
      </c>
      <c r="H10" s="590">
        <v>2681.4932744534253</v>
      </c>
      <c r="I10" s="590">
        <v>2726.8820131899997</v>
      </c>
      <c r="J10" s="590">
        <v>2798.1972356799997</v>
      </c>
      <c r="K10" s="590">
        <v>2723.2698446399995</v>
      </c>
      <c r="L10" s="590">
        <v>2718.6264536499998</v>
      </c>
      <c r="M10" s="591">
        <v>2999.4531696499989</v>
      </c>
      <c r="P10" s="592"/>
    </row>
    <row r="11" spans="1:17" ht="15.95" customHeight="1">
      <c r="A11" s="594" t="s">
        <v>533</v>
      </c>
      <c r="B11" s="595">
        <v>20814.507768570002</v>
      </c>
      <c r="C11" s="595">
        <v>20810.840289659995</v>
      </c>
      <c r="D11" s="595">
        <v>21240.828172644302</v>
      </c>
      <c r="E11" s="595">
        <v>21134.4181921255</v>
      </c>
      <c r="F11" s="595">
        <v>17394.462021685504</v>
      </c>
      <c r="G11" s="595">
        <v>17366.4920923955</v>
      </c>
      <c r="H11" s="595">
        <v>17446.651082804387</v>
      </c>
      <c r="I11" s="595">
        <v>17324.316566665497</v>
      </c>
      <c r="J11" s="595">
        <v>17561.3652738155</v>
      </c>
      <c r="K11" s="595">
        <v>17497.875058375503</v>
      </c>
      <c r="L11" s="595">
        <v>17648.11194028478</v>
      </c>
      <c r="M11" s="596">
        <v>18345.727614499276</v>
      </c>
      <c r="P11" s="592"/>
      <c r="Q11" s="597"/>
    </row>
    <row r="12" spans="1:17" s="600" customFormat="1" ht="15.95" customHeight="1">
      <c r="A12" s="598"/>
      <c r="B12" s="599"/>
      <c r="C12" s="599"/>
      <c r="D12" s="599"/>
      <c r="E12" s="599"/>
      <c r="F12" s="599"/>
      <c r="G12" s="599"/>
      <c r="H12" s="599"/>
      <c r="I12" s="599"/>
      <c r="J12" s="599"/>
      <c r="K12" s="599"/>
      <c r="L12" s="599"/>
      <c r="M12" s="599"/>
    </row>
    <row r="13" spans="1:17" ht="15">
      <c r="A13" s="601"/>
      <c r="B13" s="602"/>
      <c r="C13" s="602"/>
      <c r="D13" s="602"/>
      <c r="E13" s="602"/>
      <c r="F13" s="602"/>
      <c r="G13" s="602"/>
      <c r="H13" s="602"/>
      <c r="I13" s="602"/>
      <c r="J13" s="602"/>
      <c r="K13" s="602"/>
      <c r="L13" s="602"/>
      <c r="M13" s="602" t="s">
        <v>12</v>
      </c>
    </row>
    <row r="14" spans="1:17" ht="15.95" customHeight="1">
      <c r="A14" s="587" t="s">
        <v>138</v>
      </c>
      <c r="B14" s="588">
        <v>40909</v>
      </c>
      <c r="C14" s="588">
        <v>40940</v>
      </c>
      <c r="D14" s="588">
        <v>40969</v>
      </c>
      <c r="E14" s="588">
        <v>41000</v>
      </c>
      <c r="F14" s="588">
        <v>41030</v>
      </c>
      <c r="G14" s="588">
        <v>41061</v>
      </c>
      <c r="H14" s="588">
        <v>41091</v>
      </c>
      <c r="I14" s="588">
        <v>41122</v>
      </c>
      <c r="J14" s="588">
        <v>41153</v>
      </c>
      <c r="K14" s="588">
        <v>41183</v>
      </c>
      <c r="L14" s="588">
        <v>41214</v>
      </c>
      <c r="M14" s="588">
        <v>41244</v>
      </c>
    </row>
    <row r="15" spans="1:17" ht="15.95" customHeight="1">
      <c r="A15" s="589" t="s">
        <v>648</v>
      </c>
      <c r="B15" s="603">
        <v>1746.5824324499997</v>
      </c>
      <c r="C15" s="603">
        <v>1746.58243204</v>
      </c>
      <c r="D15" s="603">
        <v>1746.58243204</v>
      </c>
      <c r="E15" s="603">
        <v>1746.5824324499997</v>
      </c>
      <c r="F15" s="603">
        <v>1325.00000004</v>
      </c>
      <c r="G15" s="603">
        <v>1325.00000004</v>
      </c>
      <c r="H15" s="603">
        <v>1325.00000004</v>
      </c>
      <c r="I15" s="603">
        <v>1325.00000004</v>
      </c>
      <c r="J15" s="603">
        <v>1325.00000004</v>
      </c>
      <c r="K15" s="603">
        <v>1325.00000004</v>
      </c>
      <c r="L15" s="603">
        <v>1325.00000004</v>
      </c>
      <c r="M15" s="604">
        <v>1325.00000004</v>
      </c>
      <c r="P15" s="592"/>
    </row>
    <row r="16" spans="1:17" ht="15.95" customHeight="1">
      <c r="A16" s="589" t="s">
        <v>649</v>
      </c>
      <c r="B16" s="603">
        <v>579.97190122149993</v>
      </c>
      <c r="C16" s="603">
        <v>599.53232722149994</v>
      </c>
      <c r="D16" s="603">
        <v>597.48768222150011</v>
      </c>
      <c r="E16" s="603">
        <v>585.08768969800064</v>
      </c>
      <c r="F16" s="603">
        <v>550.85495347150015</v>
      </c>
      <c r="G16" s="603">
        <v>550.85495377149937</v>
      </c>
      <c r="H16" s="603">
        <v>645.15164702100037</v>
      </c>
      <c r="I16" s="603">
        <v>646.24856795400092</v>
      </c>
      <c r="J16" s="603">
        <v>672.13719595400096</v>
      </c>
      <c r="K16" s="603">
        <v>719.21607130400037</v>
      </c>
      <c r="L16" s="603">
        <v>719.21607129400115</v>
      </c>
      <c r="M16" s="604">
        <v>694.21606729400105</v>
      </c>
      <c r="P16" s="592"/>
    </row>
    <row r="17" spans="1:17" ht="15.95" customHeight="1">
      <c r="A17" s="589" t="s">
        <v>650</v>
      </c>
      <c r="B17" s="603">
        <v>0</v>
      </c>
      <c r="C17" s="603">
        <v>0</v>
      </c>
      <c r="D17" s="603">
        <v>0</v>
      </c>
      <c r="E17" s="603">
        <v>0</v>
      </c>
      <c r="F17" s="603">
        <v>0</v>
      </c>
      <c r="G17" s="603">
        <v>0</v>
      </c>
      <c r="H17" s="603">
        <v>0</v>
      </c>
      <c r="I17" s="603">
        <v>0</v>
      </c>
      <c r="J17" s="603">
        <v>0</v>
      </c>
      <c r="K17" s="603">
        <v>0</v>
      </c>
      <c r="L17" s="603">
        <v>0</v>
      </c>
      <c r="M17" s="604">
        <v>0</v>
      </c>
      <c r="P17" s="592"/>
    </row>
    <row r="18" spans="1:17" ht="15.95" customHeight="1">
      <c r="A18" s="589" t="s">
        <v>651</v>
      </c>
      <c r="B18" s="603">
        <v>150.46935402200026</v>
      </c>
      <c r="C18" s="603">
        <v>174.68465315537588</v>
      </c>
      <c r="D18" s="603">
        <v>138.83161136000064</v>
      </c>
      <c r="E18" s="603">
        <v>166.05437092823649</v>
      </c>
      <c r="F18" s="603">
        <v>184.09390129199969</v>
      </c>
      <c r="G18" s="603">
        <v>214.51573574299965</v>
      </c>
      <c r="H18" s="603">
        <v>152.83371287038995</v>
      </c>
      <c r="I18" s="603">
        <v>183.68492711000061</v>
      </c>
      <c r="J18" s="603">
        <v>97.722879887501534</v>
      </c>
      <c r="K18" s="603">
        <v>78.951812543999964</v>
      </c>
      <c r="L18" s="603">
        <v>106.59191788399994</v>
      </c>
      <c r="M18" s="604">
        <v>129.06181087241649</v>
      </c>
      <c r="P18" s="592"/>
    </row>
    <row r="19" spans="1:17" ht="15.95" customHeight="1">
      <c r="A19" s="589" t="s">
        <v>652</v>
      </c>
      <c r="B19" s="603">
        <v>14692.107987969997</v>
      </c>
      <c r="C19" s="603">
        <v>14673.987694020007</v>
      </c>
      <c r="D19" s="603">
        <v>15022.280191680002</v>
      </c>
      <c r="E19" s="603">
        <v>14950.51709168</v>
      </c>
      <c r="F19" s="603">
        <v>12226.293971069999</v>
      </c>
      <c r="G19" s="603">
        <v>11892.032891719997</v>
      </c>
      <c r="H19" s="603">
        <v>12056.502985439998</v>
      </c>
      <c r="I19" s="603">
        <v>12136.8419505</v>
      </c>
      <c r="J19" s="603">
        <v>12195.952606729999</v>
      </c>
      <c r="K19" s="603">
        <v>12297.28802287</v>
      </c>
      <c r="L19" s="603">
        <v>12244.178058209996</v>
      </c>
      <c r="M19" s="604">
        <v>12481.682409219993</v>
      </c>
      <c r="P19" s="592"/>
    </row>
    <row r="20" spans="1:17" s="608" customFormat="1" ht="15.95" customHeight="1">
      <c r="A20" s="605" t="s">
        <v>653</v>
      </c>
      <c r="B20" s="606">
        <v>14566.892828969998</v>
      </c>
      <c r="C20" s="606">
        <v>14551.555964250007</v>
      </c>
      <c r="D20" s="606">
        <v>14902.643488680002</v>
      </c>
      <c r="E20" s="606">
        <v>14831.144394680001</v>
      </c>
      <c r="F20" s="606">
        <v>12109.832539069999</v>
      </c>
      <c r="G20" s="606">
        <v>11778.019082239998</v>
      </c>
      <c r="H20" s="606">
        <v>11949.233858439999</v>
      </c>
      <c r="I20" s="606">
        <v>12026.675456499999</v>
      </c>
      <c r="J20" s="606">
        <v>12076.429211659999</v>
      </c>
      <c r="K20" s="606">
        <v>12177.216458729999</v>
      </c>
      <c r="L20" s="606">
        <v>12127.075089559998</v>
      </c>
      <c r="M20" s="607">
        <v>12370.895662509995</v>
      </c>
      <c r="P20" s="592"/>
    </row>
    <row r="21" spans="1:17" ht="15.95" customHeight="1">
      <c r="A21" s="589" t="s">
        <v>174</v>
      </c>
      <c r="B21" s="603">
        <v>1790.6464831300002</v>
      </c>
      <c r="C21" s="603">
        <v>1816.2484834300003</v>
      </c>
      <c r="D21" s="603">
        <v>1871.3934472400003</v>
      </c>
      <c r="E21" s="603">
        <v>1823.9683416599994</v>
      </c>
      <c r="F21" s="603">
        <v>1415.7926568399998</v>
      </c>
      <c r="G21" s="603">
        <v>1740.0558439700003</v>
      </c>
      <c r="H21" s="603">
        <v>1573.7345048299999</v>
      </c>
      <c r="I21" s="603">
        <v>1401.1215261600003</v>
      </c>
      <c r="J21" s="603">
        <v>1583.2044379400002</v>
      </c>
      <c r="K21" s="603">
        <v>1385.15929467</v>
      </c>
      <c r="L21" s="603">
        <v>1459.4611832399996</v>
      </c>
      <c r="M21" s="604">
        <v>1770.0614025900002</v>
      </c>
      <c r="P21" s="592"/>
    </row>
    <row r="22" spans="1:17" ht="15.95" customHeight="1">
      <c r="A22" s="589" t="s">
        <v>179</v>
      </c>
      <c r="B22" s="603">
        <v>1854.7296104300008</v>
      </c>
      <c r="C22" s="603">
        <v>1799.8046994554986</v>
      </c>
      <c r="D22" s="603">
        <v>1864.2528078224993</v>
      </c>
      <c r="E22" s="603">
        <v>1862.2082661299992</v>
      </c>
      <c r="F22" s="603">
        <v>1692.4265391454996</v>
      </c>
      <c r="G22" s="603">
        <v>1644.0326673576606</v>
      </c>
      <c r="H22" s="603">
        <v>1693.4282335971793</v>
      </c>
      <c r="I22" s="603">
        <v>1631.4195957471791</v>
      </c>
      <c r="J22" s="603">
        <v>1687.3481527838196</v>
      </c>
      <c r="K22" s="603">
        <v>1692.2598568708188</v>
      </c>
      <c r="L22" s="603">
        <v>1793.6647095710955</v>
      </c>
      <c r="M22" s="604">
        <v>1945.7059241178026</v>
      </c>
      <c r="P22" s="592"/>
    </row>
    <row r="23" spans="1:17" ht="15.95" customHeight="1">
      <c r="A23" s="609" t="s">
        <v>560</v>
      </c>
      <c r="B23" s="610">
        <v>20814.507769223499</v>
      </c>
      <c r="C23" s="610">
        <v>20810.840289322379</v>
      </c>
      <c r="D23" s="610">
        <v>21240.828172364003</v>
      </c>
      <c r="E23" s="610">
        <v>21134.418192546233</v>
      </c>
      <c r="F23" s="610">
        <v>17394.462021858999</v>
      </c>
      <c r="G23" s="610">
        <v>17366.492092602155</v>
      </c>
      <c r="H23" s="610">
        <v>17446.651083798566</v>
      </c>
      <c r="I23" s="610">
        <v>17324.316567511185</v>
      </c>
      <c r="J23" s="610">
        <v>17561.365273335323</v>
      </c>
      <c r="K23" s="610">
        <v>17497.875058298818</v>
      </c>
      <c r="L23" s="610">
        <v>17648.11194023909</v>
      </c>
      <c r="M23" s="611">
        <v>18345.727614134215</v>
      </c>
      <c r="P23" s="592"/>
      <c r="Q23" s="597"/>
    </row>
    <row r="24" spans="1:17" s="613" customFormat="1">
      <c r="A24" s="612" t="s">
        <v>361</v>
      </c>
    </row>
    <row r="25" spans="1:17" s="613" customFormat="1" ht="14.25" customHeight="1">
      <c r="A25" s="614" t="s">
        <v>654</v>
      </c>
    </row>
    <row r="26" spans="1:17" s="615" customFormat="1">
      <c r="A26" s="612" t="s">
        <v>655</v>
      </c>
    </row>
    <row r="27" spans="1:17" s="615" customFormat="1" ht="15.75">
      <c r="A27" s="586"/>
    </row>
    <row r="28" spans="1:17" s="615" customFormat="1" ht="15.75">
      <c r="A28" s="586"/>
    </row>
    <row r="29" spans="1:17" s="615" customFormat="1" ht="15.75">
      <c r="A29" s="586"/>
      <c r="B29" s="616"/>
      <c r="C29" s="616"/>
      <c r="D29" s="616"/>
      <c r="E29" s="616"/>
      <c r="F29" s="616"/>
      <c r="G29" s="616"/>
      <c r="H29" s="616"/>
      <c r="I29" s="616"/>
      <c r="J29" s="616"/>
      <c r="K29" s="616"/>
      <c r="L29" s="616"/>
      <c r="M29" s="616"/>
    </row>
    <row r="30" spans="1:17" s="615" customFormat="1" ht="15.75">
      <c r="A30" s="586"/>
    </row>
    <row r="31" spans="1:17" s="615"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workbookViewId="0">
      <pane xSplit="1" ySplit="5" topLeftCell="B6" activePane="bottomRight" state="frozen"/>
      <selection pane="topRight" activeCell="B1" sqref="B1"/>
      <selection pane="bottomLeft" activeCell="A6" sqref="A6"/>
      <selection pane="bottomRight" activeCell="E23" sqref="E23"/>
    </sheetView>
  </sheetViews>
  <sheetFormatPr defaultRowHeight="12.75"/>
  <cols>
    <col min="1" max="1" width="52.5703125" style="103" customWidth="1"/>
    <col min="2" max="2" width="10.5703125" style="103" customWidth="1"/>
    <col min="3" max="3" width="11.85546875" style="103" customWidth="1"/>
    <col min="4" max="4" width="9.85546875" style="103" customWidth="1"/>
    <col min="5" max="5" width="10.42578125" style="103" customWidth="1"/>
    <col min="6" max="6" width="10.85546875" style="103" bestFit="1" customWidth="1"/>
    <col min="7" max="7" width="10.85546875" style="103" customWidth="1"/>
    <col min="8" max="8" width="10.85546875" style="103" bestFit="1" customWidth="1"/>
    <col min="9" max="11" width="10.7109375" style="103" customWidth="1"/>
    <col min="12" max="16384" width="9.140625" style="103"/>
  </cols>
  <sheetData>
    <row r="1" spans="1:11">
      <c r="A1" s="617"/>
    </row>
    <row r="2" spans="1:11" ht="6" customHeight="1">
      <c r="A2" s="617"/>
    </row>
    <row r="3" spans="1:11" ht="42" customHeight="1">
      <c r="A3" s="3264" t="s">
        <v>656</v>
      </c>
      <c r="B3" s="3264"/>
      <c r="C3" s="3265"/>
      <c r="D3" s="3265"/>
    </row>
    <row r="4" spans="1:11" ht="21.75" customHeight="1" thickBot="1">
      <c r="A4" s="618"/>
      <c r="B4" s="618"/>
      <c r="C4" s="618"/>
      <c r="E4" s="619"/>
      <c r="F4" s="619"/>
      <c r="G4" s="619"/>
      <c r="H4" s="619"/>
      <c r="K4" s="619" t="s">
        <v>12</v>
      </c>
    </row>
    <row r="5" spans="1:11" s="624" customFormat="1" ht="15.75" thickBot="1">
      <c r="A5" s="620"/>
      <c r="B5" s="621">
        <v>40451</v>
      </c>
      <c r="C5" s="622">
        <v>40543</v>
      </c>
      <c r="D5" s="623">
        <v>40633</v>
      </c>
      <c r="E5" s="623">
        <v>40724</v>
      </c>
      <c r="F5" s="623">
        <v>40816</v>
      </c>
      <c r="G5" s="623">
        <v>40907</v>
      </c>
      <c r="H5" s="623">
        <v>40969</v>
      </c>
      <c r="I5" s="623">
        <v>41061</v>
      </c>
      <c r="J5" s="623">
        <v>41153</v>
      </c>
      <c r="K5" s="623">
        <v>41244</v>
      </c>
    </row>
    <row r="6" spans="1:11" s="624" customFormat="1" ht="15">
      <c r="A6" s="625" t="s">
        <v>657</v>
      </c>
      <c r="B6" s="626">
        <v>472.36257554000002</v>
      </c>
      <c r="C6" s="627">
        <v>510</v>
      </c>
      <c r="D6" s="628">
        <v>491</v>
      </c>
      <c r="E6" s="628">
        <v>498</v>
      </c>
      <c r="F6" s="628">
        <v>497</v>
      </c>
      <c r="G6" s="628">
        <v>476</v>
      </c>
      <c r="H6" s="628">
        <v>491</v>
      </c>
      <c r="I6" s="628">
        <v>422</v>
      </c>
      <c r="J6" s="628">
        <v>408.45183361999989</v>
      </c>
      <c r="K6" s="628">
        <v>408</v>
      </c>
    </row>
    <row r="7" spans="1:11" s="624" customFormat="1" ht="15">
      <c r="A7" s="625" t="s">
        <v>658</v>
      </c>
      <c r="B7" s="626">
        <v>335.91336057999996</v>
      </c>
      <c r="C7" s="627">
        <v>357</v>
      </c>
      <c r="D7" s="628">
        <v>319</v>
      </c>
      <c r="E7" s="628">
        <v>321</v>
      </c>
      <c r="F7" s="628">
        <v>324</v>
      </c>
      <c r="G7" s="628">
        <v>304</v>
      </c>
      <c r="H7" s="628">
        <v>304</v>
      </c>
      <c r="I7" s="628">
        <v>241</v>
      </c>
      <c r="J7" s="628">
        <v>235.49498532999999</v>
      </c>
      <c r="K7" s="628">
        <v>234</v>
      </c>
    </row>
    <row r="8" spans="1:11" s="624" customFormat="1" ht="15">
      <c r="A8" s="629" t="s">
        <v>659</v>
      </c>
      <c r="B8" s="630">
        <v>136.44921496000006</v>
      </c>
      <c r="C8" s="631">
        <v>153</v>
      </c>
      <c r="D8" s="632">
        <f>D6-D7</f>
        <v>172</v>
      </c>
      <c r="E8" s="632">
        <f>E6-E7</f>
        <v>177</v>
      </c>
      <c r="F8" s="632">
        <f>F6-F7</f>
        <v>173</v>
      </c>
      <c r="G8" s="632">
        <v>172</v>
      </c>
      <c r="H8" s="632">
        <f>H6-H7</f>
        <v>187</v>
      </c>
      <c r="I8" s="632">
        <f>I6-I7</f>
        <v>181</v>
      </c>
      <c r="J8" s="632">
        <f t="shared" ref="J8:K8" si="0">J6-J7</f>
        <v>172.9568482899999</v>
      </c>
      <c r="K8" s="632">
        <f t="shared" si="0"/>
        <v>174</v>
      </c>
    </row>
    <row r="9" spans="1:11" s="624" customFormat="1" ht="15">
      <c r="A9" s="625"/>
      <c r="B9" s="626"/>
      <c r="C9" s="627"/>
      <c r="D9" s="628"/>
      <c r="E9" s="628"/>
      <c r="F9" s="628"/>
      <c r="G9" s="628"/>
      <c r="H9" s="628"/>
      <c r="I9" s="628"/>
      <c r="J9" s="628"/>
      <c r="K9" s="628"/>
    </row>
    <row r="10" spans="1:11" s="624" customFormat="1" ht="15">
      <c r="A10" s="629" t="s">
        <v>660</v>
      </c>
      <c r="B10" s="630">
        <v>184.51846550000002</v>
      </c>
      <c r="C10" s="631">
        <v>202</v>
      </c>
      <c r="D10" s="632">
        <f>D11+D12</f>
        <v>168.01905119000003</v>
      </c>
      <c r="E10" s="632">
        <f>E11+E12</f>
        <v>175</v>
      </c>
      <c r="F10" s="632">
        <f>F11+F12</f>
        <v>185</v>
      </c>
      <c r="G10" s="632">
        <v>184</v>
      </c>
      <c r="H10" s="632">
        <f>H11+H12</f>
        <v>189</v>
      </c>
      <c r="I10" s="632">
        <f>I11+I12</f>
        <v>167</v>
      </c>
      <c r="J10" s="632">
        <v>177.96196124999997</v>
      </c>
      <c r="K10" s="632">
        <f>K11+K12</f>
        <v>185</v>
      </c>
    </row>
    <row r="11" spans="1:11" s="624" customFormat="1" ht="15">
      <c r="A11" s="625" t="s">
        <v>661</v>
      </c>
      <c r="B11" s="626">
        <v>55.894596980000038</v>
      </c>
      <c r="C11" s="627">
        <v>65</v>
      </c>
      <c r="D11" s="628">
        <v>58.019051190000013</v>
      </c>
      <c r="E11" s="628">
        <v>65</v>
      </c>
      <c r="F11" s="628">
        <v>67</v>
      </c>
      <c r="G11" s="628">
        <v>67</v>
      </c>
      <c r="H11" s="628">
        <v>66</v>
      </c>
      <c r="I11" s="628">
        <v>67</v>
      </c>
      <c r="J11" s="628">
        <v>70.554284209999977</v>
      </c>
      <c r="K11" s="628">
        <v>72</v>
      </c>
    </row>
    <row r="12" spans="1:11" s="624" customFormat="1" ht="15">
      <c r="A12" s="625" t="s">
        <v>662</v>
      </c>
      <c r="B12" s="626">
        <v>128.62386851999997</v>
      </c>
      <c r="C12" s="627">
        <v>137</v>
      </c>
      <c r="D12" s="628">
        <v>110</v>
      </c>
      <c r="E12" s="628">
        <v>110</v>
      </c>
      <c r="F12" s="628">
        <v>118</v>
      </c>
      <c r="G12" s="628">
        <v>117</v>
      </c>
      <c r="H12" s="628">
        <v>123</v>
      </c>
      <c r="I12" s="628">
        <v>100</v>
      </c>
      <c r="J12" s="628">
        <v>107.40767704</v>
      </c>
      <c r="K12" s="628">
        <v>113</v>
      </c>
    </row>
    <row r="13" spans="1:11" s="624" customFormat="1" ht="15">
      <c r="A13" s="625"/>
      <c r="B13" s="626"/>
      <c r="C13" s="627"/>
      <c r="D13" s="628"/>
      <c r="E13" s="628"/>
      <c r="F13" s="628"/>
      <c r="G13" s="628"/>
      <c r="H13" s="628"/>
      <c r="I13" s="628"/>
      <c r="J13" s="628"/>
      <c r="K13" s="628"/>
    </row>
    <row r="14" spans="1:11" s="624" customFormat="1" ht="15">
      <c r="A14" s="629" t="s">
        <v>663</v>
      </c>
      <c r="B14" s="630">
        <v>320.96768046000011</v>
      </c>
      <c r="C14" s="631">
        <v>355</v>
      </c>
      <c r="D14" s="632">
        <f>D8+D10</f>
        <v>340.01905119000003</v>
      </c>
      <c r="E14" s="632">
        <f>E8+E10</f>
        <v>352</v>
      </c>
      <c r="F14" s="632">
        <f>F8+F10</f>
        <v>358</v>
      </c>
      <c r="G14" s="632">
        <v>356</v>
      </c>
      <c r="H14" s="632">
        <f>H8+H10</f>
        <v>376</v>
      </c>
      <c r="I14" s="632">
        <f>I8+I10</f>
        <v>348</v>
      </c>
      <c r="J14" s="632">
        <v>350.91880953999987</v>
      </c>
      <c r="K14" s="632">
        <f>K8+K10</f>
        <v>359</v>
      </c>
    </row>
    <row r="15" spans="1:11" s="624" customFormat="1" ht="15">
      <c r="A15" s="629"/>
      <c r="B15" s="626"/>
      <c r="C15" s="627"/>
      <c r="D15" s="628"/>
      <c r="E15" s="628"/>
      <c r="F15" s="628"/>
      <c r="G15" s="628"/>
      <c r="H15" s="628"/>
      <c r="I15" s="628"/>
      <c r="J15" s="628"/>
      <c r="K15" s="628"/>
    </row>
    <row r="16" spans="1:11" s="624" customFormat="1" ht="15">
      <c r="A16" s="629" t="s">
        <v>664</v>
      </c>
      <c r="B16" s="630">
        <v>209.14297093000002</v>
      </c>
      <c r="C16" s="631">
        <v>244</v>
      </c>
      <c r="D16" s="632">
        <f>D17+D18</f>
        <v>231</v>
      </c>
      <c r="E16" s="632">
        <f>E17+E18</f>
        <v>241</v>
      </c>
      <c r="F16" s="632">
        <f>F17+F18</f>
        <v>251</v>
      </c>
      <c r="G16" s="632">
        <v>240</v>
      </c>
      <c r="H16" s="632">
        <f>H17+H18</f>
        <v>246</v>
      </c>
      <c r="I16" s="632">
        <f>I17+I18</f>
        <v>225</v>
      </c>
      <c r="J16" s="632">
        <v>223.43907991</v>
      </c>
      <c r="K16" s="632">
        <f>K17+K18</f>
        <v>240</v>
      </c>
    </row>
    <row r="17" spans="1:11" s="624" customFormat="1" ht="15">
      <c r="A17" s="625" t="s">
        <v>665</v>
      </c>
      <c r="B17" s="626">
        <v>61.287354260000001</v>
      </c>
      <c r="C17" s="627">
        <v>66</v>
      </c>
      <c r="D17" s="628">
        <v>64</v>
      </c>
      <c r="E17" s="628">
        <v>67</v>
      </c>
      <c r="F17" s="628">
        <v>73</v>
      </c>
      <c r="G17" s="628">
        <v>68</v>
      </c>
      <c r="H17" s="628">
        <v>71</v>
      </c>
      <c r="I17" s="628">
        <v>59</v>
      </c>
      <c r="J17" s="628">
        <v>56.377752529999903</v>
      </c>
      <c r="K17" s="628">
        <v>64</v>
      </c>
    </row>
    <row r="18" spans="1:11" s="624" customFormat="1" ht="15">
      <c r="A18" s="625" t="s">
        <v>666</v>
      </c>
      <c r="B18" s="626">
        <v>147.85561667000002</v>
      </c>
      <c r="C18" s="627">
        <v>178</v>
      </c>
      <c r="D18" s="628">
        <v>167</v>
      </c>
      <c r="E18" s="628">
        <v>174</v>
      </c>
      <c r="F18" s="628">
        <v>178</v>
      </c>
      <c r="G18" s="628">
        <v>172</v>
      </c>
      <c r="H18" s="628">
        <v>175</v>
      </c>
      <c r="I18" s="628">
        <v>166</v>
      </c>
      <c r="J18" s="628">
        <v>167.06132738000011</v>
      </c>
      <c r="K18" s="628">
        <v>176</v>
      </c>
    </row>
    <row r="19" spans="1:11" s="624" customFormat="1" ht="15">
      <c r="A19" s="625"/>
      <c r="B19" s="626"/>
      <c r="C19" s="627"/>
      <c r="D19" s="628"/>
      <c r="E19" s="628"/>
      <c r="F19" s="628"/>
      <c r="G19" s="628"/>
      <c r="H19" s="628"/>
      <c r="I19" s="628"/>
      <c r="J19" s="628"/>
      <c r="K19" s="628"/>
    </row>
    <row r="20" spans="1:11" s="624" customFormat="1" ht="15">
      <c r="A20" s="629" t="s">
        <v>667</v>
      </c>
      <c r="B20" s="630">
        <v>111.82470953000009</v>
      </c>
      <c r="C20" s="631">
        <v>111</v>
      </c>
      <c r="D20" s="632">
        <f>D14-D16</f>
        <v>109.01905119000003</v>
      </c>
      <c r="E20" s="632">
        <f>E14-E16</f>
        <v>111</v>
      </c>
      <c r="F20" s="632">
        <f>F14-F16</f>
        <v>107</v>
      </c>
      <c r="G20" s="632">
        <v>116</v>
      </c>
      <c r="H20" s="632">
        <f>H14-H16</f>
        <v>130</v>
      </c>
      <c r="I20" s="632">
        <f>I14-I16</f>
        <v>123</v>
      </c>
      <c r="J20" s="632">
        <v>128</v>
      </c>
      <c r="K20" s="632">
        <f t="shared" ref="K20" si="1">K14-K16</f>
        <v>119</v>
      </c>
    </row>
    <row r="21" spans="1:11" s="624" customFormat="1" ht="15">
      <c r="A21" s="625"/>
      <c r="B21" s="626"/>
      <c r="C21" s="627"/>
      <c r="D21" s="628"/>
      <c r="E21" s="628"/>
      <c r="F21" s="628"/>
      <c r="G21" s="628"/>
      <c r="H21" s="628"/>
      <c r="I21" s="628"/>
      <c r="J21" s="628"/>
      <c r="K21" s="628"/>
    </row>
    <row r="22" spans="1:11" s="624" customFormat="1" ht="15">
      <c r="A22" s="625" t="s">
        <v>668</v>
      </c>
      <c r="B22" s="626">
        <v>26.476855660000002</v>
      </c>
      <c r="C22" s="627">
        <v>34</v>
      </c>
      <c r="D22" s="628">
        <v>14</v>
      </c>
      <c r="E22" s="628">
        <v>50</v>
      </c>
      <c r="F22" s="628">
        <v>22</v>
      </c>
      <c r="G22" s="628">
        <v>13</v>
      </c>
      <c r="H22" s="628">
        <v>17</v>
      </c>
      <c r="I22" s="628">
        <v>17</v>
      </c>
      <c r="J22" s="628">
        <v>13.67015</v>
      </c>
      <c r="K22" s="628">
        <v>22</v>
      </c>
    </row>
    <row r="23" spans="1:11" s="624" customFormat="1" ht="15">
      <c r="A23" s="625"/>
      <c r="B23" s="626"/>
      <c r="C23" s="627"/>
      <c r="D23" s="628"/>
      <c r="E23" s="628"/>
      <c r="F23" s="628"/>
      <c r="G23" s="628"/>
      <c r="H23" s="628"/>
      <c r="I23" s="628"/>
      <c r="J23" s="628"/>
      <c r="K23" s="628"/>
    </row>
    <row r="24" spans="1:11" s="624" customFormat="1" ht="15">
      <c r="A24" s="629" t="s">
        <v>669</v>
      </c>
      <c r="B24" s="630">
        <v>86</v>
      </c>
      <c r="C24" s="631">
        <v>77</v>
      </c>
      <c r="D24" s="632">
        <f>D20-D22</f>
        <v>95.019051190000027</v>
      </c>
      <c r="E24" s="632">
        <f>E20-E22</f>
        <v>61</v>
      </c>
      <c r="F24" s="632">
        <f>F20-F22</f>
        <v>85</v>
      </c>
      <c r="G24" s="632">
        <v>103</v>
      </c>
      <c r="H24" s="632">
        <f>H20-H22</f>
        <v>113</v>
      </c>
      <c r="I24" s="632">
        <f>I20-I22</f>
        <v>106</v>
      </c>
      <c r="J24" s="632">
        <v>114.32984999999999</v>
      </c>
      <c r="K24" s="632">
        <f>K20-K22</f>
        <v>97</v>
      </c>
    </row>
    <row r="25" spans="1:11" s="624" customFormat="1" ht="15">
      <c r="A25" s="625"/>
      <c r="B25" s="626"/>
      <c r="C25" s="627"/>
      <c r="D25" s="628"/>
      <c r="E25" s="628"/>
      <c r="F25" s="628"/>
      <c r="G25" s="628"/>
      <c r="H25" s="628"/>
      <c r="I25" s="628"/>
      <c r="J25" s="628"/>
      <c r="K25" s="628"/>
    </row>
    <row r="26" spans="1:11" s="624" customFormat="1" ht="15">
      <c r="A26" s="625" t="s">
        <v>670</v>
      </c>
      <c r="B26" s="626">
        <v>13.971818000000001</v>
      </c>
      <c r="C26" s="627">
        <v>12</v>
      </c>
      <c r="D26" s="628">
        <v>13</v>
      </c>
      <c r="E26" s="628">
        <v>17</v>
      </c>
      <c r="F26" s="628">
        <v>14</v>
      </c>
      <c r="G26" s="628">
        <v>17</v>
      </c>
      <c r="H26" s="628">
        <v>17</v>
      </c>
      <c r="I26" s="628">
        <v>18</v>
      </c>
      <c r="J26" s="628">
        <v>18.839625000000002</v>
      </c>
      <c r="K26" s="628">
        <v>18</v>
      </c>
    </row>
    <row r="27" spans="1:11" s="624" customFormat="1" ht="15">
      <c r="A27" s="625"/>
      <c r="B27" s="626"/>
      <c r="C27" s="627"/>
      <c r="D27" s="628"/>
      <c r="E27" s="628"/>
      <c r="F27" s="628"/>
      <c r="G27" s="628"/>
      <c r="H27" s="628"/>
      <c r="I27" s="628"/>
      <c r="J27" s="628"/>
      <c r="K27" s="628"/>
    </row>
    <row r="28" spans="1:11" s="624" customFormat="1" ht="15.75" thickBot="1">
      <c r="A28" s="633" t="s">
        <v>671</v>
      </c>
      <c r="B28" s="634">
        <v>72.028182000000001</v>
      </c>
      <c r="C28" s="635">
        <v>65</v>
      </c>
      <c r="D28" s="636">
        <f>D24-D26</f>
        <v>82.019051190000027</v>
      </c>
      <c r="E28" s="636">
        <f>E24-E26</f>
        <v>44</v>
      </c>
      <c r="F28" s="636">
        <f>F24-F26</f>
        <v>71</v>
      </c>
      <c r="G28" s="636">
        <v>86</v>
      </c>
      <c r="H28" s="636">
        <f>H24-H26</f>
        <v>96</v>
      </c>
      <c r="I28" s="636">
        <f>I24-I26</f>
        <v>88</v>
      </c>
      <c r="J28" s="636">
        <v>95.490224999999995</v>
      </c>
      <c r="K28" s="636">
        <f>K24-K26</f>
        <v>79</v>
      </c>
    </row>
    <row r="29" spans="1:11">
      <c r="A29" s="3266" t="s">
        <v>654</v>
      </c>
      <c r="B29" s="3266"/>
      <c r="C29" s="3266"/>
      <c r="D29" s="3266"/>
      <c r="E29" s="3266"/>
      <c r="F29" s="3266"/>
      <c r="G29" s="3266"/>
      <c r="H29" s="3266"/>
    </row>
    <row r="30" spans="1:11">
      <c r="A30" s="637" t="s">
        <v>672</v>
      </c>
    </row>
  </sheetData>
  <mergeCells count="2">
    <mergeCell ref="A3:D3"/>
    <mergeCell ref="A29:H29"/>
  </mergeCells>
  <pageMargins left="0.75" right="0.75" top="1" bottom="1" header="0.5" footer="0.5"/>
  <pageSetup paperSize="9" scale="5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9"/>
  <sheetViews>
    <sheetView zoomScaleNormal="100" workbookViewId="0">
      <pane xSplit="1" ySplit="3" topLeftCell="Y28" activePane="bottomRight" state="frozen"/>
      <selection pane="topRight" activeCell="E1" sqref="E1"/>
      <selection pane="bottomLeft" activeCell="A4" sqref="A4"/>
      <selection pane="bottomRight" activeCell="AO51" sqref="AO51"/>
    </sheetView>
  </sheetViews>
  <sheetFormatPr defaultRowHeight="12.75"/>
  <cols>
    <col min="1" max="1" width="46.42578125" style="3567" customWidth="1"/>
    <col min="2" max="38" width="8.7109375" style="3567" customWidth="1"/>
    <col min="39" max="256" width="9.140625" style="3567"/>
    <col min="257" max="257" width="46.42578125" style="3567" customWidth="1"/>
    <col min="258" max="294" width="8.7109375" style="3567" customWidth="1"/>
    <col min="295" max="512" width="9.140625" style="3567"/>
    <col min="513" max="513" width="46.42578125" style="3567" customWidth="1"/>
    <col min="514" max="550" width="8.7109375" style="3567" customWidth="1"/>
    <col min="551" max="768" width="9.140625" style="3567"/>
    <col min="769" max="769" width="46.42578125" style="3567" customWidth="1"/>
    <col min="770" max="806" width="8.7109375" style="3567" customWidth="1"/>
    <col min="807" max="1024" width="9.140625" style="3567"/>
    <col min="1025" max="1025" width="46.42578125" style="3567" customWidth="1"/>
    <col min="1026" max="1062" width="8.7109375" style="3567" customWidth="1"/>
    <col min="1063" max="1280" width="9.140625" style="3567"/>
    <col min="1281" max="1281" width="46.42578125" style="3567" customWidth="1"/>
    <col min="1282" max="1318" width="8.7109375" style="3567" customWidth="1"/>
    <col min="1319" max="1536" width="9.140625" style="3567"/>
    <col min="1537" max="1537" width="46.42578125" style="3567" customWidth="1"/>
    <col min="1538" max="1574" width="8.7109375" style="3567" customWidth="1"/>
    <col min="1575" max="1792" width="9.140625" style="3567"/>
    <col min="1793" max="1793" width="46.42578125" style="3567" customWidth="1"/>
    <col min="1794" max="1830" width="8.7109375" style="3567" customWidth="1"/>
    <col min="1831" max="2048" width="9.140625" style="3567"/>
    <col min="2049" max="2049" width="46.42578125" style="3567" customWidth="1"/>
    <col min="2050" max="2086" width="8.7109375" style="3567" customWidth="1"/>
    <col min="2087" max="2304" width="9.140625" style="3567"/>
    <col min="2305" max="2305" width="46.42578125" style="3567" customWidth="1"/>
    <col min="2306" max="2342" width="8.7109375" style="3567" customWidth="1"/>
    <col min="2343" max="2560" width="9.140625" style="3567"/>
    <col min="2561" max="2561" width="46.42578125" style="3567" customWidth="1"/>
    <col min="2562" max="2598" width="8.7109375" style="3567" customWidth="1"/>
    <col min="2599" max="2816" width="9.140625" style="3567"/>
    <col min="2817" max="2817" width="46.42578125" style="3567" customWidth="1"/>
    <col min="2818" max="2854" width="8.7109375" style="3567" customWidth="1"/>
    <col min="2855" max="3072" width="9.140625" style="3567"/>
    <col min="3073" max="3073" width="46.42578125" style="3567" customWidth="1"/>
    <col min="3074" max="3110" width="8.7109375" style="3567" customWidth="1"/>
    <col min="3111" max="3328" width="9.140625" style="3567"/>
    <col min="3329" max="3329" width="46.42578125" style="3567" customWidth="1"/>
    <col min="3330" max="3366" width="8.7109375" style="3567" customWidth="1"/>
    <col min="3367" max="3584" width="9.140625" style="3567"/>
    <col min="3585" max="3585" width="46.42578125" style="3567" customWidth="1"/>
    <col min="3586" max="3622" width="8.7109375" style="3567" customWidth="1"/>
    <col min="3623" max="3840" width="9.140625" style="3567"/>
    <col min="3841" max="3841" width="46.42578125" style="3567" customWidth="1"/>
    <col min="3842" max="3878" width="8.7109375" style="3567" customWidth="1"/>
    <col min="3879" max="4096" width="9.140625" style="3567"/>
    <col min="4097" max="4097" width="46.42578125" style="3567" customWidth="1"/>
    <col min="4098" max="4134" width="8.7109375" style="3567" customWidth="1"/>
    <col min="4135" max="4352" width="9.140625" style="3567"/>
    <col min="4353" max="4353" width="46.42578125" style="3567" customWidth="1"/>
    <col min="4354" max="4390" width="8.7109375" style="3567" customWidth="1"/>
    <col min="4391" max="4608" width="9.140625" style="3567"/>
    <col min="4609" max="4609" width="46.42578125" style="3567" customWidth="1"/>
    <col min="4610" max="4646" width="8.7109375" style="3567" customWidth="1"/>
    <col min="4647" max="4864" width="9.140625" style="3567"/>
    <col min="4865" max="4865" width="46.42578125" style="3567" customWidth="1"/>
    <col min="4866" max="4902" width="8.7109375" style="3567" customWidth="1"/>
    <col min="4903" max="5120" width="9.140625" style="3567"/>
    <col min="5121" max="5121" width="46.42578125" style="3567" customWidth="1"/>
    <col min="5122" max="5158" width="8.7109375" style="3567" customWidth="1"/>
    <col min="5159" max="5376" width="9.140625" style="3567"/>
    <col min="5377" max="5377" width="46.42578125" style="3567" customWidth="1"/>
    <col min="5378" max="5414" width="8.7109375" style="3567" customWidth="1"/>
    <col min="5415" max="5632" width="9.140625" style="3567"/>
    <col min="5633" max="5633" width="46.42578125" style="3567" customWidth="1"/>
    <col min="5634" max="5670" width="8.7109375" style="3567" customWidth="1"/>
    <col min="5671" max="5888" width="9.140625" style="3567"/>
    <col min="5889" max="5889" width="46.42578125" style="3567" customWidth="1"/>
    <col min="5890" max="5926" width="8.7109375" style="3567" customWidth="1"/>
    <col min="5927" max="6144" width="9.140625" style="3567"/>
    <col min="6145" max="6145" width="46.42578125" style="3567" customWidth="1"/>
    <col min="6146" max="6182" width="8.7109375" style="3567" customWidth="1"/>
    <col min="6183" max="6400" width="9.140625" style="3567"/>
    <col min="6401" max="6401" width="46.42578125" style="3567" customWidth="1"/>
    <col min="6402" max="6438" width="8.7109375" style="3567" customWidth="1"/>
    <col min="6439" max="6656" width="9.140625" style="3567"/>
    <col min="6657" max="6657" width="46.42578125" style="3567" customWidth="1"/>
    <col min="6658" max="6694" width="8.7109375" style="3567" customWidth="1"/>
    <col min="6695" max="6912" width="9.140625" style="3567"/>
    <col min="6913" max="6913" width="46.42578125" style="3567" customWidth="1"/>
    <col min="6914" max="6950" width="8.7109375" style="3567" customWidth="1"/>
    <col min="6951" max="7168" width="9.140625" style="3567"/>
    <col min="7169" max="7169" width="46.42578125" style="3567" customWidth="1"/>
    <col min="7170" max="7206" width="8.7109375" style="3567" customWidth="1"/>
    <col min="7207" max="7424" width="9.140625" style="3567"/>
    <col min="7425" max="7425" width="46.42578125" style="3567" customWidth="1"/>
    <col min="7426" max="7462" width="8.7109375" style="3567" customWidth="1"/>
    <col min="7463" max="7680" width="9.140625" style="3567"/>
    <col min="7681" max="7681" width="46.42578125" style="3567" customWidth="1"/>
    <col min="7682" max="7718" width="8.7109375" style="3567" customWidth="1"/>
    <col min="7719" max="7936" width="9.140625" style="3567"/>
    <col min="7937" max="7937" width="46.42578125" style="3567" customWidth="1"/>
    <col min="7938" max="7974" width="8.7109375" style="3567" customWidth="1"/>
    <col min="7975" max="8192" width="9.140625" style="3567"/>
    <col min="8193" max="8193" width="46.42578125" style="3567" customWidth="1"/>
    <col min="8194" max="8230" width="8.7109375" style="3567" customWidth="1"/>
    <col min="8231" max="8448" width="9.140625" style="3567"/>
    <col min="8449" max="8449" width="46.42578125" style="3567" customWidth="1"/>
    <col min="8450" max="8486" width="8.7109375" style="3567" customWidth="1"/>
    <col min="8487" max="8704" width="9.140625" style="3567"/>
    <col min="8705" max="8705" width="46.42578125" style="3567" customWidth="1"/>
    <col min="8706" max="8742" width="8.7109375" style="3567" customWidth="1"/>
    <col min="8743" max="8960" width="9.140625" style="3567"/>
    <col min="8961" max="8961" width="46.42578125" style="3567" customWidth="1"/>
    <col min="8962" max="8998" width="8.7109375" style="3567" customWidth="1"/>
    <col min="8999" max="9216" width="9.140625" style="3567"/>
    <col min="9217" max="9217" width="46.42578125" style="3567" customWidth="1"/>
    <col min="9218" max="9254" width="8.7109375" style="3567" customWidth="1"/>
    <col min="9255" max="9472" width="9.140625" style="3567"/>
    <col min="9473" max="9473" width="46.42578125" style="3567" customWidth="1"/>
    <col min="9474" max="9510" width="8.7109375" style="3567" customWidth="1"/>
    <col min="9511" max="9728" width="9.140625" style="3567"/>
    <col min="9729" max="9729" width="46.42578125" style="3567" customWidth="1"/>
    <col min="9730" max="9766" width="8.7109375" style="3567" customWidth="1"/>
    <col min="9767" max="9984" width="9.140625" style="3567"/>
    <col min="9985" max="9985" width="46.42578125" style="3567" customWidth="1"/>
    <col min="9986" max="10022" width="8.7109375" style="3567" customWidth="1"/>
    <col min="10023" max="10240" width="9.140625" style="3567"/>
    <col min="10241" max="10241" width="46.42578125" style="3567" customWidth="1"/>
    <col min="10242" max="10278" width="8.7109375" style="3567" customWidth="1"/>
    <col min="10279" max="10496" width="9.140625" style="3567"/>
    <col min="10497" max="10497" width="46.42578125" style="3567" customWidth="1"/>
    <col min="10498" max="10534" width="8.7109375" style="3567" customWidth="1"/>
    <col min="10535" max="10752" width="9.140625" style="3567"/>
    <col min="10753" max="10753" width="46.42578125" style="3567" customWidth="1"/>
    <col min="10754" max="10790" width="8.7109375" style="3567" customWidth="1"/>
    <col min="10791" max="11008" width="9.140625" style="3567"/>
    <col min="11009" max="11009" width="46.42578125" style="3567" customWidth="1"/>
    <col min="11010" max="11046" width="8.7109375" style="3567" customWidth="1"/>
    <col min="11047" max="11264" width="9.140625" style="3567"/>
    <col min="11265" max="11265" width="46.42578125" style="3567" customWidth="1"/>
    <col min="11266" max="11302" width="8.7109375" style="3567" customWidth="1"/>
    <col min="11303" max="11520" width="9.140625" style="3567"/>
    <col min="11521" max="11521" width="46.42578125" style="3567" customWidth="1"/>
    <col min="11522" max="11558" width="8.7109375" style="3567" customWidth="1"/>
    <col min="11559" max="11776" width="9.140625" style="3567"/>
    <col min="11777" max="11777" width="46.42578125" style="3567" customWidth="1"/>
    <col min="11778" max="11814" width="8.7109375" style="3567" customWidth="1"/>
    <col min="11815" max="12032" width="9.140625" style="3567"/>
    <col min="12033" max="12033" width="46.42578125" style="3567" customWidth="1"/>
    <col min="12034" max="12070" width="8.7109375" style="3567" customWidth="1"/>
    <col min="12071" max="12288" width="9.140625" style="3567"/>
    <col min="12289" max="12289" width="46.42578125" style="3567" customWidth="1"/>
    <col min="12290" max="12326" width="8.7109375" style="3567" customWidth="1"/>
    <col min="12327" max="12544" width="9.140625" style="3567"/>
    <col min="12545" max="12545" width="46.42578125" style="3567" customWidth="1"/>
    <col min="12546" max="12582" width="8.7109375" style="3567" customWidth="1"/>
    <col min="12583" max="12800" width="9.140625" style="3567"/>
    <col min="12801" max="12801" width="46.42578125" style="3567" customWidth="1"/>
    <col min="12802" max="12838" width="8.7109375" style="3567" customWidth="1"/>
    <col min="12839" max="13056" width="9.140625" style="3567"/>
    <col min="13057" max="13057" width="46.42578125" style="3567" customWidth="1"/>
    <col min="13058" max="13094" width="8.7109375" style="3567" customWidth="1"/>
    <col min="13095" max="13312" width="9.140625" style="3567"/>
    <col min="13313" max="13313" width="46.42578125" style="3567" customWidth="1"/>
    <col min="13314" max="13350" width="8.7109375" style="3567" customWidth="1"/>
    <col min="13351" max="13568" width="9.140625" style="3567"/>
    <col min="13569" max="13569" width="46.42578125" style="3567" customWidth="1"/>
    <col min="13570" max="13606" width="8.7109375" style="3567" customWidth="1"/>
    <col min="13607" max="13824" width="9.140625" style="3567"/>
    <col min="13825" max="13825" width="46.42578125" style="3567" customWidth="1"/>
    <col min="13826" max="13862" width="8.7109375" style="3567" customWidth="1"/>
    <col min="13863" max="14080" width="9.140625" style="3567"/>
    <col min="14081" max="14081" width="46.42578125" style="3567" customWidth="1"/>
    <col min="14082" max="14118" width="8.7109375" style="3567" customWidth="1"/>
    <col min="14119" max="14336" width="9.140625" style="3567"/>
    <col min="14337" max="14337" width="46.42578125" style="3567" customWidth="1"/>
    <col min="14338" max="14374" width="8.7109375" style="3567" customWidth="1"/>
    <col min="14375" max="14592" width="9.140625" style="3567"/>
    <col min="14593" max="14593" width="46.42578125" style="3567" customWidth="1"/>
    <col min="14594" max="14630" width="8.7109375" style="3567" customWidth="1"/>
    <col min="14631" max="14848" width="9.140625" style="3567"/>
    <col min="14849" max="14849" width="46.42578125" style="3567" customWidth="1"/>
    <col min="14850" max="14886" width="8.7109375" style="3567" customWidth="1"/>
    <col min="14887" max="15104" width="9.140625" style="3567"/>
    <col min="15105" max="15105" width="46.42578125" style="3567" customWidth="1"/>
    <col min="15106" max="15142" width="8.7109375" style="3567" customWidth="1"/>
    <col min="15143" max="15360" width="9.140625" style="3567"/>
    <col min="15361" max="15361" width="46.42578125" style="3567" customWidth="1"/>
    <col min="15362" max="15398" width="8.7109375" style="3567" customWidth="1"/>
    <col min="15399" max="15616" width="9.140625" style="3567"/>
    <col min="15617" max="15617" width="46.42578125" style="3567" customWidth="1"/>
    <col min="15618" max="15654" width="8.7109375" style="3567" customWidth="1"/>
    <col min="15655" max="15872" width="9.140625" style="3567"/>
    <col min="15873" max="15873" width="46.42578125" style="3567" customWidth="1"/>
    <col min="15874" max="15910" width="8.7109375" style="3567" customWidth="1"/>
    <col min="15911" max="16128" width="9.140625" style="3567"/>
    <col min="16129" max="16129" width="46.42578125" style="3567" customWidth="1"/>
    <col min="16130" max="16166" width="8.7109375" style="3567" customWidth="1"/>
    <col min="16167" max="16384" width="9.140625" style="3567"/>
  </cols>
  <sheetData>
    <row r="1" spans="1:38" ht="19.5">
      <c r="A1" s="3566" t="s">
        <v>673</v>
      </c>
      <c r="Z1" s="3568"/>
    </row>
    <row r="2" spans="1:38" s="3569" customFormat="1" ht="13.5" thickBot="1">
      <c r="B2" s="3570"/>
      <c r="F2" s="3570"/>
      <c r="G2" s="3570"/>
      <c r="H2" s="3570"/>
      <c r="I2" s="3570"/>
      <c r="J2" s="3570"/>
      <c r="K2" s="3570"/>
      <c r="T2" s="3571"/>
      <c r="U2" s="3571"/>
      <c r="V2" s="3571"/>
      <c r="AA2" s="3569" t="s">
        <v>674</v>
      </c>
      <c r="AB2" s="3572"/>
      <c r="AD2" s="3572"/>
      <c r="AH2" s="3572"/>
      <c r="AI2" s="3572"/>
      <c r="AL2" s="3572" t="s">
        <v>12</v>
      </c>
    </row>
    <row r="3" spans="1:38" s="3576" customFormat="1" ht="14.25" thickTop="1" thickBot="1">
      <c r="A3" s="3573"/>
      <c r="B3" s="3574">
        <v>40193</v>
      </c>
      <c r="C3" s="3574">
        <v>40224</v>
      </c>
      <c r="D3" s="3574">
        <v>40252</v>
      </c>
      <c r="E3" s="3574">
        <v>40284</v>
      </c>
      <c r="F3" s="3574">
        <v>40316</v>
      </c>
      <c r="G3" s="3574">
        <v>40347</v>
      </c>
      <c r="H3" s="3574">
        <v>40377</v>
      </c>
      <c r="I3" s="3574">
        <v>40408</v>
      </c>
      <c r="J3" s="3574">
        <v>40439</v>
      </c>
      <c r="K3" s="3574">
        <v>40469</v>
      </c>
      <c r="L3" s="3574">
        <v>40500</v>
      </c>
      <c r="M3" s="3574">
        <v>40530</v>
      </c>
      <c r="N3" s="3574">
        <v>40561</v>
      </c>
      <c r="O3" s="3574">
        <v>40592</v>
      </c>
      <c r="P3" s="3574">
        <v>40620</v>
      </c>
      <c r="Q3" s="3574">
        <v>40651</v>
      </c>
      <c r="R3" s="3574">
        <v>40681</v>
      </c>
      <c r="S3" s="3574">
        <v>40712</v>
      </c>
      <c r="T3" s="3574">
        <v>40742</v>
      </c>
      <c r="U3" s="3574">
        <v>40773</v>
      </c>
      <c r="V3" s="3574">
        <v>40804</v>
      </c>
      <c r="W3" s="3574">
        <v>40834</v>
      </c>
      <c r="X3" s="3574">
        <v>40865</v>
      </c>
      <c r="Y3" s="3575">
        <v>40895</v>
      </c>
      <c r="Z3" s="3574">
        <v>40926</v>
      </c>
      <c r="AA3" s="3575">
        <v>40957</v>
      </c>
      <c r="AB3" s="3574">
        <v>40986</v>
      </c>
      <c r="AC3" s="3574">
        <v>41017</v>
      </c>
      <c r="AD3" s="3574">
        <v>41047</v>
      </c>
      <c r="AE3" s="3574">
        <v>41078</v>
      </c>
      <c r="AF3" s="3574">
        <v>41108</v>
      </c>
      <c r="AG3" s="3574">
        <v>41139</v>
      </c>
      <c r="AH3" s="3574">
        <v>41170</v>
      </c>
      <c r="AI3" s="3574">
        <v>41200</v>
      </c>
      <c r="AJ3" s="3574">
        <v>41231</v>
      </c>
      <c r="AK3" s="3574">
        <v>41261</v>
      </c>
      <c r="AL3" s="3574">
        <v>41292</v>
      </c>
    </row>
    <row r="4" spans="1:38" ht="14.25" thickTop="1" thickBot="1">
      <c r="A4" s="3577" t="s">
        <v>675</v>
      </c>
      <c r="B4" s="3578"/>
      <c r="C4" s="3578"/>
      <c r="D4" s="3578"/>
      <c r="E4" s="3578"/>
      <c r="F4" s="3578"/>
      <c r="G4" s="3578"/>
      <c r="H4" s="3578"/>
      <c r="I4" s="3578"/>
      <c r="J4" s="3578"/>
      <c r="K4" s="3578"/>
      <c r="L4" s="3578"/>
      <c r="M4" s="3578"/>
      <c r="N4" s="3578"/>
      <c r="O4" s="3578"/>
      <c r="P4" s="3578"/>
      <c r="Q4" s="3578"/>
      <c r="R4" s="3578"/>
      <c r="S4" s="3578"/>
      <c r="T4" s="3578"/>
      <c r="U4" s="3578"/>
      <c r="V4" s="3578"/>
      <c r="W4" s="3578"/>
      <c r="X4" s="3578"/>
      <c r="Y4" s="3578"/>
      <c r="Z4" s="3578"/>
      <c r="AA4" s="3578"/>
      <c r="AB4" s="3578"/>
      <c r="AC4" s="3578"/>
      <c r="AD4" s="3578"/>
      <c r="AE4" s="3578"/>
      <c r="AF4" s="3578"/>
      <c r="AG4" s="3578"/>
      <c r="AH4" s="3578"/>
      <c r="AI4" s="3578"/>
      <c r="AJ4" s="3578"/>
      <c r="AK4" s="3578"/>
      <c r="AL4" s="3578"/>
    </row>
    <row r="5" spans="1:38" ht="13.5" thickTop="1">
      <c r="A5" s="3579"/>
      <c r="B5" s="3580"/>
      <c r="C5" s="3580"/>
      <c r="D5" s="3580"/>
      <c r="E5" s="3580"/>
      <c r="F5" s="3580"/>
      <c r="G5" s="3580"/>
      <c r="H5" s="3580"/>
      <c r="I5" s="3580"/>
      <c r="J5" s="3580"/>
      <c r="K5" s="3580"/>
      <c r="L5" s="3580"/>
      <c r="M5" s="3580"/>
      <c r="N5" s="3580"/>
      <c r="O5" s="3580"/>
      <c r="P5" s="3580"/>
      <c r="Q5" s="3580"/>
      <c r="R5" s="3580"/>
      <c r="S5" s="3580"/>
      <c r="T5" s="3580"/>
      <c r="U5" s="3580"/>
      <c r="V5" s="3580"/>
      <c r="W5" s="3580"/>
      <c r="X5" s="3580"/>
      <c r="Y5" s="3580"/>
      <c r="Z5" s="3580"/>
      <c r="AA5" s="3580"/>
      <c r="AB5" s="3580"/>
      <c r="AC5" s="3580"/>
      <c r="AD5" s="3580"/>
      <c r="AE5" s="3580"/>
      <c r="AF5" s="3580"/>
      <c r="AG5" s="3580"/>
      <c r="AH5" s="3580"/>
      <c r="AI5" s="3580"/>
      <c r="AJ5" s="3580"/>
      <c r="AK5" s="3580"/>
      <c r="AL5" s="3580"/>
    </row>
    <row r="6" spans="1:38">
      <c r="A6" s="3579" t="s">
        <v>676</v>
      </c>
      <c r="B6" s="3581">
        <v>16171.960026841443</v>
      </c>
      <c r="C6" s="3581">
        <v>15979.918504390556</v>
      </c>
      <c r="D6" s="3581">
        <v>15845.174678718537</v>
      </c>
      <c r="E6" s="3581">
        <v>16036.327574022573</v>
      </c>
      <c r="F6" s="3581">
        <v>16227.254416493004</v>
      </c>
      <c r="G6" s="3581">
        <v>15904.557043885216</v>
      </c>
      <c r="H6" s="3581">
        <v>16369.721227265134</v>
      </c>
      <c r="I6" s="3581">
        <v>16281.24484228429</v>
      </c>
      <c r="J6" s="3581">
        <v>16241.980758452173</v>
      </c>
      <c r="K6" s="3581">
        <v>16473.996105313156</v>
      </c>
      <c r="L6" s="3581">
        <v>16722.43897559122</v>
      </c>
      <c r="M6" s="3581">
        <v>18975.006270668913</v>
      </c>
      <c r="N6" s="3581">
        <v>18010.593082900665</v>
      </c>
      <c r="O6" s="3581">
        <v>17749.329653375997</v>
      </c>
      <c r="P6" s="3581">
        <v>17492.407133231845</v>
      </c>
      <c r="Q6" s="3581">
        <v>17646.497592686108</v>
      </c>
      <c r="R6" s="3581">
        <v>17594.772439179418</v>
      </c>
      <c r="S6" s="3581">
        <v>17516.570954198032</v>
      </c>
      <c r="T6" s="3581">
        <v>18045.280669068587</v>
      </c>
      <c r="U6" s="3581">
        <v>18269.489570318754</v>
      </c>
      <c r="V6" s="3581">
        <v>17957.873646394448</v>
      </c>
      <c r="W6" s="3581">
        <v>18294.304306683174</v>
      </c>
      <c r="X6" s="3581">
        <v>17891.407119467123</v>
      </c>
      <c r="Y6" s="3581">
        <v>20307.786446312803</v>
      </c>
      <c r="Z6" s="3581">
        <v>19209.573208944614</v>
      </c>
      <c r="AA6" s="3581">
        <v>18923.022119759324</v>
      </c>
      <c r="AB6" s="3581">
        <v>18978.695497382185</v>
      </c>
      <c r="AC6" s="3581">
        <v>18961.549992068223</v>
      </c>
      <c r="AD6" s="3581">
        <v>18678.032246711129</v>
      </c>
      <c r="AE6" s="3581">
        <v>19013.633662171222</v>
      </c>
      <c r="AF6" s="3581">
        <v>19228.031835841684</v>
      </c>
      <c r="AG6" s="3581">
        <v>19287.1599017013</v>
      </c>
      <c r="AH6" s="3581">
        <v>19233.798105900336</v>
      </c>
      <c r="AI6" s="3581">
        <v>19257.554559318654</v>
      </c>
      <c r="AJ6" s="3581">
        <v>19629.552590686864</v>
      </c>
      <c r="AK6" s="3581">
        <v>22169.717386902448</v>
      </c>
      <c r="AL6" s="3581">
        <v>20964.304899561892</v>
      </c>
    </row>
    <row r="7" spans="1:38">
      <c r="A7" s="3579" t="s">
        <v>677</v>
      </c>
      <c r="B7" s="3581">
        <v>2780.4818602185578</v>
      </c>
      <c r="C7" s="3581">
        <v>2661.1428895894414</v>
      </c>
      <c r="D7" s="3581">
        <v>2898.1288821314602</v>
      </c>
      <c r="E7" s="3581">
        <v>2715.3582111474238</v>
      </c>
      <c r="F7" s="3581">
        <v>2684.0971327969955</v>
      </c>
      <c r="G7" s="3581">
        <v>2744.9043118847831</v>
      </c>
      <c r="H7" s="3581">
        <v>2589.750992474867</v>
      </c>
      <c r="I7" s="3581">
        <v>2818.4901145357067</v>
      </c>
      <c r="J7" s="3581">
        <v>2854.1944993078255</v>
      </c>
      <c r="K7" s="3581">
        <v>2652.7364417868403</v>
      </c>
      <c r="L7" s="3581">
        <v>2792.7197988087805</v>
      </c>
      <c r="M7" s="3581">
        <v>3616.7552011710859</v>
      </c>
      <c r="N7" s="3581">
        <v>3226.065290569335</v>
      </c>
      <c r="O7" s="3581">
        <v>2789.5613597740057</v>
      </c>
      <c r="P7" s="3581">
        <v>3064.4438332881532</v>
      </c>
      <c r="Q7" s="3581">
        <v>2706.3366797338899</v>
      </c>
      <c r="R7" s="3581">
        <v>3000.4766235805801</v>
      </c>
      <c r="S7" s="3581">
        <v>2937.2266495119648</v>
      </c>
      <c r="T7" s="3581">
        <v>2860.3833820514105</v>
      </c>
      <c r="U7" s="3581">
        <v>3375.9320411612475</v>
      </c>
      <c r="V7" s="3581">
        <v>3198.9278438555507</v>
      </c>
      <c r="W7" s="3581">
        <v>3543.8328578868231</v>
      </c>
      <c r="X7" s="3581">
        <v>3523.5380632228726</v>
      </c>
      <c r="Y7" s="3581">
        <v>4161.9693968671954</v>
      </c>
      <c r="Z7" s="3581">
        <v>3378.484805855383</v>
      </c>
      <c r="AA7" s="3581">
        <v>3248.2380390606745</v>
      </c>
      <c r="AB7" s="3581">
        <v>2883.3512458578157</v>
      </c>
      <c r="AC7" s="3581">
        <v>2977.8079643617739</v>
      </c>
      <c r="AD7" s="3581">
        <v>3403.9576576288719</v>
      </c>
      <c r="AE7" s="3581">
        <v>2731.8580123987772</v>
      </c>
      <c r="AF7" s="3581">
        <v>2921.5951604483175</v>
      </c>
      <c r="AG7" s="3581">
        <v>3285.2655863486962</v>
      </c>
      <c r="AH7" s="3581">
        <v>3218.9780038196668</v>
      </c>
      <c r="AI7" s="3581">
        <v>3775.3428060113479</v>
      </c>
      <c r="AJ7" s="3581">
        <v>3586.6000795631339</v>
      </c>
      <c r="AK7" s="3581">
        <v>4791.5966149175529</v>
      </c>
      <c r="AL7" s="3581">
        <v>4198.8004375281098</v>
      </c>
    </row>
    <row r="8" spans="1:38">
      <c r="A8" s="3579" t="s">
        <v>678</v>
      </c>
      <c r="B8" s="3581">
        <v>13354.1369304</v>
      </c>
      <c r="C8" s="3581">
        <v>15547.269751184082</v>
      </c>
      <c r="D8" s="3581">
        <v>16275.622386438796</v>
      </c>
      <c r="E8" s="3581">
        <v>15221.23032284</v>
      </c>
      <c r="F8" s="3581">
        <v>16093.601333399249</v>
      </c>
      <c r="G8" s="3581">
        <v>16999.361531195795</v>
      </c>
      <c r="H8" s="3581">
        <v>19152.045058170501</v>
      </c>
      <c r="I8" s="3581">
        <v>17322.563515917751</v>
      </c>
      <c r="J8" s="3581">
        <v>17348.093718887878</v>
      </c>
      <c r="K8" s="3581">
        <v>19741.48304675605</v>
      </c>
      <c r="L8" s="3581">
        <v>20508.300298751532</v>
      </c>
      <c r="M8" s="3581">
        <v>22343.765787940167</v>
      </c>
      <c r="N8" s="3581">
        <v>22984.200542913426</v>
      </c>
      <c r="O8" s="3581">
        <v>22919.075251580765</v>
      </c>
      <c r="P8" s="3581">
        <v>22059.179417132509</v>
      </c>
      <c r="Q8" s="3581">
        <v>23166.702863040875</v>
      </c>
      <c r="R8" s="3581">
        <v>20938.908755252636</v>
      </c>
      <c r="S8" s="3581">
        <v>21782.913917106107</v>
      </c>
      <c r="T8" s="3581">
        <v>21168.268613999975</v>
      </c>
      <c r="U8" s="3581">
        <v>22548.75644605832</v>
      </c>
      <c r="V8" s="3581">
        <v>21135.314750968126</v>
      </c>
      <c r="W8" s="3581">
        <v>20621.053342979791</v>
      </c>
      <c r="X8" s="3581">
        <v>20552.26384958261</v>
      </c>
      <c r="Y8" s="3581">
        <v>23811.115484457412</v>
      </c>
      <c r="Z8" s="3581">
        <v>21262.747211979215</v>
      </c>
      <c r="AA8" s="3581">
        <v>22729.78389618911</v>
      </c>
      <c r="AB8" s="3581">
        <v>22777.196732427616</v>
      </c>
      <c r="AC8" s="3581">
        <v>22587.705621703659</v>
      </c>
      <c r="AD8" s="3581">
        <v>22581.00185845033</v>
      </c>
      <c r="AE8" s="3581">
        <v>24165.476965627764</v>
      </c>
      <c r="AF8" s="3581">
        <v>23900.002767059999</v>
      </c>
      <c r="AG8" s="3581">
        <v>23612.924114190002</v>
      </c>
      <c r="AH8" s="3581">
        <v>24815.184473119996</v>
      </c>
      <c r="AI8" s="3581">
        <v>23406.22358813</v>
      </c>
      <c r="AJ8" s="3581">
        <v>22282.956181639998</v>
      </c>
      <c r="AK8" s="3581">
        <v>25661.61601234</v>
      </c>
      <c r="AL8" s="3581">
        <v>24923.575304820002</v>
      </c>
    </row>
    <row r="9" spans="1:38">
      <c r="A9" s="3579" t="s">
        <v>679</v>
      </c>
      <c r="B9" s="3581"/>
      <c r="C9" s="3581"/>
      <c r="D9" s="3581"/>
      <c r="E9" s="3581"/>
      <c r="F9" s="3581"/>
      <c r="G9" s="3581"/>
      <c r="H9" s="3581"/>
      <c r="I9" s="3581"/>
      <c r="J9" s="3581"/>
      <c r="K9" s="3581"/>
      <c r="L9" s="3581"/>
      <c r="M9" s="3581"/>
      <c r="N9" s="3581"/>
      <c r="O9" s="3581"/>
      <c r="P9" s="3581"/>
      <c r="Q9" s="3581"/>
      <c r="R9" s="3581"/>
      <c r="S9" s="3581"/>
      <c r="T9" s="3581"/>
      <c r="U9" s="3581"/>
      <c r="V9" s="3581"/>
      <c r="W9" s="3581"/>
      <c r="X9" s="3581"/>
      <c r="Y9" s="3581"/>
      <c r="Z9" s="3581"/>
      <c r="AA9" s="3581"/>
      <c r="AB9" s="3581"/>
      <c r="AC9" s="3581"/>
      <c r="AD9" s="3581"/>
      <c r="AE9" s="3581"/>
      <c r="AF9" s="3581"/>
      <c r="AG9" s="3581"/>
      <c r="AH9" s="3581"/>
      <c r="AI9" s="3581"/>
      <c r="AJ9" s="3581"/>
      <c r="AK9" s="3581"/>
      <c r="AL9" s="3581"/>
    </row>
    <row r="10" spans="1:38" s="3569" customFormat="1">
      <c r="A10" s="3582" t="s">
        <v>680</v>
      </c>
      <c r="B10" s="3583">
        <v>13180.361091909999</v>
      </c>
      <c r="C10" s="3583">
        <v>15445.119449369999</v>
      </c>
      <c r="D10" s="3583">
        <v>16168.046902009999</v>
      </c>
      <c r="E10" s="3583">
        <v>15124.25977701</v>
      </c>
      <c r="F10" s="3583">
        <v>16001.144004809998</v>
      </c>
      <c r="G10" s="3583">
        <v>16558.544007380002</v>
      </c>
      <c r="H10" s="3583">
        <v>19007.349950509997</v>
      </c>
      <c r="I10" s="3583">
        <v>17182.945034510001</v>
      </c>
      <c r="J10" s="3583">
        <v>17080.954378169998</v>
      </c>
      <c r="K10" s="3583">
        <v>19601.086913409999</v>
      </c>
      <c r="L10" s="3583">
        <v>20360.644917080001</v>
      </c>
      <c r="M10" s="3583">
        <v>22187.582204819999</v>
      </c>
      <c r="N10" s="3583">
        <v>22842.828379009999</v>
      </c>
      <c r="O10" s="3583">
        <v>22753.930035100002</v>
      </c>
      <c r="P10" s="3583">
        <v>21902.896262459999</v>
      </c>
      <c r="Q10" s="3583">
        <v>22996.164349359999</v>
      </c>
      <c r="R10" s="3583">
        <v>20819.986171249999</v>
      </c>
      <c r="S10" s="3583">
        <v>21555.850004669999</v>
      </c>
      <c r="T10" s="3583">
        <v>21020.661866890001</v>
      </c>
      <c r="U10" s="3583">
        <v>22403.703741509999</v>
      </c>
      <c r="V10" s="3583">
        <v>20956.707757559998</v>
      </c>
      <c r="W10" s="3583">
        <v>20392.186258429996</v>
      </c>
      <c r="X10" s="3583">
        <v>20406.316159820002</v>
      </c>
      <c r="Y10" s="3583">
        <v>23666.373667289998</v>
      </c>
      <c r="Z10" s="3583">
        <v>21128.55688815</v>
      </c>
      <c r="AA10" s="3583">
        <v>22606.986195919999</v>
      </c>
      <c r="AB10" s="3583">
        <v>22648.888231509998</v>
      </c>
      <c r="AC10" s="3583">
        <v>22462.387835019999</v>
      </c>
      <c r="AD10" s="3583">
        <v>22476.149191739998</v>
      </c>
      <c r="AE10" s="3583">
        <v>23977.369481069996</v>
      </c>
      <c r="AF10" s="3583">
        <v>23701.931139239998</v>
      </c>
      <c r="AG10" s="3583">
        <v>23541.113787940001</v>
      </c>
      <c r="AH10" s="3583">
        <v>24591.544820159997</v>
      </c>
      <c r="AI10" s="3583">
        <v>23167.60481945</v>
      </c>
      <c r="AJ10" s="3583">
        <v>22131.482146099999</v>
      </c>
      <c r="AK10" s="3583">
        <v>25515.138641540001</v>
      </c>
      <c r="AL10" s="3583">
        <v>24854.226564650002</v>
      </c>
    </row>
    <row r="11" spans="1:38" s="3569" customFormat="1">
      <c r="A11" s="3582" t="s">
        <v>407</v>
      </c>
      <c r="B11" s="3583">
        <v>173.77583848999998</v>
      </c>
      <c r="C11" s="3583">
        <v>102.15030181408299</v>
      </c>
      <c r="D11" s="3583">
        <v>107.57548442879599</v>
      </c>
      <c r="E11" s="3583">
        <v>96.970545829999992</v>
      </c>
      <c r="F11" s="3583">
        <v>92.457328589252</v>
      </c>
      <c r="G11" s="3583">
        <v>440.817523815794</v>
      </c>
      <c r="H11" s="3583">
        <v>144.695107660503</v>
      </c>
      <c r="I11" s="3583">
        <v>139.61848140775101</v>
      </c>
      <c r="J11" s="3583">
        <v>267.13934071788196</v>
      </c>
      <c r="K11" s="3583">
        <v>140.39613334605099</v>
      </c>
      <c r="L11" s="3583">
        <v>147.65538167153198</v>
      </c>
      <c r="M11" s="3583">
        <v>156.18358312016798</v>
      </c>
      <c r="N11" s="3583">
        <v>141.37216390342701</v>
      </c>
      <c r="O11" s="3583">
        <v>165.14521648076197</v>
      </c>
      <c r="P11" s="3583">
        <v>156.283154672509</v>
      </c>
      <c r="Q11" s="3583">
        <v>170.538513680878</v>
      </c>
      <c r="R11" s="3583">
        <v>118.92258400263799</v>
      </c>
      <c r="S11" s="3583">
        <v>227.06391243610898</v>
      </c>
      <c r="T11" s="3583">
        <v>147.606747109975</v>
      </c>
      <c r="U11" s="3583">
        <v>145.05270454831998</v>
      </c>
      <c r="V11" s="3583">
        <v>178.60699340812801</v>
      </c>
      <c r="W11" s="3583">
        <v>228.86708454979401</v>
      </c>
      <c r="X11" s="3583">
        <v>145.94768976260698</v>
      </c>
      <c r="Y11" s="3583">
        <v>144.74181716741302</v>
      </c>
      <c r="Z11" s="3583">
        <v>134.190323829216</v>
      </c>
      <c r="AA11" s="3583">
        <v>122.79770026911299</v>
      </c>
      <c r="AB11" s="3583">
        <v>128.30850091761698</v>
      </c>
      <c r="AC11" s="3583">
        <v>125.31778668365899</v>
      </c>
      <c r="AD11" s="3583">
        <v>104.85266671033099</v>
      </c>
      <c r="AE11" s="3583">
        <v>188.10748455776599</v>
      </c>
      <c r="AF11" s="3583">
        <v>198.07162782</v>
      </c>
      <c r="AG11" s="3583">
        <v>71.810326250000003</v>
      </c>
      <c r="AH11" s="3583">
        <v>223.63965296000001</v>
      </c>
      <c r="AI11" s="3583">
        <v>238.61876867999996</v>
      </c>
      <c r="AJ11" s="3583">
        <v>151.47403553999999</v>
      </c>
      <c r="AK11" s="3583">
        <v>146.47737080000002</v>
      </c>
      <c r="AL11" s="3583">
        <v>69.348740169999985</v>
      </c>
    </row>
    <row r="12" spans="1:38">
      <c r="A12" s="3579"/>
      <c r="B12" s="3581"/>
      <c r="C12" s="3581"/>
      <c r="D12" s="3581"/>
      <c r="E12" s="3581"/>
      <c r="F12" s="3581"/>
      <c r="G12" s="3581"/>
      <c r="H12" s="3581"/>
      <c r="I12" s="3581"/>
      <c r="J12" s="3581"/>
      <c r="K12" s="3581"/>
      <c r="L12" s="3581"/>
      <c r="M12" s="3581"/>
      <c r="N12" s="3581"/>
      <c r="O12" s="3581"/>
      <c r="P12" s="3581"/>
      <c r="Q12" s="3581"/>
      <c r="R12" s="3581"/>
      <c r="S12" s="3581"/>
      <c r="T12" s="3581"/>
      <c r="U12" s="3581"/>
      <c r="V12" s="3581"/>
      <c r="W12" s="3581"/>
      <c r="X12" s="3581"/>
      <c r="Y12" s="3581"/>
      <c r="Z12" s="3581"/>
      <c r="AA12" s="3581"/>
      <c r="AB12" s="3581"/>
      <c r="AC12" s="3581"/>
      <c r="AD12" s="3581"/>
      <c r="AE12" s="3581"/>
      <c r="AF12" s="3581"/>
      <c r="AG12" s="3581"/>
      <c r="AH12" s="3581"/>
      <c r="AI12" s="3581"/>
      <c r="AJ12" s="3581"/>
      <c r="AK12" s="3581"/>
      <c r="AL12" s="3581"/>
    </row>
    <row r="13" spans="1:38" s="3586" customFormat="1">
      <c r="A13" s="3584" t="s">
        <v>681</v>
      </c>
      <c r="B13" s="3585">
        <v>32306.578817460002</v>
      </c>
      <c r="C13" s="3585">
        <v>34188.331145164077</v>
      </c>
      <c r="D13" s="3585">
        <v>35018.925947288793</v>
      </c>
      <c r="E13" s="3585">
        <v>33972.916108009995</v>
      </c>
      <c r="F13" s="3585">
        <v>35004.952882689249</v>
      </c>
      <c r="G13" s="3585">
        <v>35648.822886965791</v>
      </c>
      <c r="H13" s="3585">
        <v>38111.517277910505</v>
      </c>
      <c r="I13" s="3585">
        <v>36422.298472737748</v>
      </c>
      <c r="J13" s="3585">
        <v>36444.268976647872</v>
      </c>
      <c r="K13" s="3585">
        <v>38868.215593856046</v>
      </c>
      <c r="L13" s="3585">
        <v>40023.459073151535</v>
      </c>
      <c r="M13" s="3585">
        <v>44935.527259780167</v>
      </c>
      <c r="N13" s="3585">
        <v>44220.858916383426</v>
      </c>
      <c r="O13" s="3585">
        <v>43457.96626473077</v>
      </c>
      <c r="P13" s="3585">
        <v>42616.030383652513</v>
      </c>
      <c r="Q13" s="3585">
        <v>43519.537135460872</v>
      </c>
      <c r="R13" s="3585">
        <v>41534.157818012638</v>
      </c>
      <c r="S13" s="3585">
        <v>42236.711520816105</v>
      </c>
      <c r="T13" s="3585">
        <v>42073.932665119974</v>
      </c>
      <c r="U13" s="3585">
        <v>44194.178057538316</v>
      </c>
      <c r="V13" s="3585">
        <v>42292.116241218129</v>
      </c>
      <c r="W13" s="3585">
        <v>42459.190507549793</v>
      </c>
      <c r="X13" s="3585">
        <v>41967.209032272607</v>
      </c>
      <c r="Y13" s="3585">
        <v>48280.871327637411</v>
      </c>
      <c r="Z13" s="3585">
        <v>43850.805226779208</v>
      </c>
      <c r="AA13" s="3585">
        <v>44901.044055009108</v>
      </c>
      <c r="AB13" s="3585">
        <v>44639.243475667616</v>
      </c>
      <c r="AC13" s="3585">
        <v>44527.06357813366</v>
      </c>
      <c r="AD13" s="3585">
        <v>44662.991762790334</v>
      </c>
      <c r="AE13" s="3585">
        <v>45910.968640197767</v>
      </c>
      <c r="AF13" s="3585">
        <v>46049.62976335</v>
      </c>
      <c r="AG13" s="3585">
        <v>46185.349602239992</v>
      </c>
      <c r="AH13" s="3585">
        <v>47267.960582839994</v>
      </c>
      <c r="AI13" s="3585">
        <v>46439.120953460006</v>
      </c>
      <c r="AJ13" s="3585">
        <v>45499.108851889992</v>
      </c>
      <c r="AK13" s="3585">
        <v>52622.930014159996</v>
      </c>
      <c r="AL13" s="3585">
        <v>50086.680641910003</v>
      </c>
    </row>
    <row r="14" spans="1:38" ht="13.5" thickBot="1">
      <c r="A14" s="3579"/>
      <c r="B14" s="3581"/>
      <c r="C14" s="3581"/>
      <c r="D14" s="3581"/>
      <c r="E14" s="3581"/>
      <c r="F14" s="3581"/>
      <c r="G14" s="3581"/>
      <c r="H14" s="3581"/>
      <c r="I14" s="3581"/>
      <c r="J14" s="3581"/>
      <c r="K14" s="3581"/>
      <c r="L14" s="3581"/>
      <c r="M14" s="3581"/>
      <c r="N14" s="3581"/>
      <c r="O14" s="3581"/>
      <c r="P14" s="3581"/>
      <c r="Q14" s="3581"/>
      <c r="R14" s="3581"/>
      <c r="S14" s="3581"/>
      <c r="T14" s="3581"/>
      <c r="U14" s="3581"/>
      <c r="V14" s="3581"/>
      <c r="W14" s="3581"/>
      <c r="X14" s="3581"/>
      <c r="Y14" s="3581"/>
      <c r="Z14" s="3581"/>
      <c r="AA14" s="3581"/>
      <c r="AB14" s="3581"/>
      <c r="AC14" s="3581"/>
      <c r="AD14" s="3581"/>
      <c r="AE14" s="3581"/>
      <c r="AF14" s="3581"/>
      <c r="AG14" s="3581"/>
      <c r="AH14" s="3581"/>
      <c r="AI14" s="3581"/>
      <c r="AJ14" s="3581"/>
      <c r="AK14" s="3581"/>
      <c r="AL14" s="3581"/>
    </row>
    <row r="15" spans="1:38" ht="14.25" thickTop="1" thickBot="1">
      <c r="A15" s="3577" t="s">
        <v>682</v>
      </c>
      <c r="B15" s="3587"/>
      <c r="C15" s="3587"/>
      <c r="D15" s="3587"/>
      <c r="E15" s="3587"/>
      <c r="F15" s="3587"/>
      <c r="G15" s="3587"/>
      <c r="H15" s="3587"/>
      <c r="I15" s="3587"/>
      <c r="J15" s="3587"/>
      <c r="K15" s="3587"/>
      <c r="L15" s="3587"/>
      <c r="M15" s="3587"/>
      <c r="N15" s="3587"/>
      <c r="O15" s="3587"/>
      <c r="P15" s="3587"/>
      <c r="Q15" s="3587"/>
      <c r="R15" s="3587"/>
      <c r="S15" s="3587"/>
      <c r="T15" s="3587"/>
      <c r="U15" s="3587"/>
      <c r="V15" s="3587"/>
      <c r="W15" s="3587"/>
      <c r="X15" s="3587"/>
      <c r="Y15" s="3587"/>
      <c r="Z15" s="3587"/>
      <c r="AA15" s="3587"/>
      <c r="AB15" s="3587"/>
      <c r="AC15" s="3587"/>
      <c r="AD15" s="3587"/>
      <c r="AE15" s="3587"/>
      <c r="AF15" s="3587"/>
      <c r="AG15" s="3587"/>
      <c r="AH15" s="3587"/>
      <c r="AI15" s="3587"/>
      <c r="AJ15" s="3587"/>
      <c r="AK15" s="3587"/>
      <c r="AL15" s="3587"/>
    </row>
    <row r="16" spans="1:38" ht="13.5" thickTop="1">
      <c r="A16" s="3579"/>
      <c r="B16" s="3581"/>
      <c r="C16" s="3581"/>
      <c r="D16" s="3581"/>
      <c r="E16" s="3581"/>
      <c r="F16" s="3581"/>
      <c r="G16" s="3581"/>
      <c r="H16" s="3581"/>
      <c r="I16" s="3581"/>
      <c r="J16" s="3581"/>
      <c r="K16" s="3581"/>
      <c r="L16" s="3581"/>
      <c r="M16" s="3581"/>
      <c r="N16" s="3581"/>
      <c r="O16" s="3581"/>
      <c r="P16" s="3581"/>
      <c r="Q16" s="3581"/>
      <c r="R16" s="3581"/>
      <c r="S16" s="3581"/>
      <c r="T16" s="3581"/>
      <c r="U16" s="3581"/>
      <c r="V16" s="3581"/>
      <c r="W16" s="3581"/>
      <c r="X16" s="3581"/>
      <c r="Y16" s="3581"/>
      <c r="Z16" s="3581"/>
      <c r="AA16" s="3581"/>
      <c r="AB16" s="3581"/>
      <c r="AC16" s="3581"/>
      <c r="AD16" s="3581"/>
      <c r="AE16" s="3581"/>
      <c r="AF16" s="3581"/>
      <c r="AG16" s="3581"/>
      <c r="AH16" s="3581"/>
      <c r="AI16" s="3581"/>
      <c r="AJ16" s="3581"/>
      <c r="AK16" s="3581"/>
      <c r="AL16" s="3581"/>
    </row>
    <row r="17" spans="1:38">
      <c r="A17" s="3579" t="s">
        <v>683</v>
      </c>
      <c r="B17" s="3581">
        <v>66426.303235972882</v>
      </c>
      <c r="C17" s="3581">
        <v>67813.347178623269</v>
      </c>
      <c r="D17" s="3581">
        <v>67350.55298928589</v>
      </c>
      <c r="E17" s="3581">
        <v>67898.424276395206</v>
      </c>
      <c r="F17" s="3581">
        <v>70563.533940011592</v>
      </c>
      <c r="G17" s="3581">
        <v>69029.206086238628</v>
      </c>
      <c r="H17" s="3581">
        <v>69173.827566074178</v>
      </c>
      <c r="I17" s="3581">
        <v>70109.753901685341</v>
      </c>
      <c r="J17" s="3581">
        <v>73222.669057128718</v>
      </c>
      <c r="K17" s="3581">
        <v>72628.910586909114</v>
      </c>
      <c r="L17" s="3581">
        <v>74948.541309052278</v>
      </c>
      <c r="M17" s="3581">
        <v>77907.26620021234</v>
      </c>
      <c r="N17" s="3581">
        <v>74640.649942564065</v>
      </c>
      <c r="O17" s="3581">
        <v>74618.615312754191</v>
      </c>
      <c r="P17" s="3581">
        <v>76376.735414886105</v>
      </c>
      <c r="Q17" s="3581">
        <v>75700.789623743025</v>
      </c>
      <c r="R17" s="3581">
        <v>77269.692369705648</v>
      </c>
      <c r="S17" s="3581">
        <v>79953.017943437662</v>
      </c>
      <c r="T17" s="3581">
        <v>79074.75525046949</v>
      </c>
      <c r="U17" s="3581">
        <v>79520.667822633579</v>
      </c>
      <c r="V17" s="3581">
        <v>78671.260029511788</v>
      </c>
      <c r="W17" s="3581">
        <v>81199.667306703283</v>
      </c>
      <c r="X17" s="3581">
        <v>77556.049942866448</v>
      </c>
      <c r="Y17" s="3581">
        <v>80100.875885288551</v>
      </c>
      <c r="Z17" s="3581">
        <v>80040.746933815622</v>
      </c>
      <c r="AA17" s="3581">
        <v>79939.581236785903</v>
      </c>
      <c r="AB17" s="3581">
        <v>79411.668224062698</v>
      </c>
      <c r="AC17" s="3581">
        <v>79032.748513622151</v>
      </c>
      <c r="AD17" s="3581">
        <v>78098.527743300889</v>
      </c>
      <c r="AE17" s="3581">
        <v>85159.248901662751</v>
      </c>
      <c r="AF17" s="3581">
        <v>86394.874568552084</v>
      </c>
      <c r="AG17" s="3581">
        <v>86880.112743733043</v>
      </c>
      <c r="AH17" s="3581">
        <v>87928.224802783152</v>
      </c>
      <c r="AI17" s="3581">
        <v>88106.871545446251</v>
      </c>
      <c r="AJ17" s="3581">
        <v>90488.3945909303</v>
      </c>
      <c r="AK17" s="3581">
        <v>91559.825805914632</v>
      </c>
      <c r="AL17" s="3581">
        <v>94098.106945505308</v>
      </c>
    </row>
    <row r="18" spans="1:38">
      <c r="A18" s="3579" t="s">
        <v>684</v>
      </c>
      <c r="B18" s="3581">
        <v>-16094.591653099998</v>
      </c>
      <c r="C18" s="3581">
        <v>-15133.990915980001</v>
      </c>
      <c r="D18" s="3581">
        <v>-10574.257390679999</v>
      </c>
      <c r="E18" s="3581">
        <v>-13160.13132181</v>
      </c>
      <c r="F18" s="3581">
        <v>-13184.197336680001</v>
      </c>
      <c r="G18" s="3581">
        <v>-12603.214470860001</v>
      </c>
      <c r="H18" s="3581">
        <v>-12649.402737140001</v>
      </c>
      <c r="I18" s="3581">
        <v>-13391.86586032</v>
      </c>
      <c r="J18" s="3581">
        <v>-10710.94624886</v>
      </c>
      <c r="K18" s="3581">
        <v>-7907.6478782200011</v>
      </c>
      <c r="L18" s="3581">
        <v>-9717.4022466099996</v>
      </c>
      <c r="M18" s="3581">
        <v>-8188.1413156799999</v>
      </c>
      <c r="N18" s="3581">
        <v>-6786.1626598000003</v>
      </c>
      <c r="O18" s="3581">
        <v>-6078.9120463599993</v>
      </c>
      <c r="P18" s="3581">
        <v>-9329.6150178499993</v>
      </c>
      <c r="Q18" s="3581">
        <v>-7700.4030417400008</v>
      </c>
      <c r="R18" s="3581">
        <v>-9399.5067693700003</v>
      </c>
      <c r="S18" s="3581">
        <v>-8187.5478094900009</v>
      </c>
      <c r="T18" s="3581">
        <v>-9119.1807294400023</v>
      </c>
      <c r="U18" s="3581">
        <v>-6278.5025332800014</v>
      </c>
      <c r="V18" s="3581">
        <v>-8479.2297565699992</v>
      </c>
      <c r="W18" s="3581">
        <v>-9170.7200766599999</v>
      </c>
      <c r="X18" s="3581">
        <v>-7353.9978573200005</v>
      </c>
      <c r="Y18" s="3581">
        <v>-5754.6808712699985</v>
      </c>
      <c r="Z18" s="3581">
        <v>-7971.6672470000012</v>
      </c>
      <c r="AA18" s="3581">
        <v>-6584.0367512299981</v>
      </c>
      <c r="AB18" s="3581">
        <v>-7264.5883742700007</v>
      </c>
      <c r="AC18" s="3581">
        <v>-6831.0905112400014</v>
      </c>
      <c r="AD18" s="3581">
        <v>-6731.0735989400018</v>
      </c>
      <c r="AE18" s="3581">
        <v>-9145.2165930400006</v>
      </c>
      <c r="AF18" s="3581">
        <v>-9421.337206809998</v>
      </c>
      <c r="AG18" s="3581">
        <v>-11348.510463179999</v>
      </c>
      <c r="AH18" s="3581">
        <v>-10437.164946539999</v>
      </c>
      <c r="AI18" s="3581">
        <v>-11934.293544650001</v>
      </c>
      <c r="AJ18" s="3581">
        <v>-15389.813834499997</v>
      </c>
      <c r="AK18" s="3581">
        <v>-9721.1458556500002</v>
      </c>
      <c r="AL18" s="3581">
        <v>-11571.849526949998</v>
      </c>
    </row>
    <row r="19" spans="1:38">
      <c r="A19" s="3579" t="s">
        <v>685</v>
      </c>
      <c r="B19" s="3581">
        <v>416.39877228</v>
      </c>
      <c r="C19" s="3581">
        <v>398.98351687999997</v>
      </c>
      <c r="D19" s="3581">
        <v>464.59303090000003</v>
      </c>
      <c r="E19" s="3581">
        <v>369.60301450999998</v>
      </c>
      <c r="F19" s="3581">
        <v>408.48481404999995</v>
      </c>
      <c r="G19" s="3581">
        <v>451.59551101999995</v>
      </c>
      <c r="H19" s="3581">
        <v>445.53247376000002</v>
      </c>
      <c r="I19" s="3581">
        <v>375.32156171000003</v>
      </c>
      <c r="J19" s="3581">
        <v>729.0334312199999</v>
      </c>
      <c r="K19" s="3581">
        <v>725.01450312999987</v>
      </c>
      <c r="L19" s="3581">
        <v>1098.9094759899999</v>
      </c>
      <c r="M19" s="3581">
        <v>992.11887309000008</v>
      </c>
      <c r="N19" s="3581">
        <v>1201.4398751599999</v>
      </c>
      <c r="O19" s="3581">
        <v>986.17518556999994</v>
      </c>
      <c r="P19" s="3581">
        <v>242.02596110999997</v>
      </c>
      <c r="Q19" s="3581">
        <v>265.07175250999995</v>
      </c>
      <c r="R19" s="3581">
        <v>629.2786777099999</v>
      </c>
      <c r="S19" s="3581">
        <v>246.32987396999999</v>
      </c>
      <c r="T19" s="3581">
        <v>1772.48621953</v>
      </c>
      <c r="U19" s="3581">
        <v>1112.8485640200001</v>
      </c>
      <c r="V19" s="3581">
        <v>719.99327042000004</v>
      </c>
      <c r="W19" s="3581">
        <v>955.00277437</v>
      </c>
      <c r="X19" s="3581">
        <v>1127.9270470100003</v>
      </c>
      <c r="Y19" s="3581">
        <v>1138.7372729100002</v>
      </c>
      <c r="Z19" s="3581">
        <v>1211.1530704200002</v>
      </c>
      <c r="AA19" s="3581">
        <v>1131.4411226499999</v>
      </c>
      <c r="AB19" s="3581">
        <v>1179.4819348599999</v>
      </c>
      <c r="AC19" s="3581">
        <v>1157.8965479799999</v>
      </c>
      <c r="AD19" s="3581">
        <v>218.86825797</v>
      </c>
      <c r="AE19" s="3581">
        <v>450.09873363999998</v>
      </c>
      <c r="AF19" s="3581">
        <v>152.5676181</v>
      </c>
      <c r="AG19" s="3581">
        <v>445.32254952000005</v>
      </c>
      <c r="AH19" s="3581">
        <v>763.68187892000003</v>
      </c>
      <c r="AI19" s="3581">
        <v>1163.6323081500002</v>
      </c>
      <c r="AJ19" s="3581">
        <v>1325.8463739199999</v>
      </c>
      <c r="AK19" s="3581">
        <v>1804.5649623700001</v>
      </c>
      <c r="AL19" s="3581">
        <v>2146.9082228399998</v>
      </c>
    </row>
    <row r="20" spans="1:38">
      <c r="A20" s="3579" t="s">
        <v>686</v>
      </c>
      <c r="B20" s="3581">
        <v>153.19780331999999</v>
      </c>
      <c r="C20" s="3581">
        <v>154.31596911</v>
      </c>
      <c r="D20" s="3581">
        <v>138.70587049999997</v>
      </c>
      <c r="E20" s="3581">
        <v>145.20146566999998</v>
      </c>
      <c r="F20" s="3581">
        <v>139.64907062999998</v>
      </c>
      <c r="G20" s="3581">
        <v>144.54348844999998</v>
      </c>
      <c r="H20" s="3581">
        <v>136.46690247999999</v>
      </c>
      <c r="I20" s="3581">
        <v>137.70103456999999</v>
      </c>
      <c r="J20" s="3581">
        <v>166.28222216</v>
      </c>
      <c r="K20" s="3581">
        <v>164.10271523999998</v>
      </c>
      <c r="L20" s="3581">
        <v>188.36966712999998</v>
      </c>
      <c r="M20" s="3581">
        <v>289.10614802999993</v>
      </c>
      <c r="N20" s="3581">
        <v>325.25928297999997</v>
      </c>
      <c r="O20" s="3581">
        <v>266.26099159999995</v>
      </c>
      <c r="P20" s="3581">
        <v>282.16233682000001</v>
      </c>
      <c r="Q20" s="3581">
        <v>326.19289162000001</v>
      </c>
      <c r="R20" s="3581">
        <v>355.96613649</v>
      </c>
      <c r="S20" s="3581">
        <v>144.95301177000002</v>
      </c>
      <c r="T20" s="3581">
        <v>145.04960496999999</v>
      </c>
      <c r="U20" s="3581">
        <v>146.18456738</v>
      </c>
      <c r="V20" s="3581">
        <v>147.98835771</v>
      </c>
      <c r="W20" s="3581">
        <v>189.87692557</v>
      </c>
      <c r="X20" s="3581">
        <v>188.68572480999998</v>
      </c>
      <c r="Y20" s="3581">
        <v>187.66180904000001</v>
      </c>
      <c r="Z20" s="3581">
        <v>184.76241243000001</v>
      </c>
      <c r="AA20" s="3581">
        <v>235.96431477000002</v>
      </c>
      <c r="AB20" s="3581">
        <v>228.80128807000003</v>
      </c>
      <c r="AC20" s="3581">
        <v>202.30284356000001</v>
      </c>
      <c r="AD20" s="3581">
        <v>207.31680611000002</v>
      </c>
      <c r="AE20" s="3581">
        <v>142.31707372000002</v>
      </c>
      <c r="AF20" s="3581">
        <v>246.29880878</v>
      </c>
      <c r="AG20" s="3581">
        <v>157.61338316000001</v>
      </c>
      <c r="AH20" s="3581">
        <v>186.53756657</v>
      </c>
      <c r="AI20" s="3581">
        <v>186.00266166</v>
      </c>
      <c r="AJ20" s="3581">
        <v>148.20166657000001</v>
      </c>
      <c r="AK20" s="3581">
        <v>184.47326498999999</v>
      </c>
      <c r="AL20" s="3581">
        <v>158.50110899000001</v>
      </c>
    </row>
    <row r="21" spans="1:38">
      <c r="A21" s="3579" t="s">
        <v>687</v>
      </c>
      <c r="B21" s="3581">
        <v>18594.729341072874</v>
      </c>
      <c r="C21" s="3581">
        <v>19044.324603401274</v>
      </c>
      <c r="D21" s="3581">
        <v>22360.668552649873</v>
      </c>
      <c r="E21" s="3581">
        <v>21280.181327235212</v>
      </c>
      <c r="F21" s="3581">
        <v>22922.517605351597</v>
      </c>
      <c r="G21" s="3581">
        <v>21373.307422236627</v>
      </c>
      <c r="H21" s="3581">
        <v>18994.907343880179</v>
      </c>
      <c r="I21" s="3581">
        <v>20808.61258074515</v>
      </c>
      <c r="J21" s="3581">
        <v>26962.769486142734</v>
      </c>
      <c r="K21" s="3581">
        <v>26742.164333730107</v>
      </c>
      <c r="L21" s="3581">
        <v>26494.959131984266</v>
      </c>
      <c r="M21" s="3581">
        <v>26064.822645943343</v>
      </c>
      <c r="N21" s="3581">
        <v>25160.327524259785</v>
      </c>
      <c r="O21" s="3581">
        <v>26334.172997577807</v>
      </c>
      <c r="P21" s="3581">
        <v>24955.278310823585</v>
      </c>
      <c r="Q21" s="3581">
        <v>25072.114090855495</v>
      </c>
      <c r="R21" s="3581">
        <v>27321.272596360424</v>
      </c>
      <c r="S21" s="3581">
        <v>29920.041500947642</v>
      </c>
      <c r="T21" s="3581">
        <v>29799.177482280043</v>
      </c>
      <c r="U21" s="3581">
        <v>30307.020364000353</v>
      </c>
      <c r="V21" s="3581">
        <v>28767.895661961793</v>
      </c>
      <c r="W21" s="3581">
        <v>30714.636422241831</v>
      </c>
      <c r="X21" s="3581">
        <v>29551.455826251593</v>
      </c>
      <c r="Y21" s="3581">
        <v>27391.722766960553</v>
      </c>
      <c r="Z21" s="3581">
        <v>29614.189942856461</v>
      </c>
      <c r="AA21" s="3581">
        <v>29821.905868122351</v>
      </c>
      <c r="AB21" s="3581">
        <v>28916.11959700974</v>
      </c>
      <c r="AC21" s="3581">
        <v>29034.793815542318</v>
      </c>
      <c r="AD21" s="3581">
        <v>27130.647445808121</v>
      </c>
      <c r="AE21" s="3581">
        <v>30695.479475678156</v>
      </c>
      <c r="AF21" s="3581">
        <v>31322.774025300139</v>
      </c>
      <c r="AG21" s="3581">
        <v>29949.188611553313</v>
      </c>
      <c r="AH21" s="3581">
        <v>31173.318719921219</v>
      </c>
      <c r="AI21" s="3581">
        <v>31083.09201714446</v>
      </c>
      <c r="AJ21" s="3581">
        <v>31073.519548126063</v>
      </c>
      <c r="AK21" s="3581">
        <v>31204.787822068094</v>
      </c>
      <c r="AL21" s="3581">
        <v>34744.986108311125</v>
      </c>
    </row>
    <row r="22" spans="1:38">
      <c r="A22" s="3579"/>
      <c r="B22" s="3581"/>
      <c r="C22" s="3581"/>
      <c r="D22" s="3581"/>
      <c r="E22" s="3581"/>
      <c r="F22" s="3581"/>
      <c r="G22" s="3581"/>
      <c r="H22" s="3581"/>
      <c r="I22" s="3581"/>
      <c r="J22" s="3581"/>
      <c r="K22" s="3581"/>
      <c r="L22" s="3581"/>
      <c r="M22" s="3581"/>
      <c r="N22" s="3581"/>
      <c r="O22" s="3581"/>
      <c r="P22" s="3581"/>
      <c r="Q22" s="3581"/>
      <c r="R22" s="3581"/>
      <c r="S22" s="3581"/>
      <c r="T22" s="3581"/>
      <c r="U22" s="3581"/>
      <c r="V22" s="3581"/>
      <c r="W22" s="3581"/>
      <c r="X22" s="3581"/>
      <c r="Y22" s="3581"/>
      <c r="Z22" s="3581"/>
      <c r="AA22" s="3581"/>
      <c r="AB22" s="3581"/>
      <c r="AC22" s="3581"/>
      <c r="AD22" s="3581"/>
      <c r="AE22" s="3581"/>
      <c r="AF22" s="3581"/>
      <c r="AG22" s="3581"/>
      <c r="AH22" s="3581"/>
      <c r="AI22" s="3581"/>
      <c r="AJ22" s="3581"/>
      <c r="AK22" s="3581"/>
      <c r="AL22" s="3581"/>
    </row>
    <row r="23" spans="1:38" s="3586" customFormat="1">
      <c r="A23" s="3584" t="s">
        <v>688</v>
      </c>
      <c r="B23" s="3585">
        <v>32306.578817400012</v>
      </c>
      <c r="C23" s="3585">
        <v>34188.33114523199</v>
      </c>
      <c r="D23" s="3585">
        <v>35018.925947356023</v>
      </c>
      <c r="E23" s="3585">
        <v>33972.916107529993</v>
      </c>
      <c r="F23" s="3585">
        <v>35004.95288266</v>
      </c>
      <c r="G23" s="3585">
        <v>35648.823192611999</v>
      </c>
      <c r="H23" s="3585">
        <v>38111.516861294003</v>
      </c>
      <c r="I23" s="3585">
        <v>36422.298056900181</v>
      </c>
      <c r="J23" s="3585">
        <v>36444.268975505984</v>
      </c>
      <c r="K23" s="3585">
        <v>38868.215593329005</v>
      </c>
      <c r="L23" s="3585">
        <v>40023.459073578015</v>
      </c>
      <c r="M23" s="3585">
        <v>44935.527259709001</v>
      </c>
      <c r="N23" s="3585">
        <v>44220.858916644269</v>
      </c>
      <c r="O23" s="3585">
        <v>43457.966445986378</v>
      </c>
      <c r="P23" s="3585">
        <v>42616.030384142519</v>
      </c>
      <c r="Q23" s="3585">
        <v>43519.537135277526</v>
      </c>
      <c r="R23" s="3585">
        <v>41534.157818175219</v>
      </c>
      <c r="S23" s="3585">
        <v>42236.71151874002</v>
      </c>
      <c r="T23" s="3585">
        <v>42073.932863249436</v>
      </c>
      <c r="U23" s="3585">
        <v>44194.178056753219</v>
      </c>
      <c r="V23" s="3585">
        <v>42292.116239109993</v>
      </c>
      <c r="W23" s="3585">
        <v>42459.190507741456</v>
      </c>
      <c r="X23" s="3585">
        <v>41967.209031114849</v>
      </c>
      <c r="Y23" s="3585">
        <v>48280.871329008005</v>
      </c>
      <c r="Z23" s="3585">
        <v>43850.805226809156</v>
      </c>
      <c r="AA23" s="3585">
        <v>44901.044054853541</v>
      </c>
      <c r="AB23" s="3585">
        <v>44639.243475712959</v>
      </c>
      <c r="AC23" s="3585">
        <v>44527.063578379821</v>
      </c>
      <c r="AD23" s="3585">
        <v>44662.991762632766</v>
      </c>
      <c r="AE23" s="3585">
        <v>45910.9686403046</v>
      </c>
      <c r="AF23" s="3585">
        <v>46049.629763321951</v>
      </c>
      <c r="AG23" s="3585">
        <v>46185.349601679744</v>
      </c>
      <c r="AH23" s="3585">
        <v>47267.960581811938</v>
      </c>
      <c r="AI23" s="3585">
        <v>46439.120953461781</v>
      </c>
      <c r="AJ23" s="3585">
        <v>45499.109248794251</v>
      </c>
      <c r="AK23" s="3585">
        <v>52622.930355556535</v>
      </c>
      <c r="AL23" s="3585">
        <v>50086.680642074185</v>
      </c>
    </row>
    <row r="24" spans="1:38" ht="13.5" thickBot="1">
      <c r="A24" s="3588"/>
      <c r="B24" s="3589"/>
      <c r="C24" s="3589"/>
      <c r="D24" s="3589"/>
      <c r="E24" s="3589"/>
      <c r="F24" s="3589"/>
      <c r="G24" s="3589"/>
      <c r="H24" s="3589"/>
      <c r="I24" s="3589"/>
      <c r="J24" s="3589"/>
      <c r="K24" s="3589"/>
      <c r="L24" s="3589"/>
      <c r="M24" s="3589"/>
      <c r="N24" s="3589"/>
      <c r="O24" s="3589"/>
      <c r="P24" s="3589"/>
      <c r="Q24" s="3589"/>
      <c r="R24" s="3589"/>
      <c r="S24" s="3589"/>
      <c r="T24" s="3589"/>
      <c r="U24" s="3589"/>
      <c r="V24" s="3589"/>
      <c r="W24" s="3589"/>
      <c r="X24" s="3589"/>
      <c r="Y24" s="3589"/>
      <c r="Z24" s="3589"/>
      <c r="AA24" s="3589"/>
      <c r="AB24" s="3589"/>
      <c r="AC24" s="3589"/>
      <c r="AD24" s="3589"/>
      <c r="AE24" s="3589"/>
      <c r="AF24" s="3589"/>
      <c r="AG24" s="3589"/>
      <c r="AH24" s="3589"/>
      <c r="AI24" s="3589"/>
      <c r="AJ24" s="3589"/>
      <c r="AK24" s="3589"/>
      <c r="AL24" s="3589"/>
    </row>
    <row r="25" spans="1:38" ht="13.5" thickTop="1">
      <c r="A25" s="3590" t="s">
        <v>361</v>
      </c>
      <c r="B25" s="3591"/>
      <c r="C25" s="3591"/>
    </row>
    <row r="26" spans="1:38">
      <c r="A26" s="3592" t="s">
        <v>689</v>
      </c>
      <c r="B26" s="3591"/>
      <c r="C26" s="3591"/>
      <c r="E26" s="3591"/>
      <c r="F26" s="3591"/>
      <c r="G26" s="3591"/>
      <c r="H26" s="3591"/>
      <c r="I26" s="3591"/>
      <c r="J26" s="3591"/>
      <c r="K26" s="3591"/>
      <c r="L26" s="3591"/>
      <c r="M26" s="3591"/>
      <c r="N26" s="3591"/>
      <c r="O26" s="3591"/>
      <c r="P26" s="3591"/>
      <c r="Q26" s="3591"/>
      <c r="R26" s="3591"/>
      <c r="S26" s="3591"/>
      <c r="T26" s="3591"/>
      <c r="U26" s="3591"/>
      <c r="V26" s="3591"/>
      <c r="W26" s="3591"/>
      <c r="X26" s="3591"/>
      <c r="Y26" s="3591"/>
      <c r="Z26" s="3591"/>
      <c r="AA26" s="3591"/>
      <c r="AB26" s="3591"/>
      <c r="AC26" s="3591"/>
      <c r="AD26" s="3591"/>
      <c r="AE26" s="3591"/>
      <c r="AF26" s="3591"/>
      <c r="AG26" s="3591"/>
      <c r="AH26" s="3591"/>
      <c r="AI26" s="3591"/>
      <c r="AJ26" s="3591"/>
      <c r="AK26" s="3591"/>
      <c r="AL26" s="3591"/>
    </row>
    <row r="27" spans="1:38">
      <c r="A27" s="3590" t="s">
        <v>303</v>
      </c>
      <c r="B27" s="3591"/>
      <c r="C27" s="3591"/>
    </row>
    <row r="28" spans="1:38">
      <c r="B28" s="3591"/>
      <c r="C28" s="3591"/>
    </row>
    <row r="29" spans="1:38" ht="19.5">
      <c r="A29" s="3566" t="s">
        <v>690</v>
      </c>
      <c r="B29" s="3591"/>
      <c r="C29" s="3591"/>
    </row>
    <row r="30" spans="1:38" ht="6" customHeight="1">
      <c r="B30" s="3591"/>
      <c r="C30" s="3591"/>
    </row>
    <row r="31" spans="1:38" s="3569" customFormat="1" ht="13.5" thickBot="1">
      <c r="B31" s="3570"/>
      <c r="C31" s="3570"/>
      <c r="F31" s="3570"/>
      <c r="U31" s="3572"/>
      <c r="V31" s="3572"/>
      <c r="AA31" s="3569" t="s">
        <v>674</v>
      </c>
      <c r="AB31" s="3572"/>
      <c r="AD31" s="3572"/>
      <c r="AF31" s="3572"/>
      <c r="AH31" s="3572"/>
      <c r="AI31" s="3572"/>
      <c r="AL31" s="3572" t="s">
        <v>12</v>
      </c>
    </row>
    <row r="32" spans="1:38" ht="14.25" thickTop="1" thickBot="1">
      <c r="A32" s="3573"/>
      <c r="B32" s="3575">
        <f t="shared" ref="B32:J32" si="0">B3</f>
        <v>40193</v>
      </c>
      <c r="C32" s="3575">
        <f t="shared" si="0"/>
        <v>40224</v>
      </c>
      <c r="D32" s="3575">
        <f t="shared" si="0"/>
        <v>40252</v>
      </c>
      <c r="E32" s="3575">
        <f t="shared" si="0"/>
        <v>40284</v>
      </c>
      <c r="F32" s="3575">
        <f t="shared" si="0"/>
        <v>40316</v>
      </c>
      <c r="G32" s="3575">
        <f t="shared" si="0"/>
        <v>40347</v>
      </c>
      <c r="H32" s="3575">
        <f t="shared" si="0"/>
        <v>40377</v>
      </c>
      <c r="I32" s="3575">
        <f t="shared" si="0"/>
        <v>40408</v>
      </c>
      <c r="J32" s="3575">
        <f t="shared" si="0"/>
        <v>40439</v>
      </c>
      <c r="K32" s="3575">
        <v>40452</v>
      </c>
      <c r="L32" s="3575">
        <v>40483</v>
      </c>
      <c r="M32" s="3593">
        <f t="shared" ref="M32:R32" si="1">M3</f>
        <v>40530</v>
      </c>
      <c r="N32" s="3594">
        <f t="shared" si="1"/>
        <v>40561</v>
      </c>
      <c r="O32" s="3594">
        <f t="shared" si="1"/>
        <v>40592</v>
      </c>
      <c r="P32" s="3594">
        <f t="shared" si="1"/>
        <v>40620</v>
      </c>
      <c r="Q32" s="3594">
        <f t="shared" si="1"/>
        <v>40651</v>
      </c>
      <c r="R32" s="3594">
        <f t="shared" si="1"/>
        <v>40681</v>
      </c>
      <c r="S32" s="3594">
        <f>S3</f>
        <v>40712</v>
      </c>
      <c r="T32" s="3594">
        <f>T3</f>
        <v>40742</v>
      </c>
      <c r="U32" s="3594">
        <f>U3</f>
        <v>40773</v>
      </c>
      <c r="V32" s="3594">
        <f>V3</f>
        <v>40804</v>
      </c>
      <c r="W32" s="3594">
        <f>W3</f>
        <v>40834</v>
      </c>
      <c r="X32" s="3594">
        <v>40848</v>
      </c>
      <c r="Y32" s="3594">
        <f t="shared" ref="Y32:AH32" si="2">Y3</f>
        <v>40895</v>
      </c>
      <c r="Z32" s="3594">
        <f t="shared" si="2"/>
        <v>40926</v>
      </c>
      <c r="AA32" s="3594">
        <f t="shared" si="2"/>
        <v>40957</v>
      </c>
      <c r="AB32" s="3594">
        <f t="shared" si="2"/>
        <v>40986</v>
      </c>
      <c r="AC32" s="3594">
        <f t="shared" si="2"/>
        <v>41017</v>
      </c>
      <c r="AD32" s="3594">
        <f t="shared" si="2"/>
        <v>41047</v>
      </c>
      <c r="AE32" s="3594">
        <f>AE3</f>
        <v>41078</v>
      </c>
      <c r="AF32" s="3594">
        <f t="shared" si="2"/>
        <v>41108</v>
      </c>
      <c r="AG32" s="3594">
        <f>AG3</f>
        <v>41139</v>
      </c>
      <c r="AH32" s="3594">
        <f t="shared" si="2"/>
        <v>41170</v>
      </c>
      <c r="AI32" s="3594">
        <f>AI3</f>
        <v>41200</v>
      </c>
      <c r="AJ32" s="3594">
        <f>AJ3</f>
        <v>41231</v>
      </c>
      <c r="AK32" s="3594">
        <f>AK3</f>
        <v>41261</v>
      </c>
      <c r="AL32" s="3594">
        <f>AL3</f>
        <v>41292</v>
      </c>
    </row>
    <row r="33" spans="1:40" ht="14.25" thickTop="1" thickBot="1">
      <c r="A33" s="3577" t="s">
        <v>691</v>
      </c>
      <c r="B33" s="3578"/>
      <c r="C33" s="3578"/>
      <c r="D33" s="3578"/>
      <c r="E33" s="3578"/>
      <c r="F33" s="3578"/>
      <c r="G33" s="3578"/>
      <c r="H33" s="3578"/>
      <c r="I33" s="3578"/>
      <c r="J33" s="3578"/>
      <c r="K33" s="3578"/>
      <c r="L33" s="3578"/>
      <c r="M33" s="3578"/>
      <c r="N33" s="3578"/>
      <c r="O33" s="3578"/>
      <c r="P33" s="3578"/>
      <c r="Q33" s="3578"/>
      <c r="R33" s="3578"/>
      <c r="S33" s="3578"/>
      <c r="T33" s="3578"/>
      <c r="U33" s="3578"/>
      <c r="V33" s="3578"/>
      <c r="W33" s="3578"/>
      <c r="X33" s="3578"/>
      <c r="Y33" s="3578"/>
      <c r="Z33" s="3578"/>
      <c r="AA33" s="3578"/>
      <c r="AB33" s="3578"/>
      <c r="AC33" s="3578"/>
      <c r="AD33" s="3578"/>
      <c r="AE33" s="3578"/>
      <c r="AF33" s="3578"/>
      <c r="AG33" s="3578"/>
      <c r="AH33" s="3578"/>
      <c r="AI33" s="3578"/>
      <c r="AJ33" s="3578"/>
      <c r="AK33" s="3578"/>
      <c r="AL33" s="3578"/>
    </row>
    <row r="34" spans="1:40" ht="13.5" thickTop="1">
      <c r="A34" s="3579"/>
      <c r="B34" s="3580"/>
      <c r="C34" s="3580"/>
      <c r="D34" s="3580"/>
      <c r="E34" s="3580"/>
      <c r="F34" s="3580"/>
      <c r="G34" s="3580"/>
      <c r="H34" s="3580"/>
      <c r="I34" s="3580"/>
      <c r="J34" s="3580"/>
      <c r="K34" s="3580"/>
      <c r="L34" s="3580"/>
      <c r="M34" s="3580"/>
      <c r="N34" s="3580"/>
      <c r="O34" s="3580"/>
      <c r="P34" s="3580"/>
      <c r="Q34" s="3580"/>
      <c r="R34" s="3580"/>
      <c r="S34" s="3580"/>
      <c r="T34" s="3580"/>
      <c r="U34" s="3580"/>
      <c r="V34" s="3580"/>
      <c r="W34" s="3580"/>
      <c r="X34" s="3595"/>
      <c r="Y34" s="3595"/>
      <c r="Z34" s="3595"/>
      <c r="AA34" s="3595"/>
      <c r="AB34" s="3595"/>
      <c r="AC34" s="3595"/>
      <c r="AD34" s="3595"/>
      <c r="AE34" s="3595"/>
      <c r="AF34" s="3595"/>
      <c r="AG34" s="3595"/>
      <c r="AH34" s="3595"/>
      <c r="AI34" s="3595"/>
      <c r="AJ34" s="3595"/>
      <c r="AK34" s="3595"/>
      <c r="AL34" s="3595"/>
    </row>
    <row r="35" spans="1:40">
      <c r="A35" s="3579" t="s">
        <v>676</v>
      </c>
      <c r="B35" s="3596">
        <v>16171.960026841443</v>
      </c>
      <c r="C35" s="3596">
        <v>15979.918504390556</v>
      </c>
      <c r="D35" s="3596">
        <v>15845.174678718537</v>
      </c>
      <c r="E35" s="3596">
        <v>16036.327574022573</v>
      </c>
      <c r="F35" s="3596">
        <v>16227.254416493004</v>
      </c>
      <c r="G35" s="3596">
        <v>15904.557043885216</v>
      </c>
      <c r="H35" s="3596">
        <v>16369.721227265134</v>
      </c>
      <c r="I35" s="3596">
        <v>16281.24484228429</v>
      </c>
      <c r="J35" s="3596">
        <v>16241.980758452173</v>
      </c>
      <c r="K35" s="3596">
        <v>16473.996105313156</v>
      </c>
      <c r="L35" s="3596">
        <v>16722.43897559122</v>
      </c>
      <c r="M35" s="3581">
        <v>18975.006270668913</v>
      </c>
      <c r="N35" s="3581">
        <v>18010.593082900665</v>
      </c>
      <c r="O35" s="3581">
        <v>17749.329653375997</v>
      </c>
      <c r="P35" s="3581">
        <v>17492.407133231845</v>
      </c>
      <c r="Q35" s="3581">
        <v>17646.497592686108</v>
      </c>
      <c r="R35" s="3581">
        <v>17594.772439179418</v>
      </c>
      <c r="S35" s="3581">
        <v>17516.570954198032</v>
      </c>
      <c r="T35" s="3581">
        <v>18045.280669068587</v>
      </c>
      <c r="U35" s="3581">
        <v>18269.489570318754</v>
      </c>
      <c r="V35" s="3581">
        <v>17957.873646394448</v>
      </c>
      <c r="W35" s="3581">
        <v>18294.304306683174</v>
      </c>
      <c r="X35" s="3581">
        <v>17891.407119467123</v>
      </c>
      <c r="Y35" s="3581">
        <v>20307.786446312803</v>
      </c>
      <c r="Z35" s="3581">
        <v>19209.573208944614</v>
      </c>
      <c r="AA35" s="3581">
        <v>18923.022119759324</v>
      </c>
      <c r="AB35" s="3581">
        <v>18978.695497382185</v>
      </c>
      <c r="AC35" s="3581">
        <v>18961.549992068223</v>
      </c>
      <c r="AD35" s="3581">
        <v>18678.032246711129</v>
      </c>
      <c r="AE35" s="3581">
        <v>19013.633662171222</v>
      </c>
      <c r="AF35" s="3581">
        <v>19228.031835841684</v>
      </c>
      <c r="AG35" s="3581">
        <v>19287.1599017013</v>
      </c>
      <c r="AH35" s="3581">
        <v>19233.798105900336</v>
      </c>
      <c r="AI35" s="3581">
        <v>19257.554559318654</v>
      </c>
      <c r="AJ35" s="3581">
        <v>19629.552590686864</v>
      </c>
      <c r="AK35" s="3581">
        <v>22169.717386902448</v>
      </c>
      <c r="AL35" s="3581">
        <v>20964.304899561892</v>
      </c>
      <c r="AM35" s="3591"/>
      <c r="AN35" s="3597"/>
    </row>
    <row r="36" spans="1:40">
      <c r="A36" s="3579" t="s">
        <v>692</v>
      </c>
      <c r="B36" s="3581">
        <v>40778.275187430925</v>
      </c>
      <c r="C36" s="3581">
        <v>41253.842961923954</v>
      </c>
      <c r="D36" s="3581">
        <v>41718.903483492526</v>
      </c>
      <c r="E36" s="3581">
        <v>40728.664471195079</v>
      </c>
      <c r="F36" s="3581">
        <v>42338.899104886746</v>
      </c>
      <c r="G36" s="3581">
        <v>42597.162427818723</v>
      </c>
      <c r="H36" s="3581">
        <v>41525.17017672865</v>
      </c>
      <c r="I36" s="3598">
        <v>39239.536296707149</v>
      </c>
      <c r="J36" s="3581">
        <v>40109.351808269705</v>
      </c>
      <c r="K36" s="3581">
        <v>39347.771079334299</v>
      </c>
      <c r="L36" s="3581">
        <v>40898.313682190288</v>
      </c>
      <c r="M36" s="3581">
        <v>43000.069884701174</v>
      </c>
      <c r="N36" s="3581">
        <v>41841.148543764917</v>
      </c>
      <c r="O36" s="3581">
        <v>41301.664667729528</v>
      </c>
      <c r="P36" s="3581">
        <v>41296.012984383786</v>
      </c>
      <c r="Q36" s="3581">
        <v>41679.869806559705</v>
      </c>
      <c r="R36" s="3581">
        <v>41985.889497661832</v>
      </c>
      <c r="S36" s="3581">
        <v>42755.141006629812</v>
      </c>
      <c r="T36" s="3581">
        <v>42254.834489744389</v>
      </c>
      <c r="U36" s="3581">
        <v>42980.805637260957</v>
      </c>
      <c r="V36" s="3581">
        <v>44148.611416947999</v>
      </c>
      <c r="W36" s="3581">
        <v>43832.130459692009</v>
      </c>
      <c r="X36" s="3581">
        <v>44641.021211180429</v>
      </c>
      <c r="Y36" s="3581">
        <v>46046.070744401644</v>
      </c>
      <c r="Z36" s="3581">
        <v>45729.838909944905</v>
      </c>
      <c r="AA36" s="3581">
        <v>44941.375797335313</v>
      </c>
      <c r="AB36" s="3581">
        <v>44614.429885332036</v>
      </c>
      <c r="AC36" s="3581">
        <v>45519.946839365526</v>
      </c>
      <c r="AD36" s="3581">
        <v>45432.568413154608</v>
      </c>
      <c r="AE36" s="3581">
        <v>46717.272459071974</v>
      </c>
      <c r="AF36" s="3581">
        <v>46052.205065638824</v>
      </c>
      <c r="AG36" s="3581">
        <v>46389.7022310256</v>
      </c>
      <c r="AH36" s="3581">
        <v>47672.224048485099</v>
      </c>
      <c r="AI36" s="3581">
        <v>47585.347023981885</v>
      </c>
      <c r="AJ36" s="3581">
        <v>48727.457930327677</v>
      </c>
      <c r="AK36" s="3581">
        <v>50420.556341701784</v>
      </c>
      <c r="AL36" s="3581">
        <v>48297.992423417483</v>
      </c>
      <c r="AM36" s="3591"/>
      <c r="AN36" s="3597"/>
    </row>
    <row r="37" spans="1:40" s="3601" customFormat="1" ht="13.5">
      <c r="A37" s="3599" t="s">
        <v>693</v>
      </c>
      <c r="B37" s="3600">
        <v>56950.235214272368</v>
      </c>
      <c r="C37" s="3600">
        <v>57233.761466314507</v>
      </c>
      <c r="D37" s="3600">
        <v>57564.078162211066</v>
      </c>
      <c r="E37" s="3600">
        <v>56764.992045217652</v>
      </c>
      <c r="F37" s="3600">
        <v>58566.153521379747</v>
      </c>
      <c r="G37" s="3600">
        <v>58501.719471703938</v>
      </c>
      <c r="H37" s="3600">
        <v>57894.891403993781</v>
      </c>
      <c r="I37" s="3600">
        <v>55520.781138991442</v>
      </c>
      <c r="J37" s="3600">
        <v>56351.332566721874</v>
      </c>
      <c r="K37" s="3600">
        <v>55821.767184647455</v>
      </c>
      <c r="L37" s="3600">
        <v>57620.752657781508</v>
      </c>
      <c r="M37" s="3600">
        <v>61975.076155370087</v>
      </c>
      <c r="N37" s="3600">
        <v>59851.741626665578</v>
      </c>
      <c r="O37" s="3600">
        <v>59050.994321105522</v>
      </c>
      <c r="P37" s="3600">
        <v>58788.420117615635</v>
      </c>
      <c r="Q37" s="3600">
        <v>59326.367399245813</v>
      </c>
      <c r="R37" s="3600">
        <v>59580.66193684125</v>
      </c>
      <c r="S37" s="3600">
        <v>60271.711960827844</v>
      </c>
      <c r="T37" s="3600">
        <v>60300.115158812972</v>
      </c>
      <c r="U37" s="3600">
        <v>61250.295207579707</v>
      </c>
      <c r="V37" s="3600">
        <v>62106.48506334245</v>
      </c>
      <c r="W37" s="3600">
        <v>62126.434766375183</v>
      </c>
      <c r="X37" s="3600">
        <v>62532.428330647555</v>
      </c>
      <c r="Y37" s="3600">
        <v>66353.857190714451</v>
      </c>
      <c r="Z37" s="3600">
        <v>64939.412118889522</v>
      </c>
      <c r="AA37" s="3600">
        <v>63864.39791709464</v>
      </c>
      <c r="AB37" s="3600">
        <v>63593.125382714221</v>
      </c>
      <c r="AC37" s="3600">
        <v>64481.496831433746</v>
      </c>
      <c r="AD37" s="3600">
        <v>64110.60065986574</v>
      </c>
      <c r="AE37" s="3600">
        <v>65730.906121243199</v>
      </c>
      <c r="AF37" s="3600">
        <v>65280.236901480508</v>
      </c>
      <c r="AG37" s="3600">
        <v>65676.862132726907</v>
      </c>
      <c r="AH37" s="3600">
        <v>66906.022154385428</v>
      </c>
      <c r="AI37" s="3600">
        <v>66842.90158330054</v>
      </c>
      <c r="AJ37" s="3600">
        <v>68357.010521014541</v>
      </c>
      <c r="AK37" s="3600">
        <v>72590.273728604225</v>
      </c>
      <c r="AL37" s="3600">
        <v>69262.297322979372</v>
      </c>
      <c r="AM37" s="3591"/>
      <c r="AN37" s="3597"/>
    </row>
    <row r="38" spans="1:40">
      <c r="A38" s="3579"/>
      <c r="B38" s="3581"/>
      <c r="C38" s="3581"/>
      <c r="D38" s="3581"/>
      <c r="E38" s="3581"/>
      <c r="F38" s="3581"/>
      <c r="G38" s="3581"/>
      <c r="H38" s="3581"/>
      <c r="I38" s="3581"/>
      <c r="J38" s="3581"/>
      <c r="K38" s="3581"/>
      <c r="L38" s="3581"/>
      <c r="M38" s="3581"/>
      <c r="N38" s="3581"/>
      <c r="O38" s="3581"/>
      <c r="P38" s="3581"/>
      <c r="Q38" s="3581"/>
      <c r="R38" s="3581"/>
      <c r="S38" s="3581"/>
      <c r="T38" s="3581"/>
      <c r="U38" s="3581"/>
      <c r="V38" s="3581"/>
      <c r="W38" s="3581"/>
      <c r="X38" s="3581"/>
      <c r="Y38" s="3581"/>
      <c r="Z38" s="3581"/>
      <c r="AA38" s="3581"/>
      <c r="AB38" s="3581"/>
      <c r="AC38" s="3581"/>
      <c r="AD38" s="3581"/>
      <c r="AE38" s="3581"/>
      <c r="AF38" s="3581"/>
      <c r="AG38" s="3581"/>
      <c r="AH38" s="3581"/>
      <c r="AI38" s="3581"/>
      <c r="AJ38" s="3581"/>
      <c r="AK38" s="3581"/>
      <c r="AL38" s="3581"/>
      <c r="AM38" s="3591"/>
      <c r="AN38" s="3597"/>
    </row>
    <row r="39" spans="1:40">
      <c r="A39" s="3579" t="s">
        <v>694</v>
      </c>
      <c r="B39" s="3581">
        <v>84708.888798928223</v>
      </c>
      <c r="C39" s="3581">
        <v>85303.081961723554</v>
      </c>
      <c r="D39" s="3581">
        <v>86183.41877644448</v>
      </c>
      <c r="E39" s="3581">
        <v>87467.42655853185</v>
      </c>
      <c r="F39" s="3581">
        <v>87622.204916083836</v>
      </c>
      <c r="G39" s="3581">
        <v>87950.616967074457</v>
      </c>
      <c r="H39" s="3581">
        <v>89338.366139071659</v>
      </c>
      <c r="I39" s="3598">
        <v>92503.736026057421</v>
      </c>
      <c r="J39" s="3581">
        <v>94237.955423521795</v>
      </c>
      <c r="K39" s="3581">
        <v>95666.592606090897</v>
      </c>
      <c r="L39" s="3581">
        <v>95411.557678932993</v>
      </c>
      <c r="M39" s="3581">
        <v>100290.33233481737</v>
      </c>
      <c r="N39" s="3581">
        <v>101885.82301106308</v>
      </c>
      <c r="O39" s="3581">
        <v>104159.78080644018</v>
      </c>
      <c r="P39" s="3581">
        <v>104357.01863046354</v>
      </c>
      <c r="Q39" s="3581">
        <v>105855.28348435565</v>
      </c>
      <c r="R39" s="3581">
        <v>104309.25120018126</v>
      </c>
      <c r="S39" s="3581">
        <v>105302.14385852481</v>
      </c>
      <c r="T39" s="3581">
        <v>105778.42652432683</v>
      </c>
      <c r="U39" s="3581">
        <v>106245.4148441188</v>
      </c>
      <c r="V39" s="3581">
        <v>105948.70098045115</v>
      </c>
      <c r="W39" s="3581">
        <v>106885.05937539408</v>
      </c>
      <c r="X39" s="3581">
        <v>107202.33582523318</v>
      </c>
      <c r="Y39" s="3581">
        <v>111554.9212985452</v>
      </c>
      <c r="Z39" s="3581">
        <v>111669.19068124476</v>
      </c>
      <c r="AA39" s="3581">
        <v>114121.28884853281</v>
      </c>
      <c r="AB39" s="3581">
        <v>115387.87684685792</v>
      </c>
      <c r="AC39" s="3581">
        <v>113773.8850952483</v>
      </c>
      <c r="AD39" s="3581">
        <v>113843.13760300442</v>
      </c>
      <c r="AE39" s="3581">
        <v>115642.36013410815</v>
      </c>
      <c r="AF39" s="3581">
        <v>115414.81193544043</v>
      </c>
      <c r="AG39" s="3581">
        <v>114561.48606329848</v>
      </c>
      <c r="AH39" s="3581">
        <v>115564.07278266887</v>
      </c>
      <c r="AI39" s="3581">
        <v>115956.83600753456</v>
      </c>
      <c r="AJ39" s="3581">
        <v>117732.53591192998</v>
      </c>
      <c r="AK39" s="3581">
        <v>121520.62713277756</v>
      </c>
      <c r="AL39" s="3581">
        <v>123525.81852772045</v>
      </c>
      <c r="AM39" s="3591"/>
      <c r="AN39" s="3597"/>
    </row>
    <row r="40" spans="1:40">
      <c r="A40" s="3579" t="s">
        <v>695</v>
      </c>
      <c r="B40" s="3581">
        <v>88033.919707852503</v>
      </c>
      <c r="C40" s="3581">
        <v>87595.597272252911</v>
      </c>
      <c r="D40" s="3581">
        <v>87094.575146037823</v>
      </c>
      <c r="E40" s="3581">
        <v>87872.56928867074</v>
      </c>
      <c r="F40" s="3581">
        <v>88604.328410649949</v>
      </c>
      <c r="G40" s="3581">
        <v>89196.648900156899</v>
      </c>
      <c r="H40" s="3581">
        <v>89163.007720999783</v>
      </c>
      <c r="I40" s="3598">
        <v>87779.088912985782</v>
      </c>
      <c r="J40" s="3581">
        <v>88659.528460428715</v>
      </c>
      <c r="K40" s="3581">
        <v>89551.32666992642</v>
      </c>
      <c r="L40" s="3581">
        <v>91012.691122724966</v>
      </c>
      <c r="M40" s="3581">
        <v>90503.081980320552</v>
      </c>
      <c r="N40" s="3581">
        <v>89169.964147685227</v>
      </c>
      <c r="O40" s="3581">
        <v>88125.847609521763</v>
      </c>
      <c r="P40" s="3581">
        <v>87777.048754055402</v>
      </c>
      <c r="Q40" s="3581">
        <v>88198.588928961952</v>
      </c>
      <c r="R40" s="3581">
        <v>88997.791558121171</v>
      </c>
      <c r="S40" s="3581">
        <v>91228.686807754842</v>
      </c>
      <c r="T40" s="3581">
        <v>91653.49063992119</v>
      </c>
      <c r="U40" s="3581">
        <v>92535.865377640628</v>
      </c>
      <c r="V40" s="3581">
        <v>93687.733545954165</v>
      </c>
      <c r="W40" s="3581">
        <v>94068.676403494406</v>
      </c>
      <c r="X40" s="3581">
        <v>94931.147408340825</v>
      </c>
      <c r="Y40" s="3581">
        <v>94750.387628322438</v>
      </c>
      <c r="Z40" s="3581">
        <v>93675.025632091143</v>
      </c>
      <c r="AA40" s="3581">
        <v>92212.211434556506</v>
      </c>
      <c r="AB40" s="3581">
        <v>94183.027712675277</v>
      </c>
      <c r="AC40" s="3581">
        <v>94539.531721276056</v>
      </c>
      <c r="AD40" s="3581">
        <v>96150.059688464884</v>
      </c>
      <c r="AE40" s="3581">
        <v>95448.901969766099</v>
      </c>
      <c r="AF40" s="3581">
        <v>97784.541182805726</v>
      </c>
      <c r="AG40" s="3581">
        <v>99221.192270834857</v>
      </c>
      <c r="AH40" s="3581">
        <v>99581.321830339715</v>
      </c>
      <c r="AI40" s="3581">
        <v>102142.8821188071</v>
      </c>
      <c r="AJ40" s="3581">
        <v>100385.83658792941</v>
      </c>
      <c r="AK40" s="3581">
        <v>101759.47061146743</v>
      </c>
      <c r="AL40" s="3581">
        <v>100351.94119757833</v>
      </c>
      <c r="AM40" s="3591"/>
      <c r="AN40" s="3597"/>
    </row>
    <row r="41" spans="1:40">
      <c r="A41" s="3579" t="s">
        <v>696</v>
      </c>
      <c r="B41" s="3581">
        <v>49258.417869002995</v>
      </c>
      <c r="C41" s="3581">
        <v>49905.241202386365</v>
      </c>
      <c r="D41" s="3581">
        <v>49779.150295192965</v>
      </c>
      <c r="E41" s="3581">
        <v>49131.780081597477</v>
      </c>
      <c r="F41" s="3581">
        <v>50539.372975817263</v>
      </c>
      <c r="G41" s="3581">
        <v>50361.996650153487</v>
      </c>
      <c r="H41" s="3581">
        <v>44743.141953190068</v>
      </c>
      <c r="I41" s="3581">
        <v>45147.25922715092</v>
      </c>
      <c r="J41" s="3581">
        <v>42969.561303465794</v>
      </c>
      <c r="K41" s="3581">
        <v>45005.639883146825</v>
      </c>
      <c r="L41" s="3581">
        <v>42706.567911581544</v>
      </c>
      <c r="M41" s="3581">
        <v>46093.510639780267</v>
      </c>
      <c r="N41" s="3581">
        <v>46222.822685739731</v>
      </c>
      <c r="O41" s="3581">
        <v>45556.667818897025</v>
      </c>
      <c r="P41" s="3581">
        <v>45602.971516696918</v>
      </c>
      <c r="Q41" s="3581">
        <v>43989.544810661188</v>
      </c>
      <c r="R41" s="3581">
        <v>44707.07878920075</v>
      </c>
      <c r="S41" s="3581">
        <v>47361.864365966161</v>
      </c>
      <c r="T41" s="3581">
        <v>45288.935946662117</v>
      </c>
      <c r="U41" s="3581">
        <v>46432.023247352321</v>
      </c>
      <c r="V41" s="3581">
        <v>45321.233268820164</v>
      </c>
      <c r="W41" s="3581">
        <v>44389.668231614007</v>
      </c>
      <c r="X41" s="3581">
        <v>46041.537606656202</v>
      </c>
      <c r="Y41" s="3581">
        <v>44915.655954230228</v>
      </c>
      <c r="Z41" s="3581">
        <v>45906.481258167805</v>
      </c>
      <c r="AA41" s="3581">
        <v>46117.66667465643</v>
      </c>
      <c r="AB41" s="3581">
        <v>45858.158939868867</v>
      </c>
      <c r="AC41" s="3581">
        <v>46456.39775397937</v>
      </c>
      <c r="AD41" s="3581">
        <v>48041.084759244921</v>
      </c>
      <c r="AE41" s="3581">
        <v>49153.52088637487</v>
      </c>
      <c r="AF41" s="3581">
        <v>48457.25725118519</v>
      </c>
      <c r="AG41" s="3581">
        <v>47899.374725031601</v>
      </c>
      <c r="AH41" s="3581">
        <v>47397.612288635704</v>
      </c>
      <c r="AI41" s="3581">
        <v>47694.246768833138</v>
      </c>
      <c r="AJ41" s="3581">
        <v>48291.393876379254</v>
      </c>
      <c r="AK41" s="3581">
        <v>47772.507396118992</v>
      </c>
      <c r="AL41" s="3581">
        <v>45506.419963024957</v>
      </c>
      <c r="AM41" s="3591"/>
      <c r="AN41" s="3597"/>
    </row>
    <row r="42" spans="1:40" s="3601" customFormat="1" ht="13.5">
      <c r="A42" s="3599" t="s">
        <v>697</v>
      </c>
      <c r="B42" s="3600">
        <v>222001.22637578371</v>
      </c>
      <c r="C42" s="3600">
        <v>222803.92043636282</v>
      </c>
      <c r="D42" s="3600">
        <v>223057.14421767526</v>
      </c>
      <c r="E42" s="3600">
        <v>224471.77592880008</v>
      </c>
      <c r="F42" s="3600">
        <v>226765.90630255107</v>
      </c>
      <c r="G42" s="3600">
        <v>227509.26251738484</v>
      </c>
      <c r="H42" s="3600">
        <v>223244.5158132615</v>
      </c>
      <c r="I42" s="3600">
        <v>225430.08416619414</v>
      </c>
      <c r="J42" s="3600">
        <v>225867.04518741631</v>
      </c>
      <c r="K42" s="3600">
        <v>230223.55915916414</v>
      </c>
      <c r="L42" s="3600">
        <v>229130.8167132395</v>
      </c>
      <c r="M42" s="3600">
        <v>236886.92495491818</v>
      </c>
      <c r="N42" s="3600">
        <v>237278.60984448803</v>
      </c>
      <c r="O42" s="3600">
        <v>237842.29623485895</v>
      </c>
      <c r="P42" s="3600">
        <v>237737.03890121586</v>
      </c>
      <c r="Q42" s="3600">
        <v>238043.41722397879</v>
      </c>
      <c r="R42" s="3600">
        <v>238014.12154750316</v>
      </c>
      <c r="S42" s="3600">
        <v>243892.69503224583</v>
      </c>
      <c r="T42" s="3600">
        <v>242720.85311091013</v>
      </c>
      <c r="U42" s="3600">
        <v>245213.30346911174</v>
      </c>
      <c r="V42" s="3600">
        <v>244957.66779522545</v>
      </c>
      <c r="W42" s="3600">
        <v>245343.40401050251</v>
      </c>
      <c r="X42" s="3600">
        <v>248175.02084023022</v>
      </c>
      <c r="Y42" s="3600">
        <v>251220.96488109787</v>
      </c>
      <c r="Z42" s="3600">
        <v>251250.6975715037</v>
      </c>
      <c r="AA42" s="3600">
        <v>252451.16695774574</v>
      </c>
      <c r="AB42" s="3600">
        <v>255429.06349940208</v>
      </c>
      <c r="AC42" s="3600">
        <v>254769.81457050372</v>
      </c>
      <c r="AD42" s="3600">
        <v>258034.28205071425</v>
      </c>
      <c r="AE42" s="3600">
        <v>260244.78299024911</v>
      </c>
      <c r="AF42" s="3600">
        <v>261656.61036943135</v>
      </c>
      <c r="AG42" s="3600">
        <v>261682.05305916496</v>
      </c>
      <c r="AH42" s="3600">
        <v>262543.00690164429</v>
      </c>
      <c r="AI42" s="3600">
        <v>265793.96489517478</v>
      </c>
      <c r="AJ42" s="3600">
        <v>266409.76637623867</v>
      </c>
      <c r="AK42" s="3600">
        <v>271052.60514036397</v>
      </c>
      <c r="AL42" s="3600">
        <v>269384.17968832375</v>
      </c>
      <c r="AM42" s="3591"/>
      <c r="AN42" s="3597"/>
    </row>
    <row r="43" spans="1:40">
      <c r="A43" s="3579"/>
      <c r="B43" s="3581"/>
      <c r="C43" s="3581"/>
      <c r="D43" s="3581"/>
      <c r="E43" s="3581"/>
      <c r="F43" s="3581"/>
      <c r="G43" s="3581"/>
      <c r="H43" s="3581"/>
      <c r="I43" s="3581"/>
      <c r="J43" s="3581"/>
      <c r="K43" s="3581"/>
      <c r="L43" s="3581"/>
      <c r="M43" s="3581"/>
      <c r="N43" s="3581"/>
      <c r="O43" s="3581"/>
      <c r="P43" s="3581"/>
      <c r="Q43" s="3581"/>
      <c r="R43" s="3581"/>
      <c r="S43" s="3581"/>
      <c r="T43" s="3581"/>
      <c r="U43" s="3581"/>
      <c r="V43" s="3581"/>
      <c r="W43" s="3581"/>
      <c r="X43" s="3581"/>
      <c r="Y43" s="3581"/>
      <c r="Z43" s="3581"/>
      <c r="AA43" s="3581"/>
      <c r="AB43" s="3581"/>
      <c r="AC43" s="3581"/>
      <c r="AD43" s="3581"/>
      <c r="AE43" s="3581"/>
      <c r="AF43" s="3581"/>
      <c r="AG43" s="3581"/>
      <c r="AH43" s="3581"/>
      <c r="AI43" s="3581"/>
      <c r="AJ43" s="3581"/>
      <c r="AK43" s="3581"/>
      <c r="AL43" s="3581"/>
      <c r="AM43" s="3591"/>
      <c r="AN43" s="3597"/>
    </row>
    <row r="44" spans="1:40" s="3601" customFormat="1" ht="13.5">
      <c r="A44" s="3599" t="s">
        <v>698</v>
      </c>
      <c r="B44" s="3600">
        <v>783.64372534999995</v>
      </c>
      <c r="C44" s="3600">
        <v>795.03426162999995</v>
      </c>
      <c r="D44" s="3600">
        <v>806.36142286999996</v>
      </c>
      <c r="E44" s="3600">
        <v>817.11920386999998</v>
      </c>
      <c r="F44" s="3600">
        <v>829.69099342999993</v>
      </c>
      <c r="G44" s="3600">
        <v>841.75958768999999</v>
      </c>
      <c r="H44" s="3600">
        <v>841.34192214999996</v>
      </c>
      <c r="I44" s="3600">
        <v>1761.9603700399998</v>
      </c>
      <c r="J44" s="3600">
        <v>2961.9105785000002</v>
      </c>
      <c r="K44" s="3600">
        <v>2972.4738175799998</v>
      </c>
      <c r="L44" s="3600">
        <v>2983.0509201899999</v>
      </c>
      <c r="M44" s="3600">
        <v>2868.9249842999998</v>
      </c>
      <c r="N44" s="3600">
        <v>3024.39199293</v>
      </c>
      <c r="O44" s="3600">
        <v>3132.7682998499999</v>
      </c>
      <c r="P44" s="3600">
        <v>3477.1165247999998</v>
      </c>
      <c r="Q44" s="3600">
        <v>3596.2915270199996</v>
      </c>
      <c r="R44" s="3600">
        <v>3820.5340152700001</v>
      </c>
      <c r="S44" s="3600">
        <v>4044.5086889999998</v>
      </c>
      <c r="T44" s="3600">
        <v>4454.9941410299998</v>
      </c>
      <c r="U44" s="3600">
        <v>4389.0904822499997</v>
      </c>
      <c r="V44" s="3600">
        <v>4139.2902108300004</v>
      </c>
      <c r="W44" s="3600">
        <v>4198.8202049599995</v>
      </c>
      <c r="X44" s="3600">
        <v>4133.8427788499994</v>
      </c>
      <c r="Y44" s="3600">
        <v>4044.4671421900002</v>
      </c>
      <c r="Z44" s="3600">
        <v>4092.9795297899996</v>
      </c>
      <c r="AA44" s="3600">
        <v>4104.2421517499997</v>
      </c>
      <c r="AB44" s="3600">
        <v>4114.23766643</v>
      </c>
      <c r="AC44" s="3600">
        <v>4041.2326669099998</v>
      </c>
      <c r="AD44" s="3600">
        <v>3898.6385438699999</v>
      </c>
      <c r="AE44" s="3600">
        <v>3910.0286250299996</v>
      </c>
      <c r="AF44" s="3600">
        <v>3971.1964909600001</v>
      </c>
      <c r="AG44" s="3600">
        <v>3682.5046298037933</v>
      </c>
      <c r="AH44" s="3600">
        <v>3256.5735622100001</v>
      </c>
      <c r="AI44" s="3600">
        <v>3137.8296036799993</v>
      </c>
      <c r="AJ44" s="3600">
        <v>3314.8747531100003</v>
      </c>
      <c r="AK44" s="3600">
        <v>3720.1379614400003</v>
      </c>
      <c r="AL44" s="3600">
        <v>4340.8701848399996</v>
      </c>
      <c r="AM44" s="3591"/>
      <c r="AN44" s="3597"/>
    </row>
    <row r="45" spans="1:40">
      <c r="A45" s="3579"/>
      <c r="B45" s="3581"/>
      <c r="C45" s="3581"/>
      <c r="D45" s="3581"/>
      <c r="E45" s="3581"/>
      <c r="F45" s="3581"/>
      <c r="G45" s="3581"/>
      <c r="H45" s="3581"/>
      <c r="I45" s="3581"/>
      <c r="J45" s="3581"/>
      <c r="K45" s="3581"/>
      <c r="L45" s="3581"/>
      <c r="M45" s="3581"/>
      <c r="N45" s="3581"/>
      <c r="O45" s="3581"/>
      <c r="P45" s="3581"/>
      <c r="Q45" s="3581"/>
      <c r="R45" s="3581"/>
      <c r="S45" s="3581"/>
      <c r="T45" s="3581"/>
      <c r="U45" s="3581"/>
      <c r="V45" s="3581"/>
      <c r="W45" s="3581"/>
      <c r="X45" s="3581"/>
      <c r="Y45" s="3581"/>
      <c r="Z45" s="3581"/>
      <c r="AA45" s="3581"/>
      <c r="AB45" s="3581"/>
      <c r="AC45" s="3581"/>
      <c r="AD45" s="3581"/>
      <c r="AE45" s="3581"/>
      <c r="AF45" s="3581"/>
      <c r="AG45" s="3581"/>
      <c r="AH45" s="3581"/>
      <c r="AI45" s="3581"/>
      <c r="AJ45" s="3581"/>
      <c r="AK45" s="3581"/>
      <c r="AL45" s="3581"/>
      <c r="AM45" s="3591"/>
      <c r="AN45" s="3597"/>
    </row>
    <row r="46" spans="1:40">
      <c r="A46" s="3584" t="s">
        <v>699</v>
      </c>
      <c r="B46" s="3585">
        <v>279735.10531540605</v>
      </c>
      <c r="C46" s="3585">
        <v>280832.71616430732</v>
      </c>
      <c r="D46" s="3585">
        <v>281427.58380275633</v>
      </c>
      <c r="E46" s="3585">
        <v>282053.88717788772</v>
      </c>
      <c r="F46" s="3585">
        <v>286161.75081736082</v>
      </c>
      <c r="G46" s="3585">
        <v>286852.74157677876</v>
      </c>
      <c r="H46" s="3585">
        <v>281980.74913940526</v>
      </c>
      <c r="I46" s="3585">
        <v>282712.82567522553</v>
      </c>
      <c r="J46" s="3585">
        <v>285180.28833263821</v>
      </c>
      <c r="K46" s="3585">
        <v>289017.80016139155</v>
      </c>
      <c r="L46" s="3585">
        <v>289734.620291211</v>
      </c>
      <c r="M46" s="3585">
        <v>301730.92609458824</v>
      </c>
      <c r="N46" s="3585">
        <v>300154.74346408359</v>
      </c>
      <c r="O46" s="3585">
        <v>300026.05885581445</v>
      </c>
      <c r="P46" s="3585">
        <v>300002.57554363151</v>
      </c>
      <c r="Q46" s="3585">
        <v>300966.07615024457</v>
      </c>
      <c r="R46" s="3585">
        <v>301415.31749961444</v>
      </c>
      <c r="S46" s="3585">
        <v>308208.91568207362</v>
      </c>
      <c r="T46" s="3585">
        <v>307475.96241075313</v>
      </c>
      <c r="U46" s="3585">
        <v>310852.68915894139</v>
      </c>
      <c r="V46" s="3585">
        <v>311203.44306939788</v>
      </c>
      <c r="W46" s="3585">
        <v>311668.65898183768</v>
      </c>
      <c r="X46" s="3585">
        <v>314841.29194972781</v>
      </c>
      <c r="Y46" s="3585">
        <v>321619.28921400238</v>
      </c>
      <c r="Z46" s="3585">
        <v>320283.0892201832</v>
      </c>
      <c r="AA46" s="3585">
        <v>320419.8070265904</v>
      </c>
      <c r="AB46" s="3585">
        <v>323136.4265485463</v>
      </c>
      <c r="AC46" s="3585">
        <v>323292.54406884743</v>
      </c>
      <c r="AD46" s="3585">
        <v>326043.52125445002</v>
      </c>
      <c r="AE46" s="3585">
        <v>329885.71773652232</v>
      </c>
      <c r="AF46" s="3585">
        <v>330908.04376187187</v>
      </c>
      <c r="AG46" s="3585">
        <v>331041.41982169566</v>
      </c>
      <c r="AH46" s="3585">
        <v>332705.60261823976</v>
      </c>
      <c r="AI46" s="3585">
        <v>335774.69608215534</v>
      </c>
      <c r="AJ46" s="3585">
        <v>338081.65165036323</v>
      </c>
      <c r="AK46" s="3585">
        <v>347363.01683040825</v>
      </c>
      <c r="AL46" s="3585">
        <v>342987.34719614312</v>
      </c>
      <c r="AM46" s="3591"/>
      <c r="AN46" s="3597"/>
    </row>
    <row r="47" spans="1:40" ht="13.5" thickBot="1">
      <c r="A47" s="3579"/>
      <c r="B47" s="3581"/>
      <c r="C47" s="3581"/>
      <c r="D47" s="3581"/>
      <c r="E47" s="3581"/>
      <c r="F47" s="3581"/>
      <c r="G47" s="3581"/>
      <c r="H47" s="3581"/>
      <c r="I47" s="3581"/>
      <c r="J47" s="3581"/>
      <c r="K47" s="3581"/>
      <c r="L47" s="3581"/>
      <c r="M47" s="3581"/>
      <c r="N47" s="3581"/>
      <c r="O47" s="3581"/>
      <c r="P47" s="3581"/>
      <c r="Q47" s="3581"/>
      <c r="R47" s="3581"/>
      <c r="S47" s="3581"/>
      <c r="T47" s="3581"/>
      <c r="U47" s="3581"/>
      <c r="V47" s="3581"/>
      <c r="W47" s="3581"/>
      <c r="X47" s="3580"/>
      <c r="Y47" s="3580"/>
      <c r="Z47" s="3580"/>
      <c r="AA47" s="3580"/>
      <c r="AB47" s="3580"/>
      <c r="AC47" s="3580"/>
      <c r="AD47" s="3580"/>
      <c r="AE47" s="3580"/>
      <c r="AF47" s="3580"/>
      <c r="AG47" s="3580"/>
      <c r="AH47" s="3580"/>
      <c r="AI47" s="3580"/>
      <c r="AJ47" s="3580"/>
      <c r="AK47" s="3580"/>
      <c r="AL47" s="3580"/>
      <c r="AM47" s="3591"/>
      <c r="AN47" s="3597"/>
    </row>
    <row r="48" spans="1:40" ht="14.25" thickTop="1" thickBot="1">
      <c r="A48" s="3577" t="s">
        <v>700</v>
      </c>
      <c r="B48" s="3587"/>
      <c r="C48" s="3587"/>
      <c r="D48" s="3587"/>
      <c r="E48" s="3587"/>
      <c r="F48" s="3587"/>
      <c r="G48" s="3587"/>
      <c r="H48" s="3587"/>
      <c r="I48" s="3587"/>
      <c r="J48" s="3587"/>
      <c r="K48" s="3587"/>
      <c r="L48" s="3587"/>
      <c r="M48" s="3587"/>
      <c r="N48" s="3587"/>
      <c r="O48" s="3587"/>
      <c r="P48" s="3587"/>
      <c r="Q48" s="3587"/>
      <c r="R48" s="3587"/>
      <c r="S48" s="3587"/>
      <c r="T48" s="3587"/>
      <c r="U48" s="3587"/>
      <c r="V48" s="3587"/>
      <c r="W48" s="3587"/>
      <c r="X48" s="3587"/>
      <c r="Y48" s="3587"/>
      <c r="Z48" s="3587"/>
      <c r="AA48" s="3587"/>
      <c r="AB48" s="3587"/>
      <c r="AC48" s="3587"/>
      <c r="AD48" s="3587"/>
      <c r="AE48" s="3587"/>
      <c r="AF48" s="3587"/>
      <c r="AG48" s="3587"/>
      <c r="AH48" s="3587"/>
      <c r="AI48" s="3587"/>
      <c r="AJ48" s="3587"/>
      <c r="AK48" s="3587"/>
      <c r="AL48" s="3587"/>
      <c r="AM48" s="3591"/>
      <c r="AN48" s="3597"/>
    </row>
    <row r="49" spans="1:40" ht="13.5" thickTop="1">
      <c r="A49" s="3579"/>
      <c r="B49" s="3581"/>
      <c r="C49" s="3581"/>
      <c r="D49" s="3581"/>
      <c r="E49" s="3581"/>
      <c r="F49" s="3581"/>
      <c r="G49" s="3581"/>
      <c r="H49" s="3581"/>
      <c r="I49" s="3581"/>
      <c r="J49" s="3581"/>
      <c r="K49" s="3581"/>
      <c r="L49" s="3581"/>
      <c r="M49" s="3581"/>
      <c r="N49" s="3581"/>
      <c r="O49" s="3581"/>
      <c r="P49" s="3581"/>
      <c r="Q49" s="3581"/>
      <c r="R49" s="3581"/>
      <c r="S49" s="3581"/>
      <c r="T49" s="3581"/>
      <c r="U49" s="3581"/>
      <c r="V49" s="3581"/>
      <c r="W49" s="3581"/>
      <c r="X49" s="3580"/>
      <c r="Y49" s="3580"/>
      <c r="Z49" s="3580"/>
      <c r="AA49" s="3580"/>
      <c r="AB49" s="3580"/>
      <c r="AC49" s="3580"/>
      <c r="AD49" s="3580"/>
      <c r="AE49" s="3580"/>
      <c r="AF49" s="3580"/>
      <c r="AG49" s="3580"/>
      <c r="AH49" s="3580"/>
      <c r="AI49" s="3580"/>
      <c r="AJ49" s="3580"/>
      <c r="AK49" s="3580"/>
      <c r="AL49" s="3580"/>
      <c r="AM49" s="3591"/>
      <c r="AN49" s="3597"/>
    </row>
    <row r="50" spans="1:40" s="3586" customFormat="1">
      <c r="A50" s="3584" t="s">
        <v>701</v>
      </c>
      <c r="B50" s="3585">
        <v>355837.03116140142</v>
      </c>
      <c r="C50" s="3585">
        <v>360605.04953497002</v>
      </c>
      <c r="D50" s="3585">
        <v>364782.59790840576</v>
      </c>
      <c r="E50" s="3585">
        <v>347836.52930073522</v>
      </c>
      <c r="F50" s="3585">
        <v>398474.36596555047</v>
      </c>
      <c r="G50" s="3585">
        <v>389200.51288481901</v>
      </c>
      <c r="H50" s="3585">
        <v>349996.3624868911</v>
      </c>
      <c r="I50" s="3585">
        <v>374559.74357372645</v>
      </c>
      <c r="J50" s="3585">
        <v>374311.56619276927</v>
      </c>
      <c r="K50" s="3585">
        <v>375558.95299317496</v>
      </c>
      <c r="L50" s="3585">
        <v>387400.46029459569</v>
      </c>
      <c r="M50" s="3585">
        <v>396025.74941314518</v>
      </c>
      <c r="N50" s="3585">
        <v>397868.12297975575</v>
      </c>
      <c r="O50" s="3585">
        <v>391740.02392533398</v>
      </c>
      <c r="P50" s="3585">
        <v>362731.64003700012</v>
      </c>
      <c r="Q50" s="3585">
        <v>376961.4054074281</v>
      </c>
      <c r="R50" s="3585">
        <v>368985.7930979958</v>
      </c>
      <c r="S50" s="3585">
        <v>398640.04925210675</v>
      </c>
      <c r="T50" s="3585">
        <v>384262.82808588771</v>
      </c>
      <c r="U50" s="3585">
        <v>367127.2188200822</v>
      </c>
      <c r="V50" s="3585">
        <v>372146.50669052522</v>
      </c>
      <c r="W50" s="3585">
        <v>373804.4944400455</v>
      </c>
      <c r="X50" s="3585">
        <v>424939.29194978258</v>
      </c>
      <c r="Y50" s="3585">
        <v>370755.11539752875</v>
      </c>
      <c r="Z50" s="3585">
        <v>348029.36244730791</v>
      </c>
      <c r="AA50" s="3585">
        <v>354708.02445732517</v>
      </c>
      <c r="AB50" s="3585">
        <v>400460.72834256146</v>
      </c>
      <c r="AC50" s="3585">
        <v>400880.36506270594</v>
      </c>
      <c r="AD50" s="3585">
        <v>418934.88927327795</v>
      </c>
      <c r="AE50" s="3585">
        <v>358615.76786022121</v>
      </c>
      <c r="AF50" s="3585">
        <v>391317.48373264499</v>
      </c>
      <c r="AG50" s="3585">
        <v>349407.08494980849</v>
      </c>
      <c r="AH50" s="3585">
        <v>374495.66562962084</v>
      </c>
      <c r="AI50" s="3585">
        <v>394291.12349107303</v>
      </c>
      <c r="AJ50" s="3585">
        <v>396660.75575007964</v>
      </c>
      <c r="AK50" s="3585">
        <v>401320.90685726883</v>
      </c>
      <c r="AL50" s="3585">
        <v>425209.26168858795</v>
      </c>
      <c r="AM50" s="3591"/>
      <c r="AN50" s="3597"/>
    </row>
    <row r="51" spans="1:40">
      <c r="A51" s="3579" t="s">
        <v>702</v>
      </c>
      <c r="B51" s="3581">
        <v>66426.303235972882</v>
      </c>
      <c r="C51" s="3581">
        <v>67813.347178623269</v>
      </c>
      <c r="D51" s="3581">
        <v>67350.55298928589</v>
      </c>
      <c r="E51" s="3581">
        <v>67898.424276395206</v>
      </c>
      <c r="F51" s="3581">
        <v>70563.533940011592</v>
      </c>
      <c r="G51" s="3581">
        <v>69029.206086238628</v>
      </c>
      <c r="H51" s="3581">
        <v>69173.827566074178</v>
      </c>
      <c r="I51" s="3581">
        <v>70109.753901685341</v>
      </c>
      <c r="J51" s="3581">
        <v>73222.669057128718</v>
      </c>
      <c r="K51" s="3581">
        <v>72628.910586909114</v>
      </c>
      <c r="L51" s="3581">
        <v>74948.541309052278</v>
      </c>
      <c r="M51" s="3581">
        <v>77907.26620021234</v>
      </c>
      <c r="N51" s="3581">
        <v>74640.649942564065</v>
      </c>
      <c r="O51" s="3581">
        <v>74618.615312754191</v>
      </c>
      <c r="P51" s="3581">
        <v>76376.735414886105</v>
      </c>
      <c r="Q51" s="3581">
        <v>75700.789623743025</v>
      </c>
      <c r="R51" s="3581">
        <v>77269.692369705648</v>
      </c>
      <c r="S51" s="3581">
        <v>79953.017943437662</v>
      </c>
      <c r="T51" s="3581">
        <v>79074.75525046949</v>
      </c>
      <c r="U51" s="3581">
        <v>79520.667822633579</v>
      </c>
      <c r="V51" s="3581">
        <v>78671.260029511788</v>
      </c>
      <c r="W51" s="3581">
        <v>81199.667306703283</v>
      </c>
      <c r="X51" s="3581">
        <v>77556.049942866448</v>
      </c>
      <c r="Y51" s="3581">
        <v>80100.875885288551</v>
      </c>
      <c r="Z51" s="3581">
        <v>80040.746933815622</v>
      </c>
      <c r="AA51" s="3581">
        <v>79939.581236785903</v>
      </c>
      <c r="AB51" s="3581">
        <v>79411.668224062698</v>
      </c>
      <c r="AC51" s="3581">
        <v>79032.748513622151</v>
      </c>
      <c r="AD51" s="3581">
        <v>78098.527743300889</v>
      </c>
      <c r="AE51" s="3581">
        <v>85159.248901662751</v>
      </c>
      <c r="AF51" s="3581">
        <v>86394.874568552084</v>
      </c>
      <c r="AG51" s="3581">
        <v>86880.112743733043</v>
      </c>
      <c r="AH51" s="3581">
        <v>87928.224802783152</v>
      </c>
      <c r="AI51" s="3581">
        <v>88106.871545446251</v>
      </c>
      <c r="AJ51" s="3581">
        <v>90488.3945909303</v>
      </c>
      <c r="AK51" s="3581">
        <v>91559.825805914632</v>
      </c>
      <c r="AL51" s="3581">
        <v>94098.106945505308</v>
      </c>
      <c r="AM51" s="3591"/>
      <c r="AN51" s="3597"/>
    </row>
    <row r="52" spans="1:40">
      <c r="A52" s="3579" t="s">
        <v>703</v>
      </c>
      <c r="B52" s="3581">
        <v>289410.72792542854</v>
      </c>
      <c r="C52" s="3581">
        <v>292791.70235634677</v>
      </c>
      <c r="D52" s="3581">
        <v>297432.04491911986</v>
      </c>
      <c r="E52" s="3581">
        <v>279938.10502433998</v>
      </c>
      <c r="F52" s="3581">
        <v>327910.8320255389</v>
      </c>
      <c r="G52" s="3581">
        <v>320171.30679858039</v>
      </c>
      <c r="H52" s="3581">
        <v>280822.53492081689</v>
      </c>
      <c r="I52" s="3581">
        <v>304449.98967204109</v>
      </c>
      <c r="J52" s="3581">
        <v>301088.89713564055</v>
      </c>
      <c r="K52" s="3581">
        <v>302930.04240626586</v>
      </c>
      <c r="L52" s="3581">
        <v>312451.91898554342</v>
      </c>
      <c r="M52" s="3581">
        <v>318118.48321293283</v>
      </c>
      <c r="N52" s="3581">
        <v>323227.47303719167</v>
      </c>
      <c r="O52" s="3581">
        <v>317121.40861257981</v>
      </c>
      <c r="P52" s="3581">
        <v>286354.90462211403</v>
      </c>
      <c r="Q52" s="3581">
        <v>301260.61578368506</v>
      </c>
      <c r="R52" s="3581">
        <v>291716.10072829016</v>
      </c>
      <c r="S52" s="3581">
        <v>318687.03130866907</v>
      </c>
      <c r="T52" s="3581">
        <v>305188.07283541822</v>
      </c>
      <c r="U52" s="3581">
        <v>287606.55099744862</v>
      </c>
      <c r="V52" s="3581">
        <v>293475.2466610134</v>
      </c>
      <c r="W52" s="3581">
        <v>292604.82713334222</v>
      </c>
      <c r="X52" s="3581">
        <v>347383.24200691615</v>
      </c>
      <c r="Y52" s="3581">
        <v>290654.23951224022</v>
      </c>
      <c r="Z52" s="3581">
        <v>267988.61551349226</v>
      </c>
      <c r="AA52" s="3581">
        <v>274768.44322053925</v>
      </c>
      <c r="AB52" s="3581">
        <v>321049.06011849875</v>
      </c>
      <c r="AC52" s="3581">
        <v>321847.61654908379</v>
      </c>
      <c r="AD52" s="3581">
        <v>340836.36152997706</v>
      </c>
      <c r="AE52" s="3581">
        <v>273456.51895855844</v>
      </c>
      <c r="AF52" s="3581">
        <v>304922.60916409292</v>
      </c>
      <c r="AG52" s="3581">
        <v>262526.97220607544</v>
      </c>
      <c r="AH52" s="3581">
        <v>286567.44082683767</v>
      </c>
      <c r="AI52" s="3581">
        <v>306184.25194562681</v>
      </c>
      <c r="AJ52" s="3581">
        <v>306172.36115914932</v>
      </c>
      <c r="AK52" s="3581">
        <v>309761.08105135418</v>
      </c>
      <c r="AL52" s="3581">
        <v>331111.15474308265</v>
      </c>
      <c r="AM52" s="3591"/>
      <c r="AN52" s="3597"/>
    </row>
    <row r="53" spans="1:40" s="3601" customFormat="1" ht="13.5">
      <c r="A53" s="3599" t="s">
        <v>704</v>
      </c>
      <c r="B53" s="3600">
        <v>30107.789499937426</v>
      </c>
      <c r="C53" s="3600">
        <v>31094.415139565433</v>
      </c>
      <c r="D53" s="3600">
        <v>30962.734737710922</v>
      </c>
      <c r="E53" s="3600">
        <v>31722.669563358049</v>
      </c>
      <c r="F53" s="3600">
        <v>32291.245409282688</v>
      </c>
      <c r="G53" s="3600">
        <v>32190.982644318014</v>
      </c>
      <c r="H53" s="3600">
        <v>30094.231303218694</v>
      </c>
      <c r="I53" s="3600">
        <v>29292.800738552556</v>
      </c>
      <c r="J53" s="3600">
        <v>28801.138058792403</v>
      </c>
      <c r="K53" s="3600">
        <v>29965.587047910638</v>
      </c>
      <c r="L53" s="3600">
        <v>28330.268785776119</v>
      </c>
      <c r="M53" s="3600">
        <v>31342.426757704441</v>
      </c>
      <c r="N53" s="3600">
        <v>31184.750943821055</v>
      </c>
      <c r="O53" s="3600">
        <v>31548.530888865294</v>
      </c>
      <c r="P53" s="3600">
        <v>27794.7012473334</v>
      </c>
      <c r="Q53" s="3600">
        <v>29797.607674650739</v>
      </c>
      <c r="R53" s="3600">
        <v>29756.993887896479</v>
      </c>
      <c r="S53" s="3600">
        <v>31531.85090685774</v>
      </c>
      <c r="T53" s="3600">
        <v>30896.76617554163</v>
      </c>
      <c r="U53" s="3600">
        <v>31826.081259769038</v>
      </c>
      <c r="V53" s="3600">
        <v>30090.548292793464</v>
      </c>
      <c r="W53" s="3600">
        <v>29931.536737561233</v>
      </c>
      <c r="X53" s="3600">
        <v>32881.097839031361</v>
      </c>
      <c r="Y53" s="3600">
        <v>32256.044949765055</v>
      </c>
      <c r="Z53" s="3600">
        <v>29743.857539278306</v>
      </c>
      <c r="AA53" s="3600">
        <v>30613.969072840475</v>
      </c>
      <c r="AB53" s="3600">
        <v>32123.542996331853</v>
      </c>
      <c r="AC53" s="3600">
        <v>30898.681239639547</v>
      </c>
      <c r="AD53" s="3600">
        <v>31735.014727031255</v>
      </c>
      <c r="AE53" s="3600">
        <v>29469.319834896196</v>
      </c>
      <c r="AF53" s="3600">
        <v>26599.066031824601</v>
      </c>
      <c r="AG53" s="3600">
        <v>26674.760938416803</v>
      </c>
      <c r="AH53" s="3600">
        <v>28345.006986206092</v>
      </c>
      <c r="AI53" s="3600">
        <v>28108.383252590469</v>
      </c>
      <c r="AJ53" s="3600">
        <v>24998.993463898696</v>
      </c>
      <c r="AK53" s="3600">
        <v>28494.088645989141</v>
      </c>
      <c r="AL53" s="3600">
        <v>27048.984055426175</v>
      </c>
      <c r="AM53" s="3591"/>
      <c r="AN53" s="3597"/>
    </row>
    <row r="54" spans="1:40">
      <c r="A54" s="3579" t="s">
        <v>702</v>
      </c>
      <c r="B54" s="3581">
        <v>-16094.591653099998</v>
      </c>
      <c r="C54" s="3581">
        <v>-15133.990915980001</v>
      </c>
      <c r="D54" s="3581">
        <v>-10574.257390679999</v>
      </c>
      <c r="E54" s="3581">
        <v>-13160.13132181</v>
      </c>
      <c r="F54" s="3581">
        <v>-13184.197336680001</v>
      </c>
      <c r="G54" s="3581">
        <v>-12603.214470860001</v>
      </c>
      <c r="H54" s="3581">
        <v>-12649.402737140001</v>
      </c>
      <c r="I54" s="3581">
        <v>-13391.86586032</v>
      </c>
      <c r="J54" s="3581">
        <v>-10710.94624886</v>
      </c>
      <c r="K54" s="3581">
        <v>-7907.6478782200011</v>
      </c>
      <c r="L54" s="3581">
        <v>-9717.4022466099996</v>
      </c>
      <c r="M54" s="3581">
        <v>-8188.1413156799999</v>
      </c>
      <c r="N54" s="3581">
        <v>-6786.1626598000003</v>
      </c>
      <c r="O54" s="3581">
        <v>-6078.9120463599993</v>
      </c>
      <c r="P54" s="3581">
        <v>-9329.6150178499993</v>
      </c>
      <c r="Q54" s="3581">
        <v>-7700.4030417400008</v>
      </c>
      <c r="R54" s="3581">
        <v>-9399.5067693700003</v>
      </c>
      <c r="S54" s="3581">
        <v>-8187.5478094900009</v>
      </c>
      <c r="T54" s="3581">
        <v>-9119.1807294400023</v>
      </c>
      <c r="U54" s="3581">
        <v>-6278.5025332800014</v>
      </c>
      <c r="V54" s="3581">
        <v>-8479.2297565699992</v>
      </c>
      <c r="W54" s="3581">
        <v>-9170.7200766599999</v>
      </c>
      <c r="X54" s="3581">
        <v>-7353.9978573200005</v>
      </c>
      <c r="Y54" s="3581">
        <v>-5754.6808712699985</v>
      </c>
      <c r="Z54" s="3581">
        <v>-7971.6672470000012</v>
      </c>
      <c r="AA54" s="3581">
        <v>-6584.0367512299981</v>
      </c>
      <c r="AB54" s="3581">
        <v>-7264.5883742700007</v>
      </c>
      <c r="AC54" s="3581">
        <v>-6831.0905112400014</v>
      </c>
      <c r="AD54" s="3581">
        <v>-6731.0735989400018</v>
      </c>
      <c r="AE54" s="3581">
        <v>-9145.2165930400006</v>
      </c>
      <c r="AF54" s="3581">
        <v>-9421.337206809998</v>
      </c>
      <c r="AG54" s="3581">
        <v>-11348.510463179999</v>
      </c>
      <c r="AH54" s="3581">
        <v>-10437.164946539999</v>
      </c>
      <c r="AI54" s="3581">
        <v>-11934.293544650001</v>
      </c>
      <c r="AJ54" s="3581">
        <v>-15389.813834499997</v>
      </c>
      <c r="AK54" s="3581">
        <v>-9721.1458556500002</v>
      </c>
      <c r="AL54" s="3581">
        <v>-11571.849526949998</v>
      </c>
      <c r="AM54" s="3591"/>
      <c r="AN54" s="3597"/>
    </row>
    <row r="55" spans="1:40">
      <c r="A55" s="3579" t="s">
        <v>703</v>
      </c>
      <c r="B55" s="3581">
        <v>46202.381153037422</v>
      </c>
      <c r="C55" s="3581">
        <v>46228.406055545434</v>
      </c>
      <c r="D55" s="3581">
        <v>41536.992128390921</v>
      </c>
      <c r="E55" s="3581">
        <v>44882.80088516805</v>
      </c>
      <c r="F55" s="3581">
        <v>45475.44274596269</v>
      </c>
      <c r="G55" s="3581">
        <v>44794.197115178016</v>
      </c>
      <c r="H55" s="3581">
        <v>42743.634040358695</v>
      </c>
      <c r="I55" s="3581">
        <v>42684.666598872558</v>
      </c>
      <c r="J55" s="3581">
        <v>39512.084307652403</v>
      </c>
      <c r="K55" s="3581">
        <v>37873.234926130637</v>
      </c>
      <c r="L55" s="3581">
        <v>38047.671032386119</v>
      </c>
      <c r="M55" s="3581">
        <v>39530.568073384442</v>
      </c>
      <c r="N55" s="3581">
        <v>37970.913603621055</v>
      </c>
      <c r="O55" s="3581">
        <v>37627.442935225292</v>
      </c>
      <c r="P55" s="3581">
        <v>37124.316265183399</v>
      </c>
      <c r="Q55" s="3581">
        <v>37498.010716390738</v>
      </c>
      <c r="R55" s="3581">
        <v>39156.500657266479</v>
      </c>
      <c r="S55" s="3581">
        <v>39719.398716347743</v>
      </c>
      <c r="T55" s="3581">
        <v>40015.946904981633</v>
      </c>
      <c r="U55" s="3581">
        <v>38104.583793049038</v>
      </c>
      <c r="V55" s="3581">
        <v>38569.778049363464</v>
      </c>
      <c r="W55" s="3581">
        <v>39102.256814221233</v>
      </c>
      <c r="X55" s="3581">
        <v>40235.09569635136</v>
      </c>
      <c r="Y55" s="3581">
        <v>38010.725821035056</v>
      </c>
      <c r="Z55" s="3581">
        <v>37715.524786278307</v>
      </c>
      <c r="AA55" s="3581">
        <v>37198.005824070475</v>
      </c>
      <c r="AB55" s="3581">
        <v>39388.131370601855</v>
      </c>
      <c r="AC55" s="3581">
        <v>37729.771750879547</v>
      </c>
      <c r="AD55" s="3581">
        <v>38466.088325971257</v>
      </c>
      <c r="AE55" s="3581">
        <v>38614.536427936197</v>
      </c>
      <c r="AF55" s="3581">
        <v>36020.403238634601</v>
      </c>
      <c r="AG55" s="3581">
        <v>38023.271401596801</v>
      </c>
      <c r="AH55" s="3581">
        <v>38782.171932746089</v>
      </c>
      <c r="AI55" s="3581">
        <v>40042.67679724047</v>
      </c>
      <c r="AJ55" s="3581">
        <v>40388.807298398693</v>
      </c>
      <c r="AK55" s="3581">
        <v>38215.234501639141</v>
      </c>
      <c r="AL55" s="3581">
        <v>38620.833582376174</v>
      </c>
      <c r="AM55" s="3591"/>
      <c r="AN55" s="3597"/>
    </row>
    <row r="56" spans="1:40" s="3601" customFormat="1" ht="13.5">
      <c r="A56" s="3599" t="s">
        <v>705</v>
      </c>
      <c r="B56" s="3600">
        <v>249049.6457634767</v>
      </c>
      <c r="C56" s="3600">
        <v>248807.77216519354</v>
      </c>
      <c r="D56" s="3600">
        <v>251216.34014935835</v>
      </c>
      <c r="E56" s="3600">
        <v>252571.14770766051</v>
      </c>
      <c r="F56" s="3600">
        <v>263772.26442897564</v>
      </c>
      <c r="G56" s="3600">
        <v>267573.77706727927</v>
      </c>
      <c r="H56" s="3600">
        <v>266546.19427709124</v>
      </c>
      <c r="I56" s="3600">
        <v>271927.19652940845</v>
      </c>
      <c r="J56" s="3600">
        <v>272605.20555799588</v>
      </c>
      <c r="K56" s="3600">
        <v>274950.37682160974</v>
      </c>
      <c r="L56" s="3600">
        <v>276946.48094082711</v>
      </c>
      <c r="M56" s="3600">
        <v>279011.9005774298</v>
      </c>
      <c r="N56" s="3600">
        <v>278925.50306887995</v>
      </c>
      <c r="O56" s="3600">
        <v>281794.30187684559</v>
      </c>
      <c r="P56" s="3600">
        <v>282552.45791129809</v>
      </c>
      <c r="Q56" s="3600">
        <v>286531.20071991388</v>
      </c>
      <c r="R56" s="3600">
        <v>288418.86245035374</v>
      </c>
      <c r="S56" s="3600">
        <v>292124.32001176995</v>
      </c>
      <c r="T56" s="3600">
        <v>295910.29042288021</v>
      </c>
      <c r="U56" s="3600">
        <v>298869.28538751893</v>
      </c>
      <c r="V56" s="3600">
        <v>304317.74497532001</v>
      </c>
      <c r="W56" s="3600">
        <v>313019.72673447238</v>
      </c>
      <c r="X56" s="3600">
        <v>311448.56077553553</v>
      </c>
      <c r="Y56" s="3600">
        <v>311128.60589472816</v>
      </c>
      <c r="Z56" s="3600">
        <v>311614.96213569335</v>
      </c>
      <c r="AA56" s="3600">
        <v>312053.74452528806</v>
      </c>
      <c r="AB56" s="3600">
        <v>316252.63222865068</v>
      </c>
      <c r="AC56" s="3600">
        <v>322237.36142590013</v>
      </c>
      <c r="AD56" s="3600">
        <v>328425.03858686506</v>
      </c>
      <c r="AE56" s="3600">
        <v>339992.21987458708</v>
      </c>
      <c r="AF56" s="3600">
        <v>344302.14351216564</v>
      </c>
      <c r="AG56" s="3600">
        <v>346757.92890193785</v>
      </c>
      <c r="AH56" s="3600">
        <v>349337.30424399534</v>
      </c>
      <c r="AI56" s="3600">
        <v>353848.92335604446</v>
      </c>
      <c r="AJ56" s="3600">
        <v>357405.85055804724</v>
      </c>
      <c r="AK56" s="3600">
        <v>364273.63872408587</v>
      </c>
      <c r="AL56" s="3600">
        <v>365700.0106858334</v>
      </c>
      <c r="AM56" s="3591"/>
      <c r="AN56" s="3597"/>
    </row>
    <row r="57" spans="1:40">
      <c r="A57" s="3579" t="s">
        <v>702</v>
      </c>
      <c r="B57" s="3581">
        <v>153.19780331999999</v>
      </c>
      <c r="C57" s="3581">
        <v>154.31596911</v>
      </c>
      <c r="D57" s="3581">
        <v>138.70587049999997</v>
      </c>
      <c r="E57" s="3581">
        <v>145.20146566999998</v>
      </c>
      <c r="F57" s="3581">
        <v>139.64907062999998</v>
      </c>
      <c r="G57" s="3581">
        <v>144.54348844999998</v>
      </c>
      <c r="H57" s="3581">
        <v>136.46690247999999</v>
      </c>
      <c r="I57" s="3581">
        <v>137.70103456999999</v>
      </c>
      <c r="J57" s="3581">
        <v>166.28222216</v>
      </c>
      <c r="K57" s="3581">
        <v>164.10271523999998</v>
      </c>
      <c r="L57" s="3581">
        <v>188.36966712999998</v>
      </c>
      <c r="M57" s="3581">
        <v>289.10614802999993</v>
      </c>
      <c r="N57" s="3581">
        <v>325.25928297999997</v>
      </c>
      <c r="O57" s="3581">
        <v>266.26099159999995</v>
      </c>
      <c r="P57" s="3581">
        <v>282.16233682000001</v>
      </c>
      <c r="Q57" s="3581">
        <v>326.19289162000001</v>
      </c>
      <c r="R57" s="3581">
        <v>355.96613649</v>
      </c>
      <c r="S57" s="3581">
        <v>144.95301177000002</v>
      </c>
      <c r="T57" s="3581">
        <v>145.04960496999999</v>
      </c>
      <c r="U57" s="3581">
        <v>146.18456738</v>
      </c>
      <c r="V57" s="3581">
        <v>147.98835771</v>
      </c>
      <c r="W57" s="3581">
        <v>189.87692557</v>
      </c>
      <c r="X57" s="3581">
        <v>188.68572480999998</v>
      </c>
      <c r="Y57" s="3581">
        <v>187.66180904000001</v>
      </c>
      <c r="Z57" s="3581">
        <v>184.76241243000001</v>
      </c>
      <c r="AA57" s="3581">
        <v>235.96431477000002</v>
      </c>
      <c r="AB57" s="3581">
        <v>228.80128807000003</v>
      </c>
      <c r="AC57" s="3581">
        <v>202.30284356000001</v>
      </c>
      <c r="AD57" s="3581">
        <v>207.31680611000002</v>
      </c>
      <c r="AE57" s="3581">
        <v>142.31707372000002</v>
      </c>
      <c r="AF57" s="3581">
        <v>246.29880878</v>
      </c>
      <c r="AG57" s="3581">
        <v>157.61338316000001</v>
      </c>
      <c r="AH57" s="3581">
        <v>186.53756657</v>
      </c>
      <c r="AI57" s="3581">
        <v>186.00266166</v>
      </c>
      <c r="AJ57" s="3581">
        <v>148.20166657000001</v>
      </c>
      <c r="AK57" s="3581">
        <v>184.47326498999999</v>
      </c>
      <c r="AL57" s="3581">
        <v>158.50110899000001</v>
      </c>
      <c r="AM57" s="3591"/>
      <c r="AN57" s="3597"/>
    </row>
    <row r="58" spans="1:40">
      <c r="A58" s="3579" t="s">
        <v>706</v>
      </c>
      <c r="B58" s="3581">
        <v>248896.44796015669</v>
      </c>
      <c r="C58" s="3581">
        <v>248653.45619608354</v>
      </c>
      <c r="D58" s="3581">
        <v>251077.63427885834</v>
      </c>
      <c r="E58" s="3581">
        <v>252425.94624199052</v>
      </c>
      <c r="F58" s="3581">
        <v>263632.61535834562</v>
      </c>
      <c r="G58" s="3581">
        <v>267429.23357882927</v>
      </c>
      <c r="H58" s="3581">
        <v>266409.72737461125</v>
      </c>
      <c r="I58" s="3581">
        <v>271789.49549483845</v>
      </c>
      <c r="J58" s="3581">
        <v>272438.92333583586</v>
      </c>
      <c r="K58" s="3581">
        <v>274786.27410636976</v>
      </c>
      <c r="L58" s="3581">
        <v>276758.11127369711</v>
      </c>
      <c r="M58" s="3581">
        <v>278722.79442939977</v>
      </c>
      <c r="N58" s="3581">
        <v>278600.24378589995</v>
      </c>
      <c r="O58" s="3581">
        <v>281528.0408852456</v>
      </c>
      <c r="P58" s="3581">
        <v>282270.29557447811</v>
      </c>
      <c r="Q58" s="3581">
        <v>286205.00782829389</v>
      </c>
      <c r="R58" s="3581">
        <v>288062.89631386375</v>
      </c>
      <c r="S58" s="3581">
        <v>291979.36699999997</v>
      </c>
      <c r="T58" s="3581">
        <v>295765.24081791023</v>
      </c>
      <c r="U58" s="3581">
        <v>298723.10082013893</v>
      </c>
      <c r="V58" s="3581">
        <v>304169.75661760999</v>
      </c>
      <c r="W58" s="3581">
        <v>312829.84980890236</v>
      </c>
      <c r="X58" s="3581">
        <v>311259.87505072553</v>
      </c>
      <c r="Y58" s="3581">
        <v>310940.94408568816</v>
      </c>
      <c r="Z58" s="3581">
        <v>311430.19972326333</v>
      </c>
      <c r="AA58" s="3581">
        <v>311817.78021051805</v>
      </c>
      <c r="AB58" s="3581">
        <v>316023.83094058069</v>
      </c>
      <c r="AC58" s="3581">
        <v>322035.05858234013</v>
      </c>
      <c r="AD58" s="3581">
        <v>328217.72178075509</v>
      </c>
      <c r="AE58" s="3581">
        <v>339849.9028008671</v>
      </c>
      <c r="AF58" s="3581">
        <v>344055.84470338566</v>
      </c>
      <c r="AG58" s="3581">
        <v>346600.31551877788</v>
      </c>
      <c r="AH58" s="3581">
        <v>349150.76667742536</v>
      </c>
      <c r="AI58" s="3581">
        <v>353662.92069438443</v>
      </c>
      <c r="AJ58" s="3581">
        <v>357257.64889147726</v>
      </c>
      <c r="AK58" s="3581">
        <v>364089.16545909585</v>
      </c>
      <c r="AL58" s="3581">
        <v>365541.50957684341</v>
      </c>
      <c r="AM58" s="3591"/>
      <c r="AN58" s="3597"/>
    </row>
    <row r="59" spans="1:40" s="3586" customFormat="1">
      <c r="A59" s="3584" t="s">
        <v>707</v>
      </c>
      <c r="B59" s="3585">
        <v>279157.43526341411</v>
      </c>
      <c r="C59" s="3585">
        <v>279902.18730475899</v>
      </c>
      <c r="D59" s="3585">
        <v>282179.07488706929</v>
      </c>
      <c r="E59" s="3585">
        <v>284293.81727101858</v>
      </c>
      <c r="F59" s="3585">
        <v>296063.50983825832</v>
      </c>
      <c r="G59" s="3585">
        <v>299764.75971159729</v>
      </c>
      <c r="H59" s="3585">
        <v>296640.42558030994</v>
      </c>
      <c r="I59" s="3585">
        <v>301219.99726796104</v>
      </c>
      <c r="J59" s="3585">
        <v>301406.34361678828</v>
      </c>
      <c r="K59" s="3585">
        <v>304915.96386952035</v>
      </c>
      <c r="L59" s="3585">
        <v>305276.74972660322</v>
      </c>
      <c r="M59" s="3585">
        <v>310354.32733513427</v>
      </c>
      <c r="N59" s="3585">
        <v>310110.25401270099</v>
      </c>
      <c r="O59" s="3585">
        <v>313342.83276571089</v>
      </c>
      <c r="P59" s="3585">
        <v>310347.15915863146</v>
      </c>
      <c r="Q59" s="3585">
        <v>316328.80839456461</v>
      </c>
      <c r="R59" s="3585">
        <v>318175.85633825022</v>
      </c>
      <c r="S59" s="3585">
        <v>323656.1709186277</v>
      </c>
      <c r="T59" s="3585">
        <v>326807.05659842183</v>
      </c>
      <c r="U59" s="3585">
        <v>330695.36664728797</v>
      </c>
      <c r="V59" s="3585">
        <v>334408.29326811346</v>
      </c>
      <c r="W59" s="3585">
        <v>342951.26347203361</v>
      </c>
      <c r="X59" s="3585">
        <v>344329.6586145669</v>
      </c>
      <c r="Y59" s="3585">
        <v>343384.65084449318</v>
      </c>
      <c r="Z59" s="3585">
        <v>341358.81967497163</v>
      </c>
      <c r="AA59" s="3585">
        <v>342667.71359812852</v>
      </c>
      <c r="AB59" s="3585">
        <v>348376.17522498255</v>
      </c>
      <c r="AC59" s="3585">
        <v>353136.04266553966</v>
      </c>
      <c r="AD59" s="3585">
        <v>360160.05331389629</v>
      </c>
      <c r="AE59" s="3585">
        <v>369461.53970948327</v>
      </c>
      <c r="AF59" s="3585">
        <v>370901.20954399026</v>
      </c>
      <c r="AG59" s="3585">
        <v>373432.68984035467</v>
      </c>
      <c r="AH59" s="3585">
        <v>377682.31123020145</v>
      </c>
      <c r="AI59" s="3585">
        <v>381957.30660863494</v>
      </c>
      <c r="AJ59" s="3585">
        <v>382404.84402194596</v>
      </c>
      <c r="AK59" s="3585">
        <v>392767.72737007501</v>
      </c>
      <c r="AL59" s="3585">
        <v>392748.99474125961</v>
      </c>
      <c r="AM59" s="3591"/>
      <c r="AN59" s="3597"/>
    </row>
    <row r="60" spans="1:40" s="3586" customFormat="1">
      <c r="A60" s="3584" t="s">
        <v>708</v>
      </c>
      <c r="B60" s="3585">
        <v>355259.36110940948</v>
      </c>
      <c r="C60" s="3585">
        <v>359674.52067542169</v>
      </c>
      <c r="D60" s="3585">
        <v>365534.08899271872</v>
      </c>
      <c r="E60" s="3585">
        <v>350076.45939386607</v>
      </c>
      <c r="F60" s="3585">
        <v>408376.12498644798</v>
      </c>
      <c r="G60" s="3585">
        <v>402112.53101963754</v>
      </c>
      <c r="H60" s="3585">
        <v>364656.03892779577</v>
      </c>
      <c r="I60" s="3585">
        <v>393066.91516646196</v>
      </c>
      <c r="J60" s="3585">
        <v>390537.62147691933</v>
      </c>
      <c r="K60" s="3585">
        <v>391457.11670130375</v>
      </c>
      <c r="L60" s="3585">
        <v>402942.5897299879</v>
      </c>
      <c r="M60" s="3585">
        <v>404649.15065369121</v>
      </c>
      <c r="N60" s="3585">
        <v>407823.63352837315</v>
      </c>
      <c r="O60" s="3585">
        <v>405056.79783523042</v>
      </c>
      <c r="P60" s="3585">
        <v>373076.22365200007</v>
      </c>
      <c r="Q60" s="3585">
        <v>392324.13765174814</v>
      </c>
      <c r="R60" s="3585">
        <v>385746.33193663158</v>
      </c>
      <c r="S60" s="3585">
        <v>414087.30448866083</v>
      </c>
      <c r="T60" s="3585">
        <v>403593.92227355641</v>
      </c>
      <c r="U60" s="3585">
        <v>386969.89630842878</v>
      </c>
      <c r="V60" s="3585">
        <v>395351.35688924079</v>
      </c>
      <c r="W60" s="3585">
        <v>405087.09893024142</v>
      </c>
      <c r="X60" s="3585">
        <v>454427.65861462167</v>
      </c>
      <c r="Y60" s="3585">
        <v>392520.47702801955</v>
      </c>
      <c r="Z60" s="3585">
        <v>369105.09290209634</v>
      </c>
      <c r="AA60" s="3585">
        <v>376955.9310288633</v>
      </c>
      <c r="AB60" s="3585">
        <v>425700.47701899771</v>
      </c>
      <c r="AC60" s="3585">
        <v>430723.86365939816</v>
      </c>
      <c r="AD60" s="3585">
        <v>453051.42133272422</v>
      </c>
      <c r="AE60" s="3585">
        <v>398191.58983318217</v>
      </c>
      <c r="AF60" s="3585">
        <v>431310.64951476338</v>
      </c>
      <c r="AG60" s="3585">
        <v>391798.35496846749</v>
      </c>
      <c r="AH60" s="3585">
        <v>419472.37424158253</v>
      </c>
      <c r="AI60" s="3585">
        <v>440473.73401755263</v>
      </c>
      <c r="AJ60" s="3585">
        <v>440983.94812166237</v>
      </c>
      <c r="AK60" s="3585">
        <v>446725.61739693559</v>
      </c>
      <c r="AL60" s="3585">
        <v>474970.90923370444</v>
      </c>
      <c r="AM60" s="3591"/>
      <c r="AN60" s="3597"/>
    </row>
    <row r="61" spans="1:40">
      <c r="A61" s="3579"/>
      <c r="B61" s="3581"/>
      <c r="C61" s="3581"/>
      <c r="D61" s="3581"/>
      <c r="E61" s="3581"/>
      <c r="F61" s="3581"/>
      <c r="G61" s="3581"/>
      <c r="H61" s="3581"/>
      <c r="I61" s="3581"/>
      <c r="J61" s="3581"/>
      <c r="K61" s="3581"/>
      <c r="L61" s="3581"/>
      <c r="M61" s="3581"/>
      <c r="N61" s="3581"/>
      <c r="O61" s="3581"/>
      <c r="P61" s="3581"/>
      <c r="Q61" s="3581"/>
      <c r="R61" s="3581"/>
      <c r="S61" s="3581"/>
      <c r="T61" s="3581"/>
      <c r="U61" s="3581"/>
      <c r="V61" s="3581"/>
      <c r="W61" s="3581"/>
      <c r="X61" s="3581"/>
      <c r="Y61" s="3581"/>
      <c r="Z61" s="3581"/>
      <c r="AA61" s="3581"/>
      <c r="AB61" s="3581"/>
      <c r="AC61" s="3581"/>
      <c r="AD61" s="3581"/>
      <c r="AE61" s="3581"/>
      <c r="AF61" s="3581"/>
      <c r="AG61" s="3581"/>
      <c r="AH61" s="3581"/>
      <c r="AI61" s="3581"/>
      <c r="AJ61" s="3581"/>
      <c r="AK61" s="3581"/>
      <c r="AL61" s="3581"/>
      <c r="AM61" s="3591"/>
      <c r="AN61" s="3597"/>
    </row>
    <row r="62" spans="1:40">
      <c r="A62" s="3584" t="s">
        <v>709</v>
      </c>
      <c r="B62" s="3585">
        <v>279735.10531540611</v>
      </c>
      <c r="C62" s="3585">
        <v>280832.71616430732</v>
      </c>
      <c r="D62" s="3585">
        <v>281427.58380275627</v>
      </c>
      <c r="E62" s="3585">
        <v>282053.88717788766</v>
      </c>
      <c r="F62" s="3585">
        <v>286161.75081736082</v>
      </c>
      <c r="G62" s="3585">
        <v>286852.74157677876</v>
      </c>
      <c r="H62" s="3585">
        <v>281980.74913940526</v>
      </c>
      <c r="I62" s="3585">
        <v>282712.82567522547</v>
      </c>
      <c r="J62" s="3585">
        <v>285180.28833263816</v>
      </c>
      <c r="K62" s="3585">
        <v>289017.8001613915</v>
      </c>
      <c r="L62" s="3585">
        <v>289734.62029121106</v>
      </c>
      <c r="M62" s="3585">
        <v>301730.92609458818</v>
      </c>
      <c r="N62" s="3585">
        <v>300154.74346408359</v>
      </c>
      <c r="O62" s="3585">
        <v>300026.05885581445</v>
      </c>
      <c r="P62" s="3585">
        <v>300002.57554363157</v>
      </c>
      <c r="Q62" s="3585">
        <v>300966.07615024457</v>
      </c>
      <c r="R62" s="3585">
        <v>301415.31749961444</v>
      </c>
      <c r="S62" s="3585">
        <v>308208.91568207362</v>
      </c>
      <c r="T62" s="3585">
        <v>307475.96241075319</v>
      </c>
      <c r="U62" s="3585">
        <v>310852.68915894144</v>
      </c>
      <c r="V62" s="3585">
        <v>311203.44306939782</v>
      </c>
      <c r="W62" s="3585">
        <v>311668.65898183768</v>
      </c>
      <c r="X62" s="3585">
        <v>314841.29194972786</v>
      </c>
      <c r="Y62" s="3585">
        <v>321619.28921400238</v>
      </c>
      <c r="Z62" s="3585">
        <v>320283.0892201832</v>
      </c>
      <c r="AA62" s="3585">
        <v>320419.80702659034</v>
      </c>
      <c r="AB62" s="3585">
        <v>323136.42654854624</v>
      </c>
      <c r="AC62" s="3585">
        <v>323292.54406884743</v>
      </c>
      <c r="AD62" s="3585">
        <v>326043.52125445002</v>
      </c>
      <c r="AE62" s="3585">
        <v>329885.71773652232</v>
      </c>
      <c r="AF62" s="3585">
        <v>330908.04376187187</v>
      </c>
      <c r="AG62" s="3585">
        <v>331041.41982169566</v>
      </c>
      <c r="AH62" s="3585">
        <v>332705.60261823976</v>
      </c>
      <c r="AI62" s="3585">
        <v>335774.69608215539</v>
      </c>
      <c r="AJ62" s="3585">
        <v>338081.65165036323</v>
      </c>
      <c r="AK62" s="3585">
        <v>347363.01683040825</v>
      </c>
      <c r="AL62" s="3585">
        <v>342987.34719614312</v>
      </c>
      <c r="AM62" s="3591"/>
      <c r="AN62" s="3597"/>
    </row>
    <row r="63" spans="1:40" ht="13.5" thickBot="1">
      <c r="A63" s="3588"/>
      <c r="B63" s="3589"/>
      <c r="C63" s="3589"/>
      <c r="D63" s="3589"/>
      <c r="E63" s="3589"/>
      <c r="F63" s="3589"/>
      <c r="G63" s="3589"/>
      <c r="H63" s="3589"/>
      <c r="I63" s="3589"/>
      <c r="J63" s="3589"/>
      <c r="K63" s="3589"/>
      <c r="L63" s="3589"/>
      <c r="M63" s="3589"/>
      <c r="N63" s="3589"/>
      <c r="O63" s="3589"/>
      <c r="P63" s="3589"/>
      <c r="Q63" s="3589"/>
      <c r="R63" s="3589"/>
      <c r="S63" s="3589"/>
      <c r="T63" s="3589"/>
      <c r="U63" s="3589"/>
      <c r="V63" s="3589"/>
      <c r="W63" s="3589"/>
      <c r="X63" s="3602"/>
      <c r="Y63" s="3602"/>
      <c r="Z63" s="3602"/>
      <c r="AA63" s="3602"/>
      <c r="AB63" s="3602"/>
      <c r="AC63" s="3602"/>
      <c r="AD63" s="3602"/>
      <c r="AE63" s="3602"/>
      <c r="AF63" s="3602"/>
      <c r="AG63" s="3602"/>
      <c r="AH63" s="3602"/>
      <c r="AI63" s="3602"/>
      <c r="AJ63" s="3602"/>
      <c r="AK63" s="3602"/>
      <c r="AL63" s="3602"/>
      <c r="AM63" s="3591"/>
      <c r="AN63" s="3597"/>
    </row>
    <row r="64" spans="1:40" ht="13.5" thickTop="1">
      <c r="A64" s="3590" t="s">
        <v>361</v>
      </c>
      <c r="AM64" s="3591"/>
      <c r="AN64" s="3597"/>
    </row>
    <row r="65" spans="1:40" ht="13.5">
      <c r="A65" s="3590" t="s">
        <v>710</v>
      </c>
      <c r="H65" s="3591"/>
      <c r="AM65" s="3591"/>
      <c r="AN65" s="3597"/>
    </row>
    <row r="66" spans="1:40" ht="13.5">
      <c r="A66" s="3603" t="s">
        <v>626</v>
      </c>
      <c r="J66" s="3591"/>
      <c r="AN66" s="3597"/>
    </row>
    <row r="67" spans="1:40">
      <c r="A67" s="3569" t="s">
        <v>303</v>
      </c>
      <c r="E67" s="3591"/>
      <c r="F67" s="3591"/>
      <c r="G67" s="3591"/>
      <c r="H67" s="3591"/>
      <c r="I67" s="3591"/>
      <c r="J67" s="3591"/>
      <c r="K67" s="3591"/>
    </row>
    <row r="69" spans="1:40" ht="13.5">
      <c r="A69" s="3604"/>
    </row>
  </sheetData>
  <printOptions horizontalCentered="1"/>
  <pageMargins left="0" right="0" top="1" bottom="0" header="0" footer="0"/>
  <pageSetup paperSize="9" scale="4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79"/>
  <sheetViews>
    <sheetView zoomScaleNormal="100" workbookViewId="0">
      <pane xSplit="1" ySplit="6" topLeftCell="B61" activePane="bottomRight" state="frozen"/>
      <selection pane="topRight" activeCell="B1" sqref="B1"/>
      <selection pane="bottomLeft" activeCell="A7" sqref="A7"/>
      <selection pane="bottomRight" activeCell="L1" sqref="A1:L1"/>
    </sheetView>
  </sheetViews>
  <sheetFormatPr defaultRowHeight="12"/>
  <cols>
    <col min="1" max="1" width="7.42578125" style="652" customWidth="1"/>
    <col min="2" max="2" width="11.140625" style="652" customWidth="1"/>
    <col min="3" max="3" width="7" style="652" bestFit="1" customWidth="1"/>
    <col min="4" max="4" width="7.5703125" style="652" bestFit="1" customWidth="1"/>
    <col min="5" max="5" width="7.7109375" style="652" bestFit="1" customWidth="1"/>
    <col min="6" max="7" width="9.42578125" style="652" bestFit="1" customWidth="1"/>
    <col min="8" max="8" width="8.28515625" style="652" customWidth="1"/>
    <col min="9" max="9" width="7.140625" style="652" customWidth="1"/>
    <col min="10" max="10" width="10.7109375" style="652" customWidth="1"/>
    <col min="11" max="11" width="8.5703125" style="652" customWidth="1"/>
    <col min="12" max="13" width="8.85546875" style="652" bestFit="1" customWidth="1"/>
    <col min="14" max="14" width="9.42578125" style="750" customWidth="1"/>
    <col min="15" max="23" width="8.28515625" style="652" customWidth="1"/>
    <col min="24" max="24" width="8.140625" style="752" customWidth="1"/>
    <col min="25" max="25" width="10.42578125" style="652" customWidth="1"/>
    <col min="26" max="26" width="9.140625" style="652"/>
    <col min="27" max="27" width="19.42578125" style="652" customWidth="1"/>
    <col min="28" max="28" width="16.42578125" style="652" bestFit="1" customWidth="1"/>
    <col min="29" max="256" width="9.140625" style="652"/>
    <col min="257" max="257" width="7.42578125" style="652" customWidth="1"/>
    <col min="258" max="258" width="11.140625" style="652" customWidth="1"/>
    <col min="259" max="259" width="7" style="652" bestFit="1" customWidth="1"/>
    <col min="260" max="260" width="7.5703125" style="652" bestFit="1" customWidth="1"/>
    <col min="261" max="261" width="7.7109375" style="652" bestFit="1" customWidth="1"/>
    <col min="262" max="263" width="9.42578125" style="652" bestFit="1" customWidth="1"/>
    <col min="264" max="264" width="8.28515625" style="652" customWidth="1"/>
    <col min="265" max="265" width="7.140625" style="652" customWidth="1"/>
    <col min="266" max="266" width="10.7109375" style="652" customWidth="1"/>
    <col min="267" max="267" width="8.5703125" style="652" customWidth="1"/>
    <col min="268" max="269" width="8.85546875" style="652" bestFit="1" customWidth="1"/>
    <col min="270" max="270" width="9.42578125" style="652" customWidth="1"/>
    <col min="271" max="279" width="8.28515625" style="652" customWidth="1"/>
    <col min="280" max="280" width="8.140625" style="652" customWidth="1"/>
    <col min="281" max="281" width="10.42578125" style="652" customWidth="1"/>
    <col min="282" max="282" width="9.140625" style="652"/>
    <col min="283" max="283" width="19.42578125" style="652" customWidth="1"/>
    <col min="284" max="284" width="16.42578125" style="652" bestFit="1" customWidth="1"/>
    <col min="285" max="512" width="9.140625" style="652"/>
    <col min="513" max="513" width="7.42578125" style="652" customWidth="1"/>
    <col min="514" max="514" width="11.140625" style="652" customWidth="1"/>
    <col min="515" max="515" width="7" style="652" bestFit="1" customWidth="1"/>
    <col min="516" max="516" width="7.5703125" style="652" bestFit="1" customWidth="1"/>
    <col min="517" max="517" width="7.7109375" style="652" bestFit="1" customWidth="1"/>
    <col min="518" max="519" width="9.42578125" style="652" bestFit="1" customWidth="1"/>
    <col min="520" max="520" width="8.28515625" style="652" customWidth="1"/>
    <col min="521" max="521" width="7.140625" style="652" customWidth="1"/>
    <col min="522" max="522" width="10.7109375" style="652" customWidth="1"/>
    <col min="523" max="523" width="8.5703125" style="652" customWidth="1"/>
    <col min="524" max="525" width="8.85546875" style="652" bestFit="1" customWidth="1"/>
    <col min="526" max="526" width="9.42578125" style="652" customWidth="1"/>
    <col min="527" max="535" width="8.28515625" style="652" customWidth="1"/>
    <col min="536" max="536" width="8.140625" style="652" customWidth="1"/>
    <col min="537" max="537" width="10.42578125" style="652" customWidth="1"/>
    <col min="538" max="538" width="9.140625" style="652"/>
    <col min="539" max="539" width="19.42578125" style="652" customWidth="1"/>
    <col min="540" max="540" width="16.42578125" style="652" bestFit="1" customWidth="1"/>
    <col min="541" max="768" width="9.140625" style="652"/>
    <col min="769" max="769" width="7.42578125" style="652" customWidth="1"/>
    <col min="770" max="770" width="11.140625" style="652" customWidth="1"/>
    <col min="771" max="771" width="7" style="652" bestFit="1" customWidth="1"/>
    <col min="772" max="772" width="7.5703125" style="652" bestFit="1" customWidth="1"/>
    <col min="773" max="773" width="7.7109375" style="652" bestFit="1" customWidth="1"/>
    <col min="774" max="775" width="9.42578125" style="652" bestFit="1" customWidth="1"/>
    <col min="776" max="776" width="8.28515625" style="652" customWidth="1"/>
    <col min="777" max="777" width="7.140625" style="652" customWidth="1"/>
    <col min="778" max="778" width="10.7109375" style="652" customWidth="1"/>
    <col min="779" max="779" width="8.5703125" style="652" customWidth="1"/>
    <col min="780" max="781" width="8.85546875" style="652" bestFit="1" customWidth="1"/>
    <col min="782" max="782" width="9.42578125" style="652" customWidth="1"/>
    <col min="783" max="791" width="8.28515625" style="652" customWidth="1"/>
    <col min="792" max="792" width="8.140625" style="652" customWidth="1"/>
    <col min="793" max="793" width="10.42578125" style="652" customWidth="1"/>
    <col min="794" max="794" width="9.140625" style="652"/>
    <col min="795" max="795" width="19.42578125" style="652" customWidth="1"/>
    <col min="796" max="796" width="16.42578125" style="652" bestFit="1" customWidth="1"/>
    <col min="797" max="1024" width="9.140625" style="652"/>
    <col min="1025" max="1025" width="7.42578125" style="652" customWidth="1"/>
    <col min="1026" max="1026" width="11.140625" style="652" customWidth="1"/>
    <col min="1027" max="1027" width="7" style="652" bestFit="1" customWidth="1"/>
    <col min="1028" max="1028" width="7.5703125" style="652" bestFit="1" customWidth="1"/>
    <col min="1029" max="1029" width="7.7109375" style="652" bestFit="1" customWidth="1"/>
    <col min="1030" max="1031" width="9.42578125" style="652" bestFit="1" customWidth="1"/>
    <col min="1032" max="1032" width="8.28515625" style="652" customWidth="1"/>
    <col min="1033" max="1033" width="7.140625" style="652" customWidth="1"/>
    <col min="1034" max="1034" width="10.7109375" style="652" customWidth="1"/>
    <col min="1035" max="1035" width="8.5703125" style="652" customWidth="1"/>
    <col min="1036" max="1037" width="8.85546875" style="652" bestFit="1" customWidth="1"/>
    <col min="1038" max="1038" width="9.42578125" style="652" customWidth="1"/>
    <col min="1039" max="1047" width="8.28515625" style="652" customWidth="1"/>
    <col min="1048" max="1048" width="8.140625" style="652" customWidth="1"/>
    <col min="1049" max="1049" width="10.42578125" style="652" customWidth="1"/>
    <col min="1050" max="1050" width="9.140625" style="652"/>
    <col min="1051" max="1051" width="19.42578125" style="652" customWidth="1"/>
    <col min="1052" max="1052" width="16.42578125" style="652" bestFit="1" customWidth="1"/>
    <col min="1053" max="1280" width="9.140625" style="652"/>
    <col min="1281" max="1281" width="7.42578125" style="652" customWidth="1"/>
    <col min="1282" max="1282" width="11.140625" style="652" customWidth="1"/>
    <col min="1283" max="1283" width="7" style="652" bestFit="1" customWidth="1"/>
    <col min="1284" max="1284" width="7.5703125" style="652" bestFit="1" customWidth="1"/>
    <col min="1285" max="1285" width="7.7109375" style="652" bestFit="1" customWidth="1"/>
    <col min="1286" max="1287" width="9.42578125" style="652" bestFit="1" customWidth="1"/>
    <col min="1288" max="1288" width="8.28515625" style="652" customWidth="1"/>
    <col min="1289" max="1289" width="7.140625" style="652" customWidth="1"/>
    <col min="1290" max="1290" width="10.7109375" style="652" customWidth="1"/>
    <col min="1291" max="1291" width="8.5703125" style="652" customWidth="1"/>
    <col min="1292" max="1293" width="8.85546875" style="652" bestFit="1" customWidth="1"/>
    <col min="1294" max="1294" width="9.42578125" style="652" customWidth="1"/>
    <col min="1295" max="1303" width="8.28515625" style="652" customWidth="1"/>
    <col min="1304" max="1304" width="8.140625" style="652" customWidth="1"/>
    <col min="1305" max="1305" width="10.42578125" style="652" customWidth="1"/>
    <col min="1306" max="1306" width="9.140625" style="652"/>
    <col min="1307" max="1307" width="19.42578125" style="652" customWidth="1"/>
    <col min="1308" max="1308" width="16.42578125" style="652" bestFit="1" customWidth="1"/>
    <col min="1309" max="1536" width="9.140625" style="652"/>
    <col min="1537" max="1537" width="7.42578125" style="652" customWidth="1"/>
    <col min="1538" max="1538" width="11.140625" style="652" customWidth="1"/>
    <col min="1539" max="1539" width="7" style="652" bestFit="1" customWidth="1"/>
    <col min="1540" max="1540" width="7.5703125" style="652" bestFit="1" customWidth="1"/>
    <col min="1541" max="1541" width="7.7109375" style="652" bestFit="1" customWidth="1"/>
    <col min="1542" max="1543" width="9.42578125" style="652" bestFit="1" customWidth="1"/>
    <col min="1544" max="1544" width="8.28515625" style="652" customWidth="1"/>
    <col min="1545" max="1545" width="7.140625" style="652" customWidth="1"/>
    <col min="1546" max="1546" width="10.7109375" style="652" customWidth="1"/>
    <col min="1547" max="1547" width="8.5703125" style="652" customWidth="1"/>
    <col min="1548" max="1549" width="8.85546875" style="652" bestFit="1" customWidth="1"/>
    <col min="1550" max="1550" width="9.42578125" style="652" customWidth="1"/>
    <col min="1551" max="1559" width="8.28515625" style="652" customWidth="1"/>
    <col min="1560" max="1560" width="8.140625" style="652" customWidth="1"/>
    <col min="1561" max="1561" width="10.42578125" style="652" customWidth="1"/>
    <col min="1562" max="1562" width="9.140625" style="652"/>
    <col min="1563" max="1563" width="19.42578125" style="652" customWidth="1"/>
    <col min="1564" max="1564" width="16.42578125" style="652" bestFit="1" customWidth="1"/>
    <col min="1565" max="1792" width="9.140625" style="652"/>
    <col min="1793" max="1793" width="7.42578125" style="652" customWidth="1"/>
    <col min="1794" max="1794" width="11.140625" style="652" customWidth="1"/>
    <col min="1795" max="1795" width="7" style="652" bestFit="1" customWidth="1"/>
    <col min="1796" max="1796" width="7.5703125" style="652" bestFit="1" customWidth="1"/>
    <col min="1797" max="1797" width="7.7109375" style="652" bestFit="1" customWidth="1"/>
    <col min="1798" max="1799" width="9.42578125" style="652" bestFit="1" customWidth="1"/>
    <col min="1800" max="1800" width="8.28515625" style="652" customWidth="1"/>
    <col min="1801" max="1801" width="7.140625" style="652" customWidth="1"/>
    <col min="1802" max="1802" width="10.7109375" style="652" customWidth="1"/>
    <col min="1803" max="1803" width="8.5703125" style="652" customWidth="1"/>
    <col min="1804" max="1805" width="8.85546875" style="652" bestFit="1" customWidth="1"/>
    <col min="1806" max="1806" width="9.42578125" style="652" customWidth="1"/>
    <col min="1807" max="1815" width="8.28515625" style="652" customWidth="1"/>
    <col min="1816" max="1816" width="8.140625" style="652" customWidth="1"/>
    <col min="1817" max="1817" width="10.42578125" style="652" customWidth="1"/>
    <col min="1818" max="1818" width="9.140625" style="652"/>
    <col min="1819" max="1819" width="19.42578125" style="652" customWidth="1"/>
    <col min="1820" max="1820" width="16.42578125" style="652" bestFit="1" customWidth="1"/>
    <col min="1821" max="2048" width="9.140625" style="652"/>
    <col min="2049" max="2049" width="7.42578125" style="652" customWidth="1"/>
    <col min="2050" max="2050" width="11.140625" style="652" customWidth="1"/>
    <col min="2051" max="2051" width="7" style="652" bestFit="1" customWidth="1"/>
    <col min="2052" max="2052" width="7.5703125" style="652" bestFit="1" customWidth="1"/>
    <col min="2053" max="2053" width="7.7109375" style="652" bestFit="1" customWidth="1"/>
    <col min="2054" max="2055" width="9.42578125" style="652" bestFit="1" customWidth="1"/>
    <col min="2056" max="2056" width="8.28515625" style="652" customWidth="1"/>
    <col min="2057" max="2057" width="7.140625" style="652" customWidth="1"/>
    <col min="2058" max="2058" width="10.7109375" style="652" customWidth="1"/>
    <col min="2059" max="2059" width="8.5703125" style="652" customWidth="1"/>
    <col min="2060" max="2061" width="8.85546875" style="652" bestFit="1" customWidth="1"/>
    <col min="2062" max="2062" width="9.42578125" style="652" customWidth="1"/>
    <col min="2063" max="2071" width="8.28515625" style="652" customWidth="1"/>
    <col min="2072" max="2072" width="8.140625" style="652" customWidth="1"/>
    <col min="2073" max="2073" width="10.42578125" style="652" customWidth="1"/>
    <col min="2074" max="2074" width="9.140625" style="652"/>
    <col min="2075" max="2075" width="19.42578125" style="652" customWidth="1"/>
    <col min="2076" max="2076" width="16.42578125" style="652" bestFit="1" customWidth="1"/>
    <col min="2077" max="2304" width="9.140625" style="652"/>
    <col min="2305" max="2305" width="7.42578125" style="652" customWidth="1"/>
    <col min="2306" max="2306" width="11.140625" style="652" customWidth="1"/>
    <col min="2307" max="2307" width="7" style="652" bestFit="1" customWidth="1"/>
    <col min="2308" max="2308" width="7.5703125" style="652" bestFit="1" customWidth="1"/>
    <col min="2309" max="2309" width="7.7109375" style="652" bestFit="1" customWidth="1"/>
    <col min="2310" max="2311" width="9.42578125" style="652" bestFit="1" customWidth="1"/>
    <col min="2312" max="2312" width="8.28515625" style="652" customWidth="1"/>
    <col min="2313" max="2313" width="7.140625" style="652" customWidth="1"/>
    <col min="2314" max="2314" width="10.7109375" style="652" customWidth="1"/>
    <col min="2315" max="2315" width="8.5703125" style="652" customWidth="1"/>
    <col min="2316" max="2317" width="8.85546875" style="652" bestFit="1" customWidth="1"/>
    <col min="2318" max="2318" width="9.42578125" style="652" customWidth="1"/>
    <col min="2319" max="2327" width="8.28515625" style="652" customWidth="1"/>
    <col min="2328" max="2328" width="8.140625" style="652" customWidth="1"/>
    <col min="2329" max="2329" width="10.42578125" style="652" customWidth="1"/>
    <col min="2330" max="2330" width="9.140625" style="652"/>
    <col min="2331" max="2331" width="19.42578125" style="652" customWidth="1"/>
    <col min="2332" max="2332" width="16.42578125" style="652" bestFit="1" customWidth="1"/>
    <col min="2333" max="2560" width="9.140625" style="652"/>
    <col min="2561" max="2561" width="7.42578125" style="652" customWidth="1"/>
    <col min="2562" max="2562" width="11.140625" style="652" customWidth="1"/>
    <col min="2563" max="2563" width="7" style="652" bestFit="1" customWidth="1"/>
    <col min="2564" max="2564" width="7.5703125" style="652" bestFit="1" customWidth="1"/>
    <col min="2565" max="2565" width="7.7109375" style="652" bestFit="1" customWidth="1"/>
    <col min="2566" max="2567" width="9.42578125" style="652" bestFit="1" customWidth="1"/>
    <col min="2568" max="2568" width="8.28515625" style="652" customWidth="1"/>
    <col min="2569" max="2569" width="7.140625" style="652" customWidth="1"/>
    <col min="2570" max="2570" width="10.7109375" style="652" customWidth="1"/>
    <col min="2571" max="2571" width="8.5703125" style="652" customWidth="1"/>
    <col min="2572" max="2573" width="8.85546875" style="652" bestFit="1" customWidth="1"/>
    <col min="2574" max="2574" width="9.42578125" style="652" customWidth="1"/>
    <col min="2575" max="2583" width="8.28515625" style="652" customWidth="1"/>
    <col min="2584" max="2584" width="8.140625" style="652" customWidth="1"/>
    <col min="2585" max="2585" width="10.42578125" style="652" customWidth="1"/>
    <col min="2586" max="2586" width="9.140625" style="652"/>
    <col min="2587" max="2587" width="19.42578125" style="652" customWidth="1"/>
    <col min="2588" max="2588" width="16.42578125" style="652" bestFit="1" customWidth="1"/>
    <col min="2589" max="2816" width="9.140625" style="652"/>
    <col min="2817" max="2817" width="7.42578125" style="652" customWidth="1"/>
    <col min="2818" max="2818" width="11.140625" style="652" customWidth="1"/>
    <col min="2819" max="2819" width="7" style="652" bestFit="1" customWidth="1"/>
    <col min="2820" max="2820" width="7.5703125" style="652" bestFit="1" customWidth="1"/>
    <col min="2821" max="2821" width="7.7109375" style="652" bestFit="1" customWidth="1"/>
    <col min="2822" max="2823" width="9.42578125" style="652" bestFit="1" customWidth="1"/>
    <col min="2824" max="2824" width="8.28515625" style="652" customWidth="1"/>
    <col min="2825" max="2825" width="7.140625" style="652" customWidth="1"/>
    <col min="2826" max="2826" width="10.7109375" style="652" customWidth="1"/>
    <col min="2827" max="2827" width="8.5703125" style="652" customWidth="1"/>
    <col min="2828" max="2829" width="8.85546875" style="652" bestFit="1" customWidth="1"/>
    <col min="2830" max="2830" width="9.42578125" style="652" customWidth="1"/>
    <col min="2831" max="2839" width="8.28515625" style="652" customWidth="1"/>
    <col min="2840" max="2840" width="8.140625" style="652" customWidth="1"/>
    <col min="2841" max="2841" width="10.42578125" style="652" customWidth="1"/>
    <col min="2842" max="2842" width="9.140625" style="652"/>
    <col min="2843" max="2843" width="19.42578125" style="652" customWidth="1"/>
    <col min="2844" max="2844" width="16.42578125" style="652" bestFit="1" customWidth="1"/>
    <col min="2845" max="3072" width="9.140625" style="652"/>
    <col min="3073" max="3073" width="7.42578125" style="652" customWidth="1"/>
    <col min="3074" max="3074" width="11.140625" style="652" customWidth="1"/>
    <col min="3075" max="3075" width="7" style="652" bestFit="1" customWidth="1"/>
    <col min="3076" max="3076" width="7.5703125" style="652" bestFit="1" customWidth="1"/>
    <col min="3077" max="3077" width="7.7109375" style="652" bestFit="1" customWidth="1"/>
    <col min="3078" max="3079" width="9.42578125" style="652" bestFit="1" customWidth="1"/>
    <col min="3080" max="3080" width="8.28515625" style="652" customWidth="1"/>
    <col min="3081" max="3081" width="7.140625" style="652" customWidth="1"/>
    <col min="3082" max="3082" width="10.7109375" style="652" customWidth="1"/>
    <col min="3083" max="3083" width="8.5703125" style="652" customWidth="1"/>
    <col min="3084" max="3085" width="8.85546875" style="652" bestFit="1" customWidth="1"/>
    <col min="3086" max="3086" width="9.42578125" style="652" customWidth="1"/>
    <col min="3087" max="3095" width="8.28515625" style="652" customWidth="1"/>
    <col min="3096" max="3096" width="8.140625" style="652" customWidth="1"/>
    <col min="3097" max="3097" width="10.42578125" style="652" customWidth="1"/>
    <col min="3098" max="3098" width="9.140625" style="652"/>
    <col min="3099" max="3099" width="19.42578125" style="652" customWidth="1"/>
    <col min="3100" max="3100" width="16.42578125" style="652" bestFit="1" customWidth="1"/>
    <col min="3101" max="3328" width="9.140625" style="652"/>
    <col min="3329" max="3329" width="7.42578125" style="652" customWidth="1"/>
    <col min="3330" max="3330" width="11.140625" style="652" customWidth="1"/>
    <col min="3331" max="3331" width="7" style="652" bestFit="1" customWidth="1"/>
    <col min="3332" max="3332" width="7.5703125" style="652" bestFit="1" customWidth="1"/>
    <col min="3333" max="3333" width="7.7109375" style="652" bestFit="1" customWidth="1"/>
    <col min="3334" max="3335" width="9.42578125" style="652" bestFit="1" customWidth="1"/>
    <col min="3336" max="3336" width="8.28515625" style="652" customWidth="1"/>
    <col min="3337" max="3337" width="7.140625" style="652" customWidth="1"/>
    <col min="3338" max="3338" width="10.7109375" style="652" customWidth="1"/>
    <col min="3339" max="3339" width="8.5703125" style="652" customWidth="1"/>
    <col min="3340" max="3341" width="8.85546875" style="652" bestFit="1" customWidth="1"/>
    <col min="3342" max="3342" width="9.42578125" style="652" customWidth="1"/>
    <col min="3343" max="3351" width="8.28515625" style="652" customWidth="1"/>
    <col min="3352" max="3352" width="8.140625" style="652" customWidth="1"/>
    <col min="3353" max="3353" width="10.42578125" style="652" customWidth="1"/>
    <col min="3354" max="3354" width="9.140625" style="652"/>
    <col min="3355" max="3355" width="19.42578125" style="652" customWidth="1"/>
    <col min="3356" max="3356" width="16.42578125" style="652" bestFit="1" customWidth="1"/>
    <col min="3357" max="3584" width="9.140625" style="652"/>
    <col min="3585" max="3585" width="7.42578125" style="652" customWidth="1"/>
    <col min="3586" max="3586" width="11.140625" style="652" customWidth="1"/>
    <col min="3587" max="3587" width="7" style="652" bestFit="1" customWidth="1"/>
    <col min="3588" max="3588" width="7.5703125" style="652" bestFit="1" customWidth="1"/>
    <col min="3589" max="3589" width="7.7109375" style="652" bestFit="1" customWidth="1"/>
    <col min="3590" max="3591" width="9.42578125" style="652" bestFit="1" customWidth="1"/>
    <col min="3592" max="3592" width="8.28515625" style="652" customWidth="1"/>
    <col min="3593" max="3593" width="7.140625" style="652" customWidth="1"/>
    <col min="3594" max="3594" width="10.7109375" style="652" customWidth="1"/>
    <col min="3595" max="3595" width="8.5703125" style="652" customWidth="1"/>
    <col min="3596" max="3597" width="8.85546875" style="652" bestFit="1" customWidth="1"/>
    <col min="3598" max="3598" width="9.42578125" style="652" customWidth="1"/>
    <col min="3599" max="3607" width="8.28515625" style="652" customWidth="1"/>
    <col min="3608" max="3608" width="8.140625" style="652" customWidth="1"/>
    <col min="3609" max="3609" width="10.42578125" style="652" customWidth="1"/>
    <col min="3610" max="3610" width="9.140625" style="652"/>
    <col min="3611" max="3611" width="19.42578125" style="652" customWidth="1"/>
    <col min="3612" max="3612" width="16.42578125" style="652" bestFit="1" customWidth="1"/>
    <col min="3613" max="3840" width="9.140625" style="652"/>
    <col min="3841" max="3841" width="7.42578125" style="652" customWidth="1"/>
    <col min="3842" max="3842" width="11.140625" style="652" customWidth="1"/>
    <col min="3843" max="3843" width="7" style="652" bestFit="1" customWidth="1"/>
    <col min="3844" max="3844" width="7.5703125" style="652" bestFit="1" customWidth="1"/>
    <col min="3845" max="3845" width="7.7109375" style="652" bestFit="1" customWidth="1"/>
    <col min="3846" max="3847" width="9.42578125" style="652" bestFit="1" customWidth="1"/>
    <col min="3848" max="3848" width="8.28515625" style="652" customWidth="1"/>
    <col min="3849" max="3849" width="7.140625" style="652" customWidth="1"/>
    <col min="3850" max="3850" width="10.7109375" style="652" customWidth="1"/>
    <col min="3851" max="3851" width="8.5703125" style="652" customWidth="1"/>
    <col min="3852" max="3853" width="8.85546875" style="652" bestFit="1" customWidth="1"/>
    <col min="3854" max="3854" width="9.42578125" style="652" customWidth="1"/>
    <col min="3855" max="3863" width="8.28515625" style="652" customWidth="1"/>
    <col min="3864" max="3864" width="8.140625" style="652" customWidth="1"/>
    <col min="3865" max="3865" width="10.42578125" style="652" customWidth="1"/>
    <col min="3866" max="3866" width="9.140625" style="652"/>
    <col min="3867" max="3867" width="19.42578125" style="652" customWidth="1"/>
    <col min="3868" max="3868" width="16.42578125" style="652" bestFit="1" customWidth="1"/>
    <col min="3869" max="4096" width="9.140625" style="652"/>
    <col min="4097" max="4097" width="7.42578125" style="652" customWidth="1"/>
    <col min="4098" max="4098" width="11.140625" style="652" customWidth="1"/>
    <col min="4099" max="4099" width="7" style="652" bestFit="1" customWidth="1"/>
    <col min="4100" max="4100" width="7.5703125" style="652" bestFit="1" customWidth="1"/>
    <col min="4101" max="4101" width="7.7109375" style="652" bestFit="1" customWidth="1"/>
    <col min="4102" max="4103" width="9.42578125" style="652" bestFit="1" customWidth="1"/>
    <col min="4104" max="4104" width="8.28515625" style="652" customWidth="1"/>
    <col min="4105" max="4105" width="7.140625" style="652" customWidth="1"/>
    <col min="4106" max="4106" width="10.7109375" style="652" customWidth="1"/>
    <col min="4107" max="4107" width="8.5703125" style="652" customWidth="1"/>
    <col min="4108" max="4109" width="8.85546875" style="652" bestFit="1" customWidth="1"/>
    <col min="4110" max="4110" width="9.42578125" style="652" customWidth="1"/>
    <col min="4111" max="4119" width="8.28515625" style="652" customWidth="1"/>
    <col min="4120" max="4120" width="8.140625" style="652" customWidth="1"/>
    <col min="4121" max="4121" width="10.42578125" style="652" customWidth="1"/>
    <col min="4122" max="4122" width="9.140625" style="652"/>
    <col min="4123" max="4123" width="19.42578125" style="652" customWidth="1"/>
    <col min="4124" max="4124" width="16.42578125" style="652" bestFit="1" customWidth="1"/>
    <col min="4125" max="4352" width="9.140625" style="652"/>
    <col min="4353" max="4353" width="7.42578125" style="652" customWidth="1"/>
    <col min="4354" max="4354" width="11.140625" style="652" customWidth="1"/>
    <col min="4355" max="4355" width="7" style="652" bestFit="1" customWidth="1"/>
    <col min="4356" max="4356" width="7.5703125" style="652" bestFit="1" customWidth="1"/>
    <col min="4357" max="4357" width="7.7109375" style="652" bestFit="1" customWidth="1"/>
    <col min="4358" max="4359" width="9.42578125" style="652" bestFit="1" customWidth="1"/>
    <col min="4360" max="4360" width="8.28515625" style="652" customWidth="1"/>
    <col min="4361" max="4361" width="7.140625" style="652" customWidth="1"/>
    <col min="4362" max="4362" width="10.7109375" style="652" customWidth="1"/>
    <col min="4363" max="4363" width="8.5703125" style="652" customWidth="1"/>
    <col min="4364" max="4365" width="8.85546875" style="652" bestFit="1" customWidth="1"/>
    <col min="4366" max="4366" width="9.42578125" style="652" customWidth="1"/>
    <col min="4367" max="4375" width="8.28515625" style="652" customWidth="1"/>
    <col min="4376" max="4376" width="8.140625" style="652" customWidth="1"/>
    <col min="4377" max="4377" width="10.42578125" style="652" customWidth="1"/>
    <col min="4378" max="4378" width="9.140625" style="652"/>
    <col min="4379" max="4379" width="19.42578125" style="652" customWidth="1"/>
    <col min="4380" max="4380" width="16.42578125" style="652" bestFit="1" customWidth="1"/>
    <col min="4381" max="4608" width="9.140625" style="652"/>
    <col min="4609" max="4609" width="7.42578125" style="652" customWidth="1"/>
    <col min="4610" max="4610" width="11.140625" style="652" customWidth="1"/>
    <col min="4611" max="4611" width="7" style="652" bestFit="1" customWidth="1"/>
    <col min="4612" max="4612" width="7.5703125" style="652" bestFit="1" customWidth="1"/>
    <col min="4613" max="4613" width="7.7109375" style="652" bestFit="1" customWidth="1"/>
    <col min="4614" max="4615" width="9.42578125" style="652" bestFit="1" customWidth="1"/>
    <col min="4616" max="4616" width="8.28515625" style="652" customWidth="1"/>
    <col min="4617" max="4617" width="7.140625" style="652" customWidth="1"/>
    <col min="4618" max="4618" width="10.7109375" style="652" customWidth="1"/>
    <col min="4619" max="4619" width="8.5703125" style="652" customWidth="1"/>
    <col min="4620" max="4621" width="8.85546875" style="652" bestFit="1" customWidth="1"/>
    <col min="4622" max="4622" width="9.42578125" style="652" customWidth="1"/>
    <col min="4623" max="4631" width="8.28515625" style="652" customWidth="1"/>
    <col min="4632" max="4632" width="8.140625" style="652" customWidth="1"/>
    <col min="4633" max="4633" width="10.42578125" style="652" customWidth="1"/>
    <col min="4634" max="4634" width="9.140625" style="652"/>
    <col min="4635" max="4635" width="19.42578125" style="652" customWidth="1"/>
    <col min="4636" max="4636" width="16.42578125" style="652" bestFit="1" customWidth="1"/>
    <col min="4637" max="4864" width="9.140625" style="652"/>
    <col min="4865" max="4865" width="7.42578125" style="652" customWidth="1"/>
    <col min="4866" max="4866" width="11.140625" style="652" customWidth="1"/>
    <col min="4867" max="4867" width="7" style="652" bestFit="1" customWidth="1"/>
    <col min="4868" max="4868" width="7.5703125" style="652" bestFit="1" customWidth="1"/>
    <col min="4869" max="4869" width="7.7109375" style="652" bestFit="1" customWidth="1"/>
    <col min="4870" max="4871" width="9.42578125" style="652" bestFit="1" customWidth="1"/>
    <col min="4872" max="4872" width="8.28515625" style="652" customWidth="1"/>
    <col min="4873" max="4873" width="7.140625" style="652" customWidth="1"/>
    <col min="4874" max="4874" width="10.7109375" style="652" customWidth="1"/>
    <col min="4875" max="4875" width="8.5703125" style="652" customWidth="1"/>
    <col min="4876" max="4877" width="8.85546875" style="652" bestFit="1" customWidth="1"/>
    <col min="4878" max="4878" width="9.42578125" style="652" customWidth="1"/>
    <col min="4879" max="4887" width="8.28515625" style="652" customWidth="1"/>
    <col min="4888" max="4888" width="8.140625" style="652" customWidth="1"/>
    <col min="4889" max="4889" width="10.42578125" style="652" customWidth="1"/>
    <col min="4890" max="4890" width="9.140625" style="652"/>
    <col min="4891" max="4891" width="19.42578125" style="652" customWidth="1"/>
    <col min="4892" max="4892" width="16.42578125" style="652" bestFit="1" customWidth="1"/>
    <col min="4893" max="5120" width="9.140625" style="652"/>
    <col min="5121" max="5121" width="7.42578125" style="652" customWidth="1"/>
    <col min="5122" max="5122" width="11.140625" style="652" customWidth="1"/>
    <col min="5123" max="5123" width="7" style="652" bestFit="1" customWidth="1"/>
    <col min="5124" max="5124" width="7.5703125" style="652" bestFit="1" customWidth="1"/>
    <col min="5125" max="5125" width="7.7109375" style="652" bestFit="1" customWidth="1"/>
    <col min="5126" max="5127" width="9.42578125" style="652" bestFit="1" customWidth="1"/>
    <col min="5128" max="5128" width="8.28515625" style="652" customWidth="1"/>
    <col min="5129" max="5129" width="7.140625" style="652" customWidth="1"/>
    <col min="5130" max="5130" width="10.7109375" style="652" customWidth="1"/>
    <col min="5131" max="5131" width="8.5703125" style="652" customWidth="1"/>
    <col min="5132" max="5133" width="8.85546875" style="652" bestFit="1" customWidth="1"/>
    <col min="5134" max="5134" width="9.42578125" style="652" customWidth="1"/>
    <col min="5135" max="5143" width="8.28515625" style="652" customWidth="1"/>
    <col min="5144" max="5144" width="8.140625" style="652" customWidth="1"/>
    <col min="5145" max="5145" width="10.42578125" style="652" customWidth="1"/>
    <col min="5146" max="5146" width="9.140625" style="652"/>
    <col min="5147" max="5147" width="19.42578125" style="652" customWidth="1"/>
    <col min="5148" max="5148" width="16.42578125" style="652" bestFit="1" customWidth="1"/>
    <col min="5149" max="5376" width="9.140625" style="652"/>
    <col min="5377" max="5377" width="7.42578125" style="652" customWidth="1"/>
    <col min="5378" max="5378" width="11.140625" style="652" customWidth="1"/>
    <col min="5379" max="5379" width="7" style="652" bestFit="1" customWidth="1"/>
    <col min="5380" max="5380" width="7.5703125" style="652" bestFit="1" customWidth="1"/>
    <col min="5381" max="5381" width="7.7109375" style="652" bestFit="1" customWidth="1"/>
    <col min="5382" max="5383" width="9.42578125" style="652" bestFit="1" customWidth="1"/>
    <col min="5384" max="5384" width="8.28515625" style="652" customWidth="1"/>
    <col min="5385" max="5385" width="7.140625" style="652" customWidth="1"/>
    <col min="5386" max="5386" width="10.7109375" style="652" customWidth="1"/>
    <col min="5387" max="5387" width="8.5703125" style="652" customWidth="1"/>
    <col min="5388" max="5389" width="8.85546875" style="652" bestFit="1" customWidth="1"/>
    <col min="5390" max="5390" width="9.42578125" style="652" customWidth="1"/>
    <col min="5391" max="5399" width="8.28515625" style="652" customWidth="1"/>
    <col min="5400" max="5400" width="8.140625" style="652" customWidth="1"/>
    <col min="5401" max="5401" width="10.42578125" style="652" customWidth="1"/>
    <col min="5402" max="5402" width="9.140625" style="652"/>
    <col min="5403" max="5403" width="19.42578125" style="652" customWidth="1"/>
    <col min="5404" max="5404" width="16.42578125" style="652" bestFit="1" customWidth="1"/>
    <col min="5405" max="5632" width="9.140625" style="652"/>
    <col min="5633" max="5633" width="7.42578125" style="652" customWidth="1"/>
    <col min="5634" max="5634" width="11.140625" style="652" customWidth="1"/>
    <col min="5635" max="5635" width="7" style="652" bestFit="1" customWidth="1"/>
    <col min="5636" max="5636" width="7.5703125" style="652" bestFit="1" customWidth="1"/>
    <col min="5637" max="5637" width="7.7109375" style="652" bestFit="1" customWidth="1"/>
    <col min="5638" max="5639" width="9.42578125" style="652" bestFit="1" customWidth="1"/>
    <col min="5640" max="5640" width="8.28515625" style="652" customWidth="1"/>
    <col min="5641" max="5641" width="7.140625" style="652" customWidth="1"/>
    <col min="5642" max="5642" width="10.7109375" style="652" customWidth="1"/>
    <col min="5643" max="5643" width="8.5703125" style="652" customWidth="1"/>
    <col min="5644" max="5645" width="8.85546875" style="652" bestFit="1" customWidth="1"/>
    <col min="5646" max="5646" width="9.42578125" style="652" customWidth="1"/>
    <col min="5647" max="5655" width="8.28515625" style="652" customWidth="1"/>
    <col min="5656" max="5656" width="8.140625" style="652" customWidth="1"/>
    <col min="5657" max="5657" width="10.42578125" style="652" customWidth="1"/>
    <col min="5658" max="5658" width="9.140625" style="652"/>
    <col min="5659" max="5659" width="19.42578125" style="652" customWidth="1"/>
    <col min="5660" max="5660" width="16.42578125" style="652" bestFit="1" customWidth="1"/>
    <col min="5661" max="5888" width="9.140625" style="652"/>
    <col min="5889" max="5889" width="7.42578125" style="652" customWidth="1"/>
    <col min="5890" max="5890" width="11.140625" style="652" customWidth="1"/>
    <col min="5891" max="5891" width="7" style="652" bestFit="1" customWidth="1"/>
    <col min="5892" max="5892" width="7.5703125" style="652" bestFit="1" customWidth="1"/>
    <col min="5893" max="5893" width="7.7109375" style="652" bestFit="1" customWidth="1"/>
    <col min="5894" max="5895" width="9.42578125" style="652" bestFit="1" customWidth="1"/>
    <col min="5896" max="5896" width="8.28515625" style="652" customWidth="1"/>
    <col min="5897" max="5897" width="7.140625" style="652" customWidth="1"/>
    <col min="5898" max="5898" width="10.7109375" style="652" customWidth="1"/>
    <col min="5899" max="5899" width="8.5703125" style="652" customWidth="1"/>
    <col min="5900" max="5901" width="8.85546875" style="652" bestFit="1" customWidth="1"/>
    <col min="5902" max="5902" width="9.42578125" style="652" customWidth="1"/>
    <col min="5903" max="5911" width="8.28515625" style="652" customWidth="1"/>
    <col min="5912" max="5912" width="8.140625" style="652" customWidth="1"/>
    <col min="5913" max="5913" width="10.42578125" style="652" customWidth="1"/>
    <col min="5914" max="5914" width="9.140625" style="652"/>
    <col min="5915" max="5915" width="19.42578125" style="652" customWidth="1"/>
    <col min="5916" max="5916" width="16.42578125" style="652" bestFit="1" customWidth="1"/>
    <col min="5917" max="6144" width="9.140625" style="652"/>
    <col min="6145" max="6145" width="7.42578125" style="652" customWidth="1"/>
    <col min="6146" max="6146" width="11.140625" style="652" customWidth="1"/>
    <col min="6147" max="6147" width="7" style="652" bestFit="1" customWidth="1"/>
    <col min="6148" max="6148" width="7.5703125" style="652" bestFit="1" customWidth="1"/>
    <col min="6149" max="6149" width="7.7109375" style="652" bestFit="1" customWidth="1"/>
    <col min="6150" max="6151" width="9.42578125" style="652" bestFit="1" customWidth="1"/>
    <col min="6152" max="6152" width="8.28515625" style="652" customWidth="1"/>
    <col min="6153" max="6153" width="7.140625" style="652" customWidth="1"/>
    <col min="6154" max="6154" width="10.7109375" style="652" customWidth="1"/>
    <col min="6155" max="6155" width="8.5703125" style="652" customWidth="1"/>
    <col min="6156" max="6157" width="8.85546875" style="652" bestFit="1" customWidth="1"/>
    <col min="6158" max="6158" width="9.42578125" style="652" customWidth="1"/>
    <col min="6159" max="6167" width="8.28515625" style="652" customWidth="1"/>
    <col min="6168" max="6168" width="8.140625" style="652" customWidth="1"/>
    <col min="6169" max="6169" width="10.42578125" style="652" customWidth="1"/>
    <col min="6170" max="6170" width="9.140625" style="652"/>
    <col min="6171" max="6171" width="19.42578125" style="652" customWidth="1"/>
    <col min="6172" max="6172" width="16.42578125" style="652" bestFit="1" customWidth="1"/>
    <col min="6173" max="6400" width="9.140625" style="652"/>
    <col min="6401" max="6401" width="7.42578125" style="652" customWidth="1"/>
    <col min="6402" max="6402" width="11.140625" style="652" customWidth="1"/>
    <col min="6403" max="6403" width="7" style="652" bestFit="1" customWidth="1"/>
    <col min="6404" max="6404" width="7.5703125" style="652" bestFit="1" customWidth="1"/>
    <col min="6405" max="6405" width="7.7109375" style="652" bestFit="1" customWidth="1"/>
    <col min="6406" max="6407" width="9.42578125" style="652" bestFit="1" customWidth="1"/>
    <col min="6408" max="6408" width="8.28515625" style="652" customWidth="1"/>
    <col min="6409" max="6409" width="7.140625" style="652" customWidth="1"/>
    <col min="6410" max="6410" width="10.7109375" style="652" customWidth="1"/>
    <col min="6411" max="6411" width="8.5703125" style="652" customWidth="1"/>
    <col min="6412" max="6413" width="8.85546875" style="652" bestFit="1" customWidth="1"/>
    <col min="6414" max="6414" width="9.42578125" style="652" customWidth="1"/>
    <col min="6415" max="6423" width="8.28515625" style="652" customWidth="1"/>
    <col min="6424" max="6424" width="8.140625" style="652" customWidth="1"/>
    <col min="6425" max="6425" width="10.42578125" style="652" customWidth="1"/>
    <col min="6426" max="6426" width="9.140625" style="652"/>
    <col min="6427" max="6427" width="19.42578125" style="652" customWidth="1"/>
    <col min="6428" max="6428" width="16.42578125" style="652" bestFit="1" customWidth="1"/>
    <col min="6429" max="6656" width="9.140625" style="652"/>
    <col min="6657" max="6657" width="7.42578125" style="652" customWidth="1"/>
    <col min="6658" max="6658" width="11.140625" style="652" customWidth="1"/>
    <col min="6659" max="6659" width="7" style="652" bestFit="1" customWidth="1"/>
    <col min="6660" max="6660" width="7.5703125" style="652" bestFit="1" customWidth="1"/>
    <col min="6661" max="6661" width="7.7109375" style="652" bestFit="1" customWidth="1"/>
    <col min="6662" max="6663" width="9.42578125" style="652" bestFit="1" customWidth="1"/>
    <col min="6664" max="6664" width="8.28515625" style="652" customWidth="1"/>
    <col min="6665" max="6665" width="7.140625" style="652" customWidth="1"/>
    <col min="6666" max="6666" width="10.7109375" style="652" customWidth="1"/>
    <col min="6667" max="6667" width="8.5703125" style="652" customWidth="1"/>
    <col min="6668" max="6669" width="8.85546875" style="652" bestFit="1" customWidth="1"/>
    <col min="6670" max="6670" width="9.42578125" style="652" customWidth="1"/>
    <col min="6671" max="6679" width="8.28515625" style="652" customWidth="1"/>
    <col min="6680" max="6680" width="8.140625" style="652" customWidth="1"/>
    <col min="6681" max="6681" width="10.42578125" style="652" customWidth="1"/>
    <col min="6682" max="6682" width="9.140625" style="652"/>
    <col min="6683" max="6683" width="19.42578125" style="652" customWidth="1"/>
    <col min="6684" max="6684" width="16.42578125" style="652" bestFit="1" customWidth="1"/>
    <col min="6685" max="6912" width="9.140625" style="652"/>
    <col min="6913" max="6913" width="7.42578125" style="652" customWidth="1"/>
    <col min="6914" max="6914" width="11.140625" style="652" customWidth="1"/>
    <col min="6915" max="6915" width="7" style="652" bestFit="1" customWidth="1"/>
    <col min="6916" max="6916" width="7.5703125" style="652" bestFit="1" customWidth="1"/>
    <col min="6917" max="6917" width="7.7109375" style="652" bestFit="1" customWidth="1"/>
    <col min="6918" max="6919" width="9.42578125" style="652" bestFit="1" customWidth="1"/>
    <col min="6920" max="6920" width="8.28515625" style="652" customWidth="1"/>
    <col min="6921" max="6921" width="7.140625" style="652" customWidth="1"/>
    <col min="6922" max="6922" width="10.7109375" style="652" customWidth="1"/>
    <col min="6923" max="6923" width="8.5703125" style="652" customWidth="1"/>
    <col min="6924" max="6925" width="8.85546875" style="652" bestFit="1" customWidth="1"/>
    <col min="6926" max="6926" width="9.42578125" style="652" customWidth="1"/>
    <col min="6927" max="6935" width="8.28515625" style="652" customWidth="1"/>
    <col min="6936" max="6936" width="8.140625" style="652" customWidth="1"/>
    <col min="6937" max="6937" width="10.42578125" style="652" customWidth="1"/>
    <col min="6938" max="6938" width="9.140625" style="652"/>
    <col min="6939" max="6939" width="19.42578125" style="652" customWidth="1"/>
    <col min="6940" max="6940" width="16.42578125" style="652" bestFit="1" customWidth="1"/>
    <col min="6941" max="7168" width="9.140625" style="652"/>
    <col min="7169" max="7169" width="7.42578125" style="652" customWidth="1"/>
    <col min="7170" max="7170" width="11.140625" style="652" customWidth="1"/>
    <col min="7171" max="7171" width="7" style="652" bestFit="1" customWidth="1"/>
    <col min="7172" max="7172" width="7.5703125" style="652" bestFit="1" customWidth="1"/>
    <col min="7173" max="7173" width="7.7109375" style="652" bestFit="1" customWidth="1"/>
    <col min="7174" max="7175" width="9.42578125" style="652" bestFit="1" customWidth="1"/>
    <col min="7176" max="7176" width="8.28515625" style="652" customWidth="1"/>
    <col min="7177" max="7177" width="7.140625" style="652" customWidth="1"/>
    <col min="7178" max="7178" width="10.7109375" style="652" customWidth="1"/>
    <col min="7179" max="7179" width="8.5703125" style="652" customWidth="1"/>
    <col min="7180" max="7181" width="8.85546875" style="652" bestFit="1" customWidth="1"/>
    <col min="7182" max="7182" width="9.42578125" style="652" customWidth="1"/>
    <col min="7183" max="7191" width="8.28515625" style="652" customWidth="1"/>
    <col min="7192" max="7192" width="8.140625" style="652" customWidth="1"/>
    <col min="7193" max="7193" width="10.42578125" style="652" customWidth="1"/>
    <col min="7194" max="7194" width="9.140625" style="652"/>
    <col min="7195" max="7195" width="19.42578125" style="652" customWidth="1"/>
    <col min="7196" max="7196" width="16.42578125" style="652" bestFit="1" customWidth="1"/>
    <col min="7197" max="7424" width="9.140625" style="652"/>
    <col min="7425" max="7425" width="7.42578125" style="652" customWidth="1"/>
    <col min="7426" max="7426" width="11.140625" style="652" customWidth="1"/>
    <col min="7427" max="7427" width="7" style="652" bestFit="1" customWidth="1"/>
    <col min="7428" max="7428" width="7.5703125" style="652" bestFit="1" customWidth="1"/>
    <col min="7429" max="7429" width="7.7109375" style="652" bestFit="1" customWidth="1"/>
    <col min="7430" max="7431" width="9.42578125" style="652" bestFit="1" customWidth="1"/>
    <col min="7432" max="7432" width="8.28515625" style="652" customWidth="1"/>
    <col min="7433" max="7433" width="7.140625" style="652" customWidth="1"/>
    <col min="7434" max="7434" width="10.7109375" style="652" customWidth="1"/>
    <col min="7435" max="7435" width="8.5703125" style="652" customWidth="1"/>
    <col min="7436" max="7437" width="8.85546875" style="652" bestFit="1" customWidth="1"/>
    <col min="7438" max="7438" width="9.42578125" style="652" customWidth="1"/>
    <col min="7439" max="7447" width="8.28515625" style="652" customWidth="1"/>
    <col min="7448" max="7448" width="8.140625" style="652" customWidth="1"/>
    <col min="7449" max="7449" width="10.42578125" style="652" customWidth="1"/>
    <col min="7450" max="7450" width="9.140625" style="652"/>
    <col min="7451" max="7451" width="19.42578125" style="652" customWidth="1"/>
    <col min="7452" max="7452" width="16.42578125" style="652" bestFit="1" customWidth="1"/>
    <col min="7453" max="7680" width="9.140625" style="652"/>
    <col min="7681" max="7681" width="7.42578125" style="652" customWidth="1"/>
    <col min="7682" max="7682" width="11.140625" style="652" customWidth="1"/>
    <col min="7683" max="7683" width="7" style="652" bestFit="1" customWidth="1"/>
    <col min="7684" max="7684" width="7.5703125" style="652" bestFit="1" customWidth="1"/>
    <col min="7685" max="7685" width="7.7109375" style="652" bestFit="1" customWidth="1"/>
    <col min="7686" max="7687" width="9.42578125" style="652" bestFit="1" customWidth="1"/>
    <col min="7688" max="7688" width="8.28515625" style="652" customWidth="1"/>
    <col min="7689" max="7689" width="7.140625" style="652" customWidth="1"/>
    <col min="7690" max="7690" width="10.7109375" style="652" customWidth="1"/>
    <col min="7691" max="7691" width="8.5703125" style="652" customWidth="1"/>
    <col min="7692" max="7693" width="8.85546875" style="652" bestFit="1" customWidth="1"/>
    <col min="7694" max="7694" width="9.42578125" style="652" customWidth="1"/>
    <col min="7695" max="7703" width="8.28515625" style="652" customWidth="1"/>
    <col min="7704" max="7704" width="8.140625" style="652" customWidth="1"/>
    <col min="7705" max="7705" width="10.42578125" style="652" customWidth="1"/>
    <col min="7706" max="7706" width="9.140625" style="652"/>
    <col min="7707" max="7707" width="19.42578125" style="652" customWidth="1"/>
    <col min="7708" max="7708" width="16.42578125" style="652" bestFit="1" customWidth="1"/>
    <col min="7709" max="7936" width="9.140625" style="652"/>
    <col min="7937" max="7937" width="7.42578125" style="652" customWidth="1"/>
    <col min="7938" max="7938" width="11.140625" style="652" customWidth="1"/>
    <col min="7939" max="7939" width="7" style="652" bestFit="1" customWidth="1"/>
    <col min="7940" max="7940" width="7.5703125" style="652" bestFit="1" customWidth="1"/>
    <col min="7941" max="7941" width="7.7109375" style="652" bestFit="1" customWidth="1"/>
    <col min="7942" max="7943" width="9.42578125" style="652" bestFit="1" customWidth="1"/>
    <col min="7944" max="7944" width="8.28515625" style="652" customWidth="1"/>
    <col min="7945" max="7945" width="7.140625" style="652" customWidth="1"/>
    <col min="7946" max="7946" width="10.7109375" style="652" customWidth="1"/>
    <col min="7947" max="7947" width="8.5703125" style="652" customWidth="1"/>
    <col min="7948" max="7949" width="8.85546875" style="652" bestFit="1" customWidth="1"/>
    <col min="7950" max="7950" width="9.42578125" style="652" customWidth="1"/>
    <col min="7951" max="7959" width="8.28515625" style="652" customWidth="1"/>
    <col min="7960" max="7960" width="8.140625" style="652" customWidth="1"/>
    <col min="7961" max="7961" width="10.42578125" style="652" customWidth="1"/>
    <col min="7962" max="7962" width="9.140625" style="652"/>
    <col min="7963" max="7963" width="19.42578125" style="652" customWidth="1"/>
    <col min="7964" max="7964" width="16.42578125" style="652" bestFit="1" customWidth="1"/>
    <col min="7965" max="8192" width="9.140625" style="652"/>
    <col min="8193" max="8193" width="7.42578125" style="652" customWidth="1"/>
    <col min="8194" max="8194" width="11.140625" style="652" customWidth="1"/>
    <col min="8195" max="8195" width="7" style="652" bestFit="1" customWidth="1"/>
    <col min="8196" max="8196" width="7.5703125" style="652" bestFit="1" customWidth="1"/>
    <col min="8197" max="8197" width="7.7109375" style="652" bestFit="1" customWidth="1"/>
    <col min="8198" max="8199" width="9.42578125" style="652" bestFit="1" customWidth="1"/>
    <col min="8200" max="8200" width="8.28515625" style="652" customWidth="1"/>
    <col min="8201" max="8201" width="7.140625" style="652" customWidth="1"/>
    <col min="8202" max="8202" width="10.7109375" style="652" customWidth="1"/>
    <col min="8203" max="8203" width="8.5703125" style="652" customWidth="1"/>
    <col min="8204" max="8205" width="8.85546875" style="652" bestFit="1" customWidth="1"/>
    <col min="8206" max="8206" width="9.42578125" style="652" customWidth="1"/>
    <col min="8207" max="8215" width="8.28515625" style="652" customWidth="1"/>
    <col min="8216" max="8216" width="8.140625" style="652" customWidth="1"/>
    <col min="8217" max="8217" width="10.42578125" style="652" customWidth="1"/>
    <col min="8218" max="8218" width="9.140625" style="652"/>
    <col min="8219" max="8219" width="19.42578125" style="652" customWidth="1"/>
    <col min="8220" max="8220" width="16.42578125" style="652" bestFit="1" customWidth="1"/>
    <col min="8221" max="8448" width="9.140625" style="652"/>
    <col min="8449" max="8449" width="7.42578125" style="652" customWidth="1"/>
    <col min="8450" max="8450" width="11.140625" style="652" customWidth="1"/>
    <col min="8451" max="8451" width="7" style="652" bestFit="1" customWidth="1"/>
    <col min="8452" max="8452" width="7.5703125" style="652" bestFit="1" customWidth="1"/>
    <col min="8453" max="8453" width="7.7109375" style="652" bestFit="1" customWidth="1"/>
    <col min="8454" max="8455" width="9.42578125" style="652" bestFit="1" customWidth="1"/>
    <col min="8456" max="8456" width="8.28515625" style="652" customWidth="1"/>
    <col min="8457" max="8457" width="7.140625" style="652" customWidth="1"/>
    <col min="8458" max="8458" width="10.7109375" style="652" customWidth="1"/>
    <col min="8459" max="8459" width="8.5703125" style="652" customWidth="1"/>
    <col min="8460" max="8461" width="8.85546875" style="652" bestFit="1" customWidth="1"/>
    <col min="8462" max="8462" width="9.42578125" style="652" customWidth="1"/>
    <col min="8463" max="8471" width="8.28515625" style="652" customWidth="1"/>
    <col min="8472" max="8472" width="8.140625" style="652" customWidth="1"/>
    <col min="8473" max="8473" width="10.42578125" style="652" customWidth="1"/>
    <col min="8474" max="8474" width="9.140625" style="652"/>
    <col min="8475" max="8475" width="19.42578125" style="652" customWidth="1"/>
    <col min="8476" max="8476" width="16.42578125" style="652" bestFit="1" customWidth="1"/>
    <col min="8477" max="8704" width="9.140625" style="652"/>
    <col min="8705" max="8705" width="7.42578125" style="652" customWidth="1"/>
    <col min="8706" max="8706" width="11.140625" style="652" customWidth="1"/>
    <col min="8707" max="8707" width="7" style="652" bestFit="1" customWidth="1"/>
    <col min="8708" max="8708" width="7.5703125" style="652" bestFit="1" customWidth="1"/>
    <col min="8709" max="8709" width="7.7109375" style="652" bestFit="1" customWidth="1"/>
    <col min="8710" max="8711" width="9.42578125" style="652" bestFit="1" customWidth="1"/>
    <col min="8712" max="8712" width="8.28515625" style="652" customWidth="1"/>
    <col min="8713" max="8713" width="7.140625" style="652" customWidth="1"/>
    <col min="8714" max="8714" width="10.7109375" style="652" customWidth="1"/>
    <col min="8715" max="8715" width="8.5703125" style="652" customWidth="1"/>
    <col min="8716" max="8717" width="8.85546875" style="652" bestFit="1" customWidth="1"/>
    <col min="8718" max="8718" width="9.42578125" style="652" customWidth="1"/>
    <col min="8719" max="8727" width="8.28515625" style="652" customWidth="1"/>
    <col min="8728" max="8728" width="8.140625" style="652" customWidth="1"/>
    <col min="8729" max="8729" width="10.42578125" style="652" customWidth="1"/>
    <col min="8730" max="8730" width="9.140625" style="652"/>
    <col min="8731" max="8731" width="19.42578125" style="652" customWidth="1"/>
    <col min="8732" max="8732" width="16.42578125" style="652" bestFit="1" customWidth="1"/>
    <col min="8733" max="8960" width="9.140625" style="652"/>
    <col min="8961" max="8961" width="7.42578125" style="652" customWidth="1"/>
    <col min="8962" max="8962" width="11.140625" style="652" customWidth="1"/>
    <col min="8963" max="8963" width="7" style="652" bestFit="1" customWidth="1"/>
    <col min="8964" max="8964" width="7.5703125" style="652" bestFit="1" customWidth="1"/>
    <col min="8965" max="8965" width="7.7109375" style="652" bestFit="1" customWidth="1"/>
    <col min="8966" max="8967" width="9.42578125" style="652" bestFit="1" customWidth="1"/>
    <col min="8968" max="8968" width="8.28515625" style="652" customWidth="1"/>
    <col min="8969" max="8969" width="7.140625" style="652" customWidth="1"/>
    <col min="8970" max="8970" width="10.7109375" style="652" customWidth="1"/>
    <col min="8971" max="8971" width="8.5703125" style="652" customWidth="1"/>
    <col min="8972" max="8973" width="8.85546875" style="652" bestFit="1" customWidth="1"/>
    <col min="8974" max="8974" width="9.42578125" style="652" customWidth="1"/>
    <col min="8975" max="8983" width="8.28515625" style="652" customWidth="1"/>
    <col min="8984" max="8984" width="8.140625" style="652" customWidth="1"/>
    <col min="8985" max="8985" width="10.42578125" style="652" customWidth="1"/>
    <col min="8986" max="8986" width="9.140625" style="652"/>
    <col min="8987" max="8987" width="19.42578125" style="652" customWidth="1"/>
    <col min="8988" max="8988" width="16.42578125" style="652" bestFit="1" customWidth="1"/>
    <col min="8989" max="9216" width="9.140625" style="652"/>
    <col min="9217" max="9217" width="7.42578125" style="652" customWidth="1"/>
    <col min="9218" max="9218" width="11.140625" style="652" customWidth="1"/>
    <col min="9219" max="9219" width="7" style="652" bestFit="1" customWidth="1"/>
    <col min="9220" max="9220" width="7.5703125" style="652" bestFit="1" customWidth="1"/>
    <col min="9221" max="9221" width="7.7109375" style="652" bestFit="1" customWidth="1"/>
    <col min="9222" max="9223" width="9.42578125" style="652" bestFit="1" customWidth="1"/>
    <col min="9224" max="9224" width="8.28515625" style="652" customWidth="1"/>
    <col min="9225" max="9225" width="7.140625" style="652" customWidth="1"/>
    <col min="9226" max="9226" width="10.7109375" style="652" customWidth="1"/>
    <col min="9227" max="9227" width="8.5703125" style="652" customWidth="1"/>
    <col min="9228" max="9229" width="8.85546875" style="652" bestFit="1" customWidth="1"/>
    <col min="9230" max="9230" width="9.42578125" style="652" customWidth="1"/>
    <col min="9231" max="9239" width="8.28515625" style="652" customWidth="1"/>
    <col min="9240" max="9240" width="8.140625" style="652" customWidth="1"/>
    <col min="9241" max="9241" width="10.42578125" style="652" customWidth="1"/>
    <col min="9242" max="9242" width="9.140625" style="652"/>
    <col min="9243" max="9243" width="19.42578125" style="652" customWidth="1"/>
    <col min="9244" max="9244" width="16.42578125" style="652" bestFit="1" customWidth="1"/>
    <col min="9245" max="9472" width="9.140625" style="652"/>
    <col min="9473" max="9473" width="7.42578125" style="652" customWidth="1"/>
    <col min="9474" max="9474" width="11.140625" style="652" customWidth="1"/>
    <col min="9475" max="9475" width="7" style="652" bestFit="1" customWidth="1"/>
    <col min="9476" max="9476" width="7.5703125" style="652" bestFit="1" customWidth="1"/>
    <col min="9477" max="9477" width="7.7109375" style="652" bestFit="1" customWidth="1"/>
    <col min="9478" max="9479" width="9.42578125" style="652" bestFit="1" customWidth="1"/>
    <col min="9480" max="9480" width="8.28515625" style="652" customWidth="1"/>
    <col min="9481" max="9481" width="7.140625" style="652" customWidth="1"/>
    <col min="9482" max="9482" width="10.7109375" style="652" customWidth="1"/>
    <col min="9483" max="9483" width="8.5703125" style="652" customWidth="1"/>
    <col min="9484" max="9485" width="8.85546875" style="652" bestFit="1" customWidth="1"/>
    <col min="9486" max="9486" width="9.42578125" style="652" customWidth="1"/>
    <col min="9487" max="9495" width="8.28515625" style="652" customWidth="1"/>
    <col min="9496" max="9496" width="8.140625" style="652" customWidth="1"/>
    <col min="9497" max="9497" width="10.42578125" style="652" customWidth="1"/>
    <col min="9498" max="9498" width="9.140625" style="652"/>
    <col min="9499" max="9499" width="19.42578125" style="652" customWidth="1"/>
    <col min="9500" max="9500" width="16.42578125" style="652" bestFit="1" customWidth="1"/>
    <col min="9501" max="9728" width="9.140625" style="652"/>
    <col min="9729" max="9729" width="7.42578125" style="652" customWidth="1"/>
    <col min="9730" max="9730" width="11.140625" style="652" customWidth="1"/>
    <col min="9731" max="9731" width="7" style="652" bestFit="1" customWidth="1"/>
    <col min="9732" max="9732" width="7.5703125" style="652" bestFit="1" customWidth="1"/>
    <col min="9733" max="9733" width="7.7109375" style="652" bestFit="1" customWidth="1"/>
    <col min="9734" max="9735" width="9.42578125" style="652" bestFit="1" customWidth="1"/>
    <col min="9736" max="9736" width="8.28515625" style="652" customWidth="1"/>
    <col min="9737" max="9737" width="7.140625" style="652" customWidth="1"/>
    <col min="9738" max="9738" width="10.7109375" style="652" customWidth="1"/>
    <col min="9739" max="9739" width="8.5703125" style="652" customWidth="1"/>
    <col min="9740" max="9741" width="8.85546875" style="652" bestFit="1" customWidth="1"/>
    <col min="9742" max="9742" width="9.42578125" style="652" customWidth="1"/>
    <col min="9743" max="9751" width="8.28515625" style="652" customWidth="1"/>
    <col min="9752" max="9752" width="8.140625" style="652" customWidth="1"/>
    <col min="9753" max="9753" width="10.42578125" style="652" customWidth="1"/>
    <col min="9754" max="9754" width="9.140625" style="652"/>
    <col min="9755" max="9755" width="19.42578125" style="652" customWidth="1"/>
    <col min="9756" max="9756" width="16.42578125" style="652" bestFit="1" customWidth="1"/>
    <col min="9757" max="9984" width="9.140625" style="652"/>
    <col min="9985" max="9985" width="7.42578125" style="652" customWidth="1"/>
    <col min="9986" max="9986" width="11.140625" style="652" customWidth="1"/>
    <col min="9987" max="9987" width="7" style="652" bestFit="1" customWidth="1"/>
    <col min="9988" max="9988" width="7.5703125" style="652" bestFit="1" customWidth="1"/>
    <col min="9989" max="9989" width="7.7109375" style="652" bestFit="1" customWidth="1"/>
    <col min="9990" max="9991" width="9.42578125" style="652" bestFit="1" customWidth="1"/>
    <col min="9992" max="9992" width="8.28515625" style="652" customWidth="1"/>
    <col min="9993" max="9993" width="7.140625" style="652" customWidth="1"/>
    <col min="9994" max="9994" width="10.7109375" style="652" customWidth="1"/>
    <col min="9995" max="9995" width="8.5703125" style="652" customWidth="1"/>
    <col min="9996" max="9997" width="8.85546875" style="652" bestFit="1" customWidth="1"/>
    <col min="9998" max="9998" width="9.42578125" style="652" customWidth="1"/>
    <col min="9999" max="10007" width="8.28515625" style="652" customWidth="1"/>
    <col min="10008" max="10008" width="8.140625" style="652" customWidth="1"/>
    <col min="10009" max="10009" width="10.42578125" style="652" customWidth="1"/>
    <col min="10010" max="10010" width="9.140625" style="652"/>
    <col min="10011" max="10011" width="19.42578125" style="652" customWidth="1"/>
    <col min="10012" max="10012" width="16.42578125" style="652" bestFit="1" customWidth="1"/>
    <col min="10013" max="10240" width="9.140625" style="652"/>
    <col min="10241" max="10241" width="7.42578125" style="652" customWidth="1"/>
    <col min="10242" max="10242" width="11.140625" style="652" customWidth="1"/>
    <col min="10243" max="10243" width="7" style="652" bestFit="1" customWidth="1"/>
    <col min="10244" max="10244" width="7.5703125" style="652" bestFit="1" customWidth="1"/>
    <col min="10245" max="10245" width="7.7109375" style="652" bestFit="1" customWidth="1"/>
    <col min="10246" max="10247" width="9.42578125" style="652" bestFit="1" customWidth="1"/>
    <col min="10248" max="10248" width="8.28515625" style="652" customWidth="1"/>
    <col min="10249" max="10249" width="7.140625" style="652" customWidth="1"/>
    <col min="10250" max="10250" width="10.7109375" style="652" customWidth="1"/>
    <col min="10251" max="10251" width="8.5703125" style="652" customWidth="1"/>
    <col min="10252" max="10253" width="8.85546875" style="652" bestFit="1" customWidth="1"/>
    <col min="10254" max="10254" width="9.42578125" style="652" customWidth="1"/>
    <col min="10255" max="10263" width="8.28515625" style="652" customWidth="1"/>
    <col min="10264" max="10264" width="8.140625" style="652" customWidth="1"/>
    <col min="10265" max="10265" width="10.42578125" style="652" customWidth="1"/>
    <col min="10266" max="10266" width="9.140625" style="652"/>
    <col min="10267" max="10267" width="19.42578125" style="652" customWidth="1"/>
    <col min="10268" max="10268" width="16.42578125" style="652" bestFit="1" customWidth="1"/>
    <col min="10269" max="10496" width="9.140625" style="652"/>
    <col min="10497" max="10497" width="7.42578125" style="652" customWidth="1"/>
    <col min="10498" max="10498" width="11.140625" style="652" customWidth="1"/>
    <col min="10499" max="10499" width="7" style="652" bestFit="1" customWidth="1"/>
    <col min="10500" max="10500" width="7.5703125" style="652" bestFit="1" customWidth="1"/>
    <col min="10501" max="10501" width="7.7109375" style="652" bestFit="1" customWidth="1"/>
    <col min="10502" max="10503" width="9.42578125" style="652" bestFit="1" customWidth="1"/>
    <col min="10504" max="10504" width="8.28515625" style="652" customWidth="1"/>
    <col min="10505" max="10505" width="7.140625" style="652" customWidth="1"/>
    <col min="10506" max="10506" width="10.7109375" style="652" customWidth="1"/>
    <col min="10507" max="10507" width="8.5703125" style="652" customWidth="1"/>
    <col min="10508" max="10509" width="8.85546875" style="652" bestFit="1" customWidth="1"/>
    <col min="10510" max="10510" width="9.42578125" style="652" customWidth="1"/>
    <col min="10511" max="10519" width="8.28515625" style="652" customWidth="1"/>
    <col min="10520" max="10520" width="8.140625" style="652" customWidth="1"/>
    <col min="10521" max="10521" width="10.42578125" style="652" customWidth="1"/>
    <col min="10522" max="10522" width="9.140625" style="652"/>
    <col min="10523" max="10523" width="19.42578125" style="652" customWidth="1"/>
    <col min="10524" max="10524" width="16.42578125" style="652" bestFit="1" customWidth="1"/>
    <col min="10525" max="10752" width="9.140625" style="652"/>
    <col min="10753" max="10753" width="7.42578125" style="652" customWidth="1"/>
    <col min="10754" max="10754" width="11.140625" style="652" customWidth="1"/>
    <col min="10755" max="10755" width="7" style="652" bestFit="1" customWidth="1"/>
    <col min="10756" max="10756" width="7.5703125" style="652" bestFit="1" customWidth="1"/>
    <col min="10757" max="10757" width="7.7109375" style="652" bestFit="1" customWidth="1"/>
    <col min="10758" max="10759" width="9.42578125" style="652" bestFit="1" customWidth="1"/>
    <col min="10760" max="10760" width="8.28515625" style="652" customWidth="1"/>
    <col min="10761" max="10761" width="7.140625" style="652" customWidth="1"/>
    <col min="10762" max="10762" width="10.7109375" style="652" customWidth="1"/>
    <col min="10763" max="10763" width="8.5703125" style="652" customWidth="1"/>
    <col min="10764" max="10765" width="8.85546875" style="652" bestFit="1" customWidth="1"/>
    <col min="10766" max="10766" width="9.42578125" style="652" customWidth="1"/>
    <col min="10767" max="10775" width="8.28515625" style="652" customWidth="1"/>
    <col min="10776" max="10776" width="8.140625" style="652" customWidth="1"/>
    <col min="10777" max="10777" width="10.42578125" style="652" customWidth="1"/>
    <col min="10778" max="10778" width="9.140625" style="652"/>
    <col min="10779" max="10779" width="19.42578125" style="652" customWidth="1"/>
    <col min="10780" max="10780" width="16.42578125" style="652" bestFit="1" customWidth="1"/>
    <col min="10781" max="11008" width="9.140625" style="652"/>
    <col min="11009" max="11009" width="7.42578125" style="652" customWidth="1"/>
    <col min="11010" max="11010" width="11.140625" style="652" customWidth="1"/>
    <col min="11011" max="11011" width="7" style="652" bestFit="1" customWidth="1"/>
    <col min="11012" max="11012" width="7.5703125" style="652" bestFit="1" customWidth="1"/>
    <col min="11013" max="11013" width="7.7109375" style="652" bestFit="1" customWidth="1"/>
    <col min="11014" max="11015" width="9.42578125" style="652" bestFit="1" customWidth="1"/>
    <col min="11016" max="11016" width="8.28515625" style="652" customWidth="1"/>
    <col min="11017" max="11017" width="7.140625" style="652" customWidth="1"/>
    <col min="11018" max="11018" width="10.7109375" style="652" customWidth="1"/>
    <col min="11019" max="11019" width="8.5703125" style="652" customWidth="1"/>
    <col min="11020" max="11021" width="8.85546875" style="652" bestFit="1" customWidth="1"/>
    <col min="11022" max="11022" width="9.42578125" style="652" customWidth="1"/>
    <col min="11023" max="11031" width="8.28515625" style="652" customWidth="1"/>
    <col min="11032" max="11032" width="8.140625" style="652" customWidth="1"/>
    <col min="11033" max="11033" width="10.42578125" style="652" customWidth="1"/>
    <col min="11034" max="11034" width="9.140625" style="652"/>
    <col min="11035" max="11035" width="19.42578125" style="652" customWidth="1"/>
    <col min="11036" max="11036" width="16.42578125" style="652" bestFit="1" customWidth="1"/>
    <col min="11037" max="11264" width="9.140625" style="652"/>
    <col min="11265" max="11265" width="7.42578125" style="652" customWidth="1"/>
    <col min="11266" max="11266" width="11.140625" style="652" customWidth="1"/>
    <col min="11267" max="11267" width="7" style="652" bestFit="1" customWidth="1"/>
    <col min="11268" max="11268" width="7.5703125" style="652" bestFit="1" customWidth="1"/>
    <col min="11269" max="11269" width="7.7109375" style="652" bestFit="1" customWidth="1"/>
    <col min="11270" max="11271" width="9.42578125" style="652" bestFit="1" customWidth="1"/>
    <col min="11272" max="11272" width="8.28515625" style="652" customWidth="1"/>
    <col min="11273" max="11273" width="7.140625" style="652" customWidth="1"/>
    <col min="11274" max="11274" width="10.7109375" style="652" customWidth="1"/>
    <col min="11275" max="11275" width="8.5703125" style="652" customWidth="1"/>
    <col min="11276" max="11277" width="8.85546875" style="652" bestFit="1" customWidth="1"/>
    <col min="11278" max="11278" width="9.42578125" style="652" customWidth="1"/>
    <col min="11279" max="11287" width="8.28515625" style="652" customWidth="1"/>
    <col min="11288" max="11288" width="8.140625" style="652" customWidth="1"/>
    <col min="11289" max="11289" width="10.42578125" style="652" customWidth="1"/>
    <col min="11290" max="11290" width="9.140625" style="652"/>
    <col min="11291" max="11291" width="19.42578125" style="652" customWidth="1"/>
    <col min="11292" max="11292" width="16.42578125" style="652" bestFit="1" customWidth="1"/>
    <col min="11293" max="11520" width="9.140625" style="652"/>
    <col min="11521" max="11521" width="7.42578125" style="652" customWidth="1"/>
    <col min="11522" max="11522" width="11.140625" style="652" customWidth="1"/>
    <col min="11523" max="11523" width="7" style="652" bestFit="1" customWidth="1"/>
    <col min="11524" max="11524" width="7.5703125" style="652" bestFit="1" customWidth="1"/>
    <col min="11525" max="11525" width="7.7109375" style="652" bestFit="1" customWidth="1"/>
    <col min="11526" max="11527" width="9.42578125" style="652" bestFit="1" customWidth="1"/>
    <col min="11528" max="11528" width="8.28515625" style="652" customWidth="1"/>
    <col min="11529" max="11529" width="7.140625" style="652" customWidth="1"/>
    <col min="11530" max="11530" width="10.7109375" style="652" customWidth="1"/>
    <col min="11531" max="11531" width="8.5703125" style="652" customWidth="1"/>
    <col min="11532" max="11533" width="8.85546875" style="652" bestFit="1" customWidth="1"/>
    <col min="11534" max="11534" width="9.42578125" style="652" customWidth="1"/>
    <col min="11535" max="11543" width="8.28515625" style="652" customWidth="1"/>
    <col min="11544" max="11544" width="8.140625" style="652" customWidth="1"/>
    <col min="11545" max="11545" width="10.42578125" style="652" customWidth="1"/>
    <col min="11546" max="11546" width="9.140625" style="652"/>
    <col min="11547" max="11547" width="19.42578125" style="652" customWidth="1"/>
    <col min="11548" max="11548" width="16.42578125" style="652" bestFit="1" customWidth="1"/>
    <col min="11549" max="11776" width="9.140625" style="652"/>
    <col min="11777" max="11777" width="7.42578125" style="652" customWidth="1"/>
    <col min="11778" max="11778" width="11.140625" style="652" customWidth="1"/>
    <col min="11779" max="11779" width="7" style="652" bestFit="1" customWidth="1"/>
    <col min="11780" max="11780" width="7.5703125" style="652" bestFit="1" customWidth="1"/>
    <col min="11781" max="11781" width="7.7109375" style="652" bestFit="1" customWidth="1"/>
    <col min="11782" max="11783" width="9.42578125" style="652" bestFit="1" customWidth="1"/>
    <col min="11784" max="11784" width="8.28515625" style="652" customWidth="1"/>
    <col min="11785" max="11785" width="7.140625" style="652" customWidth="1"/>
    <col min="11786" max="11786" width="10.7109375" style="652" customWidth="1"/>
    <col min="11787" max="11787" width="8.5703125" style="652" customWidth="1"/>
    <col min="11788" max="11789" width="8.85546875" style="652" bestFit="1" customWidth="1"/>
    <col min="11790" max="11790" width="9.42578125" style="652" customWidth="1"/>
    <col min="11791" max="11799" width="8.28515625" style="652" customWidth="1"/>
    <col min="11800" max="11800" width="8.140625" style="652" customWidth="1"/>
    <col min="11801" max="11801" width="10.42578125" style="652" customWidth="1"/>
    <col min="11802" max="11802" width="9.140625" style="652"/>
    <col min="11803" max="11803" width="19.42578125" style="652" customWidth="1"/>
    <col min="11804" max="11804" width="16.42578125" style="652" bestFit="1" customWidth="1"/>
    <col min="11805" max="12032" width="9.140625" style="652"/>
    <col min="12033" max="12033" width="7.42578125" style="652" customWidth="1"/>
    <col min="12034" max="12034" width="11.140625" style="652" customWidth="1"/>
    <col min="12035" max="12035" width="7" style="652" bestFit="1" customWidth="1"/>
    <col min="12036" max="12036" width="7.5703125" style="652" bestFit="1" customWidth="1"/>
    <col min="12037" max="12037" width="7.7109375" style="652" bestFit="1" customWidth="1"/>
    <col min="12038" max="12039" width="9.42578125" style="652" bestFit="1" customWidth="1"/>
    <col min="12040" max="12040" width="8.28515625" style="652" customWidth="1"/>
    <col min="12041" max="12041" width="7.140625" style="652" customWidth="1"/>
    <col min="12042" max="12042" width="10.7109375" style="652" customWidth="1"/>
    <col min="12043" max="12043" width="8.5703125" style="652" customWidth="1"/>
    <col min="12044" max="12045" width="8.85546875" style="652" bestFit="1" customWidth="1"/>
    <col min="12046" max="12046" width="9.42578125" style="652" customWidth="1"/>
    <col min="12047" max="12055" width="8.28515625" style="652" customWidth="1"/>
    <col min="12056" max="12056" width="8.140625" style="652" customWidth="1"/>
    <col min="12057" max="12057" width="10.42578125" style="652" customWidth="1"/>
    <col min="12058" max="12058" width="9.140625" style="652"/>
    <col min="12059" max="12059" width="19.42578125" style="652" customWidth="1"/>
    <col min="12060" max="12060" width="16.42578125" style="652" bestFit="1" customWidth="1"/>
    <col min="12061" max="12288" width="9.140625" style="652"/>
    <col min="12289" max="12289" width="7.42578125" style="652" customWidth="1"/>
    <col min="12290" max="12290" width="11.140625" style="652" customWidth="1"/>
    <col min="12291" max="12291" width="7" style="652" bestFit="1" customWidth="1"/>
    <col min="12292" max="12292" width="7.5703125" style="652" bestFit="1" customWidth="1"/>
    <col min="12293" max="12293" width="7.7109375" style="652" bestFit="1" customWidth="1"/>
    <col min="12294" max="12295" width="9.42578125" style="652" bestFit="1" customWidth="1"/>
    <col min="12296" max="12296" width="8.28515625" style="652" customWidth="1"/>
    <col min="12297" max="12297" width="7.140625" style="652" customWidth="1"/>
    <col min="12298" max="12298" width="10.7109375" style="652" customWidth="1"/>
    <col min="12299" max="12299" width="8.5703125" style="652" customWidth="1"/>
    <col min="12300" max="12301" width="8.85546875" style="652" bestFit="1" customWidth="1"/>
    <col min="12302" max="12302" width="9.42578125" style="652" customWidth="1"/>
    <col min="12303" max="12311" width="8.28515625" style="652" customWidth="1"/>
    <col min="12312" max="12312" width="8.140625" style="652" customWidth="1"/>
    <col min="12313" max="12313" width="10.42578125" style="652" customWidth="1"/>
    <col min="12314" max="12314" width="9.140625" style="652"/>
    <col min="12315" max="12315" width="19.42578125" style="652" customWidth="1"/>
    <col min="12316" max="12316" width="16.42578125" style="652" bestFit="1" customWidth="1"/>
    <col min="12317" max="12544" width="9.140625" style="652"/>
    <col min="12545" max="12545" width="7.42578125" style="652" customWidth="1"/>
    <col min="12546" max="12546" width="11.140625" style="652" customWidth="1"/>
    <col min="12547" max="12547" width="7" style="652" bestFit="1" customWidth="1"/>
    <col min="12548" max="12548" width="7.5703125" style="652" bestFit="1" customWidth="1"/>
    <col min="12549" max="12549" width="7.7109375" style="652" bestFit="1" customWidth="1"/>
    <col min="12550" max="12551" width="9.42578125" style="652" bestFit="1" customWidth="1"/>
    <col min="12552" max="12552" width="8.28515625" style="652" customWidth="1"/>
    <col min="12553" max="12553" width="7.140625" style="652" customWidth="1"/>
    <col min="12554" max="12554" width="10.7109375" style="652" customWidth="1"/>
    <col min="12555" max="12555" width="8.5703125" style="652" customWidth="1"/>
    <col min="12556" max="12557" width="8.85546875" style="652" bestFit="1" customWidth="1"/>
    <col min="12558" max="12558" width="9.42578125" style="652" customWidth="1"/>
    <col min="12559" max="12567" width="8.28515625" style="652" customWidth="1"/>
    <col min="12568" max="12568" width="8.140625" style="652" customWidth="1"/>
    <col min="12569" max="12569" width="10.42578125" style="652" customWidth="1"/>
    <col min="12570" max="12570" width="9.140625" style="652"/>
    <col min="12571" max="12571" width="19.42578125" style="652" customWidth="1"/>
    <col min="12572" max="12572" width="16.42578125" style="652" bestFit="1" customWidth="1"/>
    <col min="12573" max="12800" width="9.140625" style="652"/>
    <col min="12801" max="12801" width="7.42578125" style="652" customWidth="1"/>
    <col min="12802" max="12802" width="11.140625" style="652" customWidth="1"/>
    <col min="12803" max="12803" width="7" style="652" bestFit="1" customWidth="1"/>
    <col min="12804" max="12804" width="7.5703125" style="652" bestFit="1" customWidth="1"/>
    <col min="12805" max="12805" width="7.7109375" style="652" bestFit="1" customWidth="1"/>
    <col min="12806" max="12807" width="9.42578125" style="652" bestFit="1" customWidth="1"/>
    <col min="12808" max="12808" width="8.28515625" style="652" customWidth="1"/>
    <col min="12809" max="12809" width="7.140625" style="652" customWidth="1"/>
    <col min="12810" max="12810" width="10.7109375" style="652" customWidth="1"/>
    <col min="12811" max="12811" width="8.5703125" style="652" customWidth="1"/>
    <col min="12812" max="12813" width="8.85546875" style="652" bestFit="1" customWidth="1"/>
    <col min="12814" max="12814" width="9.42578125" style="652" customWidth="1"/>
    <col min="12815" max="12823" width="8.28515625" style="652" customWidth="1"/>
    <col min="12824" max="12824" width="8.140625" style="652" customWidth="1"/>
    <col min="12825" max="12825" width="10.42578125" style="652" customWidth="1"/>
    <col min="12826" max="12826" width="9.140625" style="652"/>
    <col min="12827" max="12827" width="19.42578125" style="652" customWidth="1"/>
    <col min="12828" max="12828" width="16.42578125" style="652" bestFit="1" customWidth="1"/>
    <col min="12829" max="13056" width="9.140625" style="652"/>
    <col min="13057" max="13057" width="7.42578125" style="652" customWidth="1"/>
    <col min="13058" max="13058" width="11.140625" style="652" customWidth="1"/>
    <col min="13059" max="13059" width="7" style="652" bestFit="1" customWidth="1"/>
    <col min="13060" max="13060" width="7.5703125" style="652" bestFit="1" customWidth="1"/>
    <col min="13061" max="13061" width="7.7109375" style="652" bestFit="1" customWidth="1"/>
    <col min="13062" max="13063" width="9.42578125" style="652" bestFit="1" customWidth="1"/>
    <col min="13064" max="13064" width="8.28515625" style="652" customWidth="1"/>
    <col min="13065" max="13065" width="7.140625" style="652" customWidth="1"/>
    <col min="13066" max="13066" width="10.7109375" style="652" customWidth="1"/>
    <col min="13067" max="13067" width="8.5703125" style="652" customWidth="1"/>
    <col min="13068" max="13069" width="8.85546875" style="652" bestFit="1" customWidth="1"/>
    <col min="13070" max="13070" width="9.42578125" style="652" customWidth="1"/>
    <col min="13071" max="13079" width="8.28515625" style="652" customWidth="1"/>
    <col min="13080" max="13080" width="8.140625" style="652" customWidth="1"/>
    <col min="13081" max="13081" width="10.42578125" style="652" customWidth="1"/>
    <col min="13082" max="13082" width="9.140625" style="652"/>
    <col min="13083" max="13083" width="19.42578125" style="652" customWidth="1"/>
    <col min="13084" max="13084" width="16.42578125" style="652" bestFit="1" customWidth="1"/>
    <col min="13085" max="13312" width="9.140625" style="652"/>
    <col min="13313" max="13313" width="7.42578125" style="652" customWidth="1"/>
    <col min="13314" max="13314" width="11.140625" style="652" customWidth="1"/>
    <col min="13315" max="13315" width="7" style="652" bestFit="1" customWidth="1"/>
    <col min="13316" max="13316" width="7.5703125" style="652" bestFit="1" customWidth="1"/>
    <col min="13317" max="13317" width="7.7109375" style="652" bestFit="1" customWidth="1"/>
    <col min="13318" max="13319" width="9.42578125" style="652" bestFit="1" customWidth="1"/>
    <col min="13320" max="13320" width="8.28515625" style="652" customWidth="1"/>
    <col min="13321" max="13321" width="7.140625" style="652" customWidth="1"/>
    <col min="13322" max="13322" width="10.7109375" style="652" customWidth="1"/>
    <col min="13323" max="13323" width="8.5703125" style="652" customWidth="1"/>
    <col min="13324" max="13325" width="8.85546875" style="652" bestFit="1" customWidth="1"/>
    <col min="13326" max="13326" width="9.42578125" style="652" customWidth="1"/>
    <col min="13327" max="13335" width="8.28515625" style="652" customWidth="1"/>
    <col min="13336" max="13336" width="8.140625" style="652" customWidth="1"/>
    <col min="13337" max="13337" width="10.42578125" style="652" customWidth="1"/>
    <col min="13338" max="13338" width="9.140625" style="652"/>
    <col min="13339" max="13339" width="19.42578125" style="652" customWidth="1"/>
    <col min="13340" max="13340" width="16.42578125" style="652" bestFit="1" customWidth="1"/>
    <col min="13341" max="13568" width="9.140625" style="652"/>
    <col min="13569" max="13569" width="7.42578125" style="652" customWidth="1"/>
    <col min="13570" max="13570" width="11.140625" style="652" customWidth="1"/>
    <col min="13571" max="13571" width="7" style="652" bestFit="1" customWidth="1"/>
    <col min="13572" max="13572" width="7.5703125" style="652" bestFit="1" customWidth="1"/>
    <col min="13573" max="13573" width="7.7109375" style="652" bestFit="1" customWidth="1"/>
    <col min="13574" max="13575" width="9.42578125" style="652" bestFit="1" customWidth="1"/>
    <col min="13576" max="13576" width="8.28515625" style="652" customWidth="1"/>
    <col min="13577" max="13577" width="7.140625" style="652" customWidth="1"/>
    <col min="13578" max="13578" width="10.7109375" style="652" customWidth="1"/>
    <col min="13579" max="13579" width="8.5703125" style="652" customWidth="1"/>
    <col min="13580" max="13581" width="8.85546875" style="652" bestFit="1" customWidth="1"/>
    <col min="13582" max="13582" width="9.42578125" style="652" customWidth="1"/>
    <col min="13583" max="13591" width="8.28515625" style="652" customWidth="1"/>
    <col min="13592" max="13592" width="8.140625" style="652" customWidth="1"/>
    <col min="13593" max="13593" width="10.42578125" style="652" customWidth="1"/>
    <col min="13594" max="13594" width="9.140625" style="652"/>
    <col min="13595" max="13595" width="19.42578125" style="652" customWidth="1"/>
    <col min="13596" max="13596" width="16.42578125" style="652" bestFit="1" customWidth="1"/>
    <col min="13597" max="13824" width="9.140625" style="652"/>
    <col min="13825" max="13825" width="7.42578125" style="652" customWidth="1"/>
    <col min="13826" max="13826" width="11.140625" style="652" customWidth="1"/>
    <col min="13827" max="13827" width="7" style="652" bestFit="1" customWidth="1"/>
    <col min="13828" max="13828" width="7.5703125" style="652" bestFit="1" customWidth="1"/>
    <col min="13829" max="13829" width="7.7109375" style="652" bestFit="1" customWidth="1"/>
    <col min="13830" max="13831" width="9.42578125" style="652" bestFit="1" customWidth="1"/>
    <col min="13832" max="13832" width="8.28515625" style="652" customWidth="1"/>
    <col min="13833" max="13833" width="7.140625" style="652" customWidth="1"/>
    <col min="13834" max="13834" width="10.7109375" style="652" customWidth="1"/>
    <col min="13835" max="13835" width="8.5703125" style="652" customWidth="1"/>
    <col min="13836" max="13837" width="8.85546875" style="652" bestFit="1" customWidth="1"/>
    <col min="13838" max="13838" width="9.42578125" style="652" customWidth="1"/>
    <col min="13839" max="13847" width="8.28515625" style="652" customWidth="1"/>
    <col min="13848" max="13848" width="8.140625" style="652" customWidth="1"/>
    <col min="13849" max="13849" width="10.42578125" style="652" customWidth="1"/>
    <col min="13850" max="13850" width="9.140625" style="652"/>
    <col min="13851" max="13851" width="19.42578125" style="652" customWidth="1"/>
    <col min="13852" max="13852" width="16.42578125" style="652" bestFit="1" customWidth="1"/>
    <col min="13853" max="14080" width="9.140625" style="652"/>
    <col min="14081" max="14081" width="7.42578125" style="652" customWidth="1"/>
    <col min="14082" max="14082" width="11.140625" style="652" customWidth="1"/>
    <col min="14083" max="14083" width="7" style="652" bestFit="1" customWidth="1"/>
    <col min="14084" max="14084" width="7.5703125" style="652" bestFit="1" customWidth="1"/>
    <col min="14085" max="14085" width="7.7109375" style="652" bestFit="1" customWidth="1"/>
    <col min="14086" max="14087" width="9.42578125" style="652" bestFit="1" customWidth="1"/>
    <col min="14088" max="14088" width="8.28515625" style="652" customWidth="1"/>
    <col min="14089" max="14089" width="7.140625" style="652" customWidth="1"/>
    <col min="14090" max="14090" width="10.7109375" style="652" customWidth="1"/>
    <col min="14091" max="14091" width="8.5703125" style="652" customWidth="1"/>
    <col min="14092" max="14093" width="8.85546875" style="652" bestFit="1" customWidth="1"/>
    <col min="14094" max="14094" width="9.42578125" style="652" customWidth="1"/>
    <col min="14095" max="14103" width="8.28515625" style="652" customWidth="1"/>
    <col min="14104" max="14104" width="8.140625" style="652" customWidth="1"/>
    <col min="14105" max="14105" width="10.42578125" style="652" customWidth="1"/>
    <col min="14106" max="14106" width="9.140625" style="652"/>
    <col min="14107" max="14107" width="19.42578125" style="652" customWidth="1"/>
    <col min="14108" max="14108" width="16.42578125" style="652" bestFit="1" customWidth="1"/>
    <col min="14109" max="14336" width="9.140625" style="652"/>
    <col min="14337" max="14337" width="7.42578125" style="652" customWidth="1"/>
    <col min="14338" max="14338" width="11.140625" style="652" customWidth="1"/>
    <col min="14339" max="14339" width="7" style="652" bestFit="1" customWidth="1"/>
    <col min="14340" max="14340" width="7.5703125" style="652" bestFit="1" customWidth="1"/>
    <col min="14341" max="14341" width="7.7109375" style="652" bestFit="1" customWidth="1"/>
    <col min="14342" max="14343" width="9.42578125" style="652" bestFit="1" customWidth="1"/>
    <col min="14344" max="14344" width="8.28515625" style="652" customWidth="1"/>
    <col min="14345" max="14345" width="7.140625" style="652" customWidth="1"/>
    <col min="14346" max="14346" width="10.7109375" style="652" customWidth="1"/>
    <col min="14347" max="14347" width="8.5703125" style="652" customWidth="1"/>
    <col min="14348" max="14349" width="8.85546875" style="652" bestFit="1" customWidth="1"/>
    <col min="14350" max="14350" width="9.42578125" style="652" customWidth="1"/>
    <col min="14351" max="14359" width="8.28515625" style="652" customWidth="1"/>
    <col min="14360" max="14360" width="8.140625" style="652" customWidth="1"/>
    <col min="14361" max="14361" width="10.42578125" style="652" customWidth="1"/>
    <col min="14362" max="14362" width="9.140625" style="652"/>
    <col min="14363" max="14363" width="19.42578125" style="652" customWidth="1"/>
    <col min="14364" max="14364" width="16.42578125" style="652" bestFit="1" customWidth="1"/>
    <col min="14365" max="14592" width="9.140625" style="652"/>
    <col min="14593" max="14593" width="7.42578125" style="652" customWidth="1"/>
    <col min="14594" max="14594" width="11.140625" style="652" customWidth="1"/>
    <col min="14595" max="14595" width="7" style="652" bestFit="1" customWidth="1"/>
    <col min="14596" max="14596" width="7.5703125" style="652" bestFit="1" customWidth="1"/>
    <col min="14597" max="14597" width="7.7109375" style="652" bestFit="1" customWidth="1"/>
    <col min="14598" max="14599" width="9.42578125" style="652" bestFit="1" customWidth="1"/>
    <col min="14600" max="14600" width="8.28515625" style="652" customWidth="1"/>
    <col min="14601" max="14601" width="7.140625" style="652" customWidth="1"/>
    <col min="14602" max="14602" width="10.7109375" style="652" customWidth="1"/>
    <col min="14603" max="14603" width="8.5703125" style="652" customWidth="1"/>
    <col min="14604" max="14605" width="8.85546875" style="652" bestFit="1" customWidth="1"/>
    <col min="14606" max="14606" width="9.42578125" style="652" customWidth="1"/>
    <col min="14607" max="14615" width="8.28515625" style="652" customWidth="1"/>
    <col min="14616" max="14616" width="8.140625" style="652" customWidth="1"/>
    <col min="14617" max="14617" width="10.42578125" style="652" customWidth="1"/>
    <col min="14618" max="14618" width="9.140625" style="652"/>
    <col min="14619" max="14619" width="19.42578125" style="652" customWidth="1"/>
    <col min="14620" max="14620" width="16.42578125" style="652" bestFit="1" customWidth="1"/>
    <col min="14621" max="14848" width="9.140625" style="652"/>
    <col min="14849" max="14849" width="7.42578125" style="652" customWidth="1"/>
    <col min="14850" max="14850" width="11.140625" style="652" customWidth="1"/>
    <col min="14851" max="14851" width="7" style="652" bestFit="1" customWidth="1"/>
    <col min="14852" max="14852" width="7.5703125" style="652" bestFit="1" customWidth="1"/>
    <col min="14853" max="14853" width="7.7109375" style="652" bestFit="1" customWidth="1"/>
    <col min="14854" max="14855" width="9.42578125" style="652" bestFit="1" customWidth="1"/>
    <col min="14856" max="14856" width="8.28515625" style="652" customWidth="1"/>
    <col min="14857" max="14857" width="7.140625" style="652" customWidth="1"/>
    <col min="14858" max="14858" width="10.7109375" style="652" customWidth="1"/>
    <col min="14859" max="14859" width="8.5703125" style="652" customWidth="1"/>
    <col min="14860" max="14861" width="8.85546875" style="652" bestFit="1" customWidth="1"/>
    <col min="14862" max="14862" width="9.42578125" style="652" customWidth="1"/>
    <col min="14863" max="14871" width="8.28515625" style="652" customWidth="1"/>
    <col min="14872" max="14872" width="8.140625" style="652" customWidth="1"/>
    <col min="14873" max="14873" width="10.42578125" style="652" customWidth="1"/>
    <col min="14874" max="14874" width="9.140625" style="652"/>
    <col min="14875" max="14875" width="19.42578125" style="652" customWidth="1"/>
    <col min="14876" max="14876" width="16.42578125" style="652" bestFit="1" customWidth="1"/>
    <col min="14877" max="15104" width="9.140625" style="652"/>
    <col min="15105" max="15105" width="7.42578125" style="652" customWidth="1"/>
    <col min="15106" max="15106" width="11.140625" style="652" customWidth="1"/>
    <col min="15107" max="15107" width="7" style="652" bestFit="1" customWidth="1"/>
    <col min="15108" max="15108" width="7.5703125" style="652" bestFit="1" customWidth="1"/>
    <col min="15109" max="15109" width="7.7109375" style="652" bestFit="1" customWidth="1"/>
    <col min="15110" max="15111" width="9.42578125" style="652" bestFit="1" customWidth="1"/>
    <col min="15112" max="15112" width="8.28515625" style="652" customWidth="1"/>
    <col min="15113" max="15113" width="7.140625" style="652" customWidth="1"/>
    <col min="15114" max="15114" width="10.7109375" style="652" customWidth="1"/>
    <col min="15115" max="15115" width="8.5703125" style="652" customWidth="1"/>
    <col min="15116" max="15117" width="8.85546875" style="652" bestFit="1" customWidth="1"/>
    <col min="15118" max="15118" width="9.42578125" style="652" customWidth="1"/>
    <col min="15119" max="15127" width="8.28515625" style="652" customWidth="1"/>
    <col min="15128" max="15128" width="8.140625" style="652" customWidth="1"/>
    <col min="15129" max="15129" width="10.42578125" style="652" customWidth="1"/>
    <col min="15130" max="15130" width="9.140625" style="652"/>
    <col min="15131" max="15131" width="19.42578125" style="652" customWidth="1"/>
    <col min="15132" max="15132" width="16.42578125" style="652" bestFit="1" customWidth="1"/>
    <col min="15133" max="15360" width="9.140625" style="652"/>
    <col min="15361" max="15361" width="7.42578125" style="652" customWidth="1"/>
    <col min="15362" max="15362" width="11.140625" style="652" customWidth="1"/>
    <col min="15363" max="15363" width="7" style="652" bestFit="1" customWidth="1"/>
    <col min="15364" max="15364" width="7.5703125" style="652" bestFit="1" customWidth="1"/>
    <col min="15365" max="15365" width="7.7109375" style="652" bestFit="1" customWidth="1"/>
    <col min="15366" max="15367" width="9.42578125" style="652" bestFit="1" customWidth="1"/>
    <col min="15368" max="15368" width="8.28515625" style="652" customWidth="1"/>
    <col min="15369" max="15369" width="7.140625" style="652" customWidth="1"/>
    <col min="15370" max="15370" width="10.7109375" style="652" customWidth="1"/>
    <col min="15371" max="15371" width="8.5703125" style="652" customWidth="1"/>
    <col min="15372" max="15373" width="8.85546875" style="652" bestFit="1" customWidth="1"/>
    <col min="15374" max="15374" width="9.42578125" style="652" customWidth="1"/>
    <col min="15375" max="15383" width="8.28515625" style="652" customWidth="1"/>
    <col min="15384" max="15384" width="8.140625" style="652" customWidth="1"/>
    <col min="15385" max="15385" width="10.42578125" style="652" customWidth="1"/>
    <col min="15386" max="15386" width="9.140625" style="652"/>
    <col min="15387" max="15387" width="19.42578125" style="652" customWidth="1"/>
    <col min="15388" max="15388" width="16.42578125" style="652" bestFit="1" customWidth="1"/>
    <col min="15389" max="15616" width="9.140625" style="652"/>
    <col min="15617" max="15617" width="7.42578125" style="652" customWidth="1"/>
    <col min="15618" max="15618" width="11.140625" style="652" customWidth="1"/>
    <col min="15619" max="15619" width="7" style="652" bestFit="1" customWidth="1"/>
    <col min="15620" max="15620" width="7.5703125" style="652" bestFit="1" customWidth="1"/>
    <col min="15621" max="15621" width="7.7109375" style="652" bestFit="1" customWidth="1"/>
    <col min="15622" max="15623" width="9.42578125" style="652" bestFit="1" customWidth="1"/>
    <col min="15624" max="15624" width="8.28515625" style="652" customWidth="1"/>
    <col min="15625" max="15625" width="7.140625" style="652" customWidth="1"/>
    <col min="15626" max="15626" width="10.7109375" style="652" customWidth="1"/>
    <col min="15627" max="15627" width="8.5703125" style="652" customWidth="1"/>
    <col min="15628" max="15629" width="8.85546875" style="652" bestFit="1" customWidth="1"/>
    <col min="15630" max="15630" width="9.42578125" style="652" customWidth="1"/>
    <col min="15631" max="15639" width="8.28515625" style="652" customWidth="1"/>
    <col min="15640" max="15640" width="8.140625" style="652" customWidth="1"/>
    <col min="15641" max="15641" width="10.42578125" style="652" customWidth="1"/>
    <col min="15642" max="15642" width="9.140625" style="652"/>
    <col min="15643" max="15643" width="19.42578125" style="652" customWidth="1"/>
    <col min="15644" max="15644" width="16.42578125" style="652" bestFit="1" customWidth="1"/>
    <col min="15645" max="15872" width="9.140625" style="652"/>
    <col min="15873" max="15873" width="7.42578125" style="652" customWidth="1"/>
    <col min="15874" max="15874" width="11.140625" style="652" customWidth="1"/>
    <col min="15875" max="15875" width="7" style="652" bestFit="1" customWidth="1"/>
    <col min="15876" max="15876" width="7.5703125" style="652" bestFit="1" customWidth="1"/>
    <col min="15877" max="15877" width="7.7109375" style="652" bestFit="1" customWidth="1"/>
    <col min="15878" max="15879" width="9.42578125" style="652" bestFit="1" customWidth="1"/>
    <col min="15880" max="15880" width="8.28515625" style="652" customWidth="1"/>
    <col min="15881" max="15881" width="7.140625" style="652" customWidth="1"/>
    <col min="15882" max="15882" width="10.7109375" style="652" customWidth="1"/>
    <col min="15883" max="15883" width="8.5703125" style="652" customWidth="1"/>
    <col min="15884" max="15885" width="8.85546875" style="652" bestFit="1" customWidth="1"/>
    <col min="15886" max="15886" width="9.42578125" style="652" customWidth="1"/>
    <col min="15887" max="15895" width="8.28515625" style="652" customWidth="1"/>
    <col min="15896" max="15896" width="8.140625" style="652" customWidth="1"/>
    <col min="15897" max="15897" width="10.42578125" style="652" customWidth="1"/>
    <col min="15898" max="15898" width="9.140625" style="652"/>
    <col min="15899" max="15899" width="19.42578125" style="652" customWidth="1"/>
    <col min="15900" max="15900" width="16.42578125" style="652" bestFit="1" customWidth="1"/>
    <col min="15901" max="16128" width="9.140625" style="652"/>
    <col min="16129" max="16129" width="7.42578125" style="652" customWidth="1"/>
    <col min="16130" max="16130" width="11.140625" style="652" customWidth="1"/>
    <col min="16131" max="16131" width="7" style="652" bestFit="1" customWidth="1"/>
    <col min="16132" max="16132" width="7.5703125" style="652" bestFit="1" customWidth="1"/>
    <col min="16133" max="16133" width="7.7109375" style="652" bestFit="1" customWidth="1"/>
    <col min="16134" max="16135" width="9.42578125" style="652" bestFit="1" customWidth="1"/>
    <col min="16136" max="16136" width="8.28515625" style="652" customWidth="1"/>
    <col min="16137" max="16137" width="7.140625" style="652" customWidth="1"/>
    <col min="16138" max="16138" width="10.7109375" style="652" customWidth="1"/>
    <col min="16139" max="16139" width="8.5703125" style="652" customWidth="1"/>
    <col min="16140" max="16141" width="8.85546875" style="652" bestFit="1" customWidth="1"/>
    <col min="16142" max="16142" width="9.42578125" style="652" customWidth="1"/>
    <col min="16143" max="16151" width="8.28515625" style="652" customWidth="1"/>
    <col min="16152" max="16152" width="8.140625" style="652" customWidth="1"/>
    <col min="16153" max="16153" width="10.42578125" style="652" customWidth="1"/>
    <col min="16154" max="16154" width="9.140625" style="652"/>
    <col min="16155" max="16155" width="19.42578125" style="652" customWidth="1"/>
    <col min="16156" max="16156" width="16.42578125" style="652" bestFit="1" customWidth="1"/>
    <col min="16157" max="16384" width="9.140625" style="652"/>
  </cols>
  <sheetData>
    <row r="1" spans="1:29" s="645" customFormat="1" ht="28.5" customHeight="1">
      <c r="A1" s="639" t="s">
        <v>711</v>
      </c>
      <c r="B1" s="640"/>
      <c r="C1" s="641"/>
      <c r="D1" s="642"/>
      <c r="E1" s="641"/>
      <c r="F1" s="641"/>
      <c r="G1" s="641"/>
      <c r="H1" s="643"/>
      <c r="I1" s="643"/>
      <c r="J1" s="643"/>
      <c r="K1" s="643"/>
      <c r="L1" s="641"/>
      <c r="M1" s="641"/>
      <c r="N1" s="644"/>
      <c r="O1" s="641"/>
      <c r="P1" s="641"/>
      <c r="Q1" s="641"/>
      <c r="R1" s="641"/>
      <c r="S1" s="641"/>
      <c r="T1" s="641"/>
      <c r="U1" s="641"/>
      <c r="V1" s="641"/>
      <c r="W1" s="641"/>
      <c r="X1" s="643"/>
      <c r="Y1" s="641"/>
      <c r="Z1" s="641"/>
    </row>
    <row r="2" spans="1:29" ht="28.5" customHeight="1" thickBot="1">
      <c r="A2" s="646"/>
      <c r="B2" s="646"/>
      <c r="C2" s="646"/>
      <c r="D2" s="646"/>
      <c r="E2" s="647"/>
      <c r="F2" s="646"/>
      <c r="G2" s="646"/>
      <c r="H2" s="646"/>
      <c r="I2" s="646"/>
      <c r="J2" s="646"/>
      <c r="K2" s="646"/>
      <c r="L2" s="646"/>
      <c r="M2" s="646"/>
      <c r="N2" s="648"/>
      <c r="O2" s="646"/>
      <c r="P2" s="649" t="s">
        <v>712</v>
      </c>
      <c r="Q2" s="646"/>
      <c r="R2" s="646"/>
      <c r="S2" s="646"/>
      <c r="T2" s="646"/>
      <c r="U2" s="650"/>
      <c r="V2" s="651"/>
      <c r="W2" s="646"/>
      <c r="X2" s="3267" t="s">
        <v>575</v>
      </c>
      <c r="Y2" s="3267"/>
      <c r="Z2" s="650"/>
    </row>
    <row r="3" spans="1:29" ht="28.5" customHeight="1" thickTop="1" thickBot="1">
      <c r="A3" s="653" t="s">
        <v>713</v>
      </c>
      <c r="B3" s="654" t="s">
        <v>714</v>
      </c>
      <c r="C3" s="655"/>
      <c r="D3" s="655"/>
      <c r="E3" s="654"/>
      <c r="F3" s="655"/>
      <c r="G3" s="655"/>
      <c r="H3" s="655"/>
      <c r="I3" s="655"/>
      <c r="J3" s="656"/>
      <c r="K3" s="655" t="s">
        <v>715</v>
      </c>
      <c r="L3" s="655"/>
      <c r="M3" s="655"/>
      <c r="N3" s="657"/>
      <c r="O3" s="655"/>
      <c r="P3" s="655"/>
      <c r="Q3" s="655"/>
      <c r="R3" s="655"/>
      <c r="S3" s="655"/>
      <c r="T3" s="655"/>
      <c r="U3" s="655"/>
      <c r="V3" s="655"/>
      <c r="W3" s="655"/>
      <c r="X3" s="656"/>
      <c r="Y3" s="658" t="s">
        <v>369</v>
      </c>
      <c r="Z3" s="650"/>
    </row>
    <row r="4" spans="1:29" ht="28.5" customHeight="1">
      <c r="A4" s="659" t="s">
        <v>315</v>
      </c>
      <c r="B4" s="660" t="s">
        <v>716</v>
      </c>
      <c r="C4" s="661"/>
      <c r="D4" s="661"/>
      <c r="E4" s="662"/>
      <c r="F4" s="661"/>
      <c r="G4" s="661"/>
      <c r="H4" s="661"/>
      <c r="I4" s="663"/>
      <c r="J4" s="664"/>
      <c r="K4" s="661" t="s">
        <v>717</v>
      </c>
      <c r="L4" s="665" t="s">
        <v>718</v>
      </c>
      <c r="M4" s="665"/>
      <c r="N4" s="665"/>
      <c r="O4" s="665"/>
      <c r="P4" s="665"/>
      <c r="Q4" s="665"/>
      <c r="R4" s="665"/>
      <c r="S4" s="665"/>
      <c r="T4" s="665"/>
      <c r="U4" s="665"/>
      <c r="V4" s="665"/>
      <c r="W4" s="665"/>
      <c r="X4" s="663"/>
      <c r="Y4" s="666" t="s">
        <v>719</v>
      </c>
      <c r="Z4" s="650"/>
    </row>
    <row r="5" spans="1:29" ht="28.5" customHeight="1">
      <c r="A5" s="659" t="s">
        <v>720</v>
      </c>
      <c r="B5" s="667" t="s">
        <v>381</v>
      </c>
      <c r="C5" s="667" t="s">
        <v>721</v>
      </c>
      <c r="D5" s="667" t="s">
        <v>722</v>
      </c>
      <c r="E5" s="668" t="s">
        <v>723</v>
      </c>
      <c r="F5" s="667" t="s">
        <v>724</v>
      </c>
      <c r="G5" s="667" t="s">
        <v>725</v>
      </c>
      <c r="H5" s="667" t="s">
        <v>726</v>
      </c>
      <c r="I5" s="669" t="s">
        <v>727</v>
      </c>
      <c r="J5" s="670" t="s">
        <v>319</v>
      </c>
      <c r="K5" s="667" t="s">
        <v>728</v>
      </c>
      <c r="L5" s="671" t="s">
        <v>729</v>
      </c>
      <c r="M5" s="671" t="s">
        <v>730</v>
      </c>
      <c r="N5" s="671" t="s">
        <v>731</v>
      </c>
      <c r="O5" s="671" t="s">
        <v>732</v>
      </c>
      <c r="P5" s="671" t="s">
        <v>733</v>
      </c>
      <c r="Q5" s="671" t="s">
        <v>734</v>
      </c>
      <c r="R5" s="671" t="s">
        <v>735</v>
      </c>
      <c r="S5" s="671" t="s">
        <v>736</v>
      </c>
      <c r="T5" s="671" t="s">
        <v>737</v>
      </c>
      <c r="U5" s="671" t="s">
        <v>738</v>
      </c>
      <c r="V5" s="671" t="s">
        <v>739</v>
      </c>
      <c r="W5" s="671" t="s">
        <v>740</v>
      </c>
      <c r="X5" s="669" t="s">
        <v>319</v>
      </c>
      <c r="Y5" s="666" t="s">
        <v>741</v>
      </c>
      <c r="Z5" s="650"/>
    </row>
    <row r="6" spans="1:29" ht="28.5" customHeight="1" thickBot="1">
      <c r="A6" s="672"/>
      <c r="B6" s="673" t="s">
        <v>742</v>
      </c>
      <c r="C6" s="673"/>
      <c r="D6" s="673"/>
      <c r="E6" s="674"/>
      <c r="F6" s="673"/>
      <c r="G6" s="673"/>
      <c r="H6" s="673"/>
      <c r="I6" s="675"/>
      <c r="J6" s="676"/>
      <c r="K6" s="673" t="s">
        <v>353</v>
      </c>
      <c r="L6" s="677" t="s">
        <v>353</v>
      </c>
      <c r="M6" s="677"/>
      <c r="N6" s="677"/>
      <c r="O6" s="677"/>
      <c r="P6" s="677"/>
      <c r="Q6" s="677"/>
      <c r="R6" s="677"/>
      <c r="S6" s="677"/>
      <c r="T6" s="677" t="s">
        <v>743</v>
      </c>
      <c r="U6" s="677"/>
      <c r="V6" s="677"/>
      <c r="W6" s="677"/>
      <c r="X6" s="675"/>
      <c r="Y6" s="678" t="s">
        <v>715</v>
      </c>
      <c r="Z6" s="650"/>
    </row>
    <row r="7" spans="1:29" ht="28.5" hidden="1" customHeight="1" thickTop="1">
      <c r="A7" s="679"/>
      <c r="B7" s="680"/>
      <c r="C7" s="681"/>
      <c r="D7" s="681"/>
      <c r="E7" s="682"/>
      <c r="F7" s="681"/>
      <c r="G7" s="681"/>
      <c r="H7" s="681"/>
      <c r="I7" s="683"/>
      <c r="J7" s="684"/>
      <c r="K7" s="680"/>
      <c r="L7" s="685"/>
      <c r="M7" s="685"/>
      <c r="N7" s="686"/>
      <c r="O7" s="686"/>
      <c r="P7" s="685"/>
      <c r="Q7" s="685"/>
      <c r="R7" s="685"/>
      <c r="S7" s="685"/>
      <c r="T7" s="685"/>
      <c r="U7" s="685"/>
      <c r="V7" s="687"/>
      <c r="W7" s="687"/>
      <c r="X7" s="688"/>
      <c r="Y7" s="689"/>
      <c r="Z7" s="650"/>
    </row>
    <row r="8" spans="1:29" ht="28.5" hidden="1" customHeight="1">
      <c r="A8" s="690">
        <v>35947</v>
      </c>
      <c r="B8" s="691">
        <v>21.8</v>
      </c>
      <c r="C8" s="692">
        <v>0</v>
      </c>
      <c r="D8" s="692">
        <v>179.5</v>
      </c>
      <c r="E8" s="692">
        <v>846</v>
      </c>
      <c r="F8" s="692">
        <v>860.5</v>
      </c>
      <c r="G8" s="692">
        <v>1426.8</v>
      </c>
      <c r="H8" s="692">
        <v>2330.3000000000002</v>
      </c>
      <c r="I8" s="693">
        <v>0</v>
      </c>
      <c r="J8" s="694">
        <v>5835.4929099999999</v>
      </c>
      <c r="K8" s="691">
        <v>6.6</v>
      </c>
      <c r="L8" s="692">
        <v>11.7</v>
      </c>
      <c r="M8" s="692"/>
      <c r="N8" s="695">
        <v>17.8</v>
      </c>
      <c r="O8" s="695">
        <v>53.5</v>
      </c>
      <c r="P8" s="692">
        <v>66.3</v>
      </c>
      <c r="Q8" s="692">
        <v>15.1</v>
      </c>
      <c r="R8" s="692">
        <v>6.5</v>
      </c>
      <c r="S8" s="692">
        <v>15.7</v>
      </c>
      <c r="T8" s="692">
        <v>2.5</v>
      </c>
      <c r="U8" s="692">
        <v>3.7</v>
      </c>
      <c r="V8" s="692">
        <v>0.3</v>
      </c>
      <c r="W8" s="692">
        <v>0.2</v>
      </c>
      <c r="X8" s="696">
        <v>199.9</v>
      </c>
      <c r="Y8" s="697">
        <v>6035.3929099999996</v>
      </c>
      <c r="Z8" s="698"/>
    </row>
    <row r="9" spans="1:29" ht="28.5" hidden="1" customHeight="1">
      <c r="A9" s="690">
        <v>36039</v>
      </c>
      <c r="B9" s="691">
        <v>21.7</v>
      </c>
      <c r="C9" s="692">
        <v>0</v>
      </c>
      <c r="D9" s="692">
        <v>184.7</v>
      </c>
      <c r="E9" s="692">
        <v>877.3</v>
      </c>
      <c r="F9" s="692">
        <v>933</v>
      </c>
      <c r="G9" s="692">
        <v>1518.8</v>
      </c>
      <c r="H9" s="692">
        <v>2356.9</v>
      </c>
      <c r="I9" s="693">
        <v>0</v>
      </c>
      <c r="J9" s="694">
        <v>6056.2</v>
      </c>
      <c r="K9" s="691">
        <v>6.6</v>
      </c>
      <c r="L9" s="692">
        <v>11.7</v>
      </c>
      <c r="M9" s="692"/>
      <c r="N9" s="695">
        <v>26.9</v>
      </c>
      <c r="O9" s="695">
        <v>55.2</v>
      </c>
      <c r="P9" s="692">
        <v>66.8</v>
      </c>
      <c r="Q9" s="692">
        <v>15.5</v>
      </c>
      <c r="R9" s="692">
        <v>6.4</v>
      </c>
      <c r="S9" s="692">
        <v>16.100000000000001</v>
      </c>
      <c r="T9" s="692">
        <v>2.5</v>
      </c>
      <c r="U9" s="692">
        <v>3.8</v>
      </c>
      <c r="V9" s="692">
        <v>0.3</v>
      </c>
      <c r="W9" s="692">
        <v>0.2</v>
      </c>
      <c r="X9" s="696">
        <v>212.1</v>
      </c>
      <c r="Y9" s="697">
        <v>6268.3</v>
      </c>
      <c r="Z9" s="650"/>
    </row>
    <row r="10" spans="1:29" ht="28.5" hidden="1" customHeight="1">
      <c r="A10" s="690">
        <v>36130</v>
      </c>
      <c r="B10" s="691">
        <v>21.6</v>
      </c>
      <c r="C10" s="692">
        <v>21.6</v>
      </c>
      <c r="D10" s="692">
        <v>208.5</v>
      </c>
      <c r="E10" s="692">
        <v>1063.0999999999999</v>
      </c>
      <c r="F10" s="692">
        <v>1173.4000000000001</v>
      </c>
      <c r="G10" s="692">
        <v>1841.1</v>
      </c>
      <c r="H10" s="692">
        <v>3145.8</v>
      </c>
      <c r="I10" s="693">
        <v>196.1</v>
      </c>
      <c r="J10" s="694">
        <v>7814.4</v>
      </c>
      <c r="K10" s="691">
        <v>6.6</v>
      </c>
      <c r="L10" s="692">
        <v>11.8</v>
      </c>
      <c r="M10" s="692"/>
      <c r="N10" s="695">
        <v>51.8</v>
      </c>
      <c r="O10" s="695">
        <v>58.9</v>
      </c>
      <c r="P10" s="692">
        <v>69.3</v>
      </c>
      <c r="Q10" s="692">
        <v>15.9</v>
      </c>
      <c r="R10" s="692">
        <v>6.4</v>
      </c>
      <c r="S10" s="692">
        <v>16.600000000000001</v>
      </c>
      <c r="T10" s="692">
        <v>2.5</v>
      </c>
      <c r="U10" s="692">
        <v>3.9</v>
      </c>
      <c r="V10" s="692">
        <v>0.3</v>
      </c>
      <c r="W10" s="692">
        <v>0.2</v>
      </c>
      <c r="X10" s="696">
        <v>244.3</v>
      </c>
      <c r="Y10" s="697">
        <v>8058.7</v>
      </c>
      <c r="Z10" s="698"/>
    </row>
    <row r="11" spans="1:29" ht="28.5" hidden="1" customHeight="1">
      <c r="A11" s="690">
        <v>36220</v>
      </c>
      <c r="B11" s="691">
        <v>21.6</v>
      </c>
      <c r="C11" s="692">
        <v>23.5</v>
      </c>
      <c r="D11" s="692">
        <v>185</v>
      </c>
      <c r="E11" s="692">
        <v>906.5</v>
      </c>
      <c r="F11" s="692">
        <v>1022.4</v>
      </c>
      <c r="G11" s="692">
        <v>1441.8</v>
      </c>
      <c r="H11" s="692">
        <v>2565.5</v>
      </c>
      <c r="I11" s="693">
        <v>213.9</v>
      </c>
      <c r="J11" s="694">
        <v>6498.1</v>
      </c>
      <c r="K11" s="691">
        <v>6.7</v>
      </c>
      <c r="L11" s="692">
        <v>12</v>
      </c>
      <c r="M11" s="692"/>
      <c r="N11" s="695">
        <v>64.599999999999994</v>
      </c>
      <c r="O11" s="695">
        <v>55.3</v>
      </c>
      <c r="P11" s="692">
        <v>68.8</v>
      </c>
      <c r="Q11" s="692">
        <v>16.100000000000001</v>
      </c>
      <c r="R11" s="692">
        <v>6.4</v>
      </c>
      <c r="S11" s="692">
        <v>16.899999999999999</v>
      </c>
      <c r="T11" s="692">
        <v>2.4</v>
      </c>
      <c r="U11" s="692">
        <v>3.9</v>
      </c>
      <c r="V11" s="692">
        <v>0.3</v>
      </c>
      <c r="W11" s="692">
        <v>0.2</v>
      </c>
      <c r="X11" s="696">
        <v>253.6</v>
      </c>
      <c r="Y11" s="697">
        <v>6751.7</v>
      </c>
      <c r="Z11" s="698"/>
    </row>
    <row r="12" spans="1:29" ht="28.5" hidden="1" customHeight="1">
      <c r="A12" s="690">
        <v>39448</v>
      </c>
      <c r="B12" s="699">
        <v>228.1</v>
      </c>
      <c r="C12" s="700">
        <v>166.9</v>
      </c>
      <c r="D12" s="700">
        <v>231.3</v>
      </c>
      <c r="E12" s="700">
        <v>923.4</v>
      </c>
      <c r="F12" s="700">
        <v>1294.4000000000001</v>
      </c>
      <c r="G12" s="700">
        <v>2078.1999999999998</v>
      </c>
      <c r="H12" s="700">
        <v>9790</v>
      </c>
      <c r="I12" s="701">
        <v>724.3</v>
      </c>
      <c r="J12" s="702">
        <v>15436.616595</v>
      </c>
      <c r="K12" s="699">
        <v>7</v>
      </c>
      <c r="L12" s="700">
        <v>12.8</v>
      </c>
      <c r="M12" s="700">
        <v>4.0999999999999996</v>
      </c>
      <c r="N12" s="703">
        <v>203.6</v>
      </c>
      <c r="O12" s="703">
        <v>86.2</v>
      </c>
      <c r="P12" s="700">
        <v>103.3</v>
      </c>
      <c r="Q12" s="700">
        <v>24.5</v>
      </c>
      <c r="R12" s="700">
        <v>6.4</v>
      </c>
      <c r="S12" s="700">
        <v>31</v>
      </c>
      <c r="T12" s="700">
        <v>2.4</v>
      </c>
      <c r="U12" s="700">
        <v>7.1</v>
      </c>
      <c r="V12" s="700">
        <v>0.3</v>
      </c>
      <c r="W12" s="700">
        <v>0.2</v>
      </c>
      <c r="X12" s="704">
        <v>488.9</v>
      </c>
      <c r="Y12" s="705">
        <v>15925.516594999999</v>
      </c>
      <c r="Z12" s="698"/>
      <c r="AA12" s="706"/>
      <c r="AB12" s="706"/>
      <c r="AC12" s="706"/>
    </row>
    <row r="13" spans="1:29" ht="28.5" hidden="1" customHeight="1">
      <c r="A13" s="690">
        <v>39479</v>
      </c>
      <c r="B13" s="699">
        <v>228.09999999999854</v>
      </c>
      <c r="C13" s="700">
        <v>162.30000000000001</v>
      </c>
      <c r="D13" s="700">
        <v>225.4</v>
      </c>
      <c r="E13" s="700">
        <v>913.2</v>
      </c>
      <c r="F13" s="700">
        <v>1229.7</v>
      </c>
      <c r="G13" s="700">
        <v>1964.2</v>
      </c>
      <c r="H13" s="700">
        <v>9538.1</v>
      </c>
      <c r="I13" s="701">
        <v>703.6</v>
      </c>
      <c r="J13" s="702">
        <v>14964.575835</v>
      </c>
      <c r="K13" s="699">
        <v>7</v>
      </c>
      <c r="L13" s="700">
        <v>12.8</v>
      </c>
      <c r="M13" s="700">
        <v>8.8000000000000007</v>
      </c>
      <c r="N13" s="703">
        <v>203.4</v>
      </c>
      <c r="O13" s="703">
        <v>86.3</v>
      </c>
      <c r="P13" s="700">
        <v>104</v>
      </c>
      <c r="Q13" s="700">
        <v>24.6</v>
      </c>
      <c r="R13" s="700">
        <v>6.4</v>
      </c>
      <c r="S13" s="700">
        <v>31.1</v>
      </c>
      <c r="T13" s="700">
        <v>2.4</v>
      </c>
      <c r="U13" s="700">
        <v>7.2</v>
      </c>
      <c r="V13" s="700">
        <v>0.3</v>
      </c>
      <c r="W13" s="700">
        <v>0.2</v>
      </c>
      <c r="X13" s="704">
        <v>494.5</v>
      </c>
      <c r="Y13" s="705">
        <v>15458.975834999999</v>
      </c>
      <c r="Z13" s="698"/>
      <c r="AA13" s="706"/>
      <c r="AB13" s="706"/>
      <c r="AC13" s="706"/>
    </row>
    <row r="14" spans="1:29" ht="28.5" hidden="1" customHeight="1">
      <c r="A14" s="690">
        <v>39508</v>
      </c>
      <c r="B14" s="699">
        <v>228</v>
      </c>
      <c r="C14" s="700">
        <v>155.6</v>
      </c>
      <c r="D14" s="700">
        <v>224.1</v>
      </c>
      <c r="E14" s="700">
        <v>885.2</v>
      </c>
      <c r="F14" s="700">
        <v>1220.4000000000001</v>
      </c>
      <c r="G14" s="700">
        <v>1878.9</v>
      </c>
      <c r="H14" s="700">
        <v>9399.7999999999993</v>
      </c>
      <c r="I14" s="701">
        <v>693.3</v>
      </c>
      <c r="J14" s="702">
        <v>14685.322885</v>
      </c>
      <c r="K14" s="699">
        <v>7</v>
      </c>
      <c r="L14" s="700">
        <v>12.8</v>
      </c>
      <c r="M14" s="700">
        <v>13.47024</v>
      </c>
      <c r="N14" s="703">
        <v>203.34013999999999</v>
      </c>
      <c r="O14" s="703">
        <v>86.178015000000002</v>
      </c>
      <c r="P14" s="700">
        <v>104.259045</v>
      </c>
      <c r="Q14" s="700">
        <v>24.6116755</v>
      </c>
      <c r="R14" s="700">
        <v>6.3554042500000003</v>
      </c>
      <c r="S14" s="700">
        <v>31.303156600000001</v>
      </c>
      <c r="T14" s="700">
        <v>2.4</v>
      </c>
      <c r="U14" s="700">
        <v>7.2</v>
      </c>
      <c r="V14" s="700">
        <v>0.3</v>
      </c>
      <c r="W14" s="700">
        <v>0.2</v>
      </c>
      <c r="X14" s="704">
        <v>499.51767634999999</v>
      </c>
      <c r="Y14" s="705">
        <v>15184.84056135</v>
      </c>
      <c r="Z14" s="698"/>
      <c r="AA14" s="706"/>
      <c r="AB14" s="706"/>
      <c r="AC14" s="706"/>
    </row>
    <row r="15" spans="1:29" ht="28.5" hidden="1" customHeight="1">
      <c r="A15" s="690">
        <v>39539</v>
      </c>
      <c r="B15" s="699">
        <v>228</v>
      </c>
      <c r="C15" s="700">
        <v>150.5</v>
      </c>
      <c r="D15" s="700">
        <v>224.1</v>
      </c>
      <c r="E15" s="700">
        <v>899.9</v>
      </c>
      <c r="F15" s="700">
        <v>1213.2</v>
      </c>
      <c r="G15" s="700">
        <v>1911.1</v>
      </c>
      <c r="H15" s="700">
        <v>9330.1</v>
      </c>
      <c r="I15" s="701">
        <v>733.2</v>
      </c>
      <c r="J15" s="702">
        <v>14690.1</v>
      </c>
      <c r="K15" s="699">
        <v>7</v>
      </c>
      <c r="L15" s="700">
        <v>12.8</v>
      </c>
      <c r="M15" s="700">
        <v>21</v>
      </c>
      <c r="N15" s="703">
        <v>201.7</v>
      </c>
      <c r="O15" s="703">
        <v>85.9</v>
      </c>
      <c r="P15" s="700">
        <v>104.7</v>
      </c>
      <c r="Q15" s="700">
        <v>24.6</v>
      </c>
      <c r="R15" s="700">
        <v>6.4</v>
      </c>
      <c r="S15" s="700">
        <v>31.3</v>
      </c>
      <c r="T15" s="700">
        <v>2.4</v>
      </c>
      <c r="U15" s="700">
        <v>7.3</v>
      </c>
      <c r="V15" s="700">
        <v>0.3</v>
      </c>
      <c r="W15" s="700">
        <v>0.2</v>
      </c>
      <c r="X15" s="704">
        <v>505.6</v>
      </c>
      <c r="Y15" s="705">
        <v>15195.7</v>
      </c>
      <c r="Z15" s="698"/>
      <c r="AA15" s="706"/>
      <c r="AB15" s="706"/>
      <c r="AC15" s="706"/>
    </row>
    <row r="16" spans="1:29" ht="28.5" hidden="1" customHeight="1">
      <c r="A16" s="690">
        <v>39569</v>
      </c>
      <c r="B16" s="699">
        <v>228.1</v>
      </c>
      <c r="C16" s="700">
        <v>145.9</v>
      </c>
      <c r="D16" s="700">
        <v>223.7</v>
      </c>
      <c r="E16" s="700">
        <v>875.2</v>
      </c>
      <c r="F16" s="700">
        <v>1216.2</v>
      </c>
      <c r="G16" s="700">
        <v>1857.7</v>
      </c>
      <c r="H16" s="700">
        <v>9339</v>
      </c>
      <c r="I16" s="701">
        <v>746.8</v>
      </c>
      <c r="J16" s="702">
        <v>14632.557210000001</v>
      </c>
      <c r="K16" s="699">
        <v>7</v>
      </c>
      <c r="L16" s="700">
        <v>12.8</v>
      </c>
      <c r="M16" s="700">
        <v>27.58</v>
      </c>
      <c r="N16" s="703">
        <v>201.1</v>
      </c>
      <c r="O16" s="703">
        <v>85.8</v>
      </c>
      <c r="P16" s="700">
        <v>105</v>
      </c>
      <c r="Q16" s="700">
        <v>24.7</v>
      </c>
      <c r="R16" s="700">
        <v>6.4</v>
      </c>
      <c r="S16" s="700">
        <v>31.4</v>
      </c>
      <c r="T16" s="700">
        <v>2.4</v>
      </c>
      <c r="U16" s="700">
        <v>7.3</v>
      </c>
      <c r="V16" s="700">
        <v>0.3</v>
      </c>
      <c r="W16" s="700">
        <v>0.2</v>
      </c>
      <c r="X16" s="704">
        <v>511.98</v>
      </c>
      <c r="Y16" s="705">
        <v>15144.53721</v>
      </c>
      <c r="Z16" s="698"/>
      <c r="AA16" s="706"/>
      <c r="AB16" s="706"/>
      <c r="AC16" s="706"/>
    </row>
    <row r="17" spans="1:29" s="713" customFormat="1" ht="28.5" hidden="1" customHeight="1">
      <c r="A17" s="690">
        <v>39600</v>
      </c>
      <c r="B17" s="707">
        <v>227.70000000000073</v>
      </c>
      <c r="C17" s="708">
        <v>141.6</v>
      </c>
      <c r="D17" s="708">
        <v>222.5</v>
      </c>
      <c r="E17" s="708">
        <v>867.9</v>
      </c>
      <c r="F17" s="708">
        <v>1198.5999999999999</v>
      </c>
      <c r="G17" s="708">
        <v>1875.2</v>
      </c>
      <c r="H17" s="708">
        <v>9259.2999999999993</v>
      </c>
      <c r="I17" s="709">
        <v>776.1</v>
      </c>
      <c r="J17" s="710">
        <v>14568.9</v>
      </c>
      <c r="K17" s="707">
        <v>7.056</v>
      </c>
      <c r="L17" s="708">
        <v>12.8</v>
      </c>
      <c r="M17" s="708">
        <v>34.090000000000003</v>
      </c>
      <c r="N17" s="711">
        <v>200.8</v>
      </c>
      <c r="O17" s="711">
        <v>85.6</v>
      </c>
      <c r="P17" s="708">
        <v>105.4</v>
      </c>
      <c r="Q17" s="708">
        <v>24.86</v>
      </c>
      <c r="R17" s="708">
        <v>6.3498999999999999</v>
      </c>
      <c r="S17" s="708">
        <v>31.54</v>
      </c>
      <c r="T17" s="708">
        <v>2.4302999999999999</v>
      </c>
      <c r="U17" s="708">
        <v>7.39</v>
      </c>
      <c r="V17" s="708">
        <v>0.33</v>
      </c>
      <c r="W17" s="708">
        <v>0.22</v>
      </c>
      <c r="X17" s="712">
        <v>518.79999999999995</v>
      </c>
      <c r="Y17" s="705">
        <v>15087.699999999999</v>
      </c>
      <c r="Z17" s="698"/>
      <c r="AA17" s="706"/>
      <c r="AB17" s="706"/>
      <c r="AC17" s="706"/>
    </row>
    <row r="18" spans="1:29" s="713" customFormat="1" ht="28.5" hidden="1" customHeight="1">
      <c r="A18" s="690">
        <v>39630</v>
      </c>
      <c r="B18" s="707">
        <v>227.29999999999927</v>
      </c>
      <c r="C18" s="708">
        <v>139.5</v>
      </c>
      <c r="D18" s="708">
        <v>226</v>
      </c>
      <c r="E18" s="708">
        <v>879.6</v>
      </c>
      <c r="F18" s="708">
        <v>1238</v>
      </c>
      <c r="G18" s="708">
        <v>1944</v>
      </c>
      <c r="H18" s="708">
        <v>9572</v>
      </c>
      <c r="I18" s="709">
        <v>865.7</v>
      </c>
      <c r="J18" s="710">
        <v>15092.113185</v>
      </c>
      <c r="K18" s="707">
        <v>7.1</v>
      </c>
      <c r="L18" s="708">
        <v>12.8</v>
      </c>
      <c r="M18" s="708">
        <v>40.47</v>
      </c>
      <c r="N18" s="711">
        <v>200.6</v>
      </c>
      <c r="O18" s="711">
        <v>85.7</v>
      </c>
      <c r="P18" s="708">
        <v>105.7</v>
      </c>
      <c r="Q18" s="708">
        <v>25</v>
      </c>
      <c r="R18" s="708">
        <v>6.3</v>
      </c>
      <c r="S18" s="708">
        <v>31.8</v>
      </c>
      <c r="T18" s="708">
        <v>2.4</v>
      </c>
      <c r="U18" s="708">
        <v>7.5</v>
      </c>
      <c r="V18" s="708">
        <v>0.3</v>
      </c>
      <c r="W18" s="708">
        <v>0.2</v>
      </c>
      <c r="X18" s="712">
        <v>525.87</v>
      </c>
      <c r="Y18" s="705">
        <v>15617.983185000001</v>
      </c>
      <c r="Z18" s="698"/>
      <c r="AA18" s="706"/>
      <c r="AB18" s="706"/>
      <c r="AC18" s="706"/>
    </row>
    <row r="19" spans="1:29" s="713" customFormat="1" ht="28.5" hidden="1" customHeight="1">
      <c r="A19" s="690">
        <v>39661</v>
      </c>
      <c r="B19" s="707">
        <v>227.18999999999869</v>
      </c>
      <c r="C19" s="708">
        <v>138.6</v>
      </c>
      <c r="D19" s="708">
        <v>232.2</v>
      </c>
      <c r="E19" s="708">
        <v>898.1</v>
      </c>
      <c r="F19" s="708">
        <v>1234.3</v>
      </c>
      <c r="G19" s="708">
        <v>1932.9</v>
      </c>
      <c r="H19" s="708">
        <v>9622.1</v>
      </c>
      <c r="I19" s="709">
        <v>921.01</v>
      </c>
      <c r="J19" s="710">
        <v>15206.3951</v>
      </c>
      <c r="K19" s="707">
        <v>7.0739999999999998</v>
      </c>
      <c r="L19" s="708">
        <v>12.831</v>
      </c>
      <c r="M19" s="708">
        <v>47.2</v>
      </c>
      <c r="N19" s="711">
        <v>200.4</v>
      </c>
      <c r="O19" s="711">
        <v>85.8</v>
      </c>
      <c r="P19" s="708">
        <v>106</v>
      </c>
      <c r="Q19" s="708">
        <v>25.1</v>
      </c>
      <c r="R19" s="708">
        <v>6.3</v>
      </c>
      <c r="S19" s="708">
        <v>32</v>
      </c>
      <c r="T19" s="708">
        <v>2.4</v>
      </c>
      <c r="U19" s="708">
        <v>7.5</v>
      </c>
      <c r="V19" s="708">
        <v>0.3</v>
      </c>
      <c r="W19" s="708">
        <v>0.2</v>
      </c>
      <c r="X19" s="712">
        <v>533.20500000000004</v>
      </c>
      <c r="Y19" s="705">
        <v>15739.6001</v>
      </c>
      <c r="Z19" s="698"/>
      <c r="AA19" s="706"/>
      <c r="AB19" s="706"/>
      <c r="AC19" s="706"/>
    </row>
    <row r="20" spans="1:29" s="713" customFormat="1" ht="28.5" hidden="1" customHeight="1">
      <c r="A20" s="690">
        <v>39692</v>
      </c>
      <c r="B20" s="707">
        <v>226.59999999999854</v>
      </c>
      <c r="C20" s="708">
        <v>140.1</v>
      </c>
      <c r="D20" s="708">
        <v>240.3</v>
      </c>
      <c r="E20" s="708">
        <v>892.4</v>
      </c>
      <c r="F20" s="708">
        <v>1250.7</v>
      </c>
      <c r="G20" s="708">
        <v>1966.4</v>
      </c>
      <c r="H20" s="708">
        <v>9647.7000000000007</v>
      </c>
      <c r="I20" s="709">
        <v>951.6</v>
      </c>
      <c r="J20" s="710">
        <v>15315.8</v>
      </c>
      <c r="K20" s="707">
        <v>8</v>
      </c>
      <c r="L20" s="708">
        <v>12.831</v>
      </c>
      <c r="M20" s="708">
        <v>56.2</v>
      </c>
      <c r="N20" s="711">
        <v>203.8</v>
      </c>
      <c r="O20" s="711">
        <v>86.3</v>
      </c>
      <c r="P20" s="708">
        <v>106.2</v>
      </c>
      <c r="Q20" s="708">
        <v>25.3</v>
      </c>
      <c r="R20" s="708">
        <v>6.3</v>
      </c>
      <c r="S20" s="708">
        <v>32.200000000000003</v>
      </c>
      <c r="T20" s="708">
        <v>2.4</v>
      </c>
      <c r="U20" s="708">
        <v>7.6</v>
      </c>
      <c r="V20" s="708">
        <v>0.3</v>
      </c>
      <c r="W20" s="708">
        <v>0.2</v>
      </c>
      <c r="X20" s="712">
        <v>547.70000000000005</v>
      </c>
      <c r="Y20" s="705">
        <v>15863.5</v>
      </c>
      <c r="Z20" s="698"/>
      <c r="AA20" s="706"/>
      <c r="AB20" s="706"/>
      <c r="AC20" s="706"/>
    </row>
    <row r="21" spans="1:29" s="713" customFormat="1" ht="28.5" hidden="1" customHeight="1">
      <c r="A21" s="690">
        <v>39722</v>
      </c>
      <c r="B21" s="707">
        <v>226.6</v>
      </c>
      <c r="C21" s="708">
        <v>145.19999999999999</v>
      </c>
      <c r="D21" s="708">
        <v>227</v>
      </c>
      <c r="E21" s="708">
        <v>913.5</v>
      </c>
      <c r="F21" s="708">
        <v>1271.7</v>
      </c>
      <c r="G21" s="708">
        <v>1996.8</v>
      </c>
      <c r="H21" s="708">
        <v>9826.2999999999993</v>
      </c>
      <c r="I21" s="709">
        <v>1016.8</v>
      </c>
      <c r="J21" s="710">
        <v>15623.885180000001</v>
      </c>
      <c r="K21" s="707">
        <v>8.0610079700000004</v>
      </c>
      <c r="L21" s="708">
        <v>12.827</v>
      </c>
      <c r="M21" s="708">
        <v>65.2</v>
      </c>
      <c r="N21" s="711">
        <v>206.2</v>
      </c>
      <c r="O21" s="711">
        <v>87.1</v>
      </c>
      <c r="P21" s="708">
        <v>106.2</v>
      </c>
      <c r="Q21" s="708">
        <v>25.4</v>
      </c>
      <c r="R21" s="708">
        <v>6.3</v>
      </c>
      <c r="S21" s="708">
        <v>32.4</v>
      </c>
      <c r="T21" s="708">
        <v>2.4</v>
      </c>
      <c r="U21" s="708">
        <v>7.6</v>
      </c>
      <c r="V21" s="708">
        <v>0.3</v>
      </c>
      <c r="W21" s="708">
        <v>0.2</v>
      </c>
      <c r="X21" s="712">
        <v>560.18800796999994</v>
      </c>
      <c r="Y21" s="705">
        <v>16184.073187970002</v>
      </c>
      <c r="Z21" s="698"/>
      <c r="AA21" s="706"/>
      <c r="AB21" s="706"/>
      <c r="AC21" s="706"/>
    </row>
    <row r="22" spans="1:29" s="713" customFormat="1" ht="28.5" hidden="1" customHeight="1">
      <c r="A22" s="690">
        <v>39753</v>
      </c>
      <c r="B22" s="707">
        <v>226.6</v>
      </c>
      <c r="C22" s="708">
        <v>146.19999999999999</v>
      </c>
      <c r="D22" s="708">
        <v>220.6</v>
      </c>
      <c r="E22" s="708">
        <v>913</v>
      </c>
      <c r="F22" s="708">
        <v>1281.3</v>
      </c>
      <c r="G22" s="708">
        <v>2053.8000000000002</v>
      </c>
      <c r="H22" s="708">
        <v>10084.6</v>
      </c>
      <c r="I22" s="709">
        <v>1052.9000000000001</v>
      </c>
      <c r="J22" s="710">
        <v>15979</v>
      </c>
      <c r="K22" s="707">
        <v>8.0632180000000009</v>
      </c>
      <c r="L22" s="708">
        <v>12.839</v>
      </c>
      <c r="M22" s="708">
        <v>72.73</v>
      </c>
      <c r="N22" s="711">
        <v>208.4</v>
      </c>
      <c r="O22" s="711">
        <v>87.7</v>
      </c>
      <c r="P22" s="708">
        <v>106.5</v>
      </c>
      <c r="Q22" s="708">
        <v>25.5</v>
      </c>
      <c r="R22" s="708">
        <v>6.3</v>
      </c>
      <c r="S22" s="708">
        <v>32.6</v>
      </c>
      <c r="T22" s="708">
        <v>2.4</v>
      </c>
      <c r="U22" s="708">
        <v>7.7</v>
      </c>
      <c r="V22" s="708">
        <v>0.3</v>
      </c>
      <c r="W22" s="708">
        <v>0.2</v>
      </c>
      <c r="X22" s="712">
        <v>571.33221800000001</v>
      </c>
      <c r="Y22" s="705">
        <v>16550.332218</v>
      </c>
      <c r="Z22" s="698"/>
      <c r="AA22" s="706"/>
      <c r="AB22" s="706"/>
      <c r="AC22" s="706"/>
    </row>
    <row r="23" spans="1:29" s="713" customFormat="1" ht="28.5" hidden="1" customHeight="1">
      <c r="A23" s="690">
        <v>39783</v>
      </c>
      <c r="B23" s="707">
        <v>226.59999999999854</v>
      </c>
      <c r="C23" s="708">
        <v>165.5</v>
      </c>
      <c r="D23" s="708">
        <v>229</v>
      </c>
      <c r="E23" s="708">
        <v>1113</v>
      </c>
      <c r="F23" s="708">
        <v>1573.8</v>
      </c>
      <c r="G23" s="708">
        <v>2547.3000000000002</v>
      </c>
      <c r="H23" s="708">
        <v>12585.3</v>
      </c>
      <c r="I23" s="709">
        <v>1155.3</v>
      </c>
      <c r="J23" s="710">
        <v>19595.8</v>
      </c>
      <c r="K23" s="707">
        <v>8.0632180000000009</v>
      </c>
      <c r="L23" s="708">
        <v>12.9</v>
      </c>
      <c r="M23" s="708">
        <v>86.8</v>
      </c>
      <c r="N23" s="711">
        <v>213.1</v>
      </c>
      <c r="O23" s="711">
        <v>89.2</v>
      </c>
      <c r="P23" s="708">
        <v>109</v>
      </c>
      <c r="Q23" s="708">
        <v>26</v>
      </c>
      <c r="R23" s="708">
        <v>6.3</v>
      </c>
      <c r="S23" s="708">
        <v>32.9</v>
      </c>
      <c r="T23" s="708">
        <v>2.4</v>
      </c>
      <c r="U23" s="708">
        <v>7.7</v>
      </c>
      <c r="V23" s="708">
        <v>0.3</v>
      </c>
      <c r="W23" s="708">
        <v>0.2</v>
      </c>
      <c r="X23" s="712">
        <v>595</v>
      </c>
      <c r="Y23" s="705">
        <v>20190.8</v>
      </c>
      <c r="Z23" s="698"/>
      <c r="AA23" s="706"/>
      <c r="AB23" s="706"/>
      <c r="AC23" s="706"/>
    </row>
    <row r="24" spans="1:29" s="713" customFormat="1" ht="28.5" hidden="1" customHeight="1">
      <c r="A24" s="690">
        <v>39814</v>
      </c>
      <c r="B24" s="707">
        <v>226.60000000000218</v>
      </c>
      <c r="C24" s="708">
        <v>166.6</v>
      </c>
      <c r="D24" s="708">
        <v>226.2</v>
      </c>
      <c r="E24" s="708">
        <v>990.3</v>
      </c>
      <c r="F24" s="708">
        <v>1352.6</v>
      </c>
      <c r="G24" s="708">
        <v>2162.3000000000002</v>
      </c>
      <c r="H24" s="708">
        <v>11224.3</v>
      </c>
      <c r="I24" s="709">
        <v>1116.8</v>
      </c>
      <c r="J24" s="710">
        <v>17465.7</v>
      </c>
      <c r="K24" s="707">
        <v>8.1</v>
      </c>
      <c r="L24" s="708">
        <v>12.9</v>
      </c>
      <c r="M24" s="708">
        <v>89.4</v>
      </c>
      <c r="N24" s="711">
        <v>213.5</v>
      </c>
      <c r="O24" s="711">
        <v>89.3</v>
      </c>
      <c r="P24" s="708">
        <v>109.2</v>
      </c>
      <c r="Q24" s="708">
        <v>26.1</v>
      </c>
      <c r="R24" s="708">
        <v>6.3</v>
      </c>
      <c r="S24" s="708">
        <v>33</v>
      </c>
      <c r="T24" s="708">
        <v>2.4</v>
      </c>
      <c r="U24" s="708">
        <v>7.8</v>
      </c>
      <c r="V24" s="708">
        <v>0.3</v>
      </c>
      <c r="W24" s="708">
        <v>0.2</v>
      </c>
      <c r="X24" s="712">
        <v>598.4</v>
      </c>
      <c r="Y24" s="705">
        <v>18064.2</v>
      </c>
      <c r="Z24" s="698"/>
      <c r="AA24" s="706"/>
      <c r="AB24" s="706"/>
      <c r="AC24" s="706"/>
    </row>
    <row r="25" spans="1:29" s="713" customFormat="1" ht="28.5" hidden="1" customHeight="1">
      <c r="A25" s="690">
        <v>39845</v>
      </c>
      <c r="B25" s="707">
        <v>225.5</v>
      </c>
      <c r="C25" s="708">
        <v>161.69999999999999</v>
      </c>
      <c r="D25" s="708">
        <v>219.1</v>
      </c>
      <c r="E25" s="708">
        <v>979.6</v>
      </c>
      <c r="F25" s="708">
        <v>1315</v>
      </c>
      <c r="G25" s="708">
        <v>2087.9</v>
      </c>
      <c r="H25" s="708">
        <v>10977.6</v>
      </c>
      <c r="I25" s="709">
        <v>1089.0999999999999</v>
      </c>
      <c r="J25" s="710">
        <v>17055.5</v>
      </c>
      <c r="K25" s="707">
        <v>8.1</v>
      </c>
      <c r="L25" s="708">
        <v>12.9</v>
      </c>
      <c r="M25" s="708">
        <v>90.1</v>
      </c>
      <c r="N25" s="711">
        <v>213</v>
      </c>
      <c r="O25" s="711">
        <v>89.3</v>
      </c>
      <c r="P25" s="708">
        <v>109.3</v>
      </c>
      <c r="Q25" s="708">
        <v>26.1</v>
      </c>
      <c r="R25" s="708">
        <v>6.3</v>
      </c>
      <c r="S25" s="708">
        <v>33.200000000000003</v>
      </c>
      <c r="T25" s="708">
        <v>2.4</v>
      </c>
      <c r="U25" s="708">
        <v>7.8</v>
      </c>
      <c r="V25" s="708">
        <v>0.3</v>
      </c>
      <c r="W25" s="708">
        <v>0.2</v>
      </c>
      <c r="X25" s="712">
        <v>599.1</v>
      </c>
      <c r="Y25" s="705">
        <v>17654.7</v>
      </c>
      <c r="Z25" s="698"/>
      <c r="AA25" s="706"/>
      <c r="AB25" s="706"/>
      <c r="AC25" s="706"/>
    </row>
    <row r="26" spans="1:29" s="713" customFormat="1" ht="28.5" hidden="1" customHeight="1">
      <c r="A26" s="690">
        <v>39873</v>
      </c>
      <c r="B26" s="707">
        <v>225.10000000000218</v>
      </c>
      <c r="C26" s="708">
        <v>157.9</v>
      </c>
      <c r="D26" s="708">
        <v>217.8</v>
      </c>
      <c r="E26" s="708">
        <v>936.1</v>
      </c>
      <c r="F26" s="708">
        <v>1294</v>
      </c>
      <c r="G26" s="708">
        <v>2027.5</v>
      </c>
      <c r="H26" s="708">
        <v>10783.8</v>
      </c>
      <c r="I26" s="709">
        <v>1069</v>
      </c>
      <c r="J26" s="710">
        <v>16711.2</v>
      </c>
      <c r="K26" s="707">
        <v>8.1</v>
      </c>
      <c r="L26" s="708">
        <v>12.9</v>
      </c>
      <c r="M26" s="708">
        <v>91.1</v>
      </c>
      <c r="N26" s="711">
        <v>212.3</v>
      </c>
      <c r="O26" s="711">
        <v>89.2</v>
      </c>
      <c r="P26" s="708">
        <v>110.2</v>
      </c>
      <c r="Q26" s="708">
        <v>26.2</v>
      </c>
      <c r="R26" s="708">
        <v>6.3</v>
      </c>
      <c r="S26" s="708">
        <v>33.299999999999997</v>
      </c>
      <c r="T26" s="708">
        <v>2.4</v>
      </c>
      <c r="U26" s="708">
        <v>7.9</v>
      </c>
      <c r="V26" s="708">
        <v>0.3</v>
      </c>
      <c r="W26" s="708">
        <v>0.2</v>
      </c>
      <c r="X26" s="712">
        <v>600.5</v>
      </c>
      <c r="Y26" s="705">
        <v>17311.599999999999</v>
      </c>
      <c r="Z26" s="698"/>
      <c r="AA26" s="706"/>
      <c r="AB26" s="706"/>
      <c r="AC26" s="706"/>
    </row>
    <row r="27" spans="1:29" s="713" customFormat="1" ht="28.5" hidden="1" customHeight="1">
      <c r="A27" s="690">
        <v>39904</v>
      </c>
      <c r="B27" s="707">
        <v>225.09999999999854</v>
      </c>
      <c r="C27" s="708">
        <v>154.30000000000001</v>
      </c>
      <c r="D27" s="708">
        <v>213.1</v>
      </c>
      <c r="E27" s="708">
        <v>929.7</v>
      </c>
      <c r="F27" s="708">
        <v>1292.2</v>
      </c>
      <c r="G27" s="708">
        <v>2044.1</v>
      </c>
      <c r="H27" s="708">
        <v>10979.6</v>
      </c>
      <c r="I27" s="709">
        <v>1064.2</v>
      </c>
      <c r="J27" s="710">
        <v>16902.316824999998</v>
      </c>
      <c r="K27" s="707">
        <v>8.1</v>
      </c>
      <c r="L27" s="708">
        <v>12.9</v>
      </c>
      <c r="M27" s="708">
        <v>93.9</v>
      </c>
      <c r="N27" s="711">
        <v>210.6</v>
      </c>
      <c r="O27" s="711">
        <v>89</v>
      </c>
      <c r="P27" s="708">
        <v>110.6</v>
      </c>
      <c r="Q27" s="708">
        <v>26.2</v>
      </c>
      <c r="R27" s="708">
        <v>6.3</v>
      </c>
      <c r="S27" s="708">
        <v>33.340000000000003</v>
      </c>
      <c r="T27" s="708">
        <v>2.4</v>
      </c>
      <c r="U27" s="708">
        <v>7.9</v>
      </c>
      <c r="V27" s="708">
        <v>0.3</v>
      </c>
      <c r="W27" s="708">
        <v>0.2</v>
      </c>
      <c r="X27" s="712">
        <v>601.74</v>
      </c>
      <c r="Y27" s="705">
        <v>17504</v>
      </c>
      <c r="Z27" s="698"/>
      <c r="AA27" s="706"/>
      <c r="AB27" s="706"/>
      <c r="AC27" s="706"/>
    </row>
    <row r="28" spans="1:29" s="713" customFormat="1" ht="28.5" hidden="1" customHeight="1">
      <c r="A28" s="690">
        <v>39934</v>
      </c>
      <c r="B28" s="714">
        <v>224.90000000000146</v>
      </c>
      <c r="C28" s="715">
        <v>149.5</v>
      </c>
      <c r="D28" s="715">
        <v>208.1</v>
      </c>
      <c r="E28" s="715">
        <v>930.1</v>
      </c>
      <c r="F28" s="715">
        <v>1251.9000000000001</v>
      </c>
      <c r="G28" s="715">
        <v>2038.3</v>
      </c>
      <c r="H28" s="715">
        <v>10857.6</v>
      </c>
      <c r="I28" s="716">
        <v>1074.8</v>
      </c>
      <c r="J28" s="717">
        <v>16735.169044999999</v>
      </c>
      <c r="K28" s="714">
        <v>8.1</v>
      </c>
      <c r="L28" s="715">
        <v>12.9</v>
      </c>
      <c r="M28" s="715">
        <v>94.8</v>
      </c>
      <c r="N28" s="718">
        <v>209.1</v>
      </c>
      <c r="O28" s="718">
        <v>89.12</v>
      </c>
      <c r="P28" s="715">
        <v>110.7</v>
      </c>
      <c r="Q28" s="715">
        <v>26.16</v>
      </c>
      <c r="R28" s="715">
        <v>6.3</v>
      </c>
      <c r="S28" s="715">
        <v>33.53</v>
      </c>
      <c r="T28" s="715">
        <v>2.4288059999999998</v>
      </c>
      <c r="U28" s="715">
        <v>7.9450000000000003</v>
      </c>
      <c r="V28" s="715">
        <v>0.33050000000000002</v>
      </c>
      <c r="W28" s="715">
        <v>0.222</v>
      </c>
      <c r="X28" s="719">
        <v>601.68630600000006</v>
      </c>
      <c r="Y28" s="720">
        <v>17336.855350999998</v>
      </c>
      <c r="Z28" s="698"/>
      <c r="AA28" s="706"/>
      <c r="AB28" s="706"/>
      <c r="AC28" s="706"/>
    </row>
    <row r="29" spans="1:29" s="713" customFormat="1" ht="28.5" hidden="1" customHeight="1">
      <c r="A29" s="690">
        <v>39965</v>
      </c>
      <c r="B29" s="714">
        <v>223.8600000000024</v>
      </c>
      <c r="C29" s="715">
        <v>144.30000000000001</v>
      </c>
      <c r="D29" s="715">
        <v>203.24</v>
      </c>
      <c r="E29" s="715">
        <v>928.1</v>
      </c>
      <c r="F29" s="715">
        <v>1243.5</v>
      </c>
      <c r="G29" s="715">
        <v>1990.7</v>
      </c>
      <c r="H29" s="715">
        <v>10762.8</v>
      </c>
      <c r="I29" s="716">
        <v>1086.4000000000001</v>
      </c>
      <c r="J29" s="717">
        <v>16582.900000000001</v>
      </c>
      <c r="K29" s="714">
        <v>8.1</v>
      </c>
      <c r="L29" s="715">
        <v>12.9</v>
      </c>
      <c r="M29" s="715">
        <v>95.2</v>
      </c>
      <c r="N29" s="718">
        <v>209</v>
      </c>
      <c r="O29" s="718">
        <v>89.1</v>
      </c>
      <c r="P29" s="715">
        <v>110.8</v>
      </c>
      <c r="Q29" s="715">
        <v>26.2</v>
      </c>
      <c r="R29" s="715">
        <v>6.3</v>
      </c>
      <c r="S29" s="715">
        <v>33.56</v>
      </c>
      <c r="T29" s="715">
        <v>2.4</v>
      </c>
      <c r="U29" s="715">
        <v>8</v>
      </c>
      <c r="V29" s="715">
        <v>0.3</v>
      </c>
      <c r="W29" s="715">
        <v>0.2</v>
      </c>
      <c r="X29" s="719">
        <v>602.16</v>
      </c>
      <c r="Y29" s="720">
        <v>17185.060000000001</v>
      </c>
      <c r="Z29" s="698"/>
      <c r="AA29" s="706"/>
      <c r="AB29" s="706"/>
      <c r="AC29" s="706"/>
    </row>
    <row r="30" spans="1:29" s="713" customFormat="1" ht="28.5" hidden="1" customHeight="1">
      <c r="A30" s="690">
        <v>39995</v>
      </c>
      <c r="B30" s="714">
        <v>224</v>
      </c>
      <c r="C30" s="715">
        <v>142.69999999999999</v>
      </c>
      <c r="D30" s="715">
        <v>202.2</v>
      </c>
      <c r="E30" s="715">
        <v>922.7</v>
      </c>
      <c r="F30" s="715">
        <v>1283.3</v>
      </c>
      <c r="G30" s="715">
        <v>2090.8000000000002</v>
      </c>
      <c r="H30" s="715">
        <v>11081.6</v>
      </c>
      <c r="I30" s="716">
        <v>1112.2</v>
      </c>
      <c r="J30" s="717">
        <v>17059.5</v>
      </c>
      <c r="K30" s="714">
        <v>8.1</v>
      </c>
      <c r="L30" s="715">
        <v>12.9</v>
      </c>
      <c r="M30" s="715">
        <v>100.5</v>
      </c>
      <c r="N30" s="718">
        <v>209.2</v>
      </c>
      <c r="O30" s="718">
        <v>89.1</v>
      </c>
      <c r="P30" s="715">
        <v>110.9</v>
      </c>
      <c r="Q30" s="715">
        <v>26.3</v>
      </c>
      <c r="R30" s="715">
        <v>6.3</v>
      </c>
      <c r="S30" s="715">
        <v>33.56</v>
      </c>
      <c r="T30" s="715">
        <v>2.4</v>
      </c>
      <c r="U30" s="715">
        <v>8</v>
      </c>
      <c r="V30" s="715">
        <v>0.3</v>
      </c>
      <c r="W30" s="715">
        <v>0.2</v>
      </c>
      <c r="X30" s="719">
        <v>607.8599999999999</v>
      </c>
      <c r="Y30" s="720">
        <v>17667.36</v>
      </c>
      <c r="Z30" s="698"/>
      <c r="AA30" s="706"/>
      <c r="AB30" s="706"/>
      <c r="AC30" s="706"/>
    </row>
    <row r="31" spans="1:29" s="713" customFormat="1" ht="28.5" hidden="1" customHeight="1">
      <c r="A31" s="690">
        <v>40026</v>
      </c>
      <c r="B31" s="714">
        <v>223.9</v>
      </c>
      <c r="C31" s="715">
        <v>142.69999999999999</v>
      </c>
      <c r="D31" s="715">
        <v>201.1</v>
      </c>
      <c r="E31" s="715">
        <v>931.1</v>
      </c>
      <c r="F31" s="715">
        <v>1288.4000000000001</v>
      </c>
      <c r="G31" s="715">
        <v>2081.8000000000002</v>
      </c>
      <c r="H31" s="715">
        <v>11138.7</v>
      </c>
      <c r="I31" s="716">
        <v>1113.7</v>
      </c>
      <c r="J31" s="717">
        <v>17121.400000000001</v>
      </c>
      <c r="K31" s="714">
        <v>8.1</v>
      </c>
      <c r="L31" s="715">
        <v>12.9</v>
      </c>
      <c r="M31" s="715">
        <v>107.3</v>
      </c>
      <c r="N31" s="718">
        <v>209</v>
      </c>
      <c r="O31" s="718">
        <v>89.2</v>
      </c>
      <c r="P31" s="715">
        <v>111.1</v>
      </c>
      <c r="Q31" s="715">
        <v>26.5</v>
      </c>
      <c r="R31" s="715">
        <v>6.3</v>
      </c>
      <c r="S31" s="715">
        <v>33.700000000000003</v>
      </c>
      <c r="T31" s="715">
        <v>2.4</v>
      </c>
      <c r="U31" s="715">
        <v>8</v>
      </c>
      <c r="V31" s="715">
        <v>0.3</v>
      </c>
      <c r="W31" s="715">
        <v>0.2</v>
      </c>
      <c r="X31" s="719">
        <v>615.1</v>
      </c>
      <c r="Y31" s="720">
        <v>17736.5</v>
      </c>
      <c r="Z31" s="698"/>
      <c r="AA31" s="706"/>
      <c r="AB31" s="706"/>
      <c r="AC31" s="706"/>
    </row>
    <row r="32" spans="1:29" s="713" customFormat="1" ht="28.5" hidden="1" customHeight="1">
      <c r="A32" s="690">
        <v>40057</v>
      </c>
      <c r="B32" s="714">
        <v>223.8</v>
      </c>
      <c r="C32" s="715">
        <v>148.5</v>
      </c>
      <c r="D32" s="715">
        <v>200.5</v>
      </c>
      <c r="E32" s="715">
        <v>939.9</v>
      </c>
      <c r="F32" s="715">
        <v>1303.0999999999999</v>
      </c>
      <c r="G32" s="715">
        <v>2058.9</v>
      </c>
      <c r="H32" s="715">
        <v>10927.5</v>
      </c>
      <c r="I32" s="716">
        <v>1104.5</v>
      </c>
      <c r="J32" s="717">
        <v>16906.7</v>
      </c>
      <c r="K32" s="714">
        <v>8.1</v>
      </c>
      <c r="L32" s="715">
        <v>12.9</v>
      </c>
      <c r="M32" s="715">
        <v>113.8</v>
      </c>
      <c r="N32" s="718">
        <v>209.3</v>
      </c>
      <c r="O32" s="718">
        <v>89.2</v>
      </c>
      <c r="P32" s="715">
        <v>111.7</v>
      </c>
      <c r="Q32" s="715">
        <v>26.6</v>
      </c>
      <c r="R32" s="715">
        <v>6.3</v>
      </c>
      <c r="S32" s="715">
        <v>34</v>
      </c>
      <c r="T32" s="715">
        <v>2.4</v>
      </c>
      <c r="U32" s="715">
        <v>8.1</v>
      </c>
      <c r="V32" s="715">
        <v>0.3</v>
      </c>
      <c r="W32" s="715">
        <v>0.2</v>
      </c>
      <c r="X32" s="719">
        <v>623.04499999999996</v>
      </c>
      <c r="Y32" s="720">
        <v>17529.7</v>
      </c>
      <c r="Z32" s="698"/>
      <c r="AA32" s="706"/>
      <c r="AB32" s="706"/>
      <c r="AC32" s="706"/>
    </row>
    <row r="33" spans="1:29" s="713" customFormat="1" ht="28.5" hidden="1" customHeight="1">
      <c r="A33" s="690">
        <v>40087</v>
      </c>
      <c r="B33" s="714">
        <v>223.65862500000003</v>
      </c>
      <c r="C33" s="715">
        <v>154.61484999999999</v>
      </c>
      <c r="D33" s="715">
        <v>199.25479999999999</v>
      </c>
      <c r="E33" s="715">
        <v>951.44920000000002</v>
      </c>
      <c r="F33" s="715">
        <v>1307.9898000000001</v>
      </c>
      <c r="G33" s="715">
        <v>2127.0259999999998</v>
      </c>
      <c r="H33" s="715">
        <v>11263.867</v>
      </c>
      <c r="I33" s="716">
        <v>1113.374</v>
      </c>
      <c r="J33" s="717">
        <v>17341.234274999999</v>
      </c>
      <c r="K33" s="714">
        <v>8.1999999999999993</v>
      </c>
      <c r="L33" s="715">
        <v>12.9</v>
      </c>
      <c r="M33" s="715">
        <v>118.3</v>
      </c>
      <c r="N33" s="718">
        <v>209.3</v>
      </c>
      <c r="O33" s="718">
        <v>89.27</v>
      </c>
      <c r="P33" s="715">
        <v>112</v>
      </c>
      <c r="Q33" s="715">
        <v>26.71</v>
      </c>
      <c r="R33" s="715">
        <v>6.3</v>
      </c>
      <c r="S33" s="715">
        <v>34.25</v>
      </c>
      <c r="T33" s="715">
        <v>2.4</v>
      </c>
      <c r="U33" s="715">
        <v>8.1</v>
      </c>
      <c r="V33" s="715">
        <v>0.3</v>
      </c>
      <c r="W33" s="715">
        <v>0.2</v>
      </c>
      <c r="X33" s="719">
        <v>628.33000000000004</v>
      </c>
      <c r="Y33" s="720">
        <v>17969.564275000001</v>
      </c>
      <c r="Z33" s="698"/>
      <c r="AA33" s="706"/>
      <c r="AB33" s="706"/>
      <c r="AC33" s="706"/>
    </row>
    <row r="34" spans="1:29" s="713" customFormat="1" ht="28.5" hidden="1" customHeight="1">
      <c r="A34" s="690">
        <v>40118</v>
      </c>
      <c r="B34" s="714">
        <v>223.6</v>
      </c>
      <c r="C34" s="715">
        <v>153.30000000000001</v>
      </c>
      <c r="D34" s="715">
        <v>197.7</v>
      </c>
      <c r="E34" s="715">
        <v>964.86</v>
      </c>
      <c r="F34" s="715">
        <v>1333.5</v>
      </c>
      <c r="G34" s="715">
        <v>2126.8000000000002</v>
      </c>
      <c r="H34" s="715">
        <v>11465</v>
      </c>
      <c r="I34" s="716">
        <v>1107.7</v>
      </c>
      <c r="J34" s="717">
        <v>17572.460000000003</v>
      </c>
      <c r="K34" s="714">
        <v>8.5</v>
      </c>
      <c r="L34" s="715">
        <v>13</v>
      </c>
      <c r="M34" s="715">
        <v>122.9</v>
      </c>
      <c r="N34" s="718">
        <v>210.9</v>
      </c>
      <c r="O34" s="718">
        <v>89.7</v>
      </c>
      <c r="P34" s="715">
        <v>113.2</v>
      </c>
      <c r="Q34" s="715">
        <v>27.2</v>
      </c>
      <c r="R34" s="715">
        <v>6.3</v>
      </c>
      <c r="S34" s="715">
        <v>34.5</v>
      </c>
      <c r="T34" s="715">
        <v>2.4</v>
      </c>
      <c r="U34" s="715">
        <v>8.1999999999999993</v>
      </c>
      <c r="V34" s="715">
        <v>0.3</v>
      </c>
      <c r="W34" s="715">
        <v>0.2</v>
      </c>
      <c r="X34" s="719">
        <v>637.30000000000007</v>
      </c>
      <c r="Y34" s="720">
        <v>18209.760000000002</v>
      </c>
      <c r="Z34" s="698"/>
      <c r="AA34" s="706"/>
      <c r="AB34" s="706"/>
      <c r="AC34" s="706"/>
    </row>
    <row r="35" spans="1:29" s="713" customFormat="1" ht="28.5" hidden="1" customHeight="1">
      <c r="A35" s="690">
        <v>40148</v>
      </c>
      <c r="B35" s="714">
        <v>223.5</v>
      </c>
      <c r="C35" s="715">
        <v>157.11632499999999</v>
      </c>
      <c r="D35" s="715">
        <v>207.54839999999999</v>
      </c>
      <c r="E35" s="715">
        <v>1103.7596000000001</v>
      </c>
      <c r="F35" s="715">
        <v>1611.6784</v>
      </c>
      <c r="G35" s="715">
        <v>2578.212</v>
      </c>
      <c r="H35" s="715">
        <v>13609.625</v>
      </c>
      <c r="I35" s="716">
        <v>1163.1199999999999</v>
      </c>
      <c r="J35" s="717">
        <v>20654.559724999999</v>
      </c>
      <c r="K35" s="714">
        <v>8.5850000000000009</v>
      </c>
      <c r="L35" s="715">
        <v>12.955</v>
      </c>
      <c r="M35" s="715">
        <v>133.39807999999999</v>
      </c>
      <c r="N35" s="718">
        <v>216.40622999999999</v>
      </c>
      <c r="O35" s="721">
        <v>93.355885000000001</v>
      </c>
      <c r="P35" s="722">
        <v>114.90643</v>
      </c>
      <c r="Q35" s="715">
        <v>27.515757000000001</v>
      </c>
      <c r="R35" s="715">
        <v>6.3474992500000003</v>
      </c>
      <c r="S35" s="715">
        <v>34.670226199999995</v>
      </c>
      <c r="T35" s="715">
        <v>2.4285654999999999</v>
      </c>
      <c r="U35" s="715">
        <v>8.2286047</v>
      </c>
      <c r="V35" s="715">
        <v>0.33051676000000002</v>
      </c>
      <c r="W35" s="715">
        <v>0.22206902000000001</v>
      </c>
      <c r="X35" s="719">
        <v>659.34986343000003</v>
      </c>
      <c r="Y35" s="720">
        <v>21313.90958843</v>
      </c>
      <c r="Z35" s="698"/>
      <c r="AA35" s="706"/>
      <c r="AB35" s="706"/>
      <c r="AC35" s="706"/>
    </row>
    <row r="36" spans="1:29" s="713" customFormat="1" ht="28.5" hidden="1" customHeight="1">
      <c r="A36" s="690">
        <v>40179</v>
      </c>
      <c r="B36" s="714">
        <v>223.4</v>
      </c>
      <c r="C36" s="715">
        <v>163.1</v>
      </c>
      <c r="D36" s="715">
        <v>206.7</v>
      </c>
      <c r="E36" s="715">
        <v>1000.4</v>
      </c>
      <c r="F36" s="715">
        <v>1380.6</v>
      </c>
      <c r="G36" s="715">
        <v>2232</v>
      </c>
      <c r="H36" s="715">
        <v>12193.1</v>
      </c>
      <c r="I36" s="716">
        <v>1132</v>
      </c>
      <c r="J36" s="717">
        <v>18531.3</v>
      </c>
      <c r="K36" s="714">
        <v>8.6</v>
      </c>
      <c r="L36" s="715">
        <v>12.9621</v>
      </c>
      <c r="M36" s="715">
        <v>136.4</v>
      </c>
      <c r="N36" s="718">
        <v>218.57</v>
      </c>
      <c r="O36" s="721">
        <v>93.36</v>
      </c>
      <c r="P36" s="722">
        <v>116.24</v>
      </c>
      <c r="Q36" s="715">
        <v>27.76</v>
      </c>
      <c r="R36" s="715">
        <v>6.3474992500000003</v>
      </c>
      <c r="S36" s="715">
        <v>34.700000000000003</v>
      </c>
      <c r="T36" s="715">
        <v>2.4</v>
      </c>
      <c r="U36" s="715">
        <v>8.1999999999999993</v>
      </c>
      <c r="V36" s="715">
        <v>0.3</v>
      </c>
      <c r="W36" s="715">
        <v>0.2</v>
      </c>
      <c r="X36" s="719">
        <v>666.03959925000015</v>
      </c>
      <c r="Y36" s="720">
        <v>19197.339599250001</v>
      </c>
      <c r="Z36" s="698"/>
      <c r="AA36" s="706"/>
      <c r="AB36" s="706"/>
      <c r="AC36" s="706"/>
    </row>
    <row r="37" spans="1:29" s="713" customFormat="1" ht="28.5" hidden="1" customHeight="1">
      <c r="A37" s="690">
        <v>40210</v>
      </c>
      <c r="B37" s="714">
        <v>223.3</v>
      </c>
      <c r="C37" s="715">
        <v>161.252725</v>
      </c>
      <c r="D37" s="715">
        <v>206.64425</v>
      </c>
      <c r="E37" s="715">
        <v>979.74149999999997</v>
      </c>
      <c r="F37" s="715">
        <v>1375.3363999999999</v>
      </c>
      <c r="G37" s="715">
        <v>2160.5745000000002</v>
      </c>
      <c r="H37" s="715">
        <v>11993.867</v>
      </c>
      <c r="I37" s="716">
        <v>1119.5519999999999</v>
      </c>
      <c r="J37" s="717">
        <v>18220.268375</v>
      </c>
      <c r="K37" s="714">
        <v>8.6</v>
      </c>
      <c r="L37" s="715">
        <v>13</v>
      </c>
      <c r="M37" s="715">
        <v>134.91</v>
      </c>
      <c r="N37" s="718">
        <v>218.6</v>
      </c>
      <c r="O37" s="721">
        <v>93.4</v>
      </c>
      <c r="P37" s="722">
        <v>116.99</v>
      </c>
      <c r="Q37" s="715">
        <v>27.76</v>
      </c>
      <c r="R37" s="715">
        <v>6.3474992500000003</v>
      </c>
      <c r="S37" s="715">
        <v>34.799999999999997</v>
      </c>
      <c r="T37" s="715">
        <v>2.4</v>
      </c>
      <c r="U37" s="715">
        <v>8.25</v>
      </c>
      <c r="V37" s="715">
        <v>0.33</v>
      </c>
      <c r="W37" s="715">
        <v>0.2</v>
      </c>
      <c r="X37" s="719">
        <v>665.59</v>
      </c>
      <c r="Y37" s="720">
        <v>18885.858375</v>
      </c>
      <c r="Z37" s="698"/>
      <c r="AA37" s="706"/>
      <c r="AB37" s="706"/>
      <c r="AC37" s="706"/>
    </row>
    <row r="38" spans="1:29" s="713" customFormat="1" ht="28.5" hidden="1" customHeight="1">
      <c r="A38" s="690">
        <v>40238</v>
      </c>
      <c r="B38" s="714">
        <v>223.3</v>
      </c>
      <c r="C38" s="715">
        <v>162.4</v>
      </c>
      <c r="D38" s="715">
        <v>203.1</v>
      </c>
      <c r="E38" s="715">
        <v>980.83</v>
      </c>
      <c r="F38" s="715">
        <v>1372.3</v>
      </c>
      <c r="G38" s="715">
        <v>2229.5</v>
      </c>
      <c r="H38" s="715">
        <v>12056.4</v>
      </c>
      <c r="I38" s="716">
        <v>1097.7</v>
      </c>
      <c r="J38" s="717">
        <v>18325.53</v>
      </c>
      <c r="K38" s="714">
        <v>8.61</v>
      </c>
      <c r="L38" s="715">
        <v>12.967000000000001</v>
      </c>
      <c r="M38" s="715">
        <v>130.96</v>
      </c>
      <c r="N38" s="718">
        <v>218.20168000000001</v>
      </c>
      <c r="O38" s="721">
        <v>94.12</v>
      </c>
      <c r="P38" s="722">
        <v>117.398</v>
      </c>
      <c r="Q38" s="715">
        <v>27.76</v>
      </c>
      <c r="R38" s="715">
        <v>6.3470000000000004</v>
      </c>
      <c r="S38" s="715">
        <v>35.049999999999997</v>
      </c>
      <c r="T38" s="715">
        <v>2.4300000000000002</v>
      </c>
      <c r="U38" s="715">
        <v>8.2606000000000002</v>
      </c>
      <c r="V38" s="715">
        <v>0.33</v>
      </c>
      <c r="W38" s="715">
        <v>0.2</v>
      </c>
      <c r="X38" s="719">
        <v>662.63427999999999</v>
      </c>
      <c r="Y38" s="720">
        <v>18988.164280000001</v>
      </c>
      <c r="Z38" s="698"/>
      <c r="AA38" s="706"/>
      <c r="AB38" s="706"/>
      <c r="AC38" s="706"/>
    </row>
    <row r="39" spans="1:29" s="713" customFormat="1" ht="28.5" hidden="1" customHeight="1">
      <c r="A39" s="690">
        <v>40269</v>
      </c>
      <c r="B39" s="714">
        <v>223.2</v>
      </c>
      <c r="C39" s="715">
        <v>170.58</v>
      </c>
      <c r="D39" s="715">
        <v>220.6797</v>
      </c>
      <c r="E39" s="715">
        <v>970.68</v>
      </c>
      <c r="F39" s="715">
        <v>1337.58</v>
      </c>
      <c r="G39" s="715">
        <v>2183.1799999999998</v>
      </c>
      <c r="H39" s="715">
        <v>12143.69</v>
      </c>
      <c r="I39" s="716">
        <v>1082.3499999999999</v>
      </c>
      <c r="J39" s="717">
        <v>18331.939699999999</v>
      </c>
      <c r="K39" s="714">
        <v>8.6</v>
      </c>
      <c r="L39" s="715">
        <v>12.97</v>
      </c>
      <c r="M39" s="715">
        <v>131.37</v>
      </c>
      <c r="N39" s="718">
        <v>218.35</v>
      </c>
      <c r="O39" s="721">
        <v>95.01</v>
      </c>
      <c r="P39" s="722">
        <v>117.64</v>
      </c>
      <c r="Q39" s="715">
        <v>27.75</v>
      </c>
      <c r="R39" s="715">
        <v>6.34</v>
      </c>
      <c r="S39" s="715">
        <v>35.17</v>
      </c>
      <c r="T39" s="715">
        <v>2.42</v>
      </c>
      <c r="U39" s="715">
        <v>8.26</v>
      </c>
      <c r="V39" s="715">
        <v>0.33</v>
      </c>
      <c r="W39" s="715">
        <v>0.22</v>
      </c>
      <c r="X39" s="719">
        <v>664.43</v>
      </c>
      <c r="Y39" s="720">
        <v>18996.369699999999</v>
      </c>
      <c r="Z39" s="698"/>
      <c r="AA39" s="706"/>
      <c r="AB39" s="706"/>
      <c r="AC39" s="706"/>
    </row>
    <row r="40" spans="1:29" s="713" customFormat="1" ht="28.5" hidden="1" customHeight="1">
      <c r="A40" s="690">
        <v>40299</v>
      </c>
      <c r="B40" s="714">
        <v>219.7</v>
      </c>
      <c r="C40" s="715">
        <v>173.1</v>
      </c>
      <c r="D40" s="715">
        <v>233</v>
      </c>
      <c r="E40" s="715">
        <v>978.9</v>
      </c>
      <c r="F40" s="715">
        <v>1364.79</v>
      </c>
      <c r="G40" s="715">
        <v>2189.9</v>
      </c>
      <c r="H40" s="715">
        <v>12249.4</v>
      </c>
      <c r="I40" s="716">
        <v>1080.0999999999999</v>
      </c>
      <c r="J40" s="723">
        <v>18488.89</v>
      </c>
      <c r="K40" s="714">
        <v>8.6</v>
      </c>
      <c r="L40" s="715">
        <v>12.98</v>
      </c>
      <c r="M40" s="715">
        <v>129.77000000000001</v>
      </c>
      <c r="N40" s="724">
        <v>218.63</v>
      </c>
      <c r="O40" s="724">
        <v>95.18</v>
      </c>
      <c r="P40" s="725">
        <v>117.85</v>
      </c>
      <c r="Q40" s="725">
        <v>27.8</v>
      </c>
      <c r="R40" s="715">
        <v>6.3</v>
      </c>
      <c r="S40" s="715">
        <v>35.25</v>
      </c>
      <c r="T40" s="715">
        <v>2.4300000000000002</v>
      </c>
      <c r="U40" s="715">
        <v>8.33</v>
      </c>
      <c r="V40" s="715">
        <v>0.33</v>
      </c>
      <c r="W40" s="715">
        <v>0.22</v>
      </c>
      <c r="X40" s="719">
        <v>663.67</v>
      </c>
      <c r="Y40" s="720">
        <v>19152.559999999998</v>
      </c>
      <c r="Z40" s="698"/>
      <c r="AA40" s="706"/>
      <c r="AB40" s="706"/>
      <c r="AC40" s="706"/>
    </row>
    <row r="41" spans="1:29" s="713" customFormat="1" ht="28.5" hidden="1" customHeight="1">
      <c r="A41" s="690">
        <v>40330</v>
      </c>
      <c r="B41" s="714">
        <v>219.6</v>
      </c>
      <c r="C41" s="715">
        <v>174.9</v>
      </c>
      <c r="D41" s="715">
        <v>236.9</v>
      </c>
      <c r="E41" s="715">
        <v>957.7</v>
      </c>
      <c r="F41" s="715">
        <v>1316</v>
      </c>
      <c r="G41" s="715">
        <v>2155.4</v>
      </c>
      <c r="H41" s="715">
        <v>12099.4</v>
      </c>
      <c r="I41" s="716">
        <v>1068.5</v>
      </c>
      <c r="J41" s="723">
        <v>18228.400000000001</v>
      </c>
      <c r="K41" s="714">
        <v>8.6</v>
      </c>
      <c r="L41" s="715">
        <v>12.98</v>
      </c>
      <c r="M41" s="715">
        <v>128.6</v>
      </c>
      <c r="N41" s="724">
        <v>217.07</v>
      </c>
      <c r="O41" s="724">
        <v>95.27</v>
      </c>
      <c r="P41" s="725">
        <v>118.08</v>
      </c>
      <c r="Q41" s="725">
        <v>27.83</v>
      </c>
      <c r="R41" s="715">
        <v>6.3</v>
      </c>
      <c r="S41" s="715">
        <v>35.54</v>
      </c>
      <c r="T41" s="715">
        <v>2.4300000000000002</v>
      </c>
      <c r="U41" s="715">
        <v>8.41</v>
      </c>
      <c r="V41" s="715">
        <v>0.33</v>
      </c>
      <c r="W41" s="715">
        <v>0.22</v>
      </c>
      <c r="X41" s="719">
        <v>661.66</v>
      </c>
      <c r="Y41" s="720">
        <v>18890.060000000001</v>
      </c>
      <c r="Z41" s="698"/>
      <c r="AA41" s="706"/>
      <c r="AB41" s="706"/>
      <c r="AC41" s="706"/>
    </row>
    <row r="42" spans="1:29" s="713" customFormat="1" ht="28.5" hidden="1" customHeight="1">
      <c r="A42" s="690">
        <v>40360</v>
      </c>
      <c r="B42" s="714">
        <v>219.56</v>
      </c>
      <c r="C42" s="715">
        <v>175.46</v>
      </c>
      <c r="D42" s="715">
        <v>242.4</v>
      </c>
      <c r="E42" s="715">
        <v>973.4</v>
      </c>
      <c r="F42" s="715">
        <v>1327</v>
      </c>
      <c r="G42" s="715">
        <v>2207</v>
      </c>
      <c r="H42" s="715">
        <v>12337.3</v>
      </c>
      <c r="I42" s="716">
        <v>1059.5999999999999</v>
      </c>
      <c r="J42" s="723">
        <v>18541.72</v>
      </c>
      <c r="K42" s="714">
        <v>8.6</v>
      </c>
      <c r="L42" s="715">
        <v>12.98</v>
      </c>
      <c r="M42" s="715">
        <v>126.51</v>
      </c>
      <c r="N42" s="724">
        <v>215.95</v>
      </c>
      <c r="O42" s="724">
        <v>95.09</v>
      </c>
      <c r="P42" s="725">
        <v>118.4</v>
      </c>
      <c r="Q42" s="725">
        <v>27.9</v>
      </c>
      <c r="R42" s="715">
        <v>6.3460000000000001</v>
      </c>
      <c r="S42" s="715">
        <v>35.64</v>
      </c>
      <c r="T42" s="715">
        <v>2.4300000000000002</v>
      </c>
      <c r="U42" s="715">
        <v>8.4600000000000009</v>
      </c>
      <c r="V42" s="715">
        <v>0.33</v>
      </c>
      <c r="W42" s="715">
        <v>0.22</v>
      </c>
      <c r="X42" s="719">
        <v>658.85599999999999</v>
      </c>
      <c r="Y42" s="720">
        <v>19200.575999999997</v>
      </c>
      <c r="Z42" s="698"/>
      <c r="AA42" s="706"/>
      <c r="AB42" s="706"/>
      <c r="AC42" s="706"/>
    </row>
    <row r="43" spans="1:29" s="713" customFormat="1" ht="28.5" hidden="1" customHeight="1">
      <c r="A43" s="690">
        <v>40391</v>
      </c>
      <c r="B43" s="714">
        <v>219.5</v>
      </c>
      <c r="C43" s="715">
        <v>179.6</v>
      </c>
      <c r="D43" s="715">
        <v>251.75</v>
      </c>
      <c r="E43" s="715">
        <v>972.95</v>
      </c>
      <c r="F43" s="715">
        <v>1361.1</v>
      </c>
      <c r="G43" s="715">
        <v>2211.4899999999998</v>
      </c>
      <c r="H43" s="715">
        <v>12434.69</v>
      </c>
      <c r="I43" s="716">
        <v>1049.9000000000001</v>
      </c>
      <c r="J43" s="723">
        <v>18680.98</v>
      </c>
      <c r="K43" s="714">
        <v>8.6300000000000008</v>
      </c>
      <c r="L43" s="715">
        <v>12.99</v>
      </c>
      <c r="M43" s="715">
        <v>126.58</v>
      </c>
      <c r="N43" s="724">
        <v>215.91</v>
      </c>
      <c r="O43" s="724">
        <v>95.42</v>
      </c>
      <c r="P43" s="725">
        <v>118.66</v>
      </c>
      <c r="Q43" s="725">
        <v>28</v>
      </c>
      <c r="R43" s="715">
        <v>6.3460000000000001</v>
      </c>
      <c r="S43" s="715">
        <v>35.89</v>
      </c>
      <c r="T43" s="715">
        <v>2.4</v>
      </c>
      <c r="U43" s="715">
        <v>8.5030000000000001</v>
      </c>
      <c r="V43" s="715">
        <v>0.33</v>
      </c>
      <c r="W43" s="715">
        <v>0.22</v>
      </c>
      <c r="X43" s="719">
        <v>659.87900000000013</v>
      </c>
      <c r="Y43" s="720">
        <v>19340.859000000004</v>
      </c>
      <c r="Z43" s="698"/>
      <c r="AA43" s="706"/>
      <c r="AB43" s="706"/>
      <c r="AC43" s="706"/>
    </row>
    <row r="44" spans="1:29" s="713" customFormat="1" ht="28.5" hidden="1" customHeight="1">
      <c r="A44" s="690">
        <v>40422</v>
      </c>
      <c r="B44" s="714">
        <v>219.44</v>
      </c>
      <c r="C44" s="715">
        <v>182.4</v>
      </c>
      <c r="D44" s="715">
        <v>255.9</v>
      </c>
      <c r="E44" s="715">
        <v>1013.9</v>
      </c>
      <c r="F44" s="715">
        <v>1350.8</v>
      </c>
      <c r="G44" s="715">
        <v>2246.6999999999998</v>
      </c>
      <c r="H44" s="715">
        <v>12363.3</v>
      </c>
      <c r="I44" s="716">
        <v>1044.5999999999999</v>
      </c>
      <c r="J44" s="723">
        <v>18677.039999999997</v>
      </c>
      <c r="K44" s="714">
        <v>8.6</v>
      </c>
      <c r="L44" s="715">
        <v>12.99</v>
      </c>
      <c r="M44" s="715">
        <v>126.69</v>
      </c>
      <c r="N44" s="724">
        <v>215.62</v>
      </c>
      <c r="O44" s="724">
        <v>95.63</v>
      </c>
      <c r="P44" s="725">
        <v>118.81</v>
      </c>
      <c r="Q44" s="725">
        <v>28.06</v>
      </c>
      <c r="R44" s="715">
        <v>6.3</v>
      </c>
      <c r="S44" s="715">
        <v>35.93</v>
      </c>
      <c r="T44" s="715">
        <v>2.4300000000000002</v>
      </c>
      <c r="U44" s="715">
        <v>8.5500000000000007</v>
      </c>
      <c r="V44" s="715">
        <v>0.33</v>
      </c>
      <c r="W44" s="715">
        <v>0.2</v>
      </c>
      <c r="X44" s="719">
        <v>660.14999999999975</v>
      </c>
      <c r="Y44" s="720">
        <v>19337.189999999999</v>
      </c>
      <c r="Z44" s="698"/>
      <c r="AA44" s="706"/>
      <c r="AB44" s="706"/>
      <c r="AC44" s="706"/>
    </row>
    <row r="45" spans="1:29" s="713" customFormat="1" ht="28.5" hidden="1" customHeight="1">
      <c r="A45" s="690">
        <v>40452</v>
      </c>
      <c r="B45" s="714">
        <v>219.39</v>
      </c>
      <c r="C45" s="715">
        <v>180.07</v>
      </c>
      <c r="D45" s="715">
        <v>252.2</v>
      </c>
      <c r="E45" s="715">
        <v>1009.1</v>
      </c>
      <c r="F45" s="715">
        <v>1357.59</v>
      </c>
      <c r="G45" s="715">
        <v>2233.25</v>
      </c>
      <c r="H45" s="715">
        <v>12536.1</v>
      </c>
      <c r="I45" s="716">
        <v>1034.5999999999999</v>
      </c>
      <c r="J45" s="723">
        <v>18822.3</v>
      </c>
      <c r="K45" s="714">
        <v>8.6</v>
      </c>
      <c r="L45" s="715">
        <v>12.996</v>
      </c>
      <c r="M45" s="715">
        <v>127.81</v>
      </c>
      <c r="N45" s="724">
        <v>216.33</v>
      </c>
      <c r="O45" s="724">
        <v>95.79</v>
      </c>
      <c r="P45" s="725">
        <v>119.03</v>
      </c>
      <c r="Q45" s="725">
        <v>28.06</v>
      </c>
      <c r="R45" s="715">
        <v>6.3460000000000001</v>
      </c>
      <c r="S45" s="715">
        <v>35.9</v>
      </c>
      <c r="T45" s="715">
        <v>2.4300000000000002</v>
      </c>
      <c r="U45" s="715">
        <v>8.59</v>
      </c>
      <c r="V45" s="715">
        <v>0.33</v>
      </c>
      <c r="W45" s="715">
        <v>0.22</v>
      </c>
      <c r="X45" s="719">
        <v>662.43200000000002</v>
      </c>
      <c r="Y45" s="720">
        <v>19484.732</v>
      </c>
      <c r="Z45" s="698"/>
      <c r="AA45" s="706"/>
      <c r="AB45" s="706"/>
      <c r="AC45" s="706"/>
    </row>
    <row r="46" spans="1:29" s="713" customFormat="1" ht="28.5" hidden="1" customHeight="1">
      <c r="A46" s="690">
        <v>40483</v>
      </c>
      <c r="B46" s="726">
        <v>219.3</v>
      </c>
      <c r="C46" s="715">
        <v>179.85</v>
      </c>
      <c r="D46" s="715">
        <v>260.08</v>
      </c>
      <c r="E46" s="715">
        <v>1018.2</v>
      </c>
      <c r="F46" s="715">
        <v>1363</v>
      </c>
      <c r="G46" s="715">
        <v>2250.25</v>
      </c>
      <c r="H46" s="715">
        <v>12720.4</v>
      </c>
      <c r="I46" s="716">
        <v>1079.26</v>
      </c>
      <c r="J46" s="723">
        <v>19090.34</v>
      </c>
      <c r="K46" s="714">
        <v>8.6</v>
      </c>
      <c r="L46" s="715">
        <v>13.003</v>
      </c>
      <c r="M46" s="715">
        <v>128.13</v>
      </c>
      <c r="N46" s="715">
        <v>217.26</v>
      </c>
      <c r="O46" s="715">
        <v>96.89</v>
      </c>
      <c r="P46" s="715">
        <v>119.64</v>
      </c>
      <c r="Q46" s="715">
        <v>28.09</v>
      </c>
      <c r="R46" s="715">
        <v>6.3460000000000001</v>
      </c>
      <c r="S46" s="715">
        <v>36.25</v>
      </c>
      <c r="T46" s="715">
        <v>2.4300000000000002</v>
      </c>
      <c r="U46" s="715">
        <v>8.64</v>
      </c>
      <c r="V46" s="715">
        <v>0.33</v>
      </c>
      <c r="W46" s="715">
        <v>0.22</v>
      </c>
      <c r="X46" s="719">
        <v>665.82900000000006</v>
      </c>
      <c r="Y46" s="719">
        <v>19756.169000000002</v>
      </c>
      <c r="Z46" s="698"/>
      <c r="AA46" s="706"/>
      <c r="AB46" s="706"/>
      <c r="AC46" s="706"/>
    </row>
    <row r="47" spans="1:29" s="713" customFormat="1" ht="28.5" hidden="1" customHeight="1">
      <c r="A47" s="690">
        <v>40513</v>
      </c>
      <c r="B47" s="726">
        <v>219.26900000000001</v>
      </c>
      <c r="C47" s="715">
        <v>196.5</v>
      </c>
      <c r="D47" s="715">
        <v>289.39999999999998</v>
      </c>
      <c r="E47" s="715">
        <v>1112.6300000000001</v>
      </c>
      <c r="F47" s="715">
        <v>1563.9</v>
      </c>
      <c r="G47" s="715">
        <v>2688.13</v>
      </c>
      <c r="H47" s="715">
        <v>14930.42</v>
      </c>
      <c r="I47" s="716">
        <v>1154.04</v>
      </c>
      <c r="J47" s="723">
        <v>22154.289000000001</v>
      </c>
      <c r="K47" s="714">
        <v>8.82</v>
      </c>
      <c r="L47" s="715">
        <v>13.009</v>
      </c>
      <c r="M47" s="715">
        <v>131.69999999999999</v>
      </c>
      <c r="N47" s="715">
        <v>221.75</v>
      </c>
      <c r="O47" s="715">
        <v>99.16</v>
      </c>
      <c r="P47" s="715">
        <v>121.23</v>
      </c>
      <c r="Q47" s="715">
        <v>28.18</v>
      </c>
      <c r="R47" s="715">
        <v>6.3460000000000001</v>
      </c>
      <c r="S47" s="715">
        <v>36.700000000000003</v>
      </c>
      <c r="T47" s="715">
        <v>2.4300000000000002</v>
      </c>
      <c r="U47" s="715">
        <v>8.7200000000000006</v>
      </c>
      <c r="V47" s="715">
        <v>0.33</v>
      </c>
      <c r="W47" s="715">
        <v>0.22</v>
      </c>
      <c r="X47" s="719">
        <v>678.59500000000003</v>
      </c>
      <c r="Y47" s="719">
        <v>22832.884000000002</v>
      </c>
      <c r="Z47" s="698"/>
      <c r="AA47" s="706"/>
      <c r="AB47" s="706"/>
      <c r="AC47" s="706"/>
    </row>
    <row r="48" spans="1:29" s="713" customFormat="1" ht="28.5" hidden="1" customHeight="1">
      <c r="A48" s="690">
        <v>40544</v>
      </c>
      <c r="B48" s="726">
        <v>219.2</v>
      </c>
      <c r="C48" s="715">
        <v>189.8</v>
      </c>
      <c r="D48" s="715">
        <v>275</v>
      </c>
      <c r="E48" s="715">
        <v>1033.4000000000001</v>
      </c>
      <c r="F48" s="715">
        <v>1434.5</v>
      </c>
      <c r="G48" s="715">
        <v>2496.1999999999998</v>
      </c>
      <c r="H48" s="715">
        <v>14004.6</v>
      </c>
      <c r="I48" s="716">
        <v>1129.5999999999999</v>
      </c>
      <c r="J48" s="723">
        <v>20782.3</v>
      </c>
      <c r="K48" s="714">
        <v>8.82</v>
      </c>
      <c r="L48" s="715">
        <v>13</v>
      </c>
      <c r="M48" s="715">
        <v>131.9</v>
      </c>
      <c r="N48" s="715">
        <v>223.65</v>
      </c>
      <c r="O48" s="715">
        <v>100.82</v>
      </c>
      <c r="P48" s="715">
        <v>122.25</v>
      </c>
      <c r="Q48" s="715">
        <v>28.28</v>
      </c>
      <c r="R48" s="715">
        <v>6.3460000000000001</v>
      </c>
      <c r="S48" s="715">
        <v>36.880000000000003</v>
      </c>
      <c r="T48" s="715">
        <v>2.4300000000000002</v>
      </c>
      <c r="U48" s="715">
        <v>8.76</v>
      </c>
      <c r="V48" s="715">
        <v>0.33</v>
      </c>
      <c r="W48" s="715">
        <v>0.2</v>
      </c>
      <c r="X48" s="719">
        <v>683.66600000000005</v>
      </c>
      <c r="Y48" s="719">
        <v>21466.016</v>
      </c>
      <c r="Z48" s="698"/>
      <c r="AA48" s="706"/>
      <c r="AB48" s="706"/>
      <c r="AC48" s="706"/>
    </row>
    <row r="49" spans="1:29" s="713" customFormat="1" ht="28.5" hidden="1" customHeight="1">
      <c r="A49" s="690">
        <v>40575</v>
      </c>
      <c r="B49" s="726">
        <v>219.2</v>
      </c>
      <c r="C49" s="715">
        <v>178.8</v>
      </c>
      <c r="D49" s="715">
        <v>260.92</v>
      </c>
      <c r="E49" s="715">
        <v>1008.72</v>
      </c>
      <c r="F49" s="715">
        <v>1393.11</v>
      </c>
      <c r="G49" s="715">
        <v>2357.5</v>
      </c>
      <c r="H49" s="715">
        <v>13570.2</v>
      </c>
      <c r="I49" s="716">
        <v>1107</v>
      </c>
      <c r="J49" s="723">
        <v>20095.45</v>
      </c>
      <c r="K49" s="714">
        <v>8.83</v>
      </c>
      <c r="L49" s="715">
        <v>13.015000000000001</v>
      </c>
      <c r="M49" s="715">
        <v>131.87</v>
      </c>
      <c r="N49" s="715">
        <v>223.57</v>
      </c>
      <c r="O49" s="715">
        <v>101.03</v>
      </c>
      <c r="P49" s="715">
        <v>122.74</v>
      </c>
      <c r="Q49" s="715">
        <v>28.32</v>
      </c>
      <c r="R49" s="715">
        <v>6.3</v>
      </c>
      <c r="S49" s="715">
        <v>37</v>
      </c>
      <c r="T49" s="715">
        <v>2.4</v>
      </c>
      <c r="U49" s="715">
        <v>8.7799999999999994</v>
      </c>
      <c r="V49" s="715">
        <v>0.33</v>
      </c>
      <c r="W49" s="715">
        <v>0.22</v>
      </c>
      <c r="X49" s="719">
        <v>684.40499999999997</v>
      </c>
      <c r="Y49" s="719">
        <v>20779.855</v>
      </c>
      <c r="Z49" s="698"/>
      <c r="AA49" s="706"/>
      <c r="AB49" s="727"/>
      <c r="AC49" s="706"/>
    </row>
    <row r="50" spans="1:29" s="713" customFormat="1" ht="28.5" hidden="1" customHeight="1">
      <c r="A50" s="690">
        <v>40603</v>
      </c>
      <c r="B50" s="726">
        <v>219.1</v>
      </c>
      <c r="C50" s="715">
        <v>175.44</v>
      </c>
      <c r="D50" s="715">
        <v>257.2</v>
      </c>
      <c r="E50" s="715">
        <v>1024</v>
      </c>
      <c r="F50" s="715">
        <v>1410.8</v>
      </c>
      <c r="G50" s="715">
        <v>2354.1999999999998</v>
      </c>
      <c r="H50" s="715">
        <v>13547.2</v>
      </c>
      <c r="I50" s="716">
        <v>1123.7</v>
      </c>
      <c r="J50" s="723">
        <v>20111.64</v>
      </c>
      <c r="K50" s="726">
        <v>8.8000000000000007</v>
      </c>
      <c r="L50" s="718">
        <v>13.021000000000001</v>
      </c>
      <c r="M50" s="718">
        <v>131.93</v>
      </c>
      <c r="N50" s="718">
        <v>223.68</v>
      </c>
      <c r="O50" s="718">
        <v>101.09</v>
      </c>
      <c r="P50" s="718">
        <v>123.83</v>
      </c>
      <c r="Q50" s="718">
        <v>28.5</v>
      </c>
      <c r="R50" s="718">
        <v>6.3460000000000001</v>
      </c>
      <c r="S50" s="718">
        <v>37.229999999999997</v>
      </c>
      <c r="T50" s="718">
        <v>2.4300000000000002</v>
      </c>
      <c r="U50" s="718">
        <v>8.85</v>
      </c>
      <c r="V50" s="718">
        <v>0.33</v>
      </c>
      <c r="W50" s="718">
        <v>0.22</v>
      </c>
      <c r="X50" s="719">
        <v>686.25700000000018</v>
      </c>
      <c r="Y50" s="719">
        <v>20797.897000000004</v>
      </c>
      <c r="Z50" s="698"/>
      <c r="AA50" s="652"/>
      <c r="AB50" s="727"/>
      <c r="AC50" s="706"/>
    </row>
    <row r="51" spans="1:29" s="713" customFormat="1" ht="28.5" hidden="1" customHeight="1" thickTop="1">
      <c r="A51" s="690">
        <v>40634</v>
      </c>
      <c r="B51" s="726">
        <v>219.06</v>
      </c>
      <c r="C51" s="715">
        <v>172.1</v>
      </c>
      <c r="D51" s="715">
        <v>253.6</v>
      </c>
      <c r="E51" s="715">
        <v>1007.86</v>
      </c>
      <c r="F51" s="715">
        <v>1364.3</v>
      </c>
      <c r="G51" s="715">
        <v>2308</v>
      </c>
      <c r="H51" s="715">
        <v>13462.2</v>
      </c>
      <c r="I51" s="716">
        <v>1120</v>
      </c>
      <c r="J51" s="723">
        <v>19907.12</v>
      </c>
      <c r="K51" s="726">
        <v>8.84</v>
      </c>
      <c r="L51" s="718">
        <v>13</v>
      </c>
      <c r="M51" s="718">
        <v>132.1</v>
      </c>
      <c r="N51" s="718">
        <v>223.71</v>
      </c>
      <c r="O51" s="718">
        <v>100.77</v>
      </c>
      <c r="P51" s="718">
        <v>124.1</v>
      </c>
      <c r="Q51" s="718">
        <v>28.65</v>
      </c>
      <c r="R51" s="718">
        <v>6.34</v>
      </c>
      <c r="S51" s="718">
        <v>37.270000000000003</v>
      </c>
      <c r="T51" s="718">
        <v>2.4300000000000002</v>
      </c>
      <c r="U51" s="718">
        <v>8.8699999999999992</v>
      </c>
      <c r="V51" s="718">
        <v>0.33</v>
      </c>
      <c r="W51" s="718">
        <v>0.22</v>
      </c>
      <c r="X51" s="719">
        <v>686.63</v>
      </c>
      <c r="Y51" s="719">
        <v>20593.75</v>
      </c>
      <c r="Z51" s="698"/>
      <c r="AA51" s="706"/>
      <c r="AB51" s="727"/>
      <c r="AC51" s="706"/>
    </row>
    <row r="52" spans="1:29" s="713" customFormat="1" ht="28.5" hidden="1" customHeight="1" thickTop="1">
      <c r="A52" s="690">
        <v>40664</v>
      </c>
      <c r="B52" s="726">
        <v>219</v>
      </c>
      <c r="C52" s="715">
        <v>172.35</v>
      </c>
      <c r="D52" s="715">
        <v>253.16</v>
      </c>
      <c r="E52" s="715">
        <v>989.89</v>
      </c>
      <c r="F52" s="715">
        <v>1360.39</v>
      </c>
      <c r="G52" s="715">
        <v>2339.66</v>
      </c>
      <c r="H52" s="715">
        <v>13699.36</v>
      </c>
      <c r="I52" s="716">
        <v>1115.7</v>
      </c>
      <c r="J52" s="723">
        <v>20149.509999999998</v>
      </c>
      <c r="K52" s="726">
        <v>8.8000000000000007</v>
      </c>
      <c r="L52" s="718">
        <v>13</v>
      </c>
      <c r="M52" s="718">
        <v>131.5</v>
      </c>
      <c r="N52" s="718">
        <v>223.8</v>
      </c>
      <c r="O52" s="718">
        <v>100.61</v>
      </c>
      <c r="P52" s="718">
        <v>124.5</v>
      </c>
      <c r="Q52" s="718">
        <v>28.84</v>
      </c>
      <c r="R52" s="718">
        <v>6.3460000000000001</v>
      </c>
      <c r="S52" s="718">
        <v>37.4</v>
      </c>
      <c r="T52" s="718">
        <v>2.4300000000000002</v>
      </c>
      <c r="U52" s="718">
        <v>8.91</v>
      </c>
      <c r="V52" s="718">
        <v>0.33</v>
      </c>
      <c r="W52" s="718">
        <v>0.22</v>
      </c>
      <c r="X52" s="719">
        <v>686.68600000000004</v>
      </c>
      <c r="Y52" s="719">
        <v>20836.196000000004</v>
      </c>
      <c r="Z52" s="698"/>
      <c r="AA52" s="728"/>
      <c r="AB52" s="727"/>
      <c r="AC52" s="706"/>
    </row>
    <row r="53" spans="1:29" s="713" customFormat="1" ht="28.5" hidden="1" customHeight="1" thickTop="1">
      <c r="A53" s="690">
        <v>40695</v>
      </c>
      <c r="B53" s="726">
        <v>218.97</v>
      </c>
      <c r="C53" s="715">
        <v>169.75</v>
      </c>
      <c r="D53" s="715">
        <v>246.4</v>
      </c>
      <c r="E53" s="715">
        <v>1009.8</v>
      </c>
      <c r="F53" s="715">
        <v>1367.5</v>
      </c>
      <c r="G53" s="715">
        <v>2285.1</v>
      </c>
      <c r="H53" s="715">
        <v>13573.6</v>
      </c>
      <c r="I53" s="716">
        <v>1136.5</v>
      </c>
      <c r="J53" s="723">
        <v>20007.620000000003</v>
      </c>
      <c r="K53" s="726">
        <v>8.8699999999999992</v>
      </c>
      <c r="L53" s="718">
        <v>13.037000000000001</v>
      </c>
      <c r="M53" s="718">
        <v>131.57</v>
      </c>
      <c r="N53" s="718">
        <v>223.79</v>
      </c>
      <c r="O53" s="718">
        <v>100.63</v>
      </c>
      <c r="P53" s="718">
        <v>124.68</v>
      </c>
      <c r="Q53" s="718">
        <v>28.9</v>
      </c>
      <c r="R53" s="718">
        <v>6.3440000000000003</v>
      </c>
      <c r="S53" s="718">
        <v>37.43</v>
      </c>
      <c r="T53" s="718">
        <v>2.4</v>
      </c>
      <c r="U53" s="718">
        <v>8.94</v>
      </c>
      <c r="V53" s="718">
        <v>0.3</v>
      </c>
      <c r="W53" s="718">
        <v>0.22</v>
      </c>
      <c r="X53" s="717">
        <v>687.11099999999999</v>
      </c>
      <c r="Y53" s="717">
        <v>20694.731000000003</v>
      </c>
      <c r="Z53" s="698"/>
      <c r="AA53" s="706"/>
      <c r="AB53" s="727"/>
      <c r="AC53" s="706"/>
    </row>
    <row r="54" spans="1:29" s="713" customFormat="1" ht="28.5" hidden="1" customHeight="1" thickTop="1">
      <c r="A54" s="690">
        <v>40725</v>
      </c>
      <c r="B54" s="726">
        <v>218.94</v>
      </c>
      <c r="C54" s="715">
        <v>167.62</v>
      </c>
      <c r="D54" s="715">
        <v>243</v>
      </c>
      <c r="E54" s="715">
        <v>1019.7</v>
      </c>
      <c r="F54" s="715">
        <v>1377.32</v>
      </c>
      <c r="G54" s="715">
        <v>2376.34</v>
      </c>
      <c r="H54" s="715">
        <v>13889.93</v>
      </c>
      <c r="I54" s="716">
        <v>1164.0999999999999</v>
      </c>
      <c r="J54" s="723">
        <v>20456.949999999997</v>
      </c>
      <c r="K54" s="726">
        <v>8.9</v>
      </c>
      <c r="L54" s="718">
        <v>13.04</v>
      </c>
      <c r="M54" s="718">
        <v>132.18</v>
      </c>
      <c r="N54" s="718">
        <v>224.36</v>
      </c>
      <c r="O54" s="718">
        <v>101.29</v>
      </c>
      <c r="P54" s="718">
        <v>125.03</v>
      </c>
      <c r="Q54" s="718">
        <v>29</v>
      </c>
      <c r="R54" s="718">
        <v>6.34</v>
      </c>
      <c r="S54" s="718">
        <v>37.51</v>
      </c>
      <c r="T54" s="718">
        <v>2.4300000000000002</v>
      </c>
      <c r="U54" s="718">
        <v>9</v>
      </c>
      <c r="V54" s="718">
        <v>0.33</v>
      </c>
      <c r="W54" s="718">
        <v>0.22</v>
      </c>
      <c r="X54" s="717">
        <v>689.63000000000011</v>
      </c>
      <c r="Y54" s="717">
        <v>21146.579999999998</v>
      </c>
      <c r="Z54" s="698"/>
      <c r="AA54" s="706"/>
      <c r="AB54" s="727"/>
      <c r="AC54" s="706"/>
    </row>
    <row r="55" spans="1:29" s="713" customFormat="1" ht="28.5" hidden="1" customHeight="1" thickTop="1">
      <c r="A55" s="690">
        <v>40756</v>
      </c>
      <c r="B55" s="726">
        <v>218.9</v>
      </c>
      <c r="C55" s="715">
        <v>172.7</v>
      </c>
      <c r="D55" s="715">
        <v>249.2</v>
      </c>
      <c r="E55" s="715">
        <v>1035.5999999999999</v>
      </c>
      <c r="F55" s="715">
        <v>1424.9</v>
      </c>
      <c r="G55" s="715">
        <v>2468.1</v>
      </c>
      <c r="H55" s="715">
        <v>14458.4</v>
      </c>
      <c r="I55" s="716">
        <v>1160.0999999999999</v>
      </c>
      <c r="J55" s="723">
        <v>21187.9</v>
      </c>
      <c r="K55" s="726">
        <v>8.89</v>
      </c>
      <c r="L55" s="718">
        <v>13.04</v>
      </c>
      <c r="M55" s="718">
        <v>137.16</v>
      </c>
      <c r="N55" s="718">
        <v>227.17</v>
      </c>
      <c r="O55" s="718">
        <v>101.93</v>
      </c>
      <c r="P55" s="718">
        <v>125.26</v>
      </c>
      <c r="Q55" s="718">
        <v>29.03</v>
      </c>
      <c r="R55" s="718">
        <v>6.34</v>
      </c>
      <c r="S55" s="718">
        <v>37.58</v>
      </c>
      <c r="T55" s="718">
        <v>2.4300000000000002</v>
      </c>
      <c r="U55" s="718">
        <v>8.98</v>
      </c>
      <c r="V55" s="718">
        <v>0.33</v>
      </c>
      <c r="W55" s="718">
        <v>0.22</v>
      </c>
      <c r="X55" s="717">
        <v>698.36000000000013</v>
      </c>
      <c r="Y55" s="717">
        <v>21886.260000000002</v>
      </c>
      <c r="Z55" s="698"/>
      <c r="AA55" s="706"/>
      <c r="AB55" s="727"/>
      <c r="AC55" s="706"/>
    </row>
    <row r="56" spans="1:29" s="713" customFormat="1" ht="28.5" hidden="1" customHeight="1" thickTop="1">
      <c r="A56" s="690">
        <v>40787</v>
      </c>
      <c r="B56" s="726">
        <v>218.8</v>
      </c>
      <c r="C56" s="715">
        <v>172.3</v>
      </c>
      <c r="D56" s="715">
        <v>248.8</v>
      </c>
      <c r="E56" s="715">
        <v>1029.3</v>
      </c>
      <c r="F56" s="715">
        <v>1425.3</v>
      </c>
      <c r="G56" s="715">
        <v>2392.4</v>
      </c>
      <c r="H56" s="715">
        <v>13982.3</v>
      </c>
      <c r="I56" s="716">
        <v>1222.4000000000001</v>
      </c>
      <c r="J56" s="723">
        <v>20691.599999999999</v>
      </c>
      <c r="K56" s="726">
        <v>8.89</v>
      </c>
      <c r="L56" s="718">
        <v>13</v>
      </c>
      <c r="M56" s="718">
        <v>141.16</v>
      </c>
      <c r="N56" s="718">
        <v>229.9</v>
      </c>
      <c r="O56" s="718">
        <v>102.1</v>
      </c>
      <c r="P56" s="718">
        <v>125.6</v>
      </c>
      <c r="Q56" s="718">
        <v>29.09</v>
      </c>
      <c r="R56" s="718">
        <v>6.3</v>
      </c>
      <c r="S56" s="718">
        <v>37.6</v>
      </c>
      <c r="T56" s="718">
        <v>2.4</v>
      </c>
      <c r="U56" s="718">
        <v>9</v>
      </c>
      <c r="V56" s="718">
        <v>0.3</v>
      </c>
      <c r="W56" s="718">
        <v>0.2</v>
      </c>
      <c r="X56" s="717">
        <v>705.95</v>
      </c>
      <c r="Y56" s="717">
        <v>21397.55</v>
      </c>
      <c r="Z56" s="698"/>
      <c r="AA56" s="706"/>
      <c r="AB56" s="727"/>
      <c r="AC56" s="706"/>
    </row>
    <row r="57" spans="1:29" s="713" customFormat="1" ht="28.5" hidden="1" customHeight="1" thickTop="1">
      <c r="A57" s="690">
        <v>40817</v>
      </c>
      <c r="B57" s="726">
        <v>218.8</v>
      </c>
      <c r="C57" s="715">
        <v>173.4</v>
      </c>
      <c r="D57" s="715">
        <v>247.7</v>
      </c>
      <c r="E57" s="715">
        <v>1062.0999999999999</v>
      </c>
      <c r="F57" s="715">
        <v>1507.1</v>
      </c>
      <c r="G57" s="715">
        <v>2517.1</v>
      </c>
      <c r="H57" s="715">
        <v>14456.7</v>
      </c>
      <c r="I57" s="716">
        <v>1182.2</v>
      </c>
      <c r="J57" s="723">
        <v>21365.1</v>
      </c>
      <c r="K57" s="726">
        <v>8.9</v>
      </c>
      <c r="L57" s="718">
        <v>13</v>
      </c>
      <c r="M57" s="718">
        <v>145.9</v>
      </c>
      <c r="N57" s="718">
        <v>231.6</v>
      </c>
      <c r="O57" s="718">
        <v>102.6</v>
      </c>
      <c r="P57" s="718">
        <v>126.29</v>
      </c>
      <c r="Q57" s="718">
        <v>29.19</v>
      </c>
      <c r="R57" s="718">
        <v>6.34</v>
      </c>
      <c r="S57" s="718">
        <v>37.82</v>
      </c>
      <c r="T57" s="718">
        <v>2.4300000000000002</v>
      </c>
      <c r="U57" s="718">
        <v>9.0500000000000007</v>
      </c>
      <c r="V57" s="718">
        <v>0.33</v>
      </c>
      <c r="W57" s="718">
        <v>0.22</v>
      </c>
      <c r="X57" s="717">
        <v>713.74</v>
      </c>
      <c r="Y57" s="717">
        <v>22078.880000000001</v>
      </c>
      <c r="Z57" s="698"/>
      <c r="AA57" s="729"/>
      <c r="AB57" s="727"/>
      <c r="AC57" s="706"/>
    </row>
    <row r="58" spans="1:29" s="713" customFormat="1" ht="28.5" hidden="1" customHeight="1" thickTop="1">
      <c r="A58" s="690">
        <v>40848</v>
      </c>
      <c r="B58" s="726">
        <v>218.636</v>
      </c>
      <c r="C58" s="715">
        <v>174.2</v>
      </c>
      <c r="D58" s="715">
        <v>247</v>
      </c>
      <c r="E58" s="715">
        <v>1046.0999999999999</v>
      </c>
      <c r="F58" s="715">
        <v>1454.2</v>
      </c>
      <c r="G58" s="715">
        <v>2421.4</v>
      </c>
      <c r="H58" s="715">
        <v>14170.8</v>
      </c>
      <c r="I58" s="716">
        <v>1200.5999999999999</v>
      </c>
      <c r="J58" s="723">
        <v>20932.900000000001</v>
      </c>
      <c r="K58" s="726">
        <v>8.9</v>
      </c>
      <c r="L58" s="718">
        <v>13.067</v>
      </c>
      <c r="M58" s="718">
        <v>150.71</v>
      </c>
      <c r="N58" s="718">
        <v>233.7</v>
      </c>
      <c r="O58" s="718">
        <v>102.9</v>
      </c>
      <c r="P58" s="718">
        <v>127.5</v>
      </c>
      <c r="Q58" s="718">
        <v>29.4</v>
      </c>
      <c r="R58" s="718">
        <v>6.34</v>
      </c>
      <c r="S58" s="718">
        <v>38.07</v>
      </c>
      <c r="T58" s="718">
        <v>2.4300000000000002</v>
      </c>
      <c r="U58" s="718">
        <v>9.1</v>
      </c>
      <c r="V58" s="718">
        <v>0.33</v>
      </c>
      <c r="W58" s="718">
        <v>0.22</v>
      </c>
      <c r="X58" s="717">
        <v>722.7</v>
      </c>
      <c r="Y58" s="717">
        <v>21655.599999999999</v>
      </c>
      <c r="Z58" s="698"/>
      <c r="AA58" s="706"/>
      <c r="AB58" s="727"/>
      <c r="AC58" s="706"/>
    </row>
    <row r="59" spans="1:29" s="713" customFormat="1" ht="28.5" hidden="1" customHeight="1" thickTop="1">
      <c r="A59" s="690">
        <v>40878</v>
      </c>
      <c r="B59" s="726">
        <v>218.59</v>
      </c>
      <c r="C59" s="715">
        <v>183.45</v>
      </c>
      <c r="D59" s="715">
        <v>275.99</v>
      </c>
      <c r="E59" s="715">
        <v>1125.3</v>
      </c>
      <c r="F59" s="715">
        <v>1675.97</v>
      </c>
      <c r="G59" s="715">
        <v>2849.27</v>
      </c>
      <c r="H59" s="715">
        <v>16484.45</v>
      </c>
      <c r="I59" s="716">
        <v>1163.2</v>
      </c>
      <c r="J59" s="723">
        <v>23976.22</v>
      </c>
      <c r="K59" s="726">
        <v>9</v>
      </c>
      <c r="L59" s="718">
        <v>13.08</v>
      </c>
      <c r="M59" s="718">
        <v>156.13999999999999</v>
      </c>
      <c r="N59" s="718">
        <v>236.47</v>
      </c>
      <c r="O59" s="718">
        <v>104.04</v>
      </c>
      <c r="P59" s="718">
        <v>128.97999999999999</v>
      </c>
      <c r="Q59" s="718">
        <v>29.53</v>
      </c>
      <c r="R59" s="718">
        <v>6.3419999999999996</v>
      </c>
      <c r="S59" s="718">
        <v>38.43</v>
      </c>
      <c r="T59" s="718">
        <v>2.4300000000000002</v>
      </c>
      <c r="U59" s="718">
        <v>9.19</v>
      </c>
      <c r="V59" s="718">
        <v>0.33</v>
      </c>
      <c r="W59" s="718">
        <v>0.22</v>
      </c>
      <c r="X59" s="717">
        <v>734.1819999999999</v>
      </c>
      <c r="Y59" s="717">
        <v>24710.402000000002</v>
      </c>
      <c r="Z59" s="698"/>
      <c r="AA59" s="706"/>
      <c r="AB59" s="727"/>
      <c r="AC59" s="706"/>
    </row>
    <row r="60" spans="1:29" s="713" customFormat="1" ht="28.5" hidden="1" customHeight="1" thickTop="1">
      <c r="A60" s="690">
        <v>40909</v>
      </c>
      <c r="B60" s="726">
        <v>218.56</v>
      </c>
      <c r="C60" s="715">
        <v>180.8</v>
      </c>
      <c r="D60" s="715">
        <v>268.7</v>
      </c>
      <c r="E60" s="715">
        <v>1057.3900000000001</v>
      </c>
      <c r="F60" s="715">
        <v>1551.45</v>
      </c>
      <c r="G60" s="715">
        <v>2575.5</v>
      </c>
      <c r="H60" s="715">
        <v>15069.3</v>
      </c>
      <c r="I60" s="716">
        <v>1171.0999999999999</v>
      </c>
      <c r="J60" s="723">
        <v>22092.799999999996</v>
      </c>
      <c r="K60" s="726">
        <v>8.9749999999999996</v>
      </c>
      <c r="L60" s="718">
        <v>13.083</v>
      </c>
      <c r="M60" s="718">
        <v>156.6</v>
      </c>
      <c r="N60" s="718">
        <v>237.54</v>
      </c>
      <c r="O60" s="718">
        <v>104.11</v>
      </c>
      <c r="P60" s="718">
        <v>129.03</v>
      </c>
      <c r="Q60" s="718">
        <v>29.56</v>
      </c>
      <c r="R60" s="718">
        <v>6.34</v>
      </c>
      <c r="S60" s="718">
        <v>38.5</v>
      </c>
      <c r="T60" s="718">
        <v>2.4300000000000002</v>
      </c>
      <c r="U60" s="718">
        <v>9.1999999999999993</v>
      </c>
      <c r="V60" s="718">
        <v>0.3</v>
      </c>
      <c r="W60" s="718">
        <v>0.2</v>
      </c>
      <c r="X60" s="717">
        <v>735.86799999999994</v>
      </c>
      <c r="Y60" s="717">
        <v>22828.7</v>
      </c>
      <c r="Z60" s="698"/>
      <c r="AA60" s="706"/>
      <c r="AB60" s="727"/>
      <c r="AC60" s="706"/>
    </row>
    <row r="61" spans="1:29" s="713" customFormat="1" ht="28.5" customHeight="1" thickTop="1">
      <c r="A61" s="690">
        <v>40940</v>
      </c>
      <c r="B61" s="726">
        <v>218.48</v>
      </c>
      <c r="C61" s="715">
        <v>177.5</v>
      </c>
      <c r="D61" s="715">
        <v>263.3</v>
      </c>
      <c r="E61" s="715">
        <v>1046.0999999999999</v>
      </c>
      <c r="F61" s="715">
        <v>1474.1</v>
      </c>
      <c r="G61" s="715">
        <v>2504.8000000000002</v>
      </c>
      <c r="H61" s="715">
        <v>14837.2</v>
      </c>
      <c r="I61" s="716">
        <v>1159.4000000000001</v>
      </c>
      <c r="J61" s="723">
        <v>21680.9</v>
      </c>
      <c r="K61" s="726">
        <v>8.98</v>
      </c>
      <c r="L61" s="718">
        <v>13.08</v>
      </c>
      <c r="M61" s="718">
        <v>151.87</v>
      </c>
      <c r="N61" s="718">
        <v>237.04</v>
      </c>
      <c r="O61" s="718">
        <v>104.13</v>
      </c>
      <c r="P61" s="718">
        <v>129.08000000000001</v>
      </c>
      <c r="Q61" s="718">
        <v>29.61</v>
      </c>
      <c r="R61" s="718">
        <v>6.34</v>
      </c>
      <c r="S61" s="718">
        <v>38.57</v>
      </c>
      <c r="T61" s="718">
        <v>2.4</v>
      </c>
      <c r="U61" s="718">
        <v>9.1999999999999993</v>
      </c>
      <c r="V61" s="718">
        <v>0.33</v>
      </c>
      <c r="W61" s="718">
        <v>0.22</v>
      </c>
      <c r="X61" s="717">
        <v>730.9</v>
      </c>
      <c r="Y61" s="717">
        <v>22411.8</v>
      </c>
      <c r="Z61" s="698"/>
      <c r="AA61" s="706"/>
      <c r="AB61" s="727"/>
      <c r="AC61" s="706"/>
    </row>
    <row r="62" spans="1:29" s="713" customFormat="1" ht="28.5" customHeight="1">
      <c r="A62" s="690">
        <v>40969</v>
      </c>
      <c r="B62" s="726">
        <v>218.44</v>
      </c>
      <c r="C62" s="715">
        <v>176.9</v>
      </c>
      <c r="D62" s="715">
        <v>262.43</v>
      </c>
      <c r="E62" s="715">
        <v>1034.5</v>
      </c>
      <c r="F62" s="715">
        <v>1453.9</v>
      </c>
      <c r="G62" s="715">
        <v>2412.9</v>
      </c>
      <c r="H62" s="715">
        <v>14691.1</v>
      </c>
      <c r="I62" s="716">
        <v>1123.4000000000001</v>
      </c>
      <c r="J62" s="723">
        <v>21373.55</v>
      </c>
      <c r="K62" s="726">
        <v>9</v>
      </c>
      <c r="L62" s="718">
        <v>13.086</v>
      </c>
      <c r="M62" s="718">
        <v>149.37</v>
      </c>
      <c r="N62" s="718">
        <v>237.2</v>
      </c>
      <c r="O62" s="718">
        <v>104.13</v>
      </c>
      <c r="P62" s="718">
        <v>129.15</v>
      </c>
      <c r="Q62" s="718">
        <v>29.861000000000001</v>
      </c>
      <c r="R62" s="718">
        <v>6.3419999999999996</v>
      </c>
      <c r="S62" s="718">
        <v>38.68</v>
      </c>
      <c r="T62" s="718">
        <v>2.4300000000000002</v>
      </c>
      <c r="U62" s="718">
        <v>9.2330000000000005</v>
      </c>
      <c r="V62" s="718">
        <v>0.33</v>
      </c>
      <c r="W62" s="718">
        <v>0.22</v>
      </c>
      <c r="X62" s="717">
        <v>729.03199999999993</v>
      </c>
      <c r="Y62" s="717">
        <v>22102.581999999999</v>
      </c>
      <c r="Z62" s="698"/>
      <c r="AA62" s="706"/>
      <c r="AB62" s="727"/>
      <c r="AC62" s="706"/>
    </row>
    <row r="63" spans="1:29" s="713" customFormat="1" ht="28.5" customHeight="1">
      <c r="A63" s="690">
        <v>41000</v>
      </c>
      <c r="B63" s="726">
        <v>218.4</v>
      </c>
      <c r="C63" s="715">
        <v>175.53</v>
      </c>
      <c r="D63" s="715">
        <v>261.39</v>
      </c>
      <c r="E63" s="715">
        <v>1000.98</v>
      </c>
      <c r="F63" s="715">
        <v>1462.26</v>
      </c>
      <c r="G63" s="715">
        <v>2422.4</v>
      </c>
      <c r="H63" s="715">
        <v>14778.4</v>
      </c>
      <c r="I63" s="716">
        <v>1131.8</v>
      </c>
      <c r="J63" s="723">
        <v>21451.16</v>
      </c>
      <c r="K63" s="726">
        <v>9</v>
      </c>
      <c r="L63" s="718">
        <v>13.1</v>
      </c>
      <c r="M63" s="718">
        <v>148.83000000000001</v>
      </c>
      <c r="N63" s="718">
        <v>237.2</v>
      </c>
      <c r="O63" s="718">
        <v>104.1</v>
      </c>
      <c r="P63" s="718">
        <v>129.16</v>
      </c>
      <c r="Q63" s="718">
        <v>30.01</v>
      </c>
      <c r="R63" s="718">
        <v>6.3</v>
      </c>
      <c r="S63" s="718">
        <v>38.79</v>
      </c>
      <c r="T63" s="718">
        <v>2.4300000000000002</v>
      </c>
      <c r="U63" s="718">
        <v>9.24</v>
      </c>
      <c r="V63" s="718">
        <v>0.33</v>
      </c>
      <c r="W63" s="718">
        <v>0.2</v>
      </c>
      <c r="X63" s="717">
        <v>728.69</v>
      </c>
      <c r="Y63" s="717">
        <v>22179.85</v>
      </c>
      <c r="Z63" s="698"/>
      <c r="AA63" s="706"/>
      <c r="AB63" s="727"/>
      <c r="AC63" s="706"/>
    </row>
    <row r="64" spans="1:29" s="713" customFormat="1" ht="28.5" customHeight="1">
      <c r="A64" s="690">
        <v>41030</v>
      </c>
      <c r="B64" s="726">
        <v>218.25</v>
      </c>
      <c r="C64" s="715">
        <v>175.9</v>
      </c>
      <c r="D64" s="715">
        <v>259.77999999999997</v>
      </c>
      <c r="E64" s="715">
        <v>996.6</v>
      </c>
      <c r="F64" s="715">
        <v>1464.59</v>
      </c>
      <c r="G64" s="715">
        <v>2443.9</v>
      </c>
      <c r="H64" s="715">
        <v>14911.7</v>
      </c>
      <c r="I64" s="716">
        <v>1126.4000000000001</v>
      </c>
      <c r="J64" s="723">
        <v>21597.09</v>
      </c>
      <c r="K64" s="726">
        <v>9</v>
      </c>
      <c r="L64" s="718">
        <v>13.1</v>
      </c>
      <c r="M64" s="718">
        <v>146.6</v>
      </c>
      <c r="N64" s="718">
        <v>235.8</v>
      </c>
      <c r="O64" s="718">
        <v>104.14</v>
      </c>
      <c r="P64" s="718">
        <v>129.21</v>
      </c>
      <c r="Q64" s="718">
        <v>30.09</v>
      </c>
      <c r="R64" s="718">
        <v>6.34</v>
      </c>
      <c r="S64" s="718">
        <v>38.9</v>
      </c>
      <c r="T64" s="718">
        <v>2.4</v>
      </c>
      <c r="U64" s="718">
        <v>9.25</v>
      </c>
      <c r="V64" s="718">
        <v>0.33</v>
      </c>
      <c r="W64" s="718">
        <v>0.2</v>
      </c>
      <c r="X64" s="717">
        <v>725.36000000000013</v>
      </c>
      <c r="Y64" s="717">
        <v>22322.45</v>
      </c>
      <c r="Z64" s="698"/>
      <c r="AA64" s="706"/>
      <c r="AB64" s="727"/>
      <c r="AC64" s="706"/>
    </row>
    <row r="65" spans="1:29" s="713" customFormat="1" ht="28.5" customHeight="1">
      <c r="A65" s="690">
        <v>41061</v>
      </c>
      <c r="B65" s="726">
        <v>218.22</v>
      </c>
      <c r="C65" s="715">
        <v>176.76</v>
      </c>
      <c r="D65" s="715">
        <v>258.8</v>
      </c>
      <c r="E65" s="715">
        <v>996.95</v>
      </c>
      <c r="F65" s="715">
        <v>1446.05</v>
      </c>
      <c r="G65" s="715">
        <v>2381.3000000000002</v>
      </c>
      <c r="H65" s="715">
        <v>14668.3</v>
      </c>
      <c r="I65" s="716">
        <v>1113.0899999999999</v>
      </c>
      <c r="J65" s="723">
        <v>21259.47</v>
      </c>
      <c r="K65" s="726">
        <v>9</v>
      </c>
      <c r="L65" s="718">
        <v>13.1</v>
      </c>
      <c r="M65" s="718">
        <v>147.6</v>
      </c>
      <c r="N65" s="718">
        <v>235.82</v>
      </c>
      <c r="O65" s="718">
        <v>104.13</v>
      </c>
      <c r="P65" s="718">
        <v>129.15</v>
      </c>
      <c r="Q65" s="718">
        <v>30.2</v>
      </c>
      <c r="R65" s="718">
        <v>6.34</v>
      </c>
      <c r="S65" s="718">
        <v>38.94</v>
      </c>
      <c r="T65" s="718">
        <v>2.4300000000000002</v>
      </c>
      <c r="U65" s="718">
        <v>9.25</v>
      </c>
      <c r="V65" s="718">
        <v>0.3</v>
      </c>
      <c r="W65" s="718">
        <v>0.2</v>
      </c>
      <c r="X65" s="717">
        <v>726.45999999999992</v>
      </c>
      <c r="Y65" s="717">
        <v>21985.93</v>
      </c>
      <c r="Z65" s="698"/>
      <c r="AA65" s="706"/>
      <c r="AB65" s="727"/>
      <c r="AC65" s="706"/>
    </row>
    <row r="66" spans="1:29" s="713" customFormat="1" ht="28.5" customHeight="1">
      <c r="A66" s="690">
        <v>41091</v>
      </c>
      <c r="B66" s="726">
        <v>217.9</v>
      </c>
      <c r="C66" s="715">
        <v>177.9</v>
      </c>
      <c r="D66" s="715">
        <v>259.82</v>
      </c>
      <c r="E66" s="715">
        <v>1005.9</v>
      </c>
      <c r="F66" s="715">
        <v>1430.6</v>
      </c>
      <c r="G66" s="715">
        <v>2469.42</v>
      </c>
      <c r="H66" s="715">
        <v>14993.64</v>
      </c>
      <c r="I66" s="716">
        <v>1105.24</v>
      </c>
      <c r="J66" s="723">
        <v>21660.400000000001</v>
      </c>
      <c r="K66" s="726">
        <v>8.99</v>
      </c>
      <c r="L66" s="718">
        <v>13.1</v>
      </c>
      <c r="M66" s="718">
        <v>150.05000000000001</v>
      </c>
      <c r="N66" s="718">
        <v>235.9</v>
      </c>
      <c r="O66" s="718">
        <v>104.14</v>
      </c>
      <c r="P66" s="718">
        <v>129.19999999999999</v>
      </c>
      <c r="Q66" s="718">
        <v>30.41</v>
      </c>
      <c r="R66" s="718">
        <v>6.34</v>
      </c>
      <c r="S66" s="718">
        <v>38.97</v>
      </c>
      <c r="T66" s="718">
        <v>2.4300000000000002</v>
      </c>
      <c r="U66" s="718">
        <v>9.3000000000000007</v>
      </c>
      <c r="V66" s="718">
        <v>0.3</v>
      </c>
      <c r="W66" s="718">
        <v>0.2</v>
      </c>
      <c r="X66" s="717">
        <v>729.3</v>
      </c>
      <c r="Y66" s="717">
        <f>J66+X66</f>
        <v>22389.7</v>
      </c>
      <c r="Z66" s="698"/>
      <c r="AA66" s="706"/>
      <c r="AB66" s="727"/>
      <c r="AC66" s="706"/>
    </row>
    <row r="67" spans="1:29" s="713" customFormat="1" ht="28.5" customHeight="1">
      <c r="A67" s="690">
        <v>41122</v>
      </c>
      <c r="B67" s="726">
        <v>217.76</v>
      </c>
      <c r="C67" s="715">
        <v>183.5</v>
      </c>
      <c r="D67" s="715">
        <v>266.66000000000003</v>
      </c>
      <c r="E67" s="715">
        <v>1021.68</v>
      </c>
      <c r="F67" s="715">
        <v>1446.14</v>
      </c>
      <c r="G67" s="715">
        <v>2482.6</v>
      </c>
      <c r="H67" s="715">
        <v>15152.7</v>
      </c>
      <c r="I67" s="716">
        <v>1304.97</v>
      </c>
      <c r="J67" s="723">
        <v>22076.010000000002</v>
      </c>
      <c r="K67" s="726">
        <v>8.99</v>
      </c>
      <c r="L67" s="718">
        <v>13.1</v>
      </c>
      <c r="M67" s="718">
        <v>154.34</v>
      </c>
      <c r="N67" s="718">
        <v>238.45</v>
      </c>
      <c r="O67" s="718">
        <v>104.26</v>
      </c>
      <c r="P67" s="718">
        <v>129.19999999999999</v>
      </c>
      <c r="Q67" s="718">
        <v>30.51</v>
      </c>
      <c r="R67" s="718">
        <v>6.34</v>
      </c>
      <c r="S67" s="718">
        <v>38.99</v>
      </c>
      <c r="T67" s="718">
        <v>2.4300000000000002</v>
      </c>
      <c r="U67" s="718">
        <v>9.3000000000000007</v>
      </c>
      <c r="V67" s="718">
        <v>0.33</v>
      </c>
      <c r="W67" s="718">
        <v>0.2</v>
      </c>
      <c r="X67" s="717">
        <v>736.4</v>
      </c>
      <c r="Y67" s="717">
        <v>22812.410000000003</v>
      </c>
      <c r="Z67" s="698"/>
      <c r="AA67" s="706"/>
      <c r="AB67" s="727"/>
      <c r="AC67" s="706"/>
    </row>
    <row r="68" spans="1:29" s="713" customFormat="1" ht="28.5" customHeight="1">
      <c r="A68" s="690">
        <v>41153</v>
      </c>
      <c r="B68" s="726">
        <v>217.63</v>
      </c>
      <c r="C68" s="715">
        <v>183.4</v>
      </c>
      <c r="D68" s="715">
        <v>268.3</v>
      </c>
      <c r="E68" s="715">
        <v>1047</v>
      </c>
      <c r="F68" s="715">
        <v>1444.9</v>
      </c>
      <c r="G68" s="715">
        <v>2460.04</v>
      </c>
      <c r="H68" s="715">
        <v>14838.55</v>
      </c>
      <c r="I68" s="716">
        <v>1495.14</v>
      </c>
      <c r="J68" s="723">
        <f t="shared" ref="J68:J73" si="0">SUM(B68:I68)</f>
        <v>21954.959999999999</v>
      </c>
      <c r="K68" s="726">
        <v>8.99</v>
      </c>
      <c r="L68" s="718">
        <v>13.1</v>
      </c>
      <c r="M68" s="718">
        <v>154.88</v>
      </c>
      <c r="N68" s="718">
        <v>239</v>
      </c>
      <c r="O68" s="718">
        <v>104.3</v>
      </c>
      <c r="P68" s="718">
        <v>129.19999999999999</v>
      </c>
      <c r="Q68" s="718">
        <v>30.55</v>
      </c>
      <c r="R68" s="718">
        <v>6.34</v>
      </c>
      <c r="S68" s="718">
        <v>39</v>
      </c>
      <c r="T68" s="718">
        <v>2.42</v>
      </c>
      <c r="U68" s="718">
        <v>9.3000000000000007</v>
      </c>
      <c r="V68" s="718">
        <v>0.33</v>
      </c>
      <c r="W68" s="718">
        <v>0.22</v>
      </c>
      <c r="X68" s="717">
        <f t="shared" ref="X68:X73" si="1">SUM(K68:W68)</f>
        <v>737.63</v>
      </c>
      <c r="Y68" s="717">
        <f t="shared" ref="Y68:Y73" si="2">J68+X68</f>
        <v>22692.59</v>
      </c>
      <c r="Z68" s="698"/>
      <c r="AA68" s="706"/>
      <c r="AB68" s="727"/>
      <c r="AC68" s="706"/>
    </row>
    <row r="69" spans="1:29" s="713" customFormat="1" ht="28.5" customHeight="1">
      <c r="A69" s="690">
        <v>41183</v>
      </c>
      <c r="B69" s="726">
        <v>217.49</v>
      </c>
      <c r="C69" s="715">
        <v>195.87</v>
      </c>
      <c r="D69" s="715">
        <v>314.95999999999998</v>
      </c>
      <c r="E69" s="715">
        <v>1059.5</v>
      </c>
      <c r="F69" s="715">
        <v>1415.9</v>
      </c>
      <c r="G69" s="715">
        <v>2464.96</v>
      </c>
      <c r="H69" s="715">
        <v>15104.4</v>
      </c>
      <c r="I69" s="716">
        <v>1759.53</v>
      </c>
      <c r="J69" s="723">
        <f t="shared" si="0"/>
        <v>22532.61</v>
      </c>
      <c r="K69" s="726">
        <v>8.99</v>
      </c>
      <c r="L69" s="718">
        <v>13.1</v>
      </c>
      <c r="M69" s="718">
        <v>156.93</v>
      </c>
      <c r="N69" s="718">
        <v>238.97</v>
      </c>
      <c r="O69" s="718">
        <v>104.24</v>
      </c>
      <c r="P69" s="718">
        <v>129.5</v>
      </c>
      <c r="Q69" s="718">
        <v>30.61</v>
      </c>
      <c r="R69" s="718">
        <v>6.34</v>
      </c>
      <c r="S69" s="718">
        <v>39.06</v>
      </c>
      <c r="T69" s="718">
        <v>2.42</v>
      </c>
      <c r="U69" s="718">
        <v>9.2799999999999994</v>
      </c>
      <c r="V69" s="718">
        <v>0.33</v>
      </c>
      <c r="W69" s="718">
        <v>0.22</v>
      </c>
      <c r="X69" s="717">
        <f t="shared" si="1"/>
        <v>739.99</v>
      </c>
      <c r="Y69" s="717">
        <f t="shared" si="2"/>
        <v>23272.600000000002</v>
      </c>
      <c r="Z69" s="698"/>
      <c r="AA69" s="706"/>
      <c r="AB69" s="727"/>
      <c r="AC69" s="706"/>
    </row>
    <row r="70" spans="1:29" s="713" customFormat="1" ht="28.5" customHeight="1">
      <c r="A70" s="690">
        <v>41214</v>
      </c>
      <c r="B70" s="726">
        <v>217.45</v>
      </c>
      <c r="C70" s="715">
        <v>193.43</v>
      </c>
      <c r="D70" s="715">
        <v>310.89999999999998</v>
      </c>
      <c r="E70" s="715">
        <v>1115.9100000000001</v>
      </c>
      <c r="F70" s="715">
        <v>1394.5</v>
      </c>
      <c r="G70" s="715">
        <v>2489.6</v>
      </c>
      <c r="H70" s="715">
        <v>15041</v>
      </c>
      <c r="I70" s="716">
        <v>1945.3</v>
      </c>
      <c r="J70" s="723">
        <f t="shared" si="0"/>
        <v>22708.09</v>
      </c>
      <c r="K70" s="726">
        <v>9.0009829999999997</v>
      </c>
      <c r="L70" s="718">
        <v>13.1</v>
      </c>
      <c r="M70" s="718">
        <v>159.49</v>
      </c>
      <c r="N70" s="718">
        <v>241.42</v>
      </c>
      <c r="O70" s="718">
        <v>105.42</v>
      </c>
      <c r="P70" s="718">
        <v>130.72</v>
      </c>
      <c r="Q70" s="718">
        <v>30.63</v>
      </c>
      <c r="R70" s="718">
        <v>6.3390000000000004</v>
      </c>
      <c r="S70" s="718">
        <v>39.31</v>
      </c>
      <c r="T70" s="718">
        <v>2.42</v>
      </c>
      <c r="U70" s="718">
        <v>9.34</v>
      </c>
      <c r="V70" s="718">
        <v>0.33</v>
      </c>
      <c r="W70" s="718">
        <v>0.22</v>
      </c>
      <c r="X70" s="717">
        <f t="shared" si="1"/>
        <v>747.73998300000005</v>
      </c>
      <c r="Y70" s="717">
        <f t="shared" si="2"/>
        <v>23455.829983</v>
      </c>
      <c r="Z70" s="698"/>
      <c r="AA70" s="706"/>
      <c r="AB70" s="727"/>
      <c r="AC70" s="706"/>
    </row>
    <row r="71" spans="1:29" s="713" customFormat="1" ht="28.5" customHeight="1">
      <c r="A71" s="690">
        <v>41244</v>
      </c>
      <c r="B71" s="726">
        <v>217.39</v>
      </c>
      <c r="C71" s="715">
        <v>194.03</v>
      </c>
      <c r="D71" s="715">
        <v>306.7</v>
      </c>
      <c r="E71" s="715">
        <v>1284.2</v>
      </c>
      <c r="F71" s="715">
        <v>1559.5</v>
      </c>
      <c r="G71" s="715">
        <v>2948.7</v>
      </c>
      <c r="H71" s="715">
        <v>17722.5</v>
      </c>
      <c r="I71" s="716">
        <v>2206.34</v>
      </c>
      <c r="J71" s="723">
        <f t="shared" si="0"/>
        <v>26439.360000000001</v>
      </c>
      <c r="K71" s="726">
        <v>9</v>
      </c>
      <c r="L71" s="718">
        <v>13.1</v>
      </c>
      <c r="M71" s="718">
        <v>165.54</v>
      </c>
      <c r="N71" s="718">
        <v>245.15</v>
      </c>
      <c r="O71" s="718">
        <v>107.89</v>
      </c>
      <c r="P71" s="718">
        <v>131.78</v>
      </c>
      <c r="Q71" s="718">
        <v>30.89</v>
      </c>
      <c r="R71" s="718">
        <v>6.33</v>
      </c>
      <c r="S71" s="718">
        <v>39.54</v>
      </c>
      <c r="T71" s="718">
        <v>2.42</v>
      </c>
      <c r="U71" s="718">
        <v>9.3699999999999992</v>
      </c>
      <c r="V71" s="718">
        <v>0.33</v>
      </c>
      <c r="W71" s="718">
        <v>0.22</v>
      </c>
      <c r="X71" s="717">
        <f t="shared" si="1"/>
        <v>761.56</v>
      </c>
      <c r="Y71" s="717">
        <f t="shared" si="2"/>
        <v>27200.920000000002</v>
      </c>
      <c r="Z71" s="698"/>
      <c r="AA71" s="706"/>
      <c r="AB71" s="727"/>
      <c r="AC71" s="706"/>
    </row>
    <row r="72" spans="1:29" s="713" customFormat="1" ht="28.5" customHeight="1">
      <c r="A72" s="690">
        <v>41275</v>
      </c>
      <c r="B72" s="726">
        <v>217.32</v>
      </c>
      <c r="C72" s="715">
        <v>190.4</v>
      </c>
      <c r="D72" s="715">
        <v>293.81</v>
      </c>
      <c r="E72" s="715">
        <v>1151.3</v>
      </c>
      <c r="F72" s="715">
        <v>1448</v>
      </c>
      <c r="G72" s="715">
        <v>2664.6</v>
      </c>
      <c r="H72" s="715">
        <v>16403.5</v>
      </c>
      <c r="I72" s="716">
        <v>2264</v>
      </c>
      <c r="J72" s="723">
        <f t="shared" si="0"/>
        <v>24632.93</v>
      </c>
      <c r="K72" s="726">
        <v>9</v>
      </c>
      <c r="L72" s="718">
        <v>13.1</v>
      </c>
      <c r="M72" s="718">
        <v>168.79</v>
      </c>
      <c r="N72" s="718">
        <v>247.32</v>
      </c>
      <c r="O72" s="718">
        <v>109.34</v>
      </c>
      <c r="P72" s="718">
        <v>132.81</v>
      </c>
      <c r="Q72" s="718">
        <v>30.96</v>
      </c>
      <c r="R72" s="718">
        <v>6.34</v>
      </c>
      <c r="S72" s="718">
        <v>39.71</v>
      </c>
      <c r="T72" s="718">
        <v>2.42</v>
      </c>
      <c r="U72" s="718">
        <v>9.39</v>
      </c>
      <c r="V72" s="718">
        <v>0.33</v>
      </c>
      <c r="W72" s="718">
        <v>0.2</v>
      </c>
      <c r="X72" s="717">
        <f t="shared" si="1"/>
        <v>769.71</v>
      </c>
      <c r="Y72" s="717">
        <f t="shared" si="2"/>
        <v>25402.639999999999</v>
      </c>
      <c r="Z72" s="698"/>
      <c r="AA72" s="706"/>
      <c r="AB72" s="727"/>
      <c r="AC72" s="706"/>
    </row>
    <row r="73" spans="1:29" s="713" customFormat="1" ht="28.5" customHeight="1">
      <c r="A73" s="690">
        <v>41306</v>
      </c>
      <c r="B73" s="726">
        <v>217.19</v>
      </c>
      <c r="C73" s="715">
        <v>187.92</v>
      </c>
      <c r="D73" s="715">
        <v>288.66000000000003</v>
      </c>
      <c r="E73" s="715">
        <v>1168.05</v>
      </c>
      <c r="F73" s="715">
        <v>1391.75</v>
      </c>
      <c r="G73" s="715">
        <v>2511.4899999999998</v>
      </c>
      <c r="H73" s="715">
        <v>15837.7</v>
      </c>
      <c r="I73" s="716">
        <v>2361.6999999999998</v>
      </c>
      <c r="J73" s="723">
        <f t="shared" si="0"/>
        <v>23964.460000000003</v>
      </c>
      <c r="K73" s="726">
        <v>9</v>
      </c>
      <c r="L73" s="718">
        <v>13.1</v>
      </c>
      <c r="M73" s="718">
        <v>170.14</v>
      </c>
      <c r="N73" s="718">
        <v>247.42500000000001</v>
      </c>
      <c r="O73" s="718">
        <v>110.86499999999999</v>
      </c>
      <c r="P73" s="718">
        <v>133.58000000000001</v>
      </c>
      <c r="Q73" s="718">
        <v>31.02</v>
      </c>
      <c r="R73" s="718">
        <v>6.3390000000000004</v>
      </c>
      <c r="S73" s="718">
        <v>39.85</v>
      </c>
      <c r="T73" s="718">
        <v>2.42</v>
      </c>
      <c r="U73" s="718">
        <v>9.41</v>
      </c>
      <c r="V73" s="718">
        <v>0.33</v>
      </c>
      <c r="W73" s="718">
        <v>0.22</v>
      </c>
      <c r="X73" s="717">
        <f t="shared" si="1"/>
        <v>773.69900000000007</v>
      </c>
      <c r="Y73" s="717">
        <f t="shared" si="2"/>
        <v>24738.159000000003</v>
      </c>
      <c r="Z73" s="698"/>
      <c r="AA73" s="706"/>
      <c r="AB73" s="727"/>
      <c r="AC73" s="706"/>
    </row>
    <row r="74" spans="1:29" ht="12.75" customHeight="1" thickBot="1">
      <c r="A74" s="730"/>
      <c r="B74" s="731"/>
      <c r="C74" s="732"/>
      <c r="D74" s="732"/>
      <c r="E74" s="732"/>
      <c r="F74" s="732"/>
      <c r="G74" s="732"/>
      <c r="H74" s="732"/>
      <c r="I74" s="733"/>
      <c r="J74" s="734"/>
      <c r="K74" s="731"/>
      <c r="L74" s="732"/>
      <c r="M74" s="732"/>
      <c r="N74" s="732"/>
      <c r="O74" s="732"/>
      <c r="P74" s="732"/>
      <c r="Q74" s="732"/>
      <c r="R74" s="732"/>
      <c r="S74" s="732"/>
      <c r="T74" s="732"/>
      <c r="U74" s="732"/>
      <c r="V74" s="732"/>
      <c r="W74" s="732"/>
      <c r="X74" s="735"/>
      <c r="Y74" s="736"/>
      <c r="Z74" s="650"/>
      <c r="AA74" s="706"/>
      <c r="AB74" s="706"/>
      <c r="AC74" s="706"/>
    </row>
    <row r="75" spans="1:29" ht="28.5" customHeight="1" thickTop="1">
      <c r="A75" s="638" t="s">
        <v>361</v>
      </c>
      <c r="B75" s="737"/>
      <c r="C75" s="737"/>
      <c r="D75" s="737"/>
      <c r="E75" s="737"/>
      <c r="F75" s="737"/>
      <c r="G75" s="737"/>
      <c r="H75" s="737"/>
      <c r="I75" s="737"/>
      <c r="J75" s="738"/>
      <c r="K75" s="737"/>
      <c r="L75" s="737"/>
      <c r="M75" s="737"/>
      <c r="N75" s="737"/>
      <c r="O75" s="737"/>
      <c r="P75" s="737"/>
      <c r="Q75" s="737"/>
      <c r="R75" s="737"/>
      <c r="S75" s="737"/>
      <c r="T75" s="737"/>
      <c r="U75" s="737"/>
      <c r="V75" s="737"/>
      <c r="W75" s="739"/>
      <c r="X75" s="738"/>
      <c r="Y75" s="740"/>
      <c r="Z75" s="650"/>
      <c r="AA75" s="706"/>
      <c r="AB75" s="706"/>
      <c r="AC75" s="706"/>
    </row>
    <row r="76" spans="1:29" ht="28.5" customHeight="1">
      <c r="A76" s="638" t="s">
        <v>303</v>
      </c>
      <c r="I76" s="741"/>
      <c r="J76" s="742"/>
      <c r="K76" s="743"/>
      <c r="L76" s="744"/>
      <c r="N76" s="745"/>
      <c r="X76" s="746"/>
      <c r="Y76" s="747"/>
      <c r="AA76" s="706"/>
      <c r="AB76" s="706"/>
      <c r="AC76" s="706"/>
    </row>
    <row r="77" spans="1:29" ht="28.5" customHeight="1">
      <c r="A77" s="748"/>
      <c r="E77" s="749"/>
      <c r="G77" s="741"/>
      <c r="K77" s="749"/>
      <c r="M77" s="744"/>
      <c r="T77" s="751"/>
      <c r="U77" s="744"/>
      <c r="V77" s="744"/>
      <c r="Y77" s="706"/>
      <c r="AA77" s="706"/>
      <c r="AB77" s="706"/>
      <c r="AC77" s="706"/>
    </row>
    <row r="78" spans="1:29">
      <c r="F78" s="741"/>
      <c r="M78" s="753"/>
      <c r="O78" s="743"/>
      <c r="P78" s="706"/>
      <c r="R78" s="744"/>
      <c r="S78" s="744"/>
      <c r="T78" s="744"/>
      <c r="U78" s="744"/>
      <c r="V78" s="749"/>
      <c r="W78" s="749"/>
      <c r="X78" s="754"/>
      <c r="Y78" s="706"/>
      <c r="AA78" s="706"/>
      <c r="AB78" s="706"/>
      <c r="AC78" s="706"/>
    </row>
    <row r="79" spans="1:29">
      <c r="D79" s="744"/>
      <c r="E79" s="744"/>
      <c r="F79" s="744"/>
      <c r="G79" s="744"/>
      <c r="H79" s="744"/>
      <c r="I79" s="744"/>
      <c r="J79" s="749"/>
      <c r="O79" s="749"/>
      <c r="Q79" s="749"/>
      <c r="S79" s="744"/>
      <c r="X79" s="755"/>
      <c r="AA79" s="706"/>
      <c r="AB79" s="706"/>
      <c r="AC79" s="706"/>
    </row>
    <row r="80" spans="1:29">
      <c r="AA80" s="706"/>
      <c r="AB80" s="706"/>
      <c r="AC80" s="706"/>
    </row>
    <row r="81" spans="27:29">
      <c r="AA81" s="706"/>
      <c r="AB81" s="706"/>
      <c r="AC81" s="706"/>
    </row>
    <row r="82" spans="27:29">
      <c r="AA82" s="706"/>
      <c r="AB82" s="706"/>
      <c r="AC82" s="706"/>
    </row>
    <row r="83" spans="27:29">
      <c r="AA83" s="706"/>
      <c r="AB83" s="706"/>
      <c r="AC83" s="706"/>
    </row>
    <row r="84" spans="27:29">
      <c r="AA84" s="706"/>
      <c r="AB84" s="706"/>
      <c r="AC84" s="706"/>
    </row>
    <row r="85" spans="27:29">
      <c r="AA85" s="706"/>
      <c r="AB85" s="706"/>
      <c r="AC85" s="706"/>
    </row>
    <row r="86" spans="27:29">
      <c r="AA86" s="706"/>
      <c r="AB86" s="706"/>
      <c r="AC86" s="706"/>
    </row>
    <row r="87" spans="27:29">
      <c r="AA87" s="706"/>
      <c r="AB87" s="706"/>
      <c r="AC87" s="706"/>
    </row>
    <row r="88" spans="27:29">
      <c r="AA88" s="706"/>
      <c r="AB88" s="706"/>
      <c r="AC88" s="706"/>
    </row>
    <row r="89" spans="27:29">
      <c r="AA89" s="706"/>
      <c r="AB89" s="706"/>
      <c r="AC89" s="706"/>
    </row>
    <row r="90" spans="27:29">
      <c r="AA90" s="706"/>
      <c r="AB90" s="706"/>
      <c r="AC90" s="706"/>
    </row>
    <row r="91" spans="27:29">
      <c r="AA91" s="706"/>
      <c r="AB91" s="706"/>
      <c r="AC91" s="706"/>
    </row>
    <row r="92" spans="27:29">
      <c r="AA92" s="706"/>
      <c r="AB92" s="706"/>
      <c r="AC92" s="706"/>
    </row>
    <row r="93" spans="27:29">
      <c r="AA93" s="706"/>
      <c r="AC93" s="706"/>
    </row>
    <row r="94" spans="27:29">
      <c r="AA94" s="706"/>
      <c r="AC94" s="706"/>
    </row>
    <row r="95" spans="27:29">
      <c r="AA95" s="706"/>
    </row>
    <row r="96" spans="27:29">
      <c r="AA96" s="706"/>
    </row>
    <row r="97" spans="27:27">
      <c r="AA97" s="706"/>
    </row>
    <row r="98" spans="27:27">
      <c r="AA98" s="706"/>
    </row>
    <row r="99" spans="27:27">
      <c r="AA99" s="706"/>
    </row>
    <row r="100" spans="27:27">
      <c r="AA100" s="706"/>
    </row>
    <row r="101" spans="27:27">
      <c r="AA101" s="706"/>
    </row>
    <row r="102" spans="27:27">
      <c r="AA102" s="706"/>
    </row>
    <row r="103" spans="27:27">
      <c r="AA103" s="706"/>
    </row>
    <row r="104" spans="27:27">
      <c r="AA104" s="706"/>
    </row>
    <row r="105" spans="27:27">
      <c r="AA105" s="706"/>
    </row>
    <row r="106" spans="27:27">
      <c r="AA106" s="706"/>
    </row>
    <row r="107" spans="27:27">
      <c r="AA107" s="706"/>
    </row>
    <row r="108" spans="27:27">
      <c r="AA108" s="706"/>
    </row>
    <row r="109" spans="27:27">
      <c r="AA109" s="706"/>
    </row>
    <row r="110" spans="27:27">
      <c r="AA110" s="706"/>
    </row>
    <row r="111" spans="27:27">
      <c r="AA111" s="706"/>
    </row>
    <row r="112" spans="27:27">
      <c r="AA112" s="706"/>
    </row>
    <row r="113" spans="27:27">
      <c r="AA113" s="706"/>
    </row>
    <row r="114" spans="27:27">
      <c r="AA114" s="706"/>
    </row>
    <row r="115" spans="27:27">
      <c r="AA115" s="706"/>
    </row>
    <row r="116" spans="27:27">
      <c r="AA116" s="706"/>
    </row>
    <row r="117" spans="27:27">
      <c r="AA117" s="706"/>
    </row>
    <row r="118" spans="27:27">
      <c r="AA118" s="706"/>
    </row>
    <row r="119" spans="27:27">
      <c r="AA119" s="706"/>
    </row>
    <row r="120" spans="27:27">
      <c r="AA120" s="706"/>
    </row>
    <row r="121" spans="27:27">
      <c r="AA121" s="706"/>
    </row>
    <row r="122" spans="27:27">
      <c r="AA122" s="706"/>
    </row>
    <row r="123" spans="27:27">
      <c r="AA123" s="706"/>
    </row>
    <row r="124" spans="27:27">
      <c r="AA124" s="706"/>
    </row>
    <row r="125" spans="27:27">
      <c r="AA125" s="706"/>
    </row>
    <row r="126" spans="27:27">
      <c r="AA126" s="706"/>
    </row>
    <row r="127" spans="27:27">
      <c r="AA127" s="706"/>
    </row>
    <row r="128" spans="27:27">
      <c r="AA128" s="706"/>
    </row>
    <row r="129" spans="27:27">
      <c r="AA129" s="706"/>
    </row>
    <row r="130" spans="27:27">
      <c r="AA130" s="706"/>
    </row>
    <row r="131" spans="27:27">
      <c r="AA131" s="706"/>
    </row>
    <row r="132" spans="27:27">
      <c r="AA132" s="706"/>
    </row>
    <row r="133" spans="27:27">
      <c r="AA133" s="706"/>
    </row>
    <row r="134" spans="27:27">
      <c r="AA134" s="706"/>
    </row>
    <row r="135" spans="27:27">
      <c r="AA135" s="706"/>
    </row>
    <row r="136" spans="27:27">
      <c r="AA136" s="706"/>
    </row>
    <row r="137" spans="27:27">
      <c r="AA137" s="706"/>
    </row>
    <row r="138" spans="27:27">
      <c r="AA138" s="706"/>
    </row>
    <row r="139" spans="27:27">
      <c r="AA139" s="706"/>
    </row>
    <row r="140" spans="27:27">
      <c r="AA140" s="706"/>
    </row>
    <row r="141" spans="27:27">
      <c r="AA141" s="706"/>
    </row>
    <row r="142" spans="27:27">
      <c r="AA142" s="706"/>
    </row>
    <row r="143" spans="27:27">
      <c r="AA143" s="706"/>
    </row>
    <row r="144" spans="27:27">
      <c r="AA144" s="706"/>
    </row>
    <row r="145" spans="27:27">
      <c r="AA145" s="706"/>
    </row>
    <row r="146" spans="27:27">
      <c r="AA146" s="706"/>
    </row>
    <row r="147" spans="27:27">
      <c r="AA147" s="706"/>
    </row>
    <row r="148" spans="27:27">
      <c r="AA148" s="706"/>
    </row>
    <row r="149" spans="27:27">
      <c r="AA149" s="706"/>
    </row>
    <row r="150" spans="27:27">
      <c r="AA150" s="706"/>
    </row>
    <row r="151" spans="27:27">
      <c r="AA151" s="706"/>
    </row>
    <row r="152" spans="27:27">
      <c r="AA152" s="706"/>
    </row>
    <row r="153" spans="27:27">
      <c r="AA153" s="706"/>
    </row>
    <row r="154" spans="27:27">
      <c r="AA154" s="706"/>
    </row>
    <row r="155" spans="27:27">
      <c r="AA155" s="706"/>
    </row>
    <row r="156" spans="27:27">
      <c r="AA156" s="706"/>
    </row>
    <row r="157" spans="27:27">
      <c r="AA157" s="706"/>
    </row>
    <row r="158" spans="27:27">
      <c r="AA158" s="706"/>
    </row>
    <row r="159" spans="27:27">
      <c r="AA159" s="706"/>
    </row>
    <row r="160" spans="27:27">
      <c r="AA160" s="706"/>
    </row>
    <row r="161" spans="27:27">
      <c r="AA161" s="706"/>
    </row>
    <row r="162" spans="27:27">
      <c r="AA162" s="706"/>
    </row>
    <row r="163" spans="27:27">
      <c r="AA163" s="706"/>
    </row>
    <row r="164" spans="27:27">
      <c r="AA164" s="706"/>
    </row>
    <row r="165" spans="27:27">
      <c r="AA165" s="706"/>
    </row>
    <row r="166" spans="27:27">
      <c r="AA166" s="706"/>
    </row>
    <row r="167" spans="27:27">
      <c r="AA167" s="706"/>
    </row>
    <row r="168" spans="27:27">
      <c r="AA168" s="706"/>
    </row>
    <row r="169" spans="27:27">
      <c r="AA169" s="706"/>
    </row>
    <row r="170" spans="27:27">
      <c r="AA170" s="706"/>
    </row>
    <row r="171" spans="27:27">
      <c r="AA171" s="706"/>
    </row>
    <row r="172" spans="27:27">
      <c r="AA172" s="706"/>
    </row>
    <row r="173" spans="27:27">
      <c r="AA173" s="706"/>
    </row>
    <row r="174" spans="27:27">
      <c r="AA174" s="706"/>
    </row>
    <row r="175" spans="27:27">
      <c r="AA175" s="706"/>
    </row>
    <row r="176" spans="27:27">
      <c r="AA176" s="706"/>
    </row>
    <row r="177" spans="27:27">
      <c r="AA177" s="706"/>
    </row>
    <row r="178" spans="27:27">
      <c r="AA178" s="706"/>
    </row>
    <row r="179" spans="27:27">
      <c r="AA179" s="706"/>
    </row>
    <row r="180" spans="27:27">
      <c r="AA180" s="706"/>
    </row>
    <row r="181" spans="27:27">
      <c r="AA181" s="706"/>
    </row>
    <row r="182" spans="27:27">
      <c r="AA182" s="706"/>
    </row>
    <row r="183" spans="27:27">
      <c r="AA183" s="706"/>
    </row>
    <row r="184" spans="27:27">
      <c r="AA184" s="706"/>
    </row>
    <row r="185" spans="27:27">
      <c r="AA185" s="706"/>
    </row>
    <row r="186" spans="27:27">
      <c r="AA186" s="706"/>
    </row>
    <row r="187" spans="27:27">
      <c r="AA187" s="706"/>
    </row>
    <row r="188" spans="27:27">
      <c r="AA188" s="706"/>
    </row>
    <row r="189" spans="27:27">
      <c r="AA189" s="706"/>
    </row>
    <row r="190" spans="27:27">
      <c r="AA190" s="706"/>
    </row>
    <row r="191" spans="27:27">
      <c r="AA191" s="706"/>
    </row>
    <row r="192" spans="27:27">
      <c r="AA192" s="706"/>
    </row>
    <row r="193" spans="27:27">
      <c r="AA193" s="706"/>
    </row>
    <row r="194" spans="27:27">
      <c r="AA194" s="706"/>
    </row>
    <row r="195" spans="27:27">
      <c r="AA195" s="706"/>
    </row>
    <row r="196" spans="27:27">
      <c r="AA196" s="706"/>
    </row>
    <row r="197" spans="27:27">
      <c r="AA197" s="706"/>
    </row>
    <row r="198" spans="27:27">
      <c r="AA198" s="706"/>
    </row>
    <row r="199" spans="27:27">
      <c r="AA199" s="706"/>
    </row>
    <row r="200" spans="27:27">
      <c r="AA200" s="706"/>
    </row>
    <row r="201" spans="27:27">
      <c r="AA201" s="706"/>
    </row>
    <row r="202" spans="27:27">
      <c r="AA202" s="706"/>
    </row>
    <row r="203" spans="27:27">
      <c r="AA203" s="706"/>
    </row>
    <row r="204" spans="27:27">
      <c r="AA204" s="706"/>
    </row>
    <row r="205" spans="27:27">
      <c r="AA205" s="706"/>
    </row>
    <row r="206" spans="27:27">
      <c r="AA206" s="706"/>
    </row>
    <row r="207" spans="27:27">
      <c r="AA207" s="706"/>
    </row>
    <row r="208" spans="27:27">
      <c r="AA208" s="706"/>
    </row>
    <row r="209" spans="27:27">
      <c r="AA209" s="706"/>
    </row>
    <row r="210" spans="27:27">
      <c r="AA210" s="706"/>
    </row>
    <row r="211" spans="27:27">
      <c r="AA211" s="706"/>
    </row>
    <row r="212" spans="27:27">
      <c r="AA212" s="706"/>
    </row>
    <row r="213" spans="27:27">
      <c r="AA213" s="706"/>
    </row>
    <row r="214" spans="27:27">
      <c r="AA214" s="706"/>
    </row>
    <row r="215" spans="27:27">
      <c r="AA215" s="706"/>
    </row>
    <row r="216" spans="27:27">
      <c r="AA216" s="706"/>
    </row>
    <row r="217" spans="27:27">
      <c r="AA217" s="706"/>
    </row>
    <row r="218" spans="27:27">
      <c r="AA218" s="706"/>
    </row>
    <row r="219" spans="27:27">
      <c r="AA219" s="706"/>
    </row>
    <row r="220" spans="27:27">
      <c r="AA220" s="706"/>
    </row>
    <row r="221" spans="27:27">
      <c r="AA221" s="706"/>
    </row>
    <row r="222" spans="27:27">
      <c r="AA222" s="706"/>
    </row>
    <row r="223" spans="27:27">
      <c r="AA223" s="706"/>
    </row>
    <row r="224" spans="27:27">
      <c r="AA224" s="706"/>
    </row>
    <row r="225" spans="27:27">
      <c r="AA225" s="706"/>
    </row>
    <row r="226" spans="27:27">
      <c r="AA226" s="706"/>
    </row>
    <row r="227" spans="27:27">
      <c r="AA227" s="706"/>
    </row>
    <row r="228" spans="27:27">
      <c r="AA228" s="706"/>
    </row>
    <row r="229" spans="27:27">
      <c r="AA229" s="706"/>
    </row>
    <row r="230" spans="27:27">
      <c r="AA230" s="706"/>
    </row>
    <row r="231" spans="27:27">
      <c r="AA231" s="706"/>
    </row>
    <row r="232" spans="27:27">
      <c r="AA232" s="706"/>
    </row>
    <row r="233" spans="27:27">
      <c r="AA233" s="706"/>
    </row>
    <row r="234" spans="27:27">
      <c r="AA234" s="706"/>
    </row>
    <row r="235" spans="27:27">
      <c r="AA235" s="706"/>
    </row>
    <row r="236" spans="27:27">
      <c r="AA236" s="706"/>
    </row>
    <row r="237" spans="27:27">
      <c r="AA237" s="706"/>
    </row>
    <row r="238" spans="27:27">
      <c r="AA238" s="706"/>
    </row>
    <row r="239" spans="27:27">
      <c r="AA239" s="706"/>
    </row>
    <row r="240" spans="27:27">
      <c r="AA240" s="706"/>
    </row>
    <row r="241" spans="27:27">
      <c r="AA241" s="706"/>
    </row>
    <row r="242" spans="27:27">
      <c r="AA242" s="706"/>
    </row>
    <row r="243" spans="27:27">
      <c r="AA243" s="706"/>
    </row>
    <row r="244" spans="27:27">
      <c r="AA244" s="706"/>
    </row>
    <row r="245" spans="27:27">
      <c r="AA245" s="706"/>
    </row>
    <row r="246" spans="27:27">
      <c r="AA246" s="706"/>
    </row>
    <row r="247" spans="27:27">
      <c r="AA247" s="706"/>
    </row>
    <row r="248" spans="27:27">
      <c r="AA248" s="706"/>
    </row>
    <row r="249" spans="27:27">
      <c r="AA249" s="706"/>
    </row>
    <row r="250" spans="27:27">
      <c r="AA250" s="706"/>
    </row>
    <row r="251" spans="27:27">
      <c r="AA251" s="706"/>
    </row>
    <row r="252" spans="27:27">
      <c r="AA252" s="706"/>
    </row>
    <row r="253" spans="27:27">
      <c r="AA253" s="706"/>
    </row>
    <row r="254" spans="27:27">
      <c r="AA254" s="706"/>
    </row>
    <row r="255" spans="27:27">
      <c r="AA255" s="706"/>
    </row>
    <row r="256" spans="27:27">
      <c r="AA256" s="706"/>
    </row>
    <row r="257" spans="27:27">
      <c r="AA257" s="706"/>
    </row>
    <row r="258" spans="27:27">
      <c r="AA258" s="706"/>
    </row>
    <row r="259" spans="27:27">
      <c r="AA259" s="706"/>
    </row>
    <row r="260" spans="27:27">
      <c r="AA260" s="706"/>
    </row>
    <row r="261" spans="27:27">
      <c r="AA261" s="706"/>
    </row>
    <row r="262" spans="27:27">
      <c r="AA262" s="706"/>
    </row>
    <row r="263" spans="27:27">
      <c r="AA263" s="706"/>
    </row>
    <row r="264" spans="27:27">
      <c r="AA264" s="706"/>
    </row>
    <row r="265" spans="27:27">
      <c r="AA265" s="706"/>
    </row>
    <row r="266" spans="27:27">
      <c r="AA266" s="706"/>
    </row>
    <row r="267" spans="27:27">
      <c r="AA267" s="706"/>
    </row>
    <row r="268" spans="27:27">
      <c r="AA268" s="706"/>
    </row>
    <row r="269" spans="27:27">
      <c r="AA269" s="706"/>
    </row>
    <row r="270" spans="27:27">
      <c r="AA270" s="706"/>
    </row>
    <row r="271" spans="27:27">
      <c r="AA271" s="706"/>
    </row>
    <row r="272" spans="27:27">
      <c r="AA272" s="706"/>
    </row>
    <row r="273" spans="27:27">
      <c r="AA273" s="706"/>
    </row>
    <row r="274" spans="27:27">
      <c r="AA274" s="706"/>
    </row>
    <row r="275" spans="27:27">
      <c r="AA275" s="706"/>
    </row>
    <row r="276" spans="27:27">
      <c r="AA276" s="706"/>
    </row>
    <row r="277" spans="27:27">
      <c r="AA277" s="706"/>
    </row>
    <row r="278" spans="27:27">
      <c r="AA278" s="706"/>
    </row>
    <row r="279" spans="27:27">
      <c r="AA279" s="706"/>
    </row>
    <row r="280" spans="27:27">
      <c r="AA280" s="706"/>
    </row>
    <row r="281" spans="27:27">
      <c r="AA281" s="706"/>
    </row>
    <row r="282" spans="27:27">
      <c r="AA282" s="706"/>
    </row>
    <row r="283" spans="27:27">
      <c r="AA283" s="706"/>
    </row>
    <row r="284" spans="27:27">
      <c r="AA284" s="706"/>
    </row>
    <row r="285" spans="27:27">
      <c r="AA285" s="706"/>
    </row>
    <row r="286" spans="27:27">
      <c r="AA286" s="706"/>
    </row>
    <row r="287" spans="27:27">
      <c r="AA287" s="706"/>
    </row>
    <row r="288" spans="27:27">
      <c r="AA288" s="706"/>
    </row>
    <row r="289" spans="27:27">
      <c r="AA289" s="706"/>
    </row>
    <row r="290" spans="27:27">
      <c r="AA290" s="706"/>
    </row>
    <row r="291" spans="27:27">
      <c r="AA291" s="706"/>
    </row>
    <row r="292" spans="27:27">
      <c r="AA292" s="706"/>
    </row>
    <row r="293" spans="27:27">
      <c r="AA293" s="706"/>
    </row>
    <row r="294" spans="27:27">
      <c r="AA294" s="706"/>
    </row>
    <row r="295" spans="27:27">
      <c r="AA295" s="706"/>
    </row>
    <row r="296" spans="27:27">
      <c r="AA296" s="706"/>
    </row>
    <row r="297" spans="27:27">
      <c r="AA297" s="706"/>
    </row>
    <row r="298" spans="27:27">
      <c r="AA298" s="706"/>
    </row>
    <row r="299" spans="27:27">
      <c r="AA299" s="706"/>
    </row>
    <row r="300" spans="27:27">
      <c r="AA300" s="706"/>
    </row>
    <row r="301" spans="27:27">
      <c r="AA301" s="706"/>
    </row>
    <row r="302" spans="27:27">
      <c r="AA302" s="706"/>
    </row>
    <row r="303" spans="27:27">
      <c r="AA303" s="706"/>
    </row>
    <row r="304" spans="27:27">
      <c r="AA304" s="706"/>
    </row>
    <row r="305" spans="27:27">
      <c r="AA305" s="706"/>
    </row>
    <row r="306" spans="27:27">
      <c r="AA306" s="706"/>
    </row>
    <row r="307" spans="27:27">
      <c r="AA307" s="706"/>
    </row>
    <row r="308" spans="27:27">
      <c r="AA308" s="706"/>
    </row>
    <row r="309" spans="27:27">
      <c r="AA309" s="706"/>
    </row>
    <row r="310" spans="27:27">
      <c r="AA310" s="706"/>
    </row>
    <row r="311" spans="27:27">
      <c r="AA311" s="706"/>
    </row>
    <row r="312" spans="27:27">
      <c r="AA312" s="706"/>
    </row>
    <row r="313" spans="27:27">
      <c r="AA313" s="706"/>
    </row>
    <row r="314" spans="27:27">
      <c r="AA314" s="706"/>
    </row>
    <row r="315" spans="27:27">
      <c r="AA315" s="706"/>
    </row>
    <row r="316" spans="27:27">
      <c r="AA316" s="706"/>
    </row>
    <row r="317" spans="27:27">
      <c r="AA317" s="706"/>
    </row>
    <row r="318" spans="27:27">
      <c r="AA318" s="706"/>
    </row>
    <row r="319" spans="27:27">
      <c r="AA319" s="706"/>
    </row>
    <row r="320" spans="27:27">
      <c r="AA320" s="706"/>
    </row>
    <row r="321" spans="27:27">
      <c r="AA321" s="706"/>
    </row>
    <row r="322" spans="27:27">
      <c r="AA322" s="706"/>
    </row>
    <row r="323" spans="27:27">
      <c r="AA323" s="706"/>
    </row>
    <row r="324" spans="27:27">
      <c r="AA324" s="706"/>
    </row>
    <row r="325" spans="27:27">
      <c r="AA325" s="706"/>
    </row>
    <row r="326" spans="27:27">
      <c r="AA326" s="706"/>
    </row>
    <row r="327" spans="27:27">
      <c r="AA327" s="706"/>
    </row>
    <row r="328" spans="27:27">
      <c r="AA328" s="706"/>
    </row>
    <row r="329" spans="27:27">
      <c r="AA329" s="706"/>
    </row>
    <row r="330" spans="27:27">
      <c r="AA330" s="706"/>
    </row>
    <row r="331" spans="27:27">
      <c r="AA331" s="706"/>
    </row>
    <row r="332" spans="27:27">
      <c r="AA332" s="706"/>
    </row>
    <row r="333" spans="27:27">
      <c r="AA333" s="706"/>
    </row>
    <row r="334" spans="27:27">
      <c r="AA334" s="706"/>
    </row>
    <row r="335" spans="27:27">
      <c r="AA335" s="706"/>
    </row>
    <row r="336" spans="27:27">
      <c r="AA336" s="706"/>
    </row>
    <row r="337" spans="27:27">
      <c r="AA337" s="706"/>
    </row>
    <row r="338" spans="27:27">
      <c r="AA338" s="706"/>
    </row>
    <row r="339" spans="27:27">
      <c r="AA339" s="706"/>
    </row>
    <row r="340" spans="27:27">
      <c r="AA340" s="706"/>
    </row>
    <row r="341" spans="27:27">
      <c r="AA341" s="706"/>
    </row>
    <row r="342" spans="27:27">
      <c r="AA342" s="706"/>
    </row>
    <row r="343" spans="27:27">
      <c r="AA343" s="706"/>
    </row>
    <row r="344" spans="27:27">
      <c r="AA344" s="706"/>
    </row>
    <row r="345" spans="27:27">
      <c r="AA345" s="706"/>
    </row>
    <row r="346" spans="27:27">
      <c r="AA346" s="706"/>
    </row>
    <row r="347" spans="27:27">
      <c r="AA347" s="706"/>
    </row>
    <row r="348" spans="27:27">
      <c r="AA348" s="706"/>
    </row>
    <row r="349" spans="27:27">
      <c r="AA349" s="706"/>
    </row>
    <row r="350" spans="27:27">
      <c r="AA350" s="706"/>
    </row>
    <row r="351" spans="27:27">
      <c r="AA351" s="706"/>
    </row>
    <row r="352" spans="27:27">
      <c r="AA352" s="706"/>
    </row>
    <row r="353" spans="27:27">
      <c r="AA353" s="706"/>
    </row>
    <row r="354" spans="27:27">
      <c r="AA354" s="706"/>
    </row>
    <row r="355" spans="27:27">
      <c r="AA355" s="706"/>
    </row>
    <row r="356" spans="27:27">
      <c r="AA356" s="706"/>
    </row>
    <row r="357" spans="27:27">
      <c r="AA357" s="706"/>
    </row>
    <row r="358" spans="27:27">
      <c r="AA358" s="706"/>
    </row>
    <row r="359" spans="27:27">
      <c r="AA359" s="706"/>
    </row>
    <row r="360" spans="27:27">
      <c r="AA360" s="706"/>
    </row>
    <row r="361" spans="27:27">
      <c r="AA361" s="706"/>
    </row>
    <row r="362" spans="27:27">
      <c r="AA362" s="706"/>
    </row>
    <row r="363" spans="27:27">
      <c r="AA363" s="706"/>
    </row>
    <row r="364" spans="27:27">
      <c r="AA364" s="706"/>
    </row>
    <row r="365" spans="27:27">
      <c r="AA365" s="706"/>
    </row>
    <row r="366" spans="27:27">
      <c r="AA366" s="706"/>
    </row>
    <row r="367" spans="27:27">
      <c r="AA367" s="706"/>
    </row>
    <row r="368" spans="27:27">
      <c r="AA368" s="706"/>
    </row>
    <row r="369" spans="27:27">
      <c r="AA369" s="706"/>
    </row>
    <row r="370" spans="27:27">
      <c r="AA370" s="706"/>
    </row>
    <row r="371" spans="27:27">
      <c r="AA371" s="706"/>
    </row>
    <row r="372" spans="27:27">
      <c r="AA372" s="706"/>
    </row>
    <row r="373" spans="27:27">
      <c r="AA373" s="706"/>
    </row>
    <row r="374" spans="27:27">
      <c r="AA374" s="706"/>
    </row>
    <row r="375" spans="27:27">
      <c r="AA375" s="706"/>
    </row>
    <row r="376" spans="27:27">
      <c r="AA376" s="706"/>
    </row>
    <row r="377" spans="27:27">
      <c r="AA377" s="706"/>
    </row>
    <row r="378" spans="27:27">
      <c r="AA378" s="706"/>
    </row>
    <row r="379" spans="27:27">
      <c r="AA379" s="706"/>
    </row>
    <row r="380" spans="27:27">
      <c r="AA380" s="706"/>
    </row>
    <row r="381" spans="27:27">
      <c r="AA381" s="706"/>
    </row>
    <row r="382" spans="27:27">
      <c r="AA382" s="706"/>
    </row>
    <row r="383" spans="27:27">
      <c r="AA383" s="706"/>
    </row>
    <row r="384" spans="27:27">
      <c r="AA384" s="706"/>
    </row>
    <row r="385" spans="27:27">
      <c r="AA385" s="706"/>
    </row>
    <row r="386" spans="27:27">
      <c r="AA386" s="706"/>
    </row>
    <row r="387" spans="27:27">
      <c r="AA387" s="706"/>
    </row>
    <row r="388" spans="27:27">
      <c r="AA388" s="706"/>
    </row>
    <row r="389" spans="27:27">
      <c r="AA389" s="706"/>
    </row>
    <row r="390" spans="27:27">
      <c r="AA390" s="706"/>
    </row>
    <row r="391" spans="27:27">
      <c r="AA391" s="706"/>
    </row>
    <row r="392" spans="27:27">
      <c r="AA392" s="706"/>
    </row>
    <row r="393" spans="27:27">
      <c r="AA393" s="706"/>
    </row>
    <row r="394" spans="27:27">
      <c r="AA394" s="706"/>
    </row>
    <row r="395" spans="27:27">
      <c r="AA395" s="706"/>
    </row>
    <row r="396" spans="27:27">
      <c r="AA396" s="706"/>
    </row>
    <row r="397" spans="27:27">
      <c r="AA397" s="706"/>
    </row>
    <row r="398" spans="27:27">
      <c r="AA398" s="706"/>
    </row>
    <row r="399" spans="27:27">
      <c r="AA399" s="706"/>
    </row>
    <row r="400" spans="27:27">
      <c r="AA400" s="706"/>
    </row>
    <row r="401" spans="27:27">
      <c r="AA401" s="706"/>
    </row>
    <row r="402" spans="27:27">
      <c r="AA402" s="706"/>
    </row>
    <row r="403" spans="27:27">
      <c r="AA403" s="706"/>
    </row>
    <row r="404" spans="27:27">
      <c r="AA404" s="706"/>
    </row>
    <row r="405" spans="27:27">
      <c r="AA405" s="706"/>
    </row>
    <row r="406" spans="27:27">
      <c r="AA406" s="706"/>
    </row>
    <row r="407" spans="27:27">
      <c r="AA407" s="706"/>
    </row>
    <row r="408" spans="27:27">
      <c r="AA408" s="706"/>
    </row>
    <row r="409" spans="27:27">
      <c r="AA409" s="706"/>
    </row>
    <row r="410" spans="27:27">
      <c r="AA410" s="706"/>
    </row>
    <row r="411" spans="27:27">
      <c r="AA411" s="706"/>
    </row>
    <row r="412" spans="27:27">
      <c r="AA412" s="706"/>
    </row>
    <row r="413" spans="27:27">
      <c r="AA413" s="706"/>
    </row>
    <row r="414" spans="27:27">
      <c r="AA414" s="706"/>
    </row>
    <row r="415" spans="27:27">
      <c r="AA415" s="706"/>
    </row>
    <row r="416" spans="27:27">
      <c r="AA416" s="706"/>
    </row>
    <row r="417" spans="27:27">
      <c r="AA417" s="706"/>
    </row>
    <row r="418" spans="27:27">
      <c r="AA418" s="706"/>
    </row>
    <row r="419" spans="27:27">
      <c r="AA419" s="706"/>
    </row>
    <row r="420" spans="27:27">
      <c r="AA420" s="706"/>
    </row>
    <row r="421" spans="27:27">
      <c r="AA421" s="706"/>
    </row>
    <row r="422" spans="27:27">
      <c r="AA422" s="706"/>
    </row>
    <row r="423" spans="27:27">
      <c r="AA423" s="706"/>
    </row>
    <row r="424" spans="27:27">
      <c r="AA424" s="706"/>
    </row>
    <row r="425" spans="27:27">
      <c r="AA425" s="706"/>
    </row>
    <row r="426" spans="27:27">
      <c r="AA426" s="706"/>
    </row>
    <row r="427" spans="27:27">
      <c r="AA427" s="706"/>
    </row>
    <row r="428" spans="27:27">
      <c r="AA428" s="706"/>
    </row>
    <row r="429" spans="27:27">
      <c r="AA429" s="706"/>
    </row>
    <row r="430" spans="27:27">
      <c r="AA430" s="706"/>
    </row>
    <row r="431" spans="27:27">
      <c r="AA431" s="706"/>
    </row>
    <row r="432" spans="27:27">
      <c r="AA432" s="706"/>
    </row>
    <row r="433" spans="27:27">
      <c r="AA433" s="706"/>
    </row>
    <row r="434" spans="27:27">
      <c r="AA434" s="706"/>
    </row>
    <row r="435" spans="27:27">
      <c r="AA435" s="706"/>
    </row>
    <row r="436" spans="27:27">
      <c r="AA436" s="706"/>
    </row>
    <row r="437" spans="27:27">
      <c r="AA437" s="706"/>
    </row>
    <row r="438" spans="27:27">
      <c r="AA438" s="706"/>
    </row>
    <row r="439" spans="27:27">
      <c r="AA439" s="706"/>
    </row>
    <row r="440" spans="27:27">
      <c r="AA440" s="706"/>
    </row>
    <row r="441" spans="27:27">
      <c r="AA441" s="706"/>
    </row>
    <row r="442" spans="27:27">
      <c r="AA442" s="706"/>
    </row>
    <row r="443" spans="27:27">
      <c r="AA443" s="706"/>
    </row>
    <row r="444" spans="27:27">
      <c r="AA444" s="706"/>
    </row>
    <row r="445" spans="27:27">
      <c r="AA445" s="706"/>
    </row>
    <row r="446" spans="27:27">
      <c r="AA446" s="706"/>
    </row>
    <row r="447" spans="27:27">
      <c r="AA447" s="706"/>
    </row>
    <row r="448" spans="27:27">
      <c r="AA448" s="706"/>
    </row>
    <row r="449" spans="27:27">
      <c r="AA449" s="706"/>
    </row>
    <row r="450" spans="27:27">
      <c r="AA450" s="706"/>
    </row>
    <row r="451" spans="27:27">
      <c r="AA451" s="706"/>
    </row>
    <row r="452" spans="27:27">
      <c r="AA452" s="706"/>
    </row>
    <row r="453" spans="27:27">
      <c r="AA453" s="706"/>
    </row>
    <row r="454" spans="27:27">
      <c r="AA454" s="706"/>
    </row>
    <row r="455" spans="27:27">
      <c r="AA455" s="706"/>
    </row>
    <row r="456" spans="27:27">
      <c r="AA456" s="706"/>
    </row>
    <row r="457" spans="27:27">
      <c r="AA457" s="706"/>
    </row>
    <row r="458" spans="27:27">
      <c r="AA458" s="706"/>
    </row>
    <row r="459" spans="27:27">
      <c r="AA459" s="706"/>
    </row>
    <row r="460" spans="27:27">
      <c r="AA460" s="706"/>
    </row>
    <row r="461" spans="27:27">
      <c r="AA461" s="706"/>
    </row>
    <row r="462" spans="27:27">
      <c r="AA462" s="706"/>
    </row>
    <row r="463" spans="27:27">
      <c r="AA463" s="706"/>
    </row>
    <row r="464" spans="27:27">
      <c r="AA464" s="706"/>
    </row>
    <row r="465" spans="27:27">
      <c r="AA465" s="706"/>
    </row>
    <row r="466" spans="27:27">
      <c r="AA466" s="706"/>
    </row>
    <row r="467" spans="27:27">
      <c r="AA467" s="706"/>
    </row>
    <row r="468" spans="27:27">
      <c r="AA468" s="706"/>
    </row>
    <row r="469" spans="27:27">
      <c r="AA469" s="706"/>
    </row>
    <row r="470" spans="27:27">
      <c r="AA470" s="706"/>
    </row>
    <row r="471" spans="27:27">
      <c r="AA471" s="706"/>
    </row>
    <row r="472" spans="27:27">
      <c r="AA472" s="706"/>
    </row>
    <row r="473" spans="27:27">
      <c r="AA473" s="706"/>
    </row>
    <row r="474" spans="27:27">
      <c r="AA474" s="706"/>
    </row>
    <row r="475" spans="27:27">
      <c r="AA475" s="706"/>
    </row>
    <row r="476" spans="27:27">
      <c r="AA476" s="706"/>
    </row>
    <row r="477" spans="27:27">
      <c r="AA477" s="706"/>
    </row>
    <row r="478" spans="27:27">
      <c r="AA478" s="706"/>
    </row>
    <row r="479" spans="27:27">
      <c r="AA479" s="706"/>
    </row>
    <row r="480" spans="27:27">
      <c r="AA480" s="706"/>
    </row>
    <row r="481" spans="27:27">
      <c r="AA481" s="706"/>
    </row>
    <row r="482" spans="27:27">
      <c r="AA482" s="706"/>
    </row>
    <row r="483" spans="27:27">
      <c r="AA483" s="706"/>
    </row>
    <row r="484" spans="27:27">
      <c r="AA484" s="706"/>
    </row>
    <row r="485" spans="27:27">
      <c r="AA485" s="706"/>
    </row>
    <row r="486" spans="27:27">
      <c r="AA486" s="706"/>
    </row>
    <row r="487" spans="27:27">
      <c r="AA487" s="706"/>
    </row>
    <row r="488" spans="27:27">
      <c r="AA488" s="706"/>
    </row>
    <row r="489" spans="27:27">
      <c r="AA489" s="706"/>
    </row>
    <row r="490" spans="27:27">
      <c r="AA490" s="706"/>
    </row>
    <row r="491" spans="27:27">
      <c r="AA491" s="706"/>
    </row>
    <row r="492" spans="27:27">
      <c r="AA492" s="706"/>
    </row>
    <row r="493" spans="27:27">
      <c r="AA493" s="706"/>
    </row>
    <row r="494" spans="27:27">
      <c r="AA494" s="706"/>
    </row>
    <row r="495" spans="27:27">
      <c r="AA495" s="706"/>
    </row>
    <row r="496" spans="27:27">
      <c r="AA496" s="706"/>
    </row>
    <row r="497" spans="27:27">
      <c r="AA497" s="706"/>
    </row>
    <row r="498" spans="27:27">
      <c r="AA498" s="706"/>
    </row>
    <row r="499" spans="27:27">
      <c r="AA499" s="706"/>
    </row>
    <row r="500" spans="27:27">
      <c r="AA500" s="706"/>
    </row>
    <row r="501" spans="27:27">
      <c r="AA501" s="706"/>
    </row>
    <row r="502" spans="27:27">
      <c r="AA502" s="706"/>
    </row>
    <row r="503" spans="27:27">
      <c r="AA503" s="706"/>
    </row>
    <row r="504" spans="27:27">
      <c r="AA504" s="706"/>
    </row>
    <row r="505" spans="27:27">
      <c r="AA505" s="706"/>
    </row>
    <row r="506" spans="27:27">
      <c r="AA506" s="706"/>
    </row>
    <row r="507" spans="27:27">
      <c r="AA507" s="706"/>
    </row>
    <row r="508" spans="27:27">
      <c r="AA508" s="706"/>
    </row>
    <row r="509" spans="27:27">
      <c r="AA509" s="706"/>
    </row>
    <row r="510" spans="27:27">
      <c r="AA510" s="706"/>
    </row>
    <row r="511" spans="27:27">
      <c r="AA511" s="706"/>
    </row>
    <row r="512" spans="27:27">
      <c r="AA512" s="706"/>
    </row>
    <row r="513" spans="27:27">
      <c r="AA513" s="706"/>
    </row>
    <row r="514" spans="27:27">
      <c r="AA514" s="706"/>
    </row>
    <row r="515" spans="27:27">
      <c r="AA515" s="706"/>
    </row>
    <row r="516" spans="27:27">
      <c r="AA516" s="706"/>
    </row>
    <row r="517" spans="27:27">
      <c r="AA517" s="706"/>
    </row>
    <row r="518" spans="27:27">
      <c r="AA518" s="706"/>
    </row>
    <row r="519" spans="27:27">
      <c r="AA519" s="706"/>
    </row>
    <row r="520" spans="27:27">
      <c r="AA520" s="706"/>
    </row>
    <row r="521" spans="27:27">
      <c r="AA521" s="706"/>
    </row>
    <row r="522" spans="27:27">
      <c r="AA522" s="706"/>
    </row>
    <row r="523" spans="27:27">
      <c r="AA523" s="706"/>
    </row>
    <row r="524" spans="27:27">
      <c r="AA524" s="706"/>
    </row>
    <row r="525" spans="27:27">
      <c r="AA525" s="706"/>
    </row>
    <row r="526" spans="27:27">
      <c r="AA526" s="706"/>
    </row>
    <row r="527" spans="27:27">
      <c r="AA527" s="706"/>
    </row>
    <row r="528" spans="27:27">
      <c r="AA528" s="706"/>
    </row>
    <row r="529" spans="27:27">
      <c r="AA529" s="706"/>
    </row>
    <row r="530" spans="27:27">
      <c r="AA530" s="706"/>
    </row>
    <row r="531" spans="27:27">
      <c r="AA531" s="706"/>
    </row>
    <row r="532" spans="27:27">
      <c r="AA532" s="706"/>
    </row>
    <row r="533" spans="27:27">
      <c r="AA533" s="706"/>
    </row>
    <row r="534" spans="27:27">
      <c r="AA534" s="706"/>
    </row>
    <row r="535" spans="27:27">
      <c r="AA535" s="706"/>
    </row>
    <row r="536" spans="27:27">
      <c r="AA536" s="706"/>
    </row>
    <row r="537" spans="27:27">
      <c r="AA537" s="706"/>
    </row>
    <row r="538" spans="27:27">
      <c r="AA538" s="706"/>
    </row>
    <row r="539" spans="27:27">
      <c r="AA539" s="706"/>
    </row>
    <row r="540" spans="27:27">
      <c r="AA540" s="706"/>
    </row>
    <row r="541" spans="27:27">
      <c r="AA541" s="706"/>
    </row>
    <row r="542" spans="27:27">
      <c r="AA542" s="706"/>
    </row>
    <row r="543" spans="27:27">
      <c r="AA543" s="706"/>
    </row>
    <row r="544" spans="27:27">
      <c r="AA544" s="706"/>
    </row>
    <row r="545" spans="27:27">
      <c r="AA545" s="706"/>
    </row>
    <row r="546" spans="27:27">
      <c r="AA546" s="706"/>
    </row>
    <row r="547" spans="27:27">
      <c r="AA547" s="706"/>
    </row>
    <row r="548" spans="27:27">
      <c r="AA548" s="706"/>
    </row>
    <row r="549" spans="27:27">
      <c r="AA549" s="706"/>
    </row>
    <row r="550" spans="27:27">
      <c r="AA550" s="706"/>
    </row>
    <row r="551" spans="27:27">
      <c r="AA551" s="706"/>
    </row>
    <row r="552" spans="27:27">
      <c r="AA552" s="706"/>
    </row>
    <row r="553" spans="27:27">
      <c r="AA553" s="706"/>
    </row>
    <row r="554" spans="27:27">
      <c r="AA554" s="706"/>
    </row>
    <row r="555" spans="27:27">
      <c r="AA555" s="706"/>
    </row>
    <row r="556" spans="27:27">
      <c r="AA556" s="706"/>
    </row>
    <row r="557" spans="27:27">
      <c r="AA557" s="706"/>
    </row>
    <row r="558" spans="27:27">
      <c r="AA558" s="706"/>
    </row>
    <row r="559" spans="27:27">
      <c r="AA559" s="706"/>
    </row>
    <row r="560" spans="27:27">
      <c r="AA560" s="706"/>
    </row>
    <row r="561" spans="27:27">
      <c r="AA561" s="706"/>
    </row>
    <row r="562" spans="27:27">
      <c r="AA562" s="706"/>
    </row>
    <row r="563" spans="27:27">
      <c r="AA563" s="706"/>
    </row>
    <row r="564" spans="27:27">
      <c r="AA564" s="706"/>
    </row>
    <row r="565" spans="27:27">
      <c r="AA565" s="706"/>
    </row>
    <row r="566" spans="27:27">
      <c r="AA566" s="706"/>
    </row>
    <row r="567" spans="27:27">
      <c r="AA567" s="706"/>
    </row>
    <row r="568" spans="27:27">
      <c r="AA568" s="706"/>
    </row>
    <row r="569" spans="27:27">
      <c r="AA569" s="706"/>
    </row>
    <row r="570" spans="27:27">
      <c r="AA570" s="706"/>
    </row>
    <row r="571" spans="27:27">
      <c r="AA571" s="706"/>
    </row>
    <row r="572" spans="27:27">
      <c r="AA572" s="706"/>
    </row>
    <row r="573" spans="27:27">
      <c r="AA573" s="706"/>
    </row>
    <row r="574" spans="27:27">
      <c r="AA574" s="706"/>
    </row>
    <row r="575" spans="27:27">
      <c r="AA575" s="706"/>
    </row>
    <row r="576" spans="27:27">
      <c r="AA576" s="706"/>
    </row>
    <row r="577" spans="27:27">
      <c r="AA577" s="706"/>
    </row>
    <row r="578" spans="27:27">
      <c r="AA578" s="706"/>
    </row>
    <row r="579" spans="27:27">
      <c r="AA579" s="706"/>
    </row>
    <row r="580" spans="27:27">
      <c r="AA580" s="706"/>
    </row>
    <row r="581" spans="27:27">
      <c r="AA581" s="706"/>
    </row>
    <row r="582" spans="27:27">
      <c r="AA582" s="706"/>
    </row>
    <row r="583" spans="27:27">
      <c r="AA583" s="706"/>
    </row>
    <row r="584" spans="27:27">
      <c r="AA584" s="706"/>
    </row>
    <row r="585" spans="27:27">
      <c r="AA585" s="706"/>
    </row>
    <row r="586" spans="27:27">
      <c r="AA586" s="706"/>
    </row>
    <row r="587" spans="27:27">
      <c r="AA587" s="706"/>
    </row>
    <row r="588" spans="27:27">
      <c r="AA588" s="706"/>
    </row>
    <row r="589" spans="27:27">
      <c r="AA589" s="706"/>
    </row>
    <row r="590" spans="27:27">
      <c r="AA590" s="706"/>
    </row>
    <row r="591" spans="27:27">
      <c r="AA591" s="706"/>
    </row>
    <row r="592" spans="27:27">
      <c r="AA592" s="706"/>
    </row>
    <row r="593" spans="27:27">
      <c r="AA593" s="706"/>
    </row>
    <row r="594" spans="27:27">
      <c r="AA594" s="706"/>
    </row>
    <row r="595" spans="27:27">
      <c r="AA595" s="706"/>
    </row>
    <row r="596" spans="27:27">
      <c r="AA596" s="706"/>
    </row>
    <row r="597" spans="27:27">
      <c r="AA597" s="706"/>
    </row>
    <row r="598" spans="27:27">
      <c r="AA598" s="706"/>
    </row>
    <row r="599" spans="27:27">
      <c r="AA599" s="706"/>
    </row>
    <row r="600" spans="27:27">
      <c r="AA600" s="706"/>
    </row>
    <row r="601" spans="27:27">
      <c r="AA601" s="706"/>
    </row>
    <row r="602" spans="27:27">
      <c r="AA602" s="706"/>
    </row>
    <row r="603" spans="27:27">
      <c r="AA603" s="706"/>
    </row>
    <row r="604" spans="27:27">
      <c r="AA604" s="706"/>
    </row>
    <row r="605" spans="27:27">
      <c r="AA605" s="706"/>
    </row>
    <row r="606" spans="27:27">
      <c r="AA606" s="706"/>
    </row>
    <row r="607" spans="27:27">
      <c r="AA607" s="706"/>
    </row>
    <row r="608" spans="27:27">
      <c r="AA608" s="706"/>
    </row>
    <row r="609" spans="27:27">
      <c r="AA609" s="706"/>
    </row>
    <row r="610" spans="27:27">
      <c r="AA610" s="706"/>
    </row>
    <row r="611" spans="27:27">
      <c r="AA611" s="706"/>
    </row>
    <row r="612" spans="27:27">
      <c r="AA612" s="706"/>
    </row>
    <row r="613" spans="27:27">
      <c r="AA613" s="706"/>
    </row>
    <row r="614" spans="27:27">
      <c r="AA614" s="706"/>
    </row>
    <row r="615" spans="27:27">
      <c r="AA615" s="706"/>
    </row>
    <row r="616" spans="27:27">
      <c r="AA616" s="706"/>
    </row>
    <row r="617" spans="27:27">
      <c r="AA617" s="706"/>
    </row>
    <row r="618" spans="27:27">
      <c r="AA618" s="706"/>
    </row>
    <row r="619" spans="27:27">
      <c r="AA619" s="706"/>
    </row>
    <row r="620" spans="27:27">
      <c r="AA620" s="706"/>
    </row>
    <row r="621" spans="27:27">
      <c r="AA621" s="706"/>
    </row>
    <row r="622" spans="27:27">
      <c r="AA622" s="706"/>
    </row>
    <row r="623" spans="27:27">
      <c r="AA623" s="706"/>
    </row>
    <row r="624" spans="27:27">
      <c r="AA624" s="706"/>
    </row>
    <row r="625" spans="27:27">
      <c r="AA625" s="706"/>
    </row>
    <row r="626" spans="27:27">
      <c r="AA626" s="706"/>
    </row>
    <row r="627" spans="27:27">
      <c r="AA627" s="706"/>
    </row>
    <row r="628" spans="27:27">
      <c r="AA628" s="706"/>
    </row>
    <row r="629" spans="27:27">
      <c r="AA629" s="706"/>
    </row>
    <row r="630" spans="27:27">
      <c r="AA630" s="706"/>
    </row>
    <row r="631" spans="27:27">
      <c r="AA631" s="706"/>
    </row>
    <row r="632" spans="27:27">
      <c r="AA632" s="706"/>
    </row>
    <row r="633" spans="27:27">
      <c r="AA633" s="706"/>
    </row>
    <row r="634" spans="27:27">
      <c r="AA634" s="706"/>
    </row>
    <row r="635" spans="27:27">
      <c r="AA635" s="706"/>
    </row>
    <row r="636" spans="27:27">
      <c r="AA636" s="706"/>
    </row>
    <row r="637" spans="27:27">
      <c r="AA637" s="706"/>
    </row>
    <row r="638" spans="27:27">
      <c r="AA638" s="706"/>
    </row>
    <row r="639" spans="27:27">
      <c r="AA639" s="706"/>
    </row>
    <row r="640" spans="27:27">
      <c r="AA640" s="706"/>
    </row>
    <row r="641" spans="27:27">
      <c r="AA641" s="706"/>
    </row>
    <row r="642" spans="27:27">
      <c r="AA642" s="706"/>
    </row>
    <row r="643" spans="27:27">
      <c r="AA643" s="706"/>
    </row>
    <row r="644" spans="27:27">
      <c r="AA644" s="706"/>
    </row>
    <row r="645" spans="27:27">
      <c r="AA645" s="706"/>
    </row>
    <row r="646" spans="27:27">
      <c r="AA646" s="706"/>
    </row>
    <row r="647" spans="27:27">
      <c r="AA647" s="706"/>
    </row>
    <row r="648" spans="27:27">
      <c r="AA648" s="706"/>
    </row>
    <row r="649" spans="27:27">
      <c r="AA649" s="706"/>
    </row>
    <row r="650" spans="27:27">
      <c r="AA650" s="706"/>
    </row>
    <row r="651" spans="27:27">
      <c r="AA651" s="706"/>
    </row>
    <row r="652" spans="27:27">
      <c r="AA652" s="706"/>
    </row>
    <row r="653" spans="27:27">
      <c r="AA653" s="706"/>
    </row>
    <row r="654" spans="27:27">
      <c r="AA654" s="706"/>
    </row>
    <row r="655" spans="27:27">
      <c r="AA655" s="706"/>
    </row>
    <row r="656" spans="27:27">
      <c r="AA656" s="706"/>
    </row>
    <row r="657" spans="27:27">
      <c r="AA657" s="706"/>
    </row>
    <row r="658" spans="27:27">
      <c r="AA658" s="706"/>
    </row>
    <row r="659" spans="27:27">
      <c r="AA659" s="706"/>
    </row>
    <row r="660" spans="27:27">
      <c r="AA660" s="706"/>
    </row>
    <row r="661" spans="27:27">
      <c r="AA661" s="706"/>
    </row>
    <row r="662" spans="27:27">
      <c r="AA662" s="706"/>
    </row>
    <row r="663" spans="27:27">
      <c r="AA663" s="706"/>
    </row>
    <row r="664" spans="27:27">
      <c r="AA664" s="706"/>
    </row>
    <row r="665" spans="27:27">
      <c r="AA665" s="706"/>
    </row>
    <row r="666" spans="27:27">
      <c r="AA666" s="706"/>
    </row>
    <row r="667" spans="27:27">
      <c r="AA667" s="706"/>
    </row>
    <row r="668" spans="27:27">
      <c r="AA668" s="706"/>
    </row>
    <row r="669" spans="27:27">
      <c r="AA669" s="706"/>
    </row>
    <row r="670" spans="27:27">
      <c r="AA670" s="706"/>
    </row>
    <row r="671" spans="27:27">
      <c r="AA671" s="706"/>
    </row>
    <row r="672" spans="27:27">
      <c r="AA672" s="706"/>
    </row>
    <row r="673" spans="27:27">
      <c r="AA673" s="706"/>
    </row>
    <row r="674" spans="27:27">
      <c r="AA674" s="706"/>
    </row>
    <row r="675" spans="27:27">
      <c r="AA675" s="706"/>
    </row>
    <row r="676" spans="27:27">
      <c r="AA676" s="706"/>
    </row>
    <row r="677" spans="27:27">
      <c r="AA677" s="706"/>
    </row>
    <row r="678" spans="27:27">
      <c r="AA678" s="706"/>
    </row>
    <row r="679" spans="27:27">
      <c r="AA679" s="706"/>
    </row>
    <row r="680" spans="27:27">
      <c r="AA680" s="706"/>
    </row>
    <row r="681" spans="27:27">
      <c r="AA681" s="706"/>
    </row>
    <row r="682" spans="27:27">
      <c r="AA682" s="706"/>
    </row>
    <row r="683" spans="27:27">
      <c r="AA683" s="706"/>
    </row>
    <row r="684" spans="27:27">
      <c r="AA684" s="706"/>
    </row>
    <row r="685" spans="27:27">
      <c r="AA685" s="706"/>
    </row>
    <row r="686" spans="27:27">
      <c r="AA686" s="706"/>
    </row>
    <row r="687" spans="27:27">
      <c r="AA687" s="706"/>
    </row>
    <row r="688" spans="27:27">
      <c r="AA688" s="706"/>
    </row>
    <row r="689" spans="27:27">
      <c r="AA689" s="706"/>
    </row>
    <row r="690" spans="27:27">
      <c r="AA690" s="706"/>
    </row>
    <row r="691" spans="27:27">
      <c r="AA691" s="706"/>
    </row>
    <row r="692" spans="27:27">
      <c r="AA692" s="706"/>
    </row>
    <row r="693" spans="27:27">
      <c r="AA693" s="706"/>
    </row>
    <row r="694" spans="27:27">
      <c r="AA694" s="706"/>
    </row>
    <row r="695" spans="27:27">
      <c r="AA695" s="706"/>
    </row>
    <row r="696" spans="27:27">
      <c r="AA696" s="706"/>
    </row>
    <row r="697" spans="27:27">
      <c r="AA697" s="706"/>
    </row>
    <row r="698" spans="27:27">
      <c r="AA698" s="706"/>
    </row>
    <row r="699" spans="27:27">
      <c r="AA699" s="706"/>
    </row>
    <row r="700" spans="27:27">
      <c r="AA700" s="706"/>
    </row>
    <row r="701" spans="27:27">
      <c r="AA701" s="706"/>
    </row>
    <row r="702" spans="27:27">
      <c r="AA702" s="706"/>
    </row>
    <row r="703" spans="27:27">
      <c r="AA703" s="706"/>
    </row>
    <row r="704" spans="27:27">
      <c r="AA704" s="706"/>
    </row>
    <row r="705" spans="27:27">
      <c r="AA705" s="706"/>
    </row>
    <row r="706" spans="27:27">
      <c r="AA706" s="706"/>
    </row>
    <row r="707" spans="27:27">
      <c r="AA707" s="706"/>
    </row>
    <row r="708" spans="27:27">
      <c r="AA708" s="706"/>
    </row>
    <row r="709" spans="27:27">
      <c r="AA709" s="706"/>
    </row>
    <row r="710" spans="27:27">
      <c r="AA710" s="706"/>
    </row>
    <row r="711" spans="27:27">
      <c r="AA711" s="706"/>
    </row>
    <row r="712" spans="27:27">
      <c r="AA712" s="706"/>
    </row>
    <row r="713" spans="27:27">
      <c r="AA713" s="706"/>
    </row>
    <row r="714" spans="27:27">
      <c r="AA714" s="706"/>
    </row>
    <row r="715" spans="27:27">
      <c r="AA715" s="706"/>
    </row>
    <row r="716" spans="27:27">
      <c r="AA716" s="706"/>
    </row>
    <row r="717" spans="27:27">
      <c r="AA717" s="706"/>
    </row>
    <row r="718" spans="27:27">
      <c r="AA718" s="706"/>
    </row>
    <row r="719" spans="27:27">
      <c r="AA719" s="706"/>
    </row>
    <row r="720" spans="27:27">
      <c r="AA720" s="706"/>
    </row>
    <row r="721" spans="27:27">
      <c r="AA721" s="706"/>
    </row>
    <row r="722" spans="27:27">
      <c r="AA722" s="706"/>
    </row>
    <row r="723" spans="27:27">
      <c r="AA723" s="706"/>
    </row>
    <row r="724" spans="27:27">
      <c r="AA724" s="706"/>
    </row>
    <row r="725" spans="27:27">
      <c r="AA725" s="706"/>
    </row>
    <row r="726" spans="27:27">
      <c r="AA726" s="706"/>
    </row>
    <row r="727" spans="27:27">
      <c r="AA727" s="706"/>
    </row>
    <row r="728" spans="27:27">
      <c r="AA728" s="706"/>
    </row>
    <row r="729" spans="27:27">
      <c r="AA729" s="706"/>
    </row>
    <row r="730" spans="27:27">
      <c r="AA730" s="706"/>
    </row>
    <row r="731" spans="27:27">
      <c r="AA731" s="706"/>
    </row>
    <row r="732" spans="27:27">
      <c r="AA732" s="706"/>
    </row>
    <row r="733" spans="27:27">
      <c r="AA733" s="706"/>
    </row>
    <row r="734" spans="27:27">
      <c r="AA734" s="706"/>
    </row>
    <row r="735" spans="27:27">
      <c r="AA735" s="706"/>
    </row>
    <row r="736" spans="27:27">
      <c r="AA736" s="706"/>
    </row>
    <row r="737" spans="27:27">
      <c r="AA737" s="706"/>
    </row>
    <row r="738" spans="27:27">
      <c r="AA738" s="706"/>
    </row>
    <row r="739" spans="27:27">
      <c r="AA739" s="706"/>
    </row>
    <row r="740" spans="27:27">
      <c r="AA740" s="706"/>
    </row>
    <row r="741" spans="27:27">
      <c r="AA741" s="706"/>
    </row>
    <row r="742" spans="27:27">
      <c r="AA742" s="706"/>
    </row>
    <row r="743" spans="27:27">
      <c r="AA743" s="706"/>
    </row>
    <row r="744" spans="27:27">
      <c r="AA744" s="706"/>
    </row>
    <row r="745" spans="27:27">
      <c r="AA745" s="706"/>
    </row>
    <row r="746" spans="27:27">
      <c r="AA746" s="706"/>
    </row>
    <row r="747" spans="27:27">
      <c r="AA747" s="706"/>
    </row>
    <row r="748" spans="27:27">
      <c r="AA748" s="706"/>
    </row>
    <row r="749" spans="27:27">
      <c r="AA749" s="706"/>
    </row>
    <row r="750" spans="27:27">
      <c r="AA750" s="706"/>
    </row>
    <row r="751" spans="27:27">
      <c r="AA751" s="706"/>
    </row>
    <row r="752" spans="27:27">
      <c r="AA752" s="706"/>
    </row>
    <row r="753" spans="27:27">
      <c r="AA753" s="706"/>
    </row>
    <row r="754" spans="27:27">
      <c r="AA754" s="706"/>
    </row>
    <row r="755" spans="27:27">
      <c r="AA755" s="706"/>
    </row>
    <row r="756" spans="27:27">
      <c r="AA756" s="706"/>
    </row>
    <row r="757" spans="27:27">
      <c r="AA757" s="706"/>
    </row>
    <row r="758" spans="27:27">
      <c r="AA758" s="706"/>
    </row>
    <row r="759" spans="27:27">
      <c r="AA759" s="706"/>
    </row>
    <row r="760" spans="27:27">
      <c r="AA760" s="706"/>
    </row>
    <row r="761" spans="27:27">
      <c r="AA761" s="706"/>
    </row>
    <row r="762" spans="27:27">
      <c r="AA762" s="706"/>
    </row>
    <row r="763" spans="27:27">
      <c r="AA763" s="706"/>
    </row>
    <row r="764" spans="27:27">
      <c r="AA764" s="706"/>
    </row>
    <row r="765" spans="27:27">
      <c r="AA765" s="706"/>
    </row>
    <row r="766" spans="27:27">
      <c r="AA766" s="706"/>
    </row>
    <row r="767" spans="27:27">
      <c r="AA767" s="706"/>
    </row>
    <row r="768" spans="27:27">
      <c r="AA768" s="706"/>
    </row>
    <row r="769" spans="27:27">
      <c r="AA769" s="706"/>
    </row>
    <row r="770" spans="27:27">
      <c r="AA770" s="706"/>
    </row>
    <row r="771" spans="27:27">
      <c r="AA771" s="706"/>
    </row>
    <row r="772" spans="27:27">
      <c r="AA772" s="706"/>
    </row>
    <row r="773" spans="27:27">
      <c r="AA773" s="706"/>
    </row>
    <row r="774" spans="27:27">
      <c r="AA774" s="706"/>
    </row>
    <row r="775" spans="27:27">
      <c r="AA775" s="706"/>
    </row>
    <row r="776" spans="27:27">
      <c r="AA776" s="706"/>
    </row>
    <row r="777" spans="27:27">
      <c r="AA777" s="706"/>
    </row>
    <row r="778" spans="27:27">
      <c r="AA778" s="706"/>
    </row>
    <row r="779" spans="27:27">
      <c r="AA779" s="706"/>
    </row>
    <row r="780" spans="27:27">
      <c r="AA780" s="706"/>
    </row>
    <row r="781" spans="27:27">
      <c r="AA781" s="706"/>
    </row>
    <row r="782" spans="27:27">
      <c r="AA782" s="706"/>
    </row>
    <row r="783" spans="27:27">
      <c r="AA783" s="706"/>
    </row>
    <row r="784" spans="27:27">
      <c r="AA784" s="706"/>
    </row>
    <row r="785" spans="27:27">
      <c r="AA785" s="706"/>
    </row>
    <row r="786" spans="27:27">
      <c r="AA786" s="706"/>
    </row>
    <row r="787" spans="27:27">
      <c r="AA787" s="706"/>
    </row>
    <row r="788" spans="27:27">
      <c r="AA788" s="706"/>
    </row>
    <row r="789" spans="27:27">
      <c r="AA789" s="706"/>
    </row>
    <row r="790" spans="27:27">
      <c r="AA790" s="706"/>
    </row>
    <row r="791" spans="27:27">
      <c r="AA791" s="706"/>
    </row>
    <row r="792" spans="27:27">
      <c r="AA792" s="706"/>
    </row>
    <row r="793" spans="27:27">
      <c r="AA793" s="706"/>
    </row>
    <row r="794" spans="27:27">
      <c r="AA794" s="706"/>
    </row>
    <row r="795" spans="27:27">
      <c r="AA795" s="706"/>
    </row>
    <row r="796" spans="27:27">
      <c r="AA796" s="706"/>
    </row>
    <row r="797" spans="27:27">
      <c r="AA797" s="706"/>
    </row>
    <row r="798" spans="27:27">
      <c r="AA798" s="706"/>
    </row>
    <row r="799" spans="27:27">
      <c r="AA799" s="706"/>
    </row>
    <row r="800" spans="27:27">
      <c r="AA800" s="706"/>
    </row>
    <row r="801" spans="27:27">
      <c r="AA801" s="706"/>
    </row>
    <row r="802" spans="27:27">
      <c r="AA802" s="706"/>
    </row>
    <row r="803" spans="27:27">
      <c r="AA803" s="706"/>
    </row>
    <row r="804" spans="27:27">
      <c r="AA804" s="706"/>
    </row>
    <row r="805" spans="27:27">
      <c r="AA805" s="706"/>
    </row>
    <row r="806" spans="27:27">
      <c r="AA806" s="706"/>
    </row>
    <row r="807" spans="27:27">
      <c r="AA807" s="706"/>
    </row>
    <row r="808" spans="27:27">
      <c r="AA808" s="706"/>
    </row>
    <row r="809" spans="27:27">
      <c r="AA809" s="706"/>
    </row>
    <row r="810" spans="27:27">
      <c r="AA810" s="706"/>
    </row>
    <row r="811" spans="27:27">
      <c r="AA811" s="706"/>
    </row>
    <row r="812" spans="27:27">
      <c r="AA812" s="706"/>
    </row>
    <row r="813" spans="27:27">
      <c r="AA813" s="706"/>
    </row>
    <row r="814" spans="27:27">
      <c r="AA814" s="706"/>
    </row>
    <row r="815" spans="27:27">
      <c r="AA815" s="706"/>
    </row>
    <row r="816" spans="27:27">
      <c r="AA816" s="706"/>
    </row>
    <row r="817" spans="27:27">
      <c r="AA817" s="706"/>
    </row>
    <row r="818" spans="27:27">
      <c r="AA818" s="706"/>
    </row>
    <row r="819" spans="27:27">
      <c r="AA819" s="706"/>
    </row>
    <row r="820" spans="27:27">
      <c r="AA820" s="706"/>
    </row>
    <row r="821" spans="27:27">
      <c r="AA821" s="706"/>
    </row>
    <row r="822" spans="27:27">
      <c r="AA822" s="706"/>
    </row>
    <row r="823" spans="27:27">
      <c r="AA823" s="706"/>
    </row>
    <row r="824" spans="27:27">
      <c r="AA824" s="706"/>
    </row>
    <row r="825" spans="27:27">
      <c r="AA825" s="706"/>
    </row>
    <row r="826" spans="27:27">
      <c r="AA826" s="706"/>
    </row>
    <row r="827" spans="27:27">
      <c r="AA827" s="706"/>
    </row>
    <row r="828" spans="27:27">
      <c r="AA828" s="706"/>
    </row>
    <row r="829" spans="27:27">
      <c r="AA829" s="706"/>
    </row>
    <row r="830" spans="27:27">
      <c r="AA830" s="706"/>
    </row>
    <row r="831" spans="27:27">
      <c r="AA831" s="706"/>
    </row>
    <row r="832" spans="27:27">
      <c r="AA832" s="706"/>
    </row>
    <row r="833" spans="27:27">
      <c r="AA833" s="706"/>
    </row>
    <row r="834" spans="27:27">
      <c r="AA834" s="706"/>
    </row>
    <row r="835" spans="27:27">
      <c r="AA835" s="706"/>
    </row>
    <row r="836" spans="27:27">
      <c r="AA836" s="706"/>
    </row>
    <row r="837" spans="27:27">
      <c r="AA837" s="706"/>
    </row>
    <row r="838" spans="27:27">
      <c r="AA838" s="706"/>
    </row>
    <row r="839" spans="27:27">
      <c r="AA839" s="706"/>
    </row>
    <row r="840" spans="27:27">
      <c r="AA840" s="706"/>
    </row>
    <row r="841" spans="27:27">
      <c r="AA841" s="706"/>
    </row>
    <row r="842" spans="27:27">
      <c r="AA842" s="706"/>
    </row>
    <row r="843" spans="27:27">
      <c r="AA843" s="706"/>
    </row>
    <row r="844" spans="27:27">
      <c r="AA844" s="706"/>
    </row>
    <row r="845" spans="27:27">
      <c r="AA845" s="706"/>
    </row>
    <row r="846" spans="27:27">
      <c r="AA846" s="706"/>
    </row>
    <row r="847" spans="27:27">
      <c r="AA847" s="706"/>
    </row>
    <row r="848" spans="27:27">
      <c r="AA848" s="706"/>
    </row>
    <row r="849" spans="27:27">
      <c r="AA849" s="706"/>
    </row>
    <row r="850" spans="27:27">
      <c r="AA850" s="706"/>
    </row>
    <row r="851" spans="27:27">
      <c r="AA851" s="706"/>
    </row>
    <row r="852" spans="27:27">
      <c r="AA852" s="706"/>
    </row>
    <row r="853" spans="27:27">
      <c r="AA853" s="706"/>
    </row>
    <row r="854" spans="27:27">
      <c r="AA854" s="706"/>
    </row>
    <row r="855" spans="27:27">
      <c r="AA855" s="706"/>
    </row>
    <row r="856" spans="27:27">
      <c r="AA856" s="706"/>
    </row>
    <row r="857" spans="27:27">
      <c r="AA857" s="706"/>
    </row>
    <row r="858" spans="27:27">
      <c r="AA858" s="706"/>
    </row>
    <row r="859" spans="27:27">
      <c r="AA859" s="706"/>
    </row>
    <row r="860" spans="27:27">
      <c r="AA860" s="706"/>
    </row>
    <row r="861" spans="27:27">
      <c r="AA861" s="706"/>
    </row>
    <row r="862" spans="27:27">
      <c r="AA862" s="706"/>
    </row>
    <row r="863" spans="27:27">
      <c r="AA863" s="706"/>
    </row>
    <row r="864" spans="27:27">
      <c r="AA864" s="706"/>
    </row>
    <row r="865" spans="27:27">
      <c r="AA865" s="706"/>
    </row>
    <row r="866" spans="27:27">
      <c r="AA866" s="706"/>
    </row>
    <row r="867" spans="27:27">
      <c r="AA867" s="706"/>
    </row>
    <row r="868" spans="27:27">
      <c r="AA868" s="706"/>
    </row>
    <row r="869" spans="27:27">
      <c r="AA869" s="706"/>
    </row>
    <row r="870" spans="27:27">
      <c r="AA870" s="706"/>
    </row>
    <row r="871" spans="27:27">
      <c r="AA871" s="706"/>
    </row>
    <row r="872" spans="27:27">
      <c r="AA872" s="706"/>
    </row>
    <row r="873" spans="27:27">
      <c r="AA873" s="706"/>
    </row>
    <row r="874" spans="27:27">
      <c r="AA874" s="706"/>
    </row>
    <row r="875" spans="27:27">
      <c r="AA875" s="706"/>
    </row>
    <row r="876" spans="27:27">
      <c r="AA876" s="706"/>
    </row>
    <row r="877" spans="27:27">
      <c r="AA877" s="706"/>
    </row>
    <row r="878" spans="27:27">
      <c r="AA878" s="706"/>
    </row>
    <row r="879" spans="27:27">
      <c r="AA879" s="706"/>
    </row>
    <row r="880" spans="27:27">
      <c r="AA880" s="706"/>
    </row>
    <row r="881" spans="27:27">
      <c r="AA881" s="706"/>
    </row>
    <row r="882" spans="27:27">
      <c r="AA882" s="706"/>
    </row>
    <row r="883" spans="27:27">
      <c r="AA883" s="706"/>
    </row>
    <row r="884" spans="27:27">
      <c r="AA884" s="706"/>
    </row>
    <row r="885" spans="27:27">
      <c r="AA885" s="706"/>
    </row>
    <row r="886" spans="27:27">
      <c r="AA886" s="706"/>
    </row>
    <row r="887" spans="27:27">
      <c r="AA887" s="706"/>
    </row>
    <row r="888" spans="27:27">
      <c r="AA888" s="706"/>
    </row>
    <row r="889" spans="27:27">
      <c r="AA889" s="706"/>
    </row>
    <row r="890" spans="27:27">
      <c r="AA890" s="706"/>
    </row>
    <row r="891" spans="27:27">
      <c r="AA891" s="706"/>
    </row>
    <row r="892" spans="27:27">
      <c r="AA892" s="706"/>
    </row>
    <row r="893" spans="27:27">
      <c r="AA893" s="706"/>
    </row>
    <row r="894" spans="27:27">
      <c r="AA894" s="706"/>
    </row>
    <row r="895" spans="27:27">
      <c r="AA895" s="706"/>
    </row>
    <row r="896" spans="27:27">
      <c r="AA896" s="706"/>
    </row>
    <row r="897" spans="27:27">
      <c r="AA897" s="706"/>
    </row>
    <row r="898" spans="27:27">
      <c r="AA898" s="706"/>
    </row>
    <row r="899" spans="27:27">
      <c r="AA899" s="706"/>
    </row>
    <row r="900" spans="27:27">
      <c r="AA900" s="706"/>
    </row>
    <row r="901" spans="27:27">
      <c r="AA901" s="706"/>
    </row>
    <row r="902" spans="27:27">
      <c r="AA902" s="706"/>
    </row>
    <row r="903" spans="27:27">
      <c r="AA903" s="706"/>
    </row>
    <row r="904" spans="27:27">
      <c r="AA904" s="706"/>
    </row>
    <row r="905" spans="27:27">
      <c r="AA905" s="706"/>
    </row>
    <row r="906" spans="27:27">
      <c r="AA906" s="706"/>
    </row>
    <row r="907" spans="27:27">
      <c r="AA907" s="706"/>
    </row>
    <row r="908" spans="27:27">
      <c r="AA908" s="706"/>
    </row>
    <row r="909" spans="27:27">
      <c r="AA909" s="706"/>
    </row>
    <row r="910" spans="27:27">
      <c r="AA910" s="706"/>
    </row>
    <row r="911" spans="27:27">
      <c r="AA911" s="706"/>
    </row>
    <row r="912" spans="27:27">
      <c r="AA912" s="706"/>
    </row>
    <row r="913" spans="27:27">
      <c r="AA913" s="706"/>
    </row>
    <row r="914" spans="27:27">
      <c r="AA914" s="706"/>
    </row>
    <row r="915" spans="27:27">
      <c r="AA915" s="706"/>
    </row>
    <row r="916" spans="27:27">
      <c r="AA916" s="706"/>
    </row>
    <row r="917" spans="27:27">
      <c r="AA917" s="706"/>
    </row>
    <row r="918" spans="27:27">
      <c r="AA918" s="706"/>
    </row>
    <row r="919" spans="27:27">
      <c r="AA919" s="706"/>
    </row>
    <row r="920" spans="27:27">
      <c r="AA920" s="706"/>
    </row>
    <row r="921" spans="27:27">
      <c r="AA921" s="706"/>
    </row>
    <row r="922" spans="27:27">
      <c r="AA922" s="706"/>
    </row>
    <row r="923" spans="27:27">
      <c r="AA923" s="706"/>
    </row>
    <row r="924" spans="27:27">
      <c r="AA924" s="706"/>
    </row>
    <row r="925" spans="27:27">
      <c r="AA925" s="706"/>
    </row>
    <row r="926" spans="27:27">
      <c r="AA926" s="706"/>
    </row>
    <row r="927" spans="27:27">
      <c r="AA927" s="706"/>
    </row>
    <row r="928" spans="27:27">
      <c r="AA928" s="706"/>
    </row>
    <row r="929" spans="27:27">
      <c r="AA929" s="706"/>
    </row>
    <row r="930" spans="27:27">
      <c r="AA930" s="706"/>
    </row>
    <row r="931" spans="27:27">
      <c r="AA931" s="706"/>
    </row>
    <row r="932" spans="27:27">
      <c r="AA932" s="706"/>
    </row>
    <row r="933" spans="27:27">
      <c r="AA933" s="706"/>
    </row>
    <row r="934" spans="27:27">
      <c r="AA934" s="706"/>
    </row>
    <row r="935" spans="27:27">
      <c r="AA935" s="706"/>
    </row>
    <row r="936" spans="27:27">
      <c r="AA936" s="706"/>
    </row>
    <row r="937" spans="27:27">
      <c r="AA937" s="706"/>
    </row>
    <row r="938" spans="27:27">
      <c r="AA938" s="706"/>
    </row>
    <row r="939" spans="27:27">
      <c r="AA939" s="706"/>
    </row>
    <row r="940" spans="27:27">
      <c r="AA940" s="706"/>
    </row>
    <row r="941" spans="27:27">
      <c r="AA941" s="706"/>
    </row>
    <row r="942" spans="27:27">
      <c r="AA942" s="706"/>
    </row>
    <row r="943" spans="27:27">
      <c r="AA943" s="706"/>
    </row>
    <row r="944" spans="27:27">
      <c r="AA944" s="706"/>
    </row>
    <row r="945" spans="27:27">
      <c r="AA945" s="706"/>
    </row>
    <row r="946" spans="27:27">
      <c r="AA946" s="706"/>
    </row>
    <row r="947" spans="27:27">
      <c r="AA947" s="706"/>
    </row>
    <row r="948" spans="27:27">
      <c r="AA948" s="706"/>
    </row>
    <row r="949" spans="27:27">
      <c r="AA949" s="706"/>
    </row>
    <row r="950" spans="27:27">
      <c r="AA950" s="706"/>
    </row>
    <row r="951" spans="27:27">
      <c r="AA951" s="706"/>
    </row>
    <row r="952" spans="27:27">
      <c r="AA952" s="706"/>
    </row>
    <row r="953" spans="27:27">
      <c r="AA953" s="706"/>
    </row>
    <row r="954" spans="27:27">
      <c r="AA954" s="706"/>
    </row>
    <row r="955" spans="27:27">
      <c r="AA955" s="706"/>
    </row>
    <row r="956" spans="27:27">
      <c r="AA956" s="706"/>
    </row>
    <row r="957" spans="27:27">
      <c r="AA957" s="706"/>
    </row>
    <row r="958" spans="27:27">
      <c r="AA958" s="706"/>
    </row>
    <row r="959" spans="27:27">
      <c r="AA959" s="706"/>
    </row>
    <row r="960" spans="27:27">
      <c r="AA960" s="706"/>
    </row>
    <row r="961" spans="27:27">
      <c r="AA961" s="706"/>
    </row>
    <row r="962" spans="27:27">
      <c r="AA962" s="706"/>
    </row>
    <row r="963" spans="27:27">
      <c r="AA963" s="706"/>
    </row>
    <row r="964" spans="27:27">
      <c r="AA964" s="706"/>
    </row>
    <row r="965" spans="27:27">
      <c r="AA965" s="706"/>
    </row>
    <row r="966" spans="27:27">
      <c r="AA966" s="706"/>
    </row>
    <row r="967" spans="27:27">
      <c r="AA967" s="706"/>
    </row>
    <row r="968" spans="27:27">
      <c r="AA968" s="706"/>
    </row>
    <row r="969" spans="27:27">
      <c r="AA969" s="706"/>
    </row>
    <row r="970" spans="27:27">
      <c r="AA970" s="706"/>
    </row>
    <row r="971" spans="27:27">
      <c r="AA971" s="706"/>
    </row>
    <row r="972" spans="27:27">
      <c r="AA972" s="706"/>
    </row>
    <row r="973" spans="27:27">
      <c r="AA973" s="706"/>
    </row>
    <row r="974" spans="27:27">
      <c r="AA974" s="706"/>
    </row>
    <row r="975" spans="27:27">
      <c r="AA975" s="706"/>
    </row>
    <row r="976" spans="27:27">
      <c r="AA976" s="706"/>
    </row>
    <row r="977" spans="27:27">
      <c r="AA977" s="706"/>
    </row>
    <row r="978" spans="27:27">
      <c r="AA978" s="706"/>
    </row>
    <row r="979" spans="27:27">
      <c r="AA979" s="706"/>
    </row>
    <row r="980" spans="27:27">
      <c r="AA980" s="706"/>
    </row>
    <row r="981" spans="27:27">
      <c r="AA981" s="706"/>
    </row>
    <row r="982" spans="27:27">
      <c r="AA982" s="706"/>
    </row>
    <row r="983" spans="27:27">
      <c r="AA983" s="706"/>
    </row>
    <row r="984" spans="27:27">
      <c r="AA984" s="706"/>
    </row>
    <row r="985" spans="27:27">
      <c r="AA985" s="706"/>
    </row>
    <row r="986" spans="27:27">
      <c r="AA986" s="706"/>
    </row>
    <row r="987" spans="27:27">
      <c r="AA987" s="706"/>
    </row>
    <row r="988" spans="27:27">
      <c r="AA988" s="706"/>
    </row>
    <row r="989" spans="27:27">
      <c r="AA989" s="706"/>
    </row>
    <row r="990" spans="27:27">
      <c r="AA990" s="706"/>
    </row>
    <row r="991" spans="27:27">
      <c r="AA991" s="706"/>
    </row>
    <row r="992" spans="27:27">
      <c r="AA992" s="706"/>
    </row>
    <row r="993" spans="27:27">
      <c r="AA993" s="706"/>
    </row>
    <row r="994" spans="27:27">
      <c r="AA994" s="706"/>
    </row>
    <row r="995" spans="27:27">
      <c r="AA995" s="706"/>
    </row>
    <row r="996" spans="27:27">
      <c r="AA996" s="706"/>
    </row>
    <row r="997" spans="27:27">
      <c r="AA997" s="706"/>
    </row>
    <row r="998" spans="27:27">
      <c r="AA998" s="706"/>
    </row>
    <row r="999" spans="27:27">
      <c r="AA999" s="706"/>
    </row>
    <row r="1000" spans="27:27">
      <c r="AA1000" s="706"/>
    </row>
    <row r="1001" spans="27:27">
      <c r="AA1001" s="706"/>
    </row>
    <row r="1002" spans="27:27">
      <c r="AA1002" s="706"/>
    </row>
    <row r="1003" spans="27:27">
      <c r="AA1003" s="706"/>
    </row>
    <row r="1004" spans="27:27">
      <c r="AA1004" s="706"/>
    </row>
    <row r="1005" spans="27:27">
      <c r="AA1005" s="706"/>
    </row>
    <row r="1006" spans="27:27">
      <c r="AA1006" s="706"/>
    </row>
    <row r="1007" spans="27:27">
      <c r="AA1007" s="706"/>
    </row>
    <row r="1008" spans="27:27">
      <c r="AA1008" s="706"/>
    </row>
    <row r="1009" spans="27:27">
      <c r="AA1009" s="706"/>
    </row>
    <row r="1010" spans="27:27">
      <c r="AA1010" s="706"/>
    </row>
    <row r="1011" spans="27:27">
      <c r="AA1011" s="706"/>
    </row>
    <row r="1012" spans="27:27">
      <c r="AA1012" s="706"/>
    </row>
    <row r="1013" spans="27:27">
      <c r="AA1013" s="706"/>
    </row>
    <row r="1014" spans="27:27">
      <c r="AA1014" s="706"/>
    </row>
    <row r="1015" spans="27:27">
      <c r="AA1015" s="706"/>
    </row>
    <row r="1016" spans="27:27">
      <c r="AA1016" s="706"/>
    </row>
    <row r="1017" spans="27:27">
      <c r="AA1017" s="706"/>
    </row>
    <row r="1018" spans="27:27">
      <c r="AA1018" s="706"/>
    </row>
    <row r="1019" spans="27:27">
      <c r="AA1019" s="706"/>
    </row>
    <row r="1020" spans="27:27">
      <c r="AA1020" s="706"/>
    </row>
    <row r="1021" spans="27:27">
      <c r="AA1021" s="706"/>
    </row>
    <row r="1022" spans="27:27">
      <c r="AA1022" s="706"/>
    </row>
    <row r="1023" spans="27:27">
      <c r="AA1023" s="706"/>
    </row>
    <row r="1024" spans="27:27">
      <c r="AA1024" s="706"/>
    </row>
    <row r="1025" spans="27:27">
      <c r="AA1025" s="706"/>
    </row>
    <row r="1026" spans="27:27">
      <c r="AA1026" s="706"/>
    </row>
    <row r="1027" spans="27:27">
      <c r="AA1027" s="706"/>
    </row>
    <row r="1028" spans="27:27">
      <c r="AA1028" s="706"/>
    </row>
    <row r="1029" spans="27:27">
      <c r="AA1029" s="706"/>
    </row>
    <row r="1030" spans="27:27">
      <c r="AA1030" s="706"/>
    </row>
    <row r="1031" spans="27:27">
      <c r="AA1031" s="706"/>
    </row>
    <row r="1032" spans="27:27">
      <c r="AA1032" s="706"/>
    </row>
    <row r="1033" spans="27:27">
      <c r="AA1033" s="706"/>
    </row>
    <row r="1034" spans="27:27">
      <c r="AA1034" s="706"/>
    </row>
    <row r="1035" spans="27:27">
      <c r="AA1035" s="706"/>
    </row>
    <row r="1036" spans="27:27">
      <c r="AA1036" s="706"/>
    </row>
    <row r="1037" spans="27:27">
      <c r="AA1037" s="706"/>
    </row>
    <row r="1038" spans="27:27">
      <c r="AA1038" s="706"/>
    </row>
    <row r="1039" spans="27:27">
      <c r="AA1039" s="706"/>
    </row>
    <row r="1040" spans="27:27">
      <c r="AA1040" s="706"/>
    </row>
    <row r="1041" spans="27:27">
      <c r="AA1041" s="706"/>
    </row>
    <row r="1042" spans="27:27">
      <c r="AA1042" s="706"/>
    </row>
    <row r="1043" spans="27:27">
      <c r="AA1043" s="706"/>
    </row>
    <row r="1044" spans="27:27">
      <c r="AA1044" s="706"/>
    </row>
    <row r="1045" spans="27:27">
      <c r="AA1045" s="706"/>
    </row>
    <row r="1046" spans="27:27">
      <c r="AA1046" s="706"/>
    </row>
    <row r="1047" spans="27:27">
      <c r="AA1047" s="706"/>
    </row>
    <row r="1048" spans="27:27">
      <c r="AA1048" s="706"/>
    </row>
    <row r="1049" spans="27:27">
      <c r="AA1049" s="706"/>
    </row>
    <row r="1050" spans="27:27">
      <c r="AA1050" s="706"/>
    </row>
    <row r="1051" spans="27:27">
      <c r="AA1051" s="706"/>
    </row>
    <row r="1052" spans="27:27">
      <c r="AA1052" s="706"/>
    </row>
    <row r="1053" spans="27:27">
      <c r="AA1053" s="706"/>
    </row>
    <row r="1054" spans="27:27">
      <c r="AA1054" s="706"/>
    </row>
    <row r="1055" spans="27:27">
      <c r="AA1055" s="706"/>
    </row>
    <row r="1056" spans="27:27">
      <c r="AA1056" s="706"/>
    </row>
    <row r="1057" spans="27:27">
      <c r="AA1057" s="706"/>
    </row>
    <row r="1058" spans="27:27">
      <c r="AA1058" s="706"/>
    </row>
    <row r="1059" spans="27:27">
      <c r="AA1059" s="706"/>
    </row>
    <row r="1060" spans="27:27">
      <c r="AA1060" s="706"/>
    </row>
    <row r="1061" spans="27:27">
      <c r="AA1061" s="706"/>
    </row>
    <row r="1062" spans="27:27">
      <c r="AA1062" s="706"/>
    </row>
    <row r="1063" spans="27:27">
      <c r="AA1063" s="706"/>
    </row>
    <row r="1064" spans="27:27">
      <c r="AA1064" s="706"/>
    </row>
    <row r="1065" spans="27:27">
      <c r="AA1065" s="706"/>
    </row>
    <row r="1066" spans="27:27">
      <c r="AA1066" s="706"/>
    </row>
    <row r="1067" spans="27:27">
      <c r="AA1067" s="706"/>
    </row>
    <row r="1068" spans="27:27">
      <c r="AA1068" s="706"/>
    </row>
    <row r="1069" spans="27:27">
      <c r="AA1069" s="706"/>
    </row>
    <row r="1070" spans="27:27">
      <c r="AA1070" s="706"/>
    </row>
    <row r="1071" spans="27:27">
      <c r="AA1071" s="706"/>
    </row>
    <row r="1072" spans="27:27">
      <c r="AA1072" s="706"/>
    </row>
    <row r="1073" spans="27:27">
      <c r="AA1073" s="706"/>
    </row>
    <row r="1074" spans="27:27">
      <c r="AA1074" s="706"/>
    </row>
    <row r="1075" spans="27:27">
      <c r="AA1075" s="706"/>
    </row>
    <row r="1076" spans="27:27">
      <c r="AA1076" s="706"/>
    </row>
    <row r="1077" spans="27:27">
      <c r="AA1077" s="706"/>
    </row>
    <row r="1078" spans="27:27">
      <c r="AA1078" s="706"/>
    </row>
    <row r="1079" spans="27:27">
      <c r="AA1079" s="706"/>
    </row>
    <row r="1080" spans="27:27">
      <c r="AA1080" s="706"/>
    </row>
    <row r="1081" spans="27:27">
      <c r="AA1081" s="706"/>
    </row>
    <row r="1082" spans="27:27">
      <c r="AA1082" s="706"/>
    </row>
    <row r="1083" spans="27:27">
      <c r="AA1083" s="706"/>
    </row>
    <row r="1084" spans="27:27">
      <c r="AA1084" s="706"/>
    </row>
    <row r="1085" spans="27:27">
      <c r="AA1085" s="706"/>
    </row>
    <row r="1086" spans="27:27">
      <c r="AA1086" s="706"/>
    </row>
    <row r="1087" spans="27:27">
      <c r="AA1087" s="706"/>
    </row>
    <row r="1088" spans="27:27">
      <c r="AA1088" s="706"/>
    </row>
    <row r="1089" spans="27:27">
      <c r="AA1089" s="706"/>
    </row>
    <row r="1090" spans="27:27">
      <c r="AA1090" s="706"/>
    </row>
    <row r="1091" spans="27:27">
      <c r="AA1091" s="706"/>
    </row>
    <row r="1092" spans="27:27">
      <c r="AA1092" s="706"/>
    </row>
    <row r="1093" spans="27:27">
      <c r="AA1093" s="706"/>
    </row>
    <row r="1094" spans="27:27">
      <c r="AA1094" s="706"/>
    </row>
    <row r="1095" spans="27:27">
      <c r="AA1095" s="706"/>
    </row>
    <row r="1096" spans="27:27">
      <c r="AA1096" s="706"/>
    </row>
    <row r="1097" spans="27:27">
      <c r="AA1097" s="706"/>
    </row>
    <row r="1098" spans="27:27">
      <c r="AA1098" s="706"/>
    </row>
    <row r="1099" spans="27:27">
      <c r="AA1099" s="706"/>
    </row>
    <row r="1100" spans="27:27">
      <c r="AA1100" s="706"/>
    </row>
    <row r="1101" spans="27:27">
      <c r="AA1101" s="706"/>
    </row>
    <row r="1102" spans="27:27">
      <c r="AA1102" s="706"/>
    </row>
    <row r="1103" spans="27:27">
      <c r="AA1103" s="706"/>
    </row>
    <row r="1104" spans="27:27">
      <c r="AA1104" s="706"/>
    </row>
    <row r="1105" spans="27:27">
      <c r="AA1105" s="706"/>
    </row>
    <row r="1106" spans="27:27">
      <c r="AA1106" s="706"/>
    </row>
    <row r="1107" spans="27:27">
      <c r="AA1107" s="706"/>
    </row>
    <row r="1108" spans="27:27">
      <c r="AA1108" s="706"/>
    </row>
    <row r="1109" spans="27:27">
      <c r="AA1109" s="706"/>
    </row>
    <row r="1110" spans="27:27">
      <c r="AA1110" s="706"/>
    </row>
    <row r="1111" spans="27:27">
      <c r="AA1111" s="706"/>
    </row>
    <row r="1112" spans="27:27">
      <c r="AA1112" s="706"/>
    </row>
    <row r="1113" spans="27:27">
      <c r="AA1113" s="706"/>
    </row>
    <row r="1114" spans="27:27">
      <c r="AA1114" s="706"/>
    </row>
    <row r="1115" spans="27:27">
      <c r="AA1115" s="706"/>
    </row>
    <row r="1116" spans="27:27">
      <c r="AA1116" s="706"/>
    </row>
    <row r="1117" spans="27:27">
      <c r="AA1117" s="706"/>
    </row>
    <row r="1118" spans="27:27">
      <c r="AA1118" s="706"/>
    </row>
    <row r="1119" spans="27:27">
      <c r="AA1119" s="706"/>
    </row>
    <row r="1120" spans="27:27">
      <c r="AA1120" s="706"/>
    </row>
    <row r="1121" spans="27:27">
      <c r="AA1121" s="706"/>
    </row>
    <row r="1122" spans="27:27">
      <c r="AA1122" s="706"/>
    </row>
    <row r="1123" spans="27:27">
      <c r="AA1123" s="706"/>
    </row>
    <row r="1124" spans="27:27">
      <c r="AA1124" s="706"/>
    </row>
    <row r="1125" spans="27:27">
      <c r="AA1125" s="706"/>
    </row>
    <row r="1126" spans="27:27">
      <c r="AA1126" s="706"/>
    </row>
    <row r="1127" spans="27:27">
      <c r="AA1127" s="706"/>
    </row>
    <row r="1128" spans="27:27">
      <c r="AA1128" s="706"/>
    </row>
    <row r="1129" spans="27:27">
      <c r="AA1129" s="706"/>
    </row>
    <row r="1130" spans="27:27">
      <c r="AA1130" s="706"/>
    </row>
    <row r="1131" spans="27:27">
      <c r="AA1131" s="706"/>
    </row>
    <row r="1132" spans="27:27">
      <c r="AA1132" s="706"/>
    </row>
    <row r="1133" spans="27:27">
      <c r="AA1133" s="706"/>
    </row>
    <row r="1134" spans="27:27">
      <c r="AA1134" s="706"/>
    </row>
    <row r="1135" spans="27:27">
      <c r="AA1135" s="706"/>
    </row>
    <row r="1136" spans="27:27">
      <c r="AA1136" s="706"/>
    </row>
    <row r="1137" spans="27:27">
      <c r="AA1137" s="706"/>
    </row>
    <row r="1138" spans="27:27">
      <c r="AA1138" s="706"/>
    </row>
    <row r="1139" spans="27:27">
      <c r="AA1139" s="706"/>
    </row>
    <row r="1140" spans="27:27">
      <c r="AA1140" s="706"/>
    </row>
    <row r="1141" spans="27:27">
      <c r="AA1141" s="706"/>
    </row>
    <row r="1142" spans="27:27">
      <c r="AA1142" s="706"/>
    </row>
    <row r="1143" spans="27:27">
      <c r="AA1143" s="706"/>
    </row>
    <row r="1144" spans="27:27">
      <c r="AA1144" s="706"/>
    </row>
    <row r="1145" spans="27:27">
      <c r="AA1145" s="706"/>
    </row>
    <row r="1146" spans="27:27">
      <c r="AA1146" s="706"/>
    </row>
    <row r="1147" spans="27:27">
      <c r="AA1147" s="706"/>
    </row>
    <row r="1148" spans="27:27">
      <c r="AA1148" s="706"/>
    </row>
    <row r="1149" spans="27:27">
      <c r="AA1149" s="706"/>
    </row>
    <row r="1150" spans="27:27">
      <c r="AA1150" s="706"/>
    </row>
    <row r="1151" spans="27:27">
      <c r="AA1151" s="706"/>
    </row>
    <row r="1152" spans="27:27">
      <c r="AA1152" s="706"/>
    </row>
    <row r="1153" spans="27:27">
      <c r="AA1153" s="706"/>
    </row>
    <row r="1154" spans="27:27">
      <c r="AA1154" s="706"/>
    </row>
    <row r="1155" spans="27:27">
      <c r="AA1155" s="706"/>
    </row>
    <row r="1156" spans="27:27">
      <c r="AA1156" s="706"/>
    </row>
    <row r="1157" spans="27:27">
      <c r="AA1157" s="706"/>
    </row>
    <row r="1158" spans="27:27">
      <c r="AA1158" s="706"/>
    </row>
    <row r="1159" spans="27:27">
      <c r="AA1159" s="706"/>
    </row>
    <row r="1160" spans="27:27">
      <c r="AA1160" s="706"/>
    </row>
    <row r="1161" spans="27:27">
      <c r="AA1161" s="706"/>
    </row>
    <row r="1162" spans="27:27">
      <c r="AA1162" s="706"/>
    </row>
    <row r="1163" spans="27:27">
      <c r="AA1163" s="706"/>
    </row>
    <row r="1164" spans="27:27">
      <c r="AA1164" s="706"/>
    </row>
    <row r="1165" spans="27:27">
      <c r="AA1165" s="706"/>
    </row>
    <row r="1166" spans="27:27">
      <c r="AA1166" s="706"/>
    </row>
    <row r="1167" spans="27:27">
      <c r="AA1167" s="706"/>
    </row>
    <row r="1168" spans="27:27">
      <c r="AA1168" s="706"/>
    </row>
    <row r="1169" spans="27:27">
      <c r="AA1169" s="706"/>
    </row>
    <row r="1170" spans="27:27">
      <c r="AA1170" s="706"/>
    </row>
    <row r="1171" spans="27:27">
      <c r="AA1171" s="706"/>
    </row>
    <row r="1172" spans="27:27">
      <c r="AA1172" s="706"/>
    </row>
    <row r="1173" spans="27:27">
      <c r="AA1173" s="706"/>
    </row>
    <row r="1174" spans="27:27">
      <c r="AA1174" s="706"/>
    </row>
    <row r="1175" spans="27:27">
      <c r="AA1175" s="706"/>
    </row>
    <row r="1176" spans="27:27">
      <c r="AA1176" s="706"/>
    </row>
    <row r="1177" spans="27:27">
      <c r="AA1177" s="706"/>
    </row>
    <row r="1178" spans="27:27">
      <c r="AA1178" s="706"/>
    </row>
    <row r="1179" spans="27:27">
      <c r="AA1179" s="706"/>
    </row>
    <row r="1180" spans="27:27">
      <c r="AA1180" s="706"/>
    </row>
    <row r="1181" spans="27:27">
      <c r="AA1181" s="706"/>
    </row>
    <row r="1182" spans="27:27">
      <c r="AA1182" s="706"/>
    </row>
    <row r="1183" spans="27:27">
      <c r="AA1183" s="706"/>
    </row>
    <row r="1184" spans="27:27">
      <c r="AA1184" s="706"/>
    </row>
    <row r="1185" spans="27:27">
      <c r="AA1185" s="706"/>
    </row>
    <row r="1186" spans="27:27">
      <c r="AA1186" s="706"/>
    </row>
    <row r="1187" spans="27:27">
      <c r="AA1187" s="706"/>
    </row>
    <row r="1188" spans="27:27">
      <c r="AA1188" s="706"/>
    </row>
    <row r="1189" spans="27:27">
      <c r="AA1189" s="706"/>
    </row>
    <row r="1190" spans="27:27">
      <c r="AA1190" s="706"/>
    </row>
    <row r="1191" spans="27:27">
      <c r="AA1191" s="706"/>
    </row>
    <row r="1192" spans="27:27">
      <c r="AA1192" s="706"/>
    </row>
    <row r="1193" spans="27:27">
      <c r="AA1193" s="706"/>
    </row>
    <row r="1194" spans="27:27">
      <c r="AA1194" s="706"/>
    </row>
    <row r="1195" spans="27:27">
      <c r="AA1195" s="706"/>
    </row>
    <row r="1196" spans="27:27">
      <c r="AA1196" s="706"/>
    </row>
    <row r="1197" spans="27:27">
      <c r="AA1197" s="706"/>
    </row>
    <row r="1198" spans="27:27">
      <c r="AA1198" s="706"/>
    </row>
    <row r="1199" spans="27:27">
      <c r="AA1199" s="706"/>
    </row>
    <row r="1200" spans="27:27">
      <c r="AA1200" s="706"/>
    </row>
    <row r="1201" spans="27:27">
      <c r="AA1201" s="706"/>
    </row>
    <row r="1202" spans="27:27">
      <c r="AA1202" s="706"/>
    </row>
    <row r="1203" spans="27:27">
      <c r="AA1203" s="706"/>
    </row>
    <row r="1204" spans="27:27">
      <c r="AA1204" s="706"/>
    </row>
    <row r="1205" spans="27:27">
      <c r="AA1205" s="706"/>
    </row>
    <row r="1206" spans="27:27">
      <c r="AA1206" s="706"/>
    </row>
    <row r="1207" spans="27:27">
      <c r="AA1207" s="706"/>
    </row>
    <row r="1208" spans="27:27">
      <c r="AA1208" s="706"/>
    </row>
    <row r="1209" spans="27:27">
      <c r="AA1209" s="706"/>
    </row>
    <row r="1210" spans="27:27">
      <c r="AA1210" s="706"/>
    </row>
    <row r="1211" spans="27:27">
      <c r="AA1211" s="706"/>
    </row>
    <row r="1212" spans="27:27">
      <c r="AA1212" s="706"/>
    </row>
    <row r="1213" spans="27:27">
      <c r="AA1213" s="706"/>
    </row>
    <row r="1214" spans="27:27">
      <c r="AA1214" s="706"/>
    </row>
    <row r="1215" spans="27:27">
      <c r="AA1215" s="706"/>
    </row>
    <row r="1216" spans="27:27">
      <c r="AA1216" s="706"/>
    </row>
    <row r="1217" spans="27:27">
      <c r="AA1217" s="706"/>
    </row>
    <row r="1218" spans="27:27">
      <c r="AA1218" s="706"/>
    </row>
    <row r="1219" spans="27:27">
      <c r="AA1219" s="706"/>
    </row>
    <row r="1220" spans="27:27">
      <c r="AA1220" s="706"/>
    </row>
    <row r="1221" spans="27:27">
      <c r="AA1221" s="706"/>
    </row>
    <row r="1222" spans="27:27">
      <c r="AA1222" s="706"/>
    </row>
    <row r="1223" spans="27:27">
      <c r="AA1223" s="706"/>
    </row>
    <row r="1224" spans="27:27">
      <c r="AA1224" s="706"/>
    </row>
    <row r="1225" spans="27:27">
      <c r="AA1225" s="706"/>
    </row>
    <row r="1226" spans="27:27">
      <c r="AA1226" s="706"/>
    </row>
    <row r="1227" spans="27:27">
      <c r="AA1227" s="706"/>
    </row>
    <row r="1228" spans="27:27">
      <c r="AA1228" s="706"/>
    </row>
    <row r="1229" spans="27:27">
      <c r="AA1229" s="706"/>
    </row>
    <row r="1230" spans="27:27">
      <c r="AA1230" s="706"/>
    </row>
    <row r="1231" spans="27:27">
      <c r="AA1231" s="706"/>
    </row>
    <row r="1232" spans="27:27">
      <c r="AA1232" s="706"/>
    </row>
    <row r="1233" spans="27:27">
      <c r="AA1233" s="706"/>
    </row>
    <row r="1234" spans="27:27">
      <c r="AA1234" s="706"/>
    </row>
    <row r="1235" spans="27:27">
      <c r="AA1235" s="706"/>
    </row>
    <row r="1236" spans="27:27">
      <c r="AA1236" s="706"/>
    </row>
    <row r="1237" spans="27:27">
      <c r="AA1237" s="706"/>
    </row>
    <row r="1238" spans="27:27">
      <c r="AA1238" s="706"/>
    </row>
    <row r="1239" spans="27:27">
      <c r="AA1239" s="706"/>
    </row>
    <row r="1240" spans="27:27">
      <c r="AA1240" s="706"/>
    </row>
    <row r="1241" spans="27:27">
      <c r="AA1241" s="706"/>
    </row>
    <row r="1242" spans="27:27">
      <c r="AA1242" s="706"/>
    </row>
    <row r="1243" spans="27:27">
      <c r="AA1243" s="706"/>
    </row>
    <row r="1244" spans="27:27">
      <c r="AA1244" s="706"/>
    </row>
    <row r="1245" spans="27:27">
      <c r="AA1245" s="706"/>
    </row>
    <row r="1246" spans="27:27">
      <c r="AA1246" s="706"/>
    </row>
    <row r="1247" spans="27:27">
      <c r="AA1247" s="706"/>
    </row>
    <row r="1248" spans="27:27">
      <c r="AA1248" s="706"/>
    </row>
    <row r="1249" spans="27:27">
      <c r="AA1249" s="706"/>
    </row>
    <row r="1250" spans="27:27">
      <c r="AA1250" s="706"/>
    </row>
    <row r="1251" spans="27:27">
      <c r="AA1251" s="706"/>
    </row>
    <row r="1252" spans="27:27">
      <c r="AA1252" s="706"/>
    </row>
    <row r="1253" spans="27:27">
      <c r="AA1253" s="706"/>
    </row>
    <row r="1254" spans="27:27">
      <c r="AA1254" s="706"/>
    </row>
    <row r="1255" spans="27:27">
      <c r="AA1255" s="706"/>
    </row>
    <row r="1256" spans="27:27">
      <c r="AA1256" s="706"/>
    </row>
    <row r="1257" spans="27:27">
      <c r="AA1257" s="706"/>
    </row>
    <row r="1258" spans="27:27">
      <c r="AA1258" s="706"/>
    </row>
    <row r="1259" spans="27:27">
      <c r="AA1259" s="706"/>
    </row>
    <row r="1260" spans="27:27">
      <c r="AA1260" s="706"/>
    </row>
    <row r="1261" spans="27:27">
      <c r="AA1261" s="706"/>
    </row>
    <row r="1262" spans="27:27">
      <c r="AA1262" s="706"/>
    </row>
    <row r="1263" spans="27:27">
      <c r="AA1263" s="706"/>
    </row>
    <row r="1264" spans="27:27">
      <c r="AA1264" s="706"/>
    </row>
    <row r="1265" spans="27:27">
      <c r="AA1265" s="706"/>
    </row>
    <row r="1266" spans="27:27">
      <c r="AA1266" s="706"/>
    </row>
    <row r="1267" spans="27:27">
      <c r="AA1267" s="706"/>
    </row>
    <row r="1268" spans="27:27">
      <c r="AA1268" s="706"/>
    </row>
    <row r="1269" spans="27:27">
      <c r="AA1269" s="706"/>
    </row>
    <row r="1270" spans="27:27">
      <c r="AA1270" s="706"/>
    </row>
    <row r="1271" spans="27:27">
      <c r="AA1271" s="706"/>
    </row>
    <row r="1272" spans="27:27">
      <c r="AA1272" s="706"/>
    </row>
    <row r="1273" spans="27:27">
      <c r="AA1273" s="706"/>
    </row>
    <row r="1274" spans="27:27">
      <c r="AA1274" s="706"/>
    </row>
    <row r="1275" spans="27:27">
      <c r="AA1275" s="706"/>
    </row>
    <row r="1276" spans="27:27">
      <c r="AA1276" s="706"/>
    </row>
    <row r="1277" spans="27:27">
      <c r="AA1277" s="706"/>
    </row>
    <row r="1278" spans="27:27">
      <c r="AA1278" s="706"/>
    </row>
    <row r="1279" spans="27:27">
      <c r="AA1279" s="706"/>
    </row>
    <row r="1280" spans="27:27">
      <c r="AA1280" s="706"/>
    </row>
    <row r="1281" spans="27:27">
      <c r="AA1281" s="706"/>
    </row>
    <row r="1282" spans="27:27">
      <c r="AA1282" s="706"/>
    </row>
    <row r="1283" spans="27:27">
      <c r="AA1283" s="706"/>
    </row>
    <row r="1284" spans="27:27">
      <c r="AA1284" s="706"/>
    </row>
    <row r="1285" spans="27:27">
      <c r="AA1285" s="706"/>
    </row>
    <row r="1286" spans="27:27">
      <c r="AA1286" s="706"/>
    </row>
    <row r="1287" spans="27:27">
      <c r="AA1287" s="706"/>
    </row>
    <row r="1288" spans="27:27">
      <c r="AA1288" s="706"/>
    </row>
    <row r="1289" spans="27:27">
      <c r="AA1289" s="706"/>
    </row>
    <row r="1290" spans="27:27">
      <c r="AA1290" s="706"/>
    </row>
    <row r="1291" spans="27:27">
      <c r="AA1291" s="706"/>
    </row>
    <row r="1292" spans="27:27">
      <c r="AA1292" s="706"/>
    </row>
    <row r="1293" spans="27:27">
      <c r="AA1293" s="706"/>
    </row>
    <row r="1294" spans="27:27">
      <c r="AA1294" s="706"/>
    </row>
    <row r="1295" spans="27:27">
      <c r="AA1295" s="706"/>
    </row>
    <row r="1296" spans="27:27">
      <c r="AA1296" s="706"/>
    </row>
    <row r="1297" spans="27:27">
      <c r="AA1297" s="706"/>
    </row>
    <row r="1298" spans="27:27">
      <c r="AA1298" s="706"/>
    </row>
    <row r="1299" spans="27:27">
      <c r="AA1299" s="706"/>
    </row>
    <row r="1300" spans="27:27">
      <c r="AA1300" s="706"/>
    </row>
    <row r="1301" spans="27:27">
      <c r="AA1301" s="706"/>
    </row>
    <row r="1302" spans="27:27">
      <c r="AA1302" s="706"/>
    </row>
    <row r="1303" spans="27:27">
      <c r="AA1303" s="706"/>
    </row>
    <row r="1304" spans="27:27">
      <c r="AA1304" s="706"/>
    </row>
    <row r="1305" spans="27:27">
      <c r="AA1305" s="706"/>
    </row>
    <row r="1306" spans="27:27">
      <c r="AA1306" s="706"/>
    </row>
    <row r="1307" spans="27:27">
      <c r="AA1307" s="706"/>
    </row>
    <row r="1308" spans="27:27">
      <c r="AA1308" s="706"/>
    </row>
    <row r="1309" spans="27:27">
      <c r="AA1309" s="706"/>
    </row>
    <row r="1310" spans="27:27">
      <c r="AA1310" s="706"/>
    </row>
    <row r="1311" spans="27:27">
      <c r="AA1311" s="706"/>
    </row>
    <row r="1312" spans="27:27">
      <c r="AA1312" s="706"/>
    </row>
    <row r="1313" spans="27:27">
      <c r="AA1313" s="706"/>
    </row>
    <row r="1314" spans="27:27">
      <c r="AA1314" s="706"/>
    </row>
    <row r="1315" spans="27:27">
      <c r="AA1315" s="706"/>
    </row>
    <row r="1316" spans="27:27">
      <c r="AA1316" s="706"/>
    </row>
    <row r="1317" spans="27:27">
      <c r="AA1317" s="706"/>
    </row>
    <row r="1318" spans="27:27">
      <c r="AA1318" s="706"/>
    </row>
    <row r="1319" spans="27:27">
      <c r="AA1319" s="706"/>
    </row>
    <row r="1320" spans="27:27">
      <c r="AA1320" s="706"/>
    </row>
    <row r="1321" spans="27:27">
      <c r="AA1321" s="706"/>
    </row>
    <row r="1322" spans="27:27">
      <c r="AA1322" s="706"/>
    </row>
    <row r="1323" spans="27:27">
      <c r="AA1323" s="706"/>
    </row>
    <row r="1324" spans="27:27">
      <c r="AA1324" s="706"/>
    </row>
    <row r="1325" spans="27:27">
      <c r="AA1325" s="706"/>
    </row>
    <row r="1326" spans="27:27">
      <c r="AA1326" s="706"/>
    </row>
    <row r="1327" spans="27:27">
      <c r="AA1327" s="706"/>
    </row>
    <row r="1328" spans="27:27">
      <c r="AA1328" s="706"/>
    </row>
    <row r="1329" spans="27:27">
      <c r="AA1329" s="706"/>
    </row>
    <row r="1330" spans="27:27">
      <c r="AA1330" s="706"/>
    </row>
    <row r="1331" spans="27:27">
      <c r="AA1331" s="706"/>
    </row>
    <row r="1332" spans="27:27">
      <c r="AA1332" s="706"/>
    </row>
    <row r="1333" spans="27:27">
      <c r="AA1333" s="706"/>
    </row>
    <row r="1334" spans="27:27">
      <c r="AA1334" s="706"/>
    </row>
    <row r="1335" spans="27:27">
      <c r="AA1335" s="706"/>
    </row>
    <row r="1336" spans="27:27">
      <c r="AA1336" s="706"/>
    </row>
    <row r="1337" spans="27:27">
      <c r="AA1337" s="706"/>
    </row>
    <row r="1338" spans="27:27">
      <c r="AA1338" s="706"/>
    </row>
    <row r="1339" spans="27:27">
      <c r="AA1339" s="706"/>
    </row>
    <row r="1340" spans="27:27">
      <c r="AA1340" s="706"/>
    </row>
    <row r="1341" spans="27:27">
      <c r="AA1341" s="706"/>
    </row>
    <row r="1342" spans="27:27">
      <c r="AA1342" s="706"/>
    </row>
    <row r="1343" spans="27:27">
      <c r="AA1343" s="706"/>
    </row>
    <row r="1344" spans="27:27">
      <c r="AA1344" s="706"/>
    </row>
    <row r="1345" spans="27:27">
      <c r="AA1345" s="706"/>
    </row>
    <row r="1346" spans="27:27">
      <c r="AA1346" s="706"/>
    </row>
    <row r="1347" spans="27:27">
      <c r="AA1347" s="706"/>
    </row>
    <row r="1348" spans="27:27">
      <c r="AA1348" s="706"/>
    </row>
    <row r="1349" spans="27:27">
      <c r="AA1349" s="706"/>
    </row>
    <row r="1350" spans="27:27">
      <c r="AA1350" s="706"/>
    </row>
    <row r="1351" spans="27:27">
      <c r="AA1351" s="706"/>
    </row>
    <row r="1352" spans="27:27">
      <c r="AA1352" s="706"/>
    </row>
    <row r="1353" spans="27:27">
      <c r="AA1353" s="706"/>
    </row>
    <row r="1354" spans="27:27">
      <c r="AA1354" s="706"/>
    </row>
    <row r="1355" spans="27:27">
      <c r="AA1355" s="706"/>
    </row>
    <row r="1356" spans="27:27">
      <c r="AA1356" s="706"/>
    </row>
    <row r="1357" spans="27:27">
      <c r="AA1357" s="706"/>
    </row>
    <row r="1358" spans="27:27">
      <c r="AA1358" s="706"/>
    </row>
    <row r="1359" spans="27:27">
      <c r="AA1359" s="706"/>
    </row>
    <row r="1360" spans="27:27">
      <c r="AA1360" s="706"/>
    </row>
    <row r="1361" spans="27:27">
      <c r="AA1361" s="706"/>
    </row>
    <row r="1362" spans="27:27">
      <c r="AA1362" s="706"/>
    </row>
    <row r="1363" spans="27:27">
      <c r="AA1363" s="706"/>
    </row>
    <row r="1364" spans="27:27">
      <c r="AA1364" s="706"/>
    </row>
    <row r="1365" spans="27:27">
      <c r="AA1365" s="706"/>
    </row>
    <row r="1366" spans="27:27">
      <c r="AA1366" s="706"/>
    </row>
    <row r="1367" spans="27:27">
      <c r="AA1367" s="706"/>
    </row>
    <row r="1368" spans="27:27">
      <c r="AA1368" s="706"/>
    </row>
    <row r="1369" spans="27:27">
      <c r="AA1369" s="706"/>
    </row>
    <row r="1370" spans="27:27">
      <c r="AA1370" s="706"/>
    </row>
    <row r="1371" spans="27:27">
      <c r="AA1371" s="706"/>
    </row>
    <row r="1372" spans="27:27">
      <c r="AA1372" s="706"/>
    </row>
    <row r="1373" spans="27:27">
      <c r="AA1373" s="706"/>
    </row>
    <row r="1374" spans="27:27">
      <c r="AA1374" s="706"/>
    </row>
    <row r="1375" spans="27:27">
      <c r="AA1375" s="706"/>
    </row>
    <row r="1376" spans="27:27">
      <c r="AA1376" s="706"/>
    </row>
    <row r="1377" spans="27:27">
      <c r="AA1377" s="706"/>
    </row>
    <row r="1378" spans="27:27">
      <c r="AA1378" s="706"/>
    </row>
    <row r="1379" spans="27:27">
      <c r="AA1379" s="706"/>
    </row>
    <row r="1380" spans="27:27">
      <c r="AA1380" s="706"/>
    </row>
    <row r="1381" spans="27:27">
      <c r="AA1381" s="706"/>
    </row>
    <row r="1382" spans="27:27">
      <c r="AA1382" s="706"/>
    </row>
    <row r="1383" spans="27:27">
      <c r="AA1383" s="706"/>
    </row>
    <row r="1384" spans="27:27">
      <c r="AA1384" s="706"/>
    </row>
    <row r="1385" spans="27:27">
      <c r="AA1385" s="706"/>
    </row>
    <row r="1386" spans="27:27">
      <c r="AA1386" s="706"/>
    </row>
    <row r="1387" spans="27:27">
      <c r="AA1387" s="706"/>
    </row>
    <row r="1388" spans="27:27">
      <c r="AA1388" s="706"/>
    </row>
    <row r="1389" spans="27:27">
      <c r="AA1389" s="706"/>
    </row>
    <row r="1390" spans="27:27">
      <c r="AA1390" s="706"/>
    </row>
    <row r="1391" spans="27:27">
      <c r="AA1391" s="706"/>
    </row>
    <row r="1392" spans="27:27">
      <c r="AA1392" s="706"/>
    </row>
    <row r="1393" spans="27:27">
      <c r="AA1393" s="706"/>
    </row>
    <row r="1394" spans="27:27">
      <c r="AA1394" s="706"/>
    </row>
    <row r="1395" spans="27:27">
      <c r="AA1395" s="706"/>
    </row>
    <row r="1396" spans="27:27">
      <c r="AA1396" s="706"/>
    </row>
    <row r="1397" spans="27:27">
      <c r="AA1397" s="706"/>
    </row>
    <row r="1398" spans="27:27">
      <c r="AA1398" s="706"/>
    </row>
    <row r="1399" spans="27:27">
      <c r="AA1399" s="706"/>
    </row>
    <row r="1400" spans="27:27">
      <c r="AA1400" s="706"/>
    </row>
    <row r="1401" spans="27:27">
      <c r="AA1401" s="706"/>
    </row>
    <row r="1402" spans="27:27">
      <c r="AA1402" s="706"/>
    </row>
    <row r="1403" spans="27:27">
      <c r="AA1403" s="706"/>
    </row>
    <row r="1404" spans="27:27">
      <c r="AA1404" s="706"/>
    </row>
    <row r="1405" spans="27:27">
      <c r="AA1405" s="706"/>
    </row>
    <row r="1406" spans="27:27">
      <c r="AA1406" s="706"/>
    </row>
    <row r="1407" spans="27:27">
      <c r="AA1407" s="706"/>
    </row>
    <row r="1408" spans="27:27">
      <c r="AA1408" s="706"/>
    </row>
    <row r="1409" spans="27:27">
      <c r="AA1409" s="706"/>
    </row>
    <row r="1410" spans="27:27">
      <c r="AA1410" s="706"/>
    </row>
    <row r="1411" spans="27:27">
      <c r="AA1411" s="706"/>
    </row>
    <row r="1412" spans="27:27">
      <c r="AA1412" s="706"/>
    </row>
    <row r="1413" spans="27:27">
      <c r="AA1413" s="706"/>
    </row>
    <row r="1414" spans="27:27">
      <c r="AA1414" s="706"/>
    </row>
    <row r="1415" spans="27:27">
      <c r="AA1415" s="706"/>
    </row>
    <row r="1416" spans="27:27">
      <c r="AA1416" s="706"/>
    </row>
    <row r="1417" spans="27:27">
      <c r="AA1417" s="706"/>
    </row>
    <row r="1418" spans="27:27">
      <c r="AA1418" s="706"/>
    </row>
    <row r="1419" spans="27:27">
      <c r="AA1419" s="706"/>
    </row>
    <row r="1420" spans="27:27">
      <c r="AA1420" s="706"/>
    </row>
    <row r="1421" spans="27:27">
      <c r="AA1421" s="706"/>
    </row>
    <row r="1422" spans="27:27">
      <c r="AA1422" s="706"/>
    </row>
    <row r="1423" spans="27:27">
      <c r="AA1423" s="706"/>
    </row>
    <row r="1424" spans="27:27">
      <c r="AA1424" s="706"/>
    </row>
    <row r="1425" spans="27:27">
      <c r="AA1425" s="706"/>
    </row>
    <row r="1426" spans="27:27">
      <c r="AA1426" s="706"/>
    </row>
    <row r="1427" spans="27:27">
      <c r="AA1427" s="706"/>
    </row>
    <row r="1428" spans="27:27">
      <c r="AA1428" s="706"/>
    </row>
    <row r="1429" spans="27:27">
      <c r="AA1429" s="706"/>
    </row>
    <row r="1430" spans="27:27">
      <c r="AA1430" s="706"/>
    </row>
    <row r="1431" spans="27:27">
      <c r="AA1431" s="706"/>
    </row>
    <row r="1432" spans="27:27">
      <c r="AA1432" s="706"/>
    </row>
    <row r="1433" spans="27:27">
      <c r="AA1433" s="706"/>
    </row>
    <row r="1434" spans="27:27">
      <c r="AA1434" s="706"/>
    </row>
    <row r="1435" spans="27:27">
      <c r="AA1435" s="706"/>
    </row>
    <row r="1436" spans="27:27">
      <c r="AA1436" s="706"/>
    </row>
    <row r="1437" spans="27:27">
      <c r="AA1437" s="706"/>
    </row>
    <row r="1438" spans="27:27">
      <c r="AA1438" s="706"/>
    </row>
    <row r="1439" spans="27:27">
      <c r="AA1439" s="706"/>
    </row>
    <row r="1440" spans="27:27">
      <c r="AA1440" s="706"/>
    </row>
    <row r="1441" spans="27:27">
      <c r="AA1441" s="706"/>
    </row>
    <row r="1442" spans="27:27">
      <c r="AA1442" s="706"/>
    </row>
    <row r="1443" spans="27:27">
      <c r="AA1443" s="706"/>
    </row>
    <row r="1444" spans="27:27">
      <c r="AA1444" s="706"/>
    </row>
    <row r="1445" spans="27:27">
      <c r="AA1445" s="706"/>
    </row>
    <row r="1446" spans="27:27">
      <c r="AA1446" s="706"/>
    </row>
    <row r="1447" spans="27:27">
      <c r="AA1447" s="706"/>
    </row>
    <row r="1448" spans="27:27">
      <c r="AA1448" s="706"/>
    </row>
    <row r="1449" spans="27:27">
      <c r="AA1449" s="706"/>
    </row>
    <row r="1450" spans="27:27">
      <c r="AA1450" s="706"/>
    </row>
    <row r="1451" spans="27:27">
      <c r="AA1451" s="706"/>
    </row>
    <row r="1452" spans="27:27">
      <c r="AA1452" s="706"/>
    </row>
    <row r="1453" spans="27:27">
      <c r="AA1453" s="706"/>
    </row>
    <row r="1454" spans="27:27">
      <c r="AA1454" s="706"/>
    </row>
    <row r="1455" spans="27:27">
      <c r="AA1455" s="706"/>
    </row>
    <row r="1456" spans="27:27">
      <c r="AA1456" s="706"/>
    </row>
    <row r="1457" spans="27:27">
      <c r="AA1457" s="706"/>
    </row>
    <row r="1458" spans="27:27">
      <c r="AA1458" s="706"/>
    </row>
    <row r="1459" spans="27:27">
      <c r="AA1459" s="706"/>
    </row>
    <row r="1460" spans="27:27">
      <c r="AA1460" s="706"/>
    </row>
    <row r="1461" spans="27:27">
      <c r="AA1461" s="706"/>
    </row>
    <row r="1462" spans="27:27">
      <c r="AA1462" s="706"/>
    </row>
    <row r="1463" spans="27:27">
      <c r="AA1463" s="706"/>
    </row>
    <row r="1464" spans="27:27">
      <c r="AA1464" s="706"/>
    </row>
    <row r="1465" spans="27:27">
      <c r="AA1465" s="706"/>
    </row>
    <row r="1466" spans="27:27">
      <c r="AA1466" s="706"/>
    </row>
    <row r="1467" spans="27:27">
      <c r="AA1467" s="706"/>
    </row>
    <row r="1468" spans="27:27">
      <c r="AA1468" s="706"/>
    </row>
    <row r="1469" spans="27:27">
      <c r="AA1469" s="706"/>
    </row>
    <row r="1470" spans="27:27">
      <c r="AA1470" s="706"/>
    </row>
    <row r="1471" spans="27:27">
      <c r="AA1471" s="706"/>
    </row>
    <row r="1472" spans="27:27">
      <c r="AA1472" s="706"/>
    </row>
    <row r="1473" spans="27:27">
      <c r="AA1473" s="706"/>
    </row>
    <row r="1474" spans="27:27">
      <c r="AA1474" s="706"/>
    </row>
    <row r="1475" spans="27:27">
      <c r="AA1475" s="706"/>
    </row>
    <row r="1476" spans="27:27">
      <c r="AA1476" s="706"/>
    </row>
    <row r="1477" spans="27:27">
      <c r="AA1477" s="706"/>
    </row>
    <row r="1478" spans="27:27">
      <c r="AA1478" s="706"/>
    </row>
    <row r="1479" spans="27:27">
      <c r="AA1479" s="706"/>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4" topLeftCell="C5" activePane="bottomRight" state="frozen"/>
      <selection pane="topRight" activeCell="C1" sqref="C1"/>
      <selection pane="bottomLeft" activeCell="A5" sqref="A5"/>
      <selection pane="bottomRight" activeCell="J9" sqref="J9"/>
    </sheetView>
  </sheetViews>
  <sheetFormatPr defaultRowHeight="12.75"/>
  <cols>
    <col min="1" max="1" width="4.28515625" style="762" customWidth="1"/>
    <col min="2" max="2" width="28.5703125" style="762" customWidth="1"/>
    <col min="3" max="3" width="9.140625" style="779" customWidth="1"/>
    <col min="4" max="5" width="9.140625" style="762" customWidth="1"/>
    <col min="6" max="6" width="9.5703125" style="865" customWidth="1"/>
    <col min="7" max="7" width="9" style="762" customWidth="1"/>
    <col min="8" max="8" width="8.7109375" style="762" customWidth="1"/>
    <col min="9" max="9" width="8.140625" style="762" customWidth="1"/>
    <col min="10" max="10" width="8.28515625" style="762" customWidth="1"/>
    <col min="11" max="11" width="7.140625" style="762" customWidth="1"/>
    <col min="12" max="14" width="7" style="762" bestFit="1" customWidth="1"/>
    <col min="15" max="15" width="8" style="762" customWidth="1"/>
    <col min="16" max="256" width="9.140625" style="762"/>
    <col min="257" max="257" width="4.28515625" style="762" customWidth="1"/>
    <col min="258" max="258" width="28.5703125" style="762" customWidth="1"/>
    <col min="259" max="261" width="9.140625" style="762" customWidth="1"/>
    <col min="262" max="262" width="9.5703125" style="762" customWidth="1"/>
    <col min="263" max="263" width="9" style="762" customWidth="1"/>
    <col min="264" max="264" width="8.7109375" style="762" customWidth="1"/>
    <col min="265" max="265" width="8.140625" style="762" customWidth="1"/>
    <col min="266" max="266" width="8.28515625" style="762" customWidth="1"/>
    <col min="267" max="267" width="7.140625" style="762" customWidth="1"/>
    <col min="268" max="270" width="7" style="762" bestFit="1" customWidth="1"/>
    <col min="271" max="271" width="8" style="762" customWidth="1"/>
    <col min="272" max="512" width="9.140625" style="762"/>
    <col min="513" max="513" width="4.28515625" style="762" customWidth="1"/>
    <col min="514" max="514" width="28.5703125" style="762" customWidth="1"/>
    <col min="515" max="517" width="9.140625" style="762" customWidth="1"/>
    <col min="518" max="518" width="9.5703125" style="762" customWidth="1"/>
    <col min="519" max="519" width="9" style="762" customWidth="1"/>
    <col min="520" max="520" width="8.7109375" style="762" customWidth="1"/>
    <col min="521" max="521" width="8.140625" style="762" customWidth="1"/>
    <col min="522" max="522" width="8.28515625" style="762" customWidth="1"/>
    <col min="523" max="523" width="7.140625" style="762" customWidth="1"/>
    <col min="524" max="526" width="7" style="762" bestFit="1" customWidth="1"/>
    <col min="527" max="527" width="8" style="762" customWidth="1"/>
    <col min="528" max="768" width="9.140625" style="762"/>
    <col min="769" max="769" width="4.28515625" style="762" customWidth="1"/>
    <col min="770" max="770" width="28.5703125" style="762" customWidth="1"/>
    <col min="771" max="773" width="9.140625" style="762" customWidth="1"/>
    <col min="774" max="774" width="9.5703125" style="762" customWidth="1"/>
    <col min="775" max="775" width="9" style="762" customWidth="1"/>
    <col min="776" max="776" width="8.7109375" style="762" customWidth="1"/>
    <col min="777" max="777" width="8.140625" style="762" customWidth="1"/>
    <col min="778" max="778" width="8.28515625" style="762" customWidth="1"/>
    <col min="779" max="779" width="7.140625" style="762" customWidth="1"/>
    <col min="780" max="782" width="7" style="762" bestFit="1" customWidth="1"/>
    <col min="783" max="783" width="8" style="762" customWidth="1"/>
    <col min="784" max="1024" width="9.140625" style="762"/>
    <col min="1025" max="1025" width="4.28515625" style="762" customWidth="1"/>
    <col min="1026" max="1026" width="28.5703125" style="762" customWidth="1"/>
    <col min="1027" max="1029" width="9.140625" style="762" customWidth="1"/>
    <col min="1030" max="1030" width="9.5703125" style="762" customWidth="1"/>
    <col min="1031" max="1031" width="9" style="762" customWidth="1"/>
    <col min="1032" max="1032" width="8.7109375" style="762" customWidth="1"/>
    <col min="1033" max="1033" width="8.140625" style="762" customWidth="1"/>
    <col min="1034" max="1034" width="8.28515625" style="762" customWidth="1"/>
    <col min="1035" max="1035" width="7.140625" style="762" customWidth="1"/>
    <col min="1036" max="1038" width="7" style="762" bestFit="1" customWidth="1"/>
    <col min="1039" max="1039" width="8" style="762" customWidth="1"/>
    <col min="1040" max="1280" width="9.140625" style="762"/>
    <col min="1281" max="1281" width="4.28515625" style="762" customWidth="1"/>
    <col min="1282" max="1282" width="28.5703125" style="762" customWidth="1"/>
    <col min="1283" max="1285" width="9.140625" style="762" customWidth="1"/>
    <col min="1286" max="1286" width="9.5703125" style="762" customWidth="1"/>
    <col min="1287" max="1287" width="9" style="762" customWidth="1"/>
    <col min="1288" max="1288" width="8.7109375" style="762" customWidth="1"/>
    <col min="1289" max="1289" width="8.140625" style="762" customWidth="1"/>
    <col min="1290" max="1290" width="8.28515625" style="762" customWidth="1"/>
    <col min="1291" max="1291" width="7.140625" style="762" customWidth="1"/>
    <col min="1292" max="1294" width="7" style="762" bestFit="1" customWidth="1"/>
    <col min="1295" max="1295" width="8" style="762" customWidth="1"/>
    <col min="1296" max="1536" width="9.140625" style="762"/>
    <col min="1537" max="1537" width="4.28515625" style="762" customWidth="1"/>
    <col min="1538" max="1538" width="28.5703125" style="762" customWidth="1"/>
    <col min="1539" max="1541" width="9.140625" style="762" customWidth="1"/>
    <col min="1542" max="1542" width="9.5703125" style="762" customWidth="1"/>
    <col min="1543" max="1543" width="9" style="762" customWidth="1"/>
    <col min="1544" max="1544" width="8.7109375" style="762" customWidth="1"/>
    <col min="1545" max="1545" width="8.140625" style="762" customWidth="1"/>
    <col min="1546" max="1546" width="8.28515625" style="762" customWidth="1"/>
    <col min="1547" max="1547" width="7.140625" style="762" customWidth="1"/>
    <col min="1548" max="1550" width="7" style="762" bestFit="1" customWidth="1"/>
    <col min="1551" max="1551" width="8" style="762" customWidth="1"/>
    <col min="1552" max="1792" width="9.140625" style="762"/>
    <col min="1793" max="1793" width="4.28515625" style="762" customWidth="1"/>
    <col min="1794" max="1794" width="28.5703125" style="762" customWidth="1"/>
    <col min="1795" max="1797" width="9.140625" style="762" customWidth="1"/>
    <col min="1798" max="1798" width="9.5703125" style="762" customWidth="1"/>
    <col min="1799" max="1799" width="9" style="762" customWidth="1"/>
    <col min="1800" max="1800" width="8.7109375" style="762" customWidth="1"/>
    <col min="1801" max="1801" width="8.140625" style="762" customWidth="1"/>
    <col min="1802" max="1802" width="8.28515625" style="762" customWidth="1"/>
    <col min="1803" max="1803" width="7.140625" style="762" customWidth="1"/>
    <col min="1804" max="1806" width="7" style="762" bestFit="1" customWidth="1"/>
    <col min="1807" max="1807" width="8" style="762" customWidth="1"/>
    <col min="1808" max="2048" width="9.140625" style="762"/>
    <col min="2049" max="2049" width="4.28515625" style="762" customWidth="1"/>
    <col min="2050" max="2050" width="28.5703125" style="762" customWidth="1"/>
    <col min="2051" max="2053" width="9.140625" style="762" customWidth="1"/>
    <col min="2054" max="2054" width="9.5703125" style="762" customWidth="1"/>
    <col min="2055" max="2055" width="9" style="762" customWidth="1"/>
    <col min="2056" max="2056" width="8.7109375" style="762" customWidth="1"/>
    <col min="2057" max="2057" width="8.140625" style="762" customWidth="1"/>
    <col min="2058" max="2058" width="8.28515625" style="762" customWidth="1"/>
    <col min="2059" max="2059" width="7.140625" style="762" customWidth="1"/>
    <col min="2060" max="2062" width="7" style="762" bestFit="1" customWidth="1"/>
    <col min="2063" max="2063" width="8" style="762" customWidth="1"/>
    <col min="2064" max="2304" width="9.140625" style="762"/>
    <col min="2305" max="2305" width="4.28515625" style="762" customWidth="1"/>
    <col min="2306" max="2306" width="28.5703125" style="762" customWidth="1"/>
    <col min="2307" max="2309" width="9.140625" style="762" customWidth="1"/>
    <col min="2310" max="2310" width="9.5703125" style="762" customWidth="1"/>
    <col min="2311" max="2311" width="9" style="762" customWidth="1"/>
    <col min="2312" max="2312" width="8.7109375" style="762" customWidth="1"/>
    <col min="2313" max="2313" width="8.140625" style="762" customWidth="1"/>
    <col min="2314" max="2314" width="8.28515625" style="762" customWidth="1"/>
    <col min="2315" max="2315" width="7.140625" style="762" customWidth="1"/>
    <col min="2316" max="2318" width="7" style="762" bestFit="1" customWidth="1"/>
    <col min="2319" max="2319" width="8" style="762" customWidth="1"/>
    <col min="2320" max="2560" width="9.140625" style="762"/>
    <col min="2561" max="2561" width="4.28515625" style="762" customWidth="1"/>
    <col min="2562" max="2562" width="28.5703125" style="762" customWidth="1"/>
    <col min="2563" max="2565" width="9.140625" style="762" customWidth="1"/>
    <col min="2566" max="2566" width="9.5703125" style="762" customWidth="1"/>
    <col min="2567" max="2567" width="9" style="762" customWidth="1"/>
    <col min="2568" max="2568" width="8.7109375" style="762" customWidth="1"/>
    <col min="2569" max="2569" width="8.140625" style="762" customWidth="1"/>
    <col min="2570" max="2570" width="8.28515625" style="762" customWidth="1"/>
    <col min="2571" max="2571" width="7.140625" style="762" customWidth="1"/>
    <col min="2572" max="2574" width="7" style="762" bestFit="1" customWidth="1"/>
    <col min="2575" max="2575" width="8" style="762" customWidth="1"/>
    <col min="2576" max="2816" width="9.140625" style="762"/>
    <col min="2817" max="2817" width="4.28515625" style="762" customWidth="1"/>
    <col min="2818" max="2818" width="28.5703125" style="762" customWidth="1"/>
    <col min="2819" max="2821" width="9.140625" style="762" customWidth="1"/>
    <col min="2822" max="2822" width="9.5703125" style="762" customWidth="1"/>
    <col min="2823" max="2823" width="9" style="762" customWidth="1"/>
    <col min="2824" max="2824" width="8.7109375" style="762" customWidth="1"/>
    <col min="2825" max="2825" width="8.140625" style="762" customWidth="1"/>
    <col min="2826" max="2826" width="8.28515625" style="762" customWidth="1"/>
    <col min="2827" max="2827" width="7.140625" style="762" customWidth="1"/>
    <col min="2828" max="2830" width="7" style="762" bestFit="1" customWidth="1"/>
    <col min="2831" max="2831" width="8" style="762" customWidth="1"/>
    <col min="2832" max="3072" width="9.140625" style="762"/>
    <col min="3073" max="3073" width="4.28515625" style="762" customWidth="1"/>
    <col min="3074" max="3074" width="28.5703125" style="762" customWidth="1"/>
    <col min="3075" max="3077" width="9.140625" style="762" customWidth="1"/>
    <col min="3078" max="3078" width="9.5703125" style="762" customWidth="1"/>
    <col min="3079" max="3079" width="9" style="762" customWidth="1"/>
    <col min="3080" max="3080" width="8.7109375" style="762" customWidth="1"/>
    <col min="3081" max="3081" width="8.140625" style="762" customWidth="1"/>
    <col min="3082" max="3082" width="8.28515625" style="762" customWidth="1"/>
    <col min="3083" max="3083" width="7.140625" style="762" customWidth="1"/>
    <col min="3084" max="3086" width="7" style="762" bestFit="1" customWidth="1"/>
    <col min="3087" max="3087" width="8" style="762" customWidth="1"/>
    <col min="3088" max="3328" width="9.140625" style="762"/>
    <col min="3329" max="3329" width="4.28515625" style="762" customWidth="1"/>
    <col min="3330" max="3330" width="28.5703125" style="762" customWidth="1"/>
    <col min="3331" max="3333" width="9.140625" style="762" customWidth="1"/>
    <col min="3334" max="3334" width="9.5703125" style="762" customWidth="1"/>
    <col min="3335" max="3335" width="9" style="762" customWidth="1"/>
    <col min="3336" max="3336" width="8.7109375" style="762" customWidth="1"/>
    <col min="3337" max="3337" width="8.140625" style="762" customWidth="1"/>
    <col min="3338" max="3338" width="8.28515625" style="762" customWidth="1"/>
    <col min="3339" max="3339" width="7.140625" style="762" customWidth="1"/>
    <col min="3340" max="3342" width="7" style="762" bestFit="1" customWidth="1"/>
    <col min="3343" max="3343" width="8" style="762" customWidth="1"/>
    <col min="3344" max="3584" width="9.140625" style="762"/>
    <col min="3585" max="3585" width="4.28515625" style="762" customWidth="1"/>
    <col min="3586" max="3586" width="28.5703125" style="762" customWidth="1"/>
    <col min="3587" max="3589" width="9.140625" style="762" customWidth="1"/>
    <col min="3590" max="3590" width="9.5703125" style="762" customWidth="1"/>
    <col min="3591" max="3591" width="9" style="762" customWidth="1"/>
    <col min="3592" max="3592" width="8.7109375" style="762" customWidth="1"/>
    <col min="3593" max="3593" width="8.140625" style="762" customWidth="1"/>
    <col min="3594" max="3594" width="8.28515625" style="762" customWidth="1"/>
    <col min="3595" max="3595" width="7.140625" style="762" customWidth="1"/>
    <col min="3596" max="3598" width="7" style="762" bestFit="1" customWidth="1"/>
    <col min="3599" max="3599" width="8" style="762" customWidth="1"/>
    <col min="3600" max="3840" width="9.140625" style="762"/>
    <col min="3841" max="3841" width="4.28515625" style="762" customWidth="1"/>
    <col min="3842" max="3842" width="28.5703125" style="762" customWidth="1"/>
    <col min="3843" max="3845" width="9.140625" style="762" customWidth="1"/>
    <col min="3846" max="3846" width="9.5703125" style="762" customWidth="1"/>
    <col min="3847" max="3847" width="9" style="762" customWidth="1"/>
    <col min="3848" max="3848" width="8.7109375" style="762" customWidth="1"/>
    <col min="3849" max="3849" width="8.140625" style="762" customWidth="1"/>
    <col min="3850" max="3850" width="8.28515625" style="762" customWidth="1"/>
    <col min="3851" max="3851" width="7.140625" style="762" customWidth="1"/>
    <col min="3852" max="3854" width="7" style="762" bestFit="1" customWidth="1"/>
    <col min="3855" max="3855" width="8" style="762" customWidth="1"/>
    <col min="3856" max="4096" width="9.140625" style="762"/>
    <col min="4097" max="4097" width="4.28515625" style="762" customWidth="1"/>
    <col min="4098" max="4098" width="28.5703125" style="762" customWidth="1"/>
    <col min="4099" max="4101" width="9.140625" style="762" customWidth="1"/>
    <col min="4102" max="4102" width="9.5703125" style="762" customWidth="1"/>
    <col min="4103" max="4103" width="9" style="762" customWidth="1"/>
    <col min="4104" max="4104" width="8.7109375" style="762" customWidth="1"/>
    <col min="4105" max="4105" width="8.140625" style="762" customWidth="1"/>
    <col min="4106" max="4106" width="8.28515625" style="762" customWidth="1"/>
    <col min="4107" max="4107" width="7.140625" style="762" customWidth="1"/>
    <col min="4108" max="4110" width="7" style="762" bestFit="1" customWidth="1"/>
    <col min="4111" max="4111" width="8" style="762" customWidth="1"/>
    <col min="4112" max="4352" width="9.140625" style="762"/>
    <col min="4353" max="4353" width="4.28515625" style="762" customWidth="1"/>
    <col min="4354" max="4354" width="28.5703125" style="762" customWidth="1"/>
    <col min="4355" max="4357" width="9.140625" style="762" customWidth="1"/>
    <col min="4358" max="4358" width="9.5703125" style="762" customWidth="1"/>
    <col min="4359" max="4359" width="9" style="762" customWidth="1"/>
    <col min="4360" max="4360" width="8.7109375" style="762" customWidth="1"/>
    <col min="4361" max="4361" width="8.140625" style="762" customWidth="1"/>
    <col min="4362" max="4362" width="8.28515625" style="762" customWidth="1"/>
    <col min="4363" max="4363" width="7.140625" style="762" customWidth="1"/>
    <col min="4364" max="4366" width="7" style="762" bestFit="1" customWidth="1"/>
    <col min="4367" max="4367" width="8" style="762" customWidth="1"/>
    <col min="4368" max="4608" width="9.140625" style="762"/>
    <col min="4609" max="4609" width="4.28515625" style="762" customWidth="1"/>
    <col min="4610" max="4610" width="28.5703125" style="762" customWidth="1"/>
    <col min="4611" max="4613" width="9.140625" style="762" customWidth="1"/>
    <col min="4614" max="4614" width="9.5703125" style="762" customWidth="1"/>
    <col min="4615" max="4615" width="9" style="762" customWidth="1"/>
    <col min="4616" max="4616" width="8.7109375" style="762" customWidth="1"/>
    <col min="4617" max="4617" width="8.140625" style="762" customWidth="1"/>
    <col min="4618" max="4618" width="8.28515625" style="762" customWidth="1"/>
    <col min="4619" max="4619" width="7.140625" style="762" customWidth="1"/>
    <col min="4620" max="4622" width="7" style="762" bestFit="1" customWidth="1"/>
    <col min="4623" max="4623" width="8" style="762" customWidth="1"/>
    <col min="4624" max="4864" width="9.140625" style="762"/>
    <col min="4865" max="4865" width="4.28515625" style="762" customWidth="1"/>
    <col min="4866" max="4866" width="28.5703125" style="762" customWidth="1"/>
    <col min="4867" max="4869" width="9.140625" style="762" customWidth="1"/>
    <col min="4870" max="4870" width="9.5703125" style="762" customWidth="1"/>
    <col min="4871" max="4871" width="9" style="762" customWidth="1"/>
    <col min="4872" max="4872" width="8.7109375" style="762" customWidth="1"/>
    <col min="4873" max="4873" width="8.140625" style="762" customWidth="1"/>
    <col min="4874" max="4874" width="8.28515625" style="762" customWidth="1"/>
    <col min="4875" max="4875" width="7.140625" style="762" customWidth="1"/>
    <col min="4876" max="4878" width="7" style="762" bestFit="1" customWidth="1"/>
    <col min="4879" max="4879" width="8" style="762" customWidth="1"/>
    <col min="4880" max="5120" width="9.140625" style="762"/>
    <col min="5121" max="5121" width="4.28515625" style="762" customWidth="1"/>
    <col min="5122" max="5122" width="28.5703125" style="762" customWidth="1"/>
    <col min="5123" max="5125" width="9.140625" style="762" customWidth="1"/>
    <col min="5126" max="5126" width="9.5703125" style="762" customWidth="1"/>
    <col min="5127" max="5127" width="9" style="762" customWidth="1"/>
    <col min="5128" max="5128" width="8.7109375" style="762" customWidth="1"/>
    <col min="5129" max="5129" width="8.140625" style="762" customWidth="1"/>
    <col min="5130" max="5130" width="8.28515625" style="762" customWidth="1"/>
    <col min="5131" max="5131" width="7.140625" style="762" customWidth="1"/>
    <col min="5132" max="5134" width="7" style="762" bestFit="1" customWidth="1"/>
    <col min="5135" max="5135" width="8" style="762" customWidth="1"/>
    <col min="5136" max="5376" width="9.140625" style="762"/>
    <col min="5377" max="5377" width="4.28515625" style="762" customWidth="1"/>
    <col min="5378" max="5378" width="28.5703125" style="762" customWidth="1"/>
    <col min="5379" max="5381" width="9.140625" style="762" customWidth="1"/>
    <col min="5382" max="5382" width="9.5703125" style="762" customWidth="1"/>
    <col min="5383" max="5383" width="9" style="762" customWidth="1"/>
    <col min="5384" max="5384" width="8.7109375" style="762" customWidth="1"/>
    <col min="5385" max="5385" width="8.140625" style="762" customWidth="1"/>
    <col min="5386" max="5386" width="8.28515625" style="762" customWidth="1"/>
    <col min="5387" max="5387" width="7.140625" style="762" customWidth="1"/>
    <col min="5388" max="5390" width="7" style="762" bestFit="1" customWidth="1"/>
    <col min="5391" max="5391" width="8" style="762" customWidth="1"/>
    <col min="5392" max="5632" width="9.140625" style="762"/>
    <col min="5633" max="5633" width="4.28515625" style="762" customWidth="1"/>
    <col min="5634" max="5634" width="28.5703125" style="762" customWidth="1"/>
    <col min="5635" max="5637" width="9.140625" style="762" customWidth="1"/>
    <col min="5638" max="5638" width="9.5703125" style="762" customWidth="1"/>
    <col min="5639" max="5639" width="9" style="762" customWidth="1"/>
    <col min="5640" max="5640" width="8.7109375" style="762" customWidth="1"/>
    <col min="5641" max="5641" width="8.140625" style="762" customWidth="1"/>
    <col min="5642" max="5642" width="8.28515625" style="762" customWidth="1"/>
    <col min="5643" max="5643" width="7.140625" style="762" customWidth="1"/>
    <col min="5644" max="5646" width="7" style="762" bestFit="1" customWidth="1"/>
    <col min="5647" max="5647" width="8" style="762" customWidth="1"/>
    <col min="5648" max="5888" width="9.140625" style="762"/>
    <col min="5889" max="5889" width="4.28515625" style="762" customWidth="1"/>
    <col min="5890" max="5890" width="28.5703125" style="762" customWidth="1"/>
    <col min="5891" max="5893" width="9.140625" style="762" customWidth="1"/>
    <col min="5894" max="5894" width="9.5703125" style="762" customWidth="1"/>
    <col min="5895" max="5895" width="9" style="762" customWidth="1"/>
    <col min="5896" max="5896" width="8.7109375" style="762" customWidth="1"/>
    <col min="5897" max="5897" width="8.140625" style="762" customWidth="1"/>
    <col min="5898" max="5898" width="8.28515625" style="762" customWidth="1"/>
    <col min="5899" max="5899" width="7.140625" style="762" customWidth="1"/>
    <col min="5900" max="5902" width="7" style="762" bestFit="1" customWidth="1"/>
    <col min="5903" max="5903" width="8" style="762" customWidth="1"/>
    <col min="5904" max="6144" width="9.140625" style="762"/>
    <col min="6145" max="6145" width="4.28515625" style="762" customWidth="1"/>
    <col min="6146" max="6146" width="28.5703125" style="762" customWidth="1"/>
    <col min="6147" max="6149" width="9.140625" style="762" customWidth="1"/>
    <col min="6150" max="6150" width="9.5703125" style="762" customWidth="1"/>
    <col min="6151" max="6151" width="9" style="762" customWidth="1"/>
    <col min="6152" max="6152" width="8.7109375" style="762" customWidth="1"/>
    <col min="6153" max="6153" width="8.140625" style="762" customWidth="1"/>
    <col min="6154" max="6154" width="8.28515625" style="762" customWidth="1"/>
    <col min="6155" max="6155" width="7.140625" style="762" customWidth="1"/>
    <col min="6156" max="6158" width="7" style="762" bestFit="1" customWidth="1"/>
    <col min="6159" max="6159" width="8" style="762" customWidth="1"/>
    <col min="6160" max="6400" width="9.140625" style="762"/>
    <col min="6401" max="6401" width="4.28515625" style="762" customWidth="1"/>
    <col min="6402" max="6402" width="28.5703125" style="762" customWidth="1"/>
    <col min="6403" max="6405" width="9.140625" style="762" customWidth="1"/>
    <col min="6406" max="6406" width="9.5703125" style="762" customWidth="1"/>
    <col min="6407" max="6407" width="9" style="762" customWidth="1"/>
    <col min="6408" max="6408" width="8.7109375" style="762" customWidth="1"/>
    <col min="6409" max="6409" width="8.140625" style="762" customWidth="1"/>
    <col min="6410" max="6410" width="8.28515625" style="762" customWidth="1"/>
    <col min="6411" max="6411" width="7.140625" style="762" customWidth="1"/>
    <col min="6412" max="6414" width="7" style="762" bestFit="1" customWidth="1"/>
    <col min="6415" max="6415" width="8" style="762" customWidth="1"/>
    <col min="6416" max="6656" width="9.140625" style="762"/>
    <col min="6657" max="6657" width="4.28515625" style="762" customWidth="1"/>
    <col min="6658" max="6658" width="28.5703125" style="762" customWidth="1"/>
    <col min="6659" max="6661" width="9.140625" style="762" customWidth="1"/>
    <col min="6662" max="6662" width="9.5703125" style="762" customWidth="1"/>
    <col min="6663" max="6663" width="9" style="762" customWidth="1"/>
    <col min="6664" max="6664" width="8.7109375" style="762" customWidth="1"/>
    <col min="6665" max="6665" width="8.140625" style="762" customWidth="1"/>
    <col min="6666" max="6666" width="8.28515625" style="762" customWidth="1"/>
    <col min="6667" max="6667" width="7.140625" style="762" customWidth="1"/>
    <col min="6668" max="6670" width="7" style="762" bestFit="1" customWidth="1"/>
    <col min="6671" max="6671" width="8" style="762" customWidth="1"/>
    <col min="6672" max="6912" width="9.140625" style="762"/>
    <col min="6913" max="6913" width="4.28515625" style="762" customWidth="1"/>
    <col min="6914" max="6914" width="28.5703125" style="762" customWidth="1"/>
    <col min="6915" max="6917" width="9.140625" style="762" customWidth="1"/>
    <col min="6918" max="6918" width="9.5703125" style="762" customWidth="1"/>
    <col min="6919" max="6919" width="9" style="762" customWidth="1"/>
    <col min="6920" max="6920" width="8.7109375" style="762" customWidth="1"/>
    <col min="6921" max="6921" width="8.140625" style="762" customWidth="1"/>
    <col min="6922" max="6922" width="8.28515625" style="762" customWidth="1"/>
    <col min="6923" max="6923" width="7.140625" style="762" customWidth="1"/>
    <col min="6924" max="6926" width="7" style="762" bestFit="1" customWidth="1"/>
    <col min="6927" max="6927" width="8" style="762" customWidth="1"/>
    <col min="6928" max="7168" width="9.140625" style="762"/>
    <col min="7169" max="7169" width="4.28515625" style="762" customWidth="1"/>
    <col min="7170" max="7170" width="28.5703125" style="762" customWidth="1"/>
    <col min="7171" max="7173" width="9.140625" style="762" customWidth="1"/>
    <col min="7174" max="7174" width="9.5703125" style="762" customWidth="1"/>
    <col min="7175" max="7175" width="9" style="762" customWidth="1"/>
    <col min="7176" max="7176" width="8.7109375" style="762" customWidth="1"/>
    <col min="7177" max="7177" width="8.140625" style="762" customWidth="1"/>
    <col min="7178" max="7178" width="8.28515625" style="762" customWidth="1"/>
    <col min="7179" max="7179" width="7.140625" style="762" customWidth="1"/>
    <col min="7180" max="7182" width="7" style="762" bestFit="1" customWidth="1"/>
    <col min="7183" max="7183" width="8" style="762" customWidth="1"/>
    <col min="7184" max="7424" width="9.140625" style="762"/>
    <col min="7425" max="7425" width="4.28515625" style="762" customWidth="1"/>
    <col min="7426" max="7426" width="28.5703125" style="762" customWidth="1"/>
    <col min="7427" max="7429" width="9.140625" style="762" customWidth="1"/>
    <col min="7430" max="7430" width="9.5703125" style="762" customWidth="1"/>
    <col min="7431" max="7431" width="9" style="762" customWidth="1"/>
    <col min="7432" max="7432" width="8.7109375" style="762" customWidth="1"/>
    <col min="7433" max="7433" width="8.140625" style="762" customWidth="1"/>
    <col min="7434" max="7434" width="8.28515625" style="762" customWidth="1"/>
    <col min="7435" max="7435" width="7.140625" style="762" customWidth="1"/>
    <col min="7436" max="7438" width="7" style="762" bestFit="1" customWidth="1"/>
    <col min="7439" max="7439" width="8" style="762" customWidth="1"/>
    <col min="7440" max="7680" width="9.140625" style="762"/>
    <col min="7681" max="7681" width="4.28515625" style="762" customWidth="1"/>
    <col min="7682" max="7682" width="28.5703125" style="762" customWidth="1"/>
    <col min="7683" max="7685" width="9.140625" style="762" customWidth="1"/>
    <col min="7686" max="7686" width="9.5703125" style="762" customWidth="1"/>
    <col min="7687" max="7687" width="9" style="762" customWidth="1"/>
    <col min="7688" max="7688" width="8.7109375" style="762" customWidth="1"/>
    <col min="7689" max="7689" width="8.140625" style="762" customWidth="1"/>
    <col min="7690" max="7690" width="8.28515625" style="762" customWidth="1"/>
    <col min="7691" max="7691" width="7.140625" style="762" customWidth="1"/>
    <col min="7692" max="7694" width="7" style="762" bestFit="1" customWidth="1"/>
    <col min="7695" max="7695" width="8" style="762" customWidth="1"/>
    <col min="7696" max="7936" width="9.140625" style="762"/>
    <col min="7937" max="7937" width="4.28515625" style="762" customWidth="1"/>
    <col min="7938" max="7938" width="28.5703125" style="762" customWidth="1"/>
    <col min="7939" max="7941" width="9.140625" style="762" customWidth="1"/>
    <col min="7942" max="7942" width="9.5703125" style="762" customWidth="1"/>
    <col min="7943" max="7943" width="9" style="762" customWidth="1"/>
    <col min="7944" max="7944" width="8.7109375" style="762" customWidth="1"/>
    <col min="7945" max="7945" width="8.140625" style="762" customWidth="1"/>
    <col min="7946" max="7946" width="8.28515625" style="762" customWidth="1"/>
    <col min="7947" max="7947" width="7.140625" style="762" customWidth="1"/>
    <col min="7948" max="7950" width="7" style="762" bestFit="1" customWidth="1"/>
    <col min="7951" max="7951" width="8" style="762" customWidth="1"/>
    <col min="7952" max="8192" width="9.140625" style="762"/>
    <col min="8193" max="8193" width="4.28515625" style="762" customWidth="1"/>
    <col min="8194" max="8194" width="28.5703125" style="762" customWidth="1"/>
    <col min="8195" max="8197" width="9.140625" style="762" customWidth="1"/>
    <col min="8198" max="8198" width="9.5703125" style="762" customWidth="1"/>
    <col min="8199" max="8199" width="9" style="762" customWidth="1"/>
    <col min="8200" max="8200" width="8.7109375" style="762" customWidth="1"/>
    <col min="8201" max="8201" width="8.140625" style="762" customWidth="1"/>
    <col min="8202" max="8202" width="8.28515625" style="762" customWidth="1"/>
    <col min="8203" max="8203" width="7.140625" style="762" customWidth="1"/>
    <col min="8204" max="8206" width="7" style="762" bestFit="1" customWidth="1"/>
    <col min="8207" max="8207" width="8" style="762" customWidth="1"/>
    <col min="8208" max="8448" width="9.140625" style="762"/>
    <col min="8449" max="8449" width="4.28515625" style="762" customWidth="1"/>
    <col min="8450" max="8450" width="28.5703125" style="762" customWidth="1"/>
    <col min="8451" max="8453" width="9.140625" style="762" customWidth="1"/>
    <col min="8454" max="8454" width="9.5703125" style="762" customWidth="1"/>
    <col min="8455" max="8455" width="9" style="762" customWidth="1"/>
    <col min="8456" max="8456" width="8.7109375" style="762" customWidth="1"/>
    <col min="8457" max="8457" width="8.140625" style="762" customWidth="1"/>
    <col min="8458" max="8458" width="8.28515625" style="762" customWidth="1"/>
    <col min="8459" max="8459" width="7.140625" style="762" customWidth="1"/>
    <col min="8460" max="8462" width="7" style="762" bestFit="1" customWidth="1"/>
    <col min="8463" max="8463" width="8" style="762" customWidth="1"/>
    <col min="8464" max="8704" width="9.140625" style="762"/>
    <col min="8705" max="8705" width="4.28515625" style="762" customWidth="1"/>
    <col min="8706" max="8706" width="28.5703125" style="762" customWidth="1"/>
    <col min="8707" max="8709" width="9.140625" style="762" customWidth="1"/>
    <col min="8710" max="8710" width="9.5703125" style="762" customWidth="1"/>
    <col min="8711" max="8711" width="9" style="762" customWidth="1"/>
    <col min="8712" max="8712" width="8.7109375" style="762" customWidth="1"/>
    <col min="8713" max="8713" width="8.140625" style="762" customWidth="1"/>
    <col min="8714" max="8714" width="8.28515625" style="762" customWidth="1"/>
    <col min="8715" max="8715" width="7.140625" style="762" customWidth="1"/>
    <col min="8716" max="8718" width="7" style="762" bestFit="1" customWidth="1"/>
    <col min="8719" max="8719" width="8" style="762" customWidth="1"/>
    <col min="8720" max="8960" width="9.140625" style="762"/>
    <col min="8961" max="8961" width="4.28515625" style="762" customWidth="1"/>
    <col min="8962" max="8962" width="28.5703125" style="762" customWidth="1"/>
    <col min="8963" max="8965" width="9.140625" style="762" customWidth="1"/>
    <col min="8966" max="8966" width="9.5703125" style="762" customWidth="1"/>
    <col min="8967" max="8967" width="9" style="762" customWidth="1"/>
    <col min="8968" max="8968" width="8.7109375" style="762" customWidth="1"/>
    <col min="8969" max="8969" width="8.140625" style="762" customWidth="1"/>
    <col min="8970" max="8970" width="8.28515625" style="762" customWidth="1"/>
    <col min="8971" max="8971" width="7.140625" style="762" customWidth="1"/>
    <col min="8972" max="8974" width="7" style="762" bestFit="1" customWidth="1"/>
    <col min="8975" max="8975" width="8" style="762" customWidth="1"/>
    <col min="8976" max="9216" width="9.140625" style="762"/>
    <col min="9217" max="9217" width="4.28515625" style="762" customWidth="1"/>
    <col min="9218" max="9218" width="28.5703125" style="762" customWidth="1"/>
    <col min="9219" max="9221" width="9.140625" style="762" customWidth="1"/>
    <col min="9222" max="9222" width="9.5703125" style="762" customWidth="1"/>
    <col min="9223" max="9223" width="9" style="762" customWidth="1"/>
    <col min="9224" max="9224" width="8.7109375" style="762" customWidth="1"/>
    <col min="9225" max="9225" width="8.140625" style="762" customWidth="1"/>
    <col min="9226" max="9226" width="8.28515625" style="762" customWidth="1"/>
    <col min="9227" max="9227" width="7.140625" style="762" customWidth="1"/>
    <col min="9228" max="9230" width="7" style="762" bestFit="1" customWidth="1"/>
    <col min="9231" max="9231" width="8" style="762" customWidth="1"/>
    <col min="9232" max="9472" width="9.140625" style="762"/>
    <col min="9473" max="9473" width="4.28515625" style="762" customWidth="1"/>
    <col min="9474" max="9474" width="28.5703125" style="762" customWidth="1"/>
    <col min="9475" max="9477" width="9.140625" style="762" customWidth="1"/>
    <col min="9478" max="9478" width="9.5703125" style="762" customWidth="1"/>
    <col min="9479" max="9479" width="9" style="762" customWidth="1"/>
    <col min="9480" max="9480" width="8.7109375" style="762" customWidth="1"/>
    <col min="9481" max="9481" width="8.140625" style="762" customWidth="1"/>
    <col min="9482" max="9482" width="8.28515625" style="762" customWidth="1"/>
    <col min="9483" max="9483" width="7.140625" style="762" customWidth="1"/>
    <col min="9484" max="9486" width="7" style="762" bestFit="1" customWidth="1"/>
    <col min="9487" max="9487" width="8" style="762" customWidth="1"/>
    <col min="9488" max="9728" width="9.140625" style="762"/>
    <col min="9729" max="9729" width="4.28515625" style="762" customWidth="1"/>
    <col min="9730" max="9730" width="28.5703125" style="762" customWidth="1"/>
    <col min="9731" max="9733" width="9.140625" style="762" customWidth="1"/>
    <col min="9734" max="9734" width="9.5703125" style="762" customWidth="1"/>
    <col min="9735" max="9735" width="9" style="762" customWidth="1"/>
    <col min="9736" max="9736" width="8.7109375" style="762" customWidth="1"/>
    <col min="9737" max="9737" width="8.140625" style="762" customWidth="1"/>
    <col min="9738" max="9738" width="8.28515625" style="762" customWidth="1"/>
    <col min="9739" max="9739" width="7.140625" style="762" customWidth="1"/>
    <col min="9740" max="9742" width="7" style="762" bestFit="1" customWidth="1"/>
    <col min="9743" max="9743" width="8" style="762" customWidth="1"/>
    <col min="9744" max="9984" width="9.140625" style="762"/>
    <col min="9985" max="9985" width="4.28515625" style="762" customWidth="1"/>
    <col min="9986" max="9986" width="28.5703125" style="762" customWidth="1"/>
    <col min="9987" max="9989" width="9.140625" style="762" customWidth="1"/>
    <col min="9990" max="9990" width="9.5703125" style="762" customWidth="1"/>
    <col min="9991" max="9991" width="9" style="762" customWidth="1"/>
    <col min="9992" max="9992" width="8.7109375" style="762" customWidth="1"/>
    <col min="9993" max="9993" width="8.140625" style="762" customWidth="1"/>
    <col min="9994" max="9994" width="8.28515625" style="762" customWidth="1"/>
    <col min="9995" max="9995" width="7.140625" style="762" customWidth="1"/>
    <col min="9996" max="9998" width="7" style="762" bestFit="1" customWidth="1"/>
    <col min="9999" max="9999" width="8" style="762" customWidth="1"/>
    <col min="10000" max="10240" width="9.140625" style="762"/>
    <col min="10241" max="10241" width="4.28515625" style="762" customWidth="1"/>
    <col min="10242" max="10242" width="28.5703125" style="762" customWidth="1"/>
    <col min="10243" max="10245" width="9.140625" style="762" customWidth="1"/>
    <col min="10246" max="10246" width="9.5703125" style="762" customWidth="1"/>
    <col min="10247" max="10247" width="9" style="762" customWidth="1"/>
    <col min="10248" max="10248" width="8.7109375" style="762" customWidth="1"/>
    <col min="10249" max="10249" width="8.140625" style="762" customWidth="1"/>
    <col min="10250" max="10250" width="8.28515625" style="762" customWidth="1"/>
    <col min="10251" max="10251" width="7.140625" style="762" customWidth="1"/>
    <col min="10252" max="10254" width="7" style="762" bestFit="1" customWidth="1"/>
    <col min="10255" max="10255" width="8" style="762" customWidth="1"/>
    <col min="10256" max="10496" width="9.140625" style="762"/>
    <col min="10497" max="10497" width="4.28515625" style="762" customWidth="1"/>
    <col min="10498" max="10498" width="28.5703125" style="762" customWidth="1"/>
    <col min="10499" max="10501" width="9.140625" style="762" customWidth="1"/>
    <col min="10502" max="10502" width="9.5703125" style="762" customWidth="1"/>
    <col min="10503" max="10503" width="9" style="762" customWidth="1"/>
    <col min="10504" max="10504" width="8.7109375" style="762" customWidth="1"/>
    <col min="10505" max="10505" width="8.140625" style="762" customWidth="1"/>
    <col min="10506" max="10506" width="8.28515625" style="762" customWidth="1"/>
    <col min="10507" max="10507" width="7.140625" style="762" customWidth="1"/>
    <col min="10508" max="10510" width="7" style="762" bestFit="1" customWidth="1"/>
    <col min="10511" max="10511" width="8" style="762" customWidth="1"/>
    <col min="10512" max="10752" width="9.140625" style="762"/>
    <col min="10753" max="10753" width="4.28515625" style="762" customWidth="1"/>
    <col min="10754" max="10754" width="28.5703125" style="762" customWidth="1"/>
    <col min="10755" max="10757" width="9.140625" style="762" customWidth="1"/>
    <col min="10758" max="10758" width="9.5703125" style="762" customWidth="1"/>
    <col min="10759" max="10759" width="9" style="762" customWidth="1"/>
    <col min="10760" max="10760" width="8.7109375" style="762" customWidth="1"/>
    <col min="10761" max="10761" width="8.140625" style="762" customWidth="1"/>
    <col min="10762" max="10762" width="8.28515625" style="762" customWidth="1"/>
    <col min="10763" max="10763" width="7.140625" style="762" customWidth="1"/>
    <col min="10764" max="10766" width="7" style="762" bestFit="1" customWidth="1"/>
    <col min="10767" max="10767" width="8" style="762" customWidth="1"/>
    <col min="10768" max="11008" width="9.140625" style="762"/>
    <col min="11009" max="11009" width="4.28515625" style="762" customWidth="1"/>
    <col min="11010" max="11010" width="28.5703125" style="762" customWidth="1"/>
    <col min="11011" max="11013" width="9.140625" style="762" customWidth="1"/>
    <col min="11014" max="11014" width="9.5703125" style="762" customWidth="1"/>
    <col min="11015" max="11015" width="9" style="762" customWidth="1"/>
    <col min="11016" max="11016" width="8.7109375" style="762" customWidth="1"/>
    <col min="11017" max="11017" width="8.140625" style="762" customWidth="1"/>
    <col min="11018" max="11018" width="8.28515625" style="762" customWidth="1"/>
    <col min="11019" max="11019" width="7.140625" style="762" customWidth="1"/>
    <col min="11020" max="11022" width="7" style="762" bestFit="1" customWidth="1"/>
    <col min="11023" max="11023" width="8" style="762" customWidth="1"/>
    <col min="11024" max="11264" width="9.140625" style="762"/>
    <col min="11265" max="11265" width="4.28515625" style="762" customWidth="1"/>
    <col min="11266" max="11266" width="28.5703125" style="762" customWidth="1"/>
    <col min="11267" max="11269" width="9.140625" style="762" customWidth="1"/>
    <col min="11270" max="11270" width="9.5703125" style="762" customWidth="1"/>
    <col min="11271" max="11271" width="9" style="762" customWidth="1"/>
    <col min="11272" max="11272" width="8.7109375" style="762" customWidth="1"/>
    <col min="11273" max="11273" width="8.140625" style="762" customWidth="1"/>
    <col min="11274" max="11274" width="8.28515625" style="762" customWidth="1"/>
    <col min="11275" max="11275" width="7.140625" style="762" customWidth="1"/>
    <col min="11276" max="11278" width="7" style="762" bestFit="1" customWidth="1"/>
    <col min="11279" max="11279" width="8" style="762" customWidth="1"/>
    <col min="11280" max="11520" width="9.140625" style="762"/>
    <col min="11521" max="11521" width="4.28515625" style="762" customWidth="1"/>
    <col min="11522" max="11522" width="28.5703125" style="762" customWidth="1"/>
    <col min="11523" max="11525" width="9.140625" style="762" customWidth="1"/>
    <col min="11526" max="11526" width="9.5703125" style="762" customWidth="1"/>
    <col min="11527" max="11527" width="9" style="762" customWidth="1"/>
    <col min="11528" max="11528" width="8.7109375" style="762" customWidth="1"/>
    <col min="11529" max="11529" width="8.140625" style="762" customWidth="1"/>
    <col min="11530" max="11530" width="8.28515625" style="762" customWidth="1"/>
    <col min="11531" max="11531" width="7.140625" style="762" customWidth="1"/>
    <col min="11532" max="11534" width="7" style="762" bestFit="1" customWidth="1"/>
    <col min="11535" max="11535" width="8" style="762" customWidth="1"/>
    <col min="11536" max="11776" width="9.140625" style="762"/>
    <col min="11777" max="11777" width="4.28515625" style="762" customWidth="1"/>
    <col min="11778" max="11778" width="28.5703125" style="762" customWidth="1"/>
    <col min="11779" max="11781" width="9.140625" style="762" customWidth="1"/>
    <col min="11782" max="11782" width="9.5703125" style="762" customWidth="1"/>
    <col min="11783" max="11783" width="9" style="762" customWidth="1"/>
    <col min="11784" max="11784" width="8.7109375" style="762" customWidth="1"/>
    <col min="11785" max="11785" width="8.140625" style="762" customWidth="1"/>
    <col min="11786" max="11786" width="8.28515625" style="762" customWidth="1"/>
    <col min="11787" max="11787" width="7.140625" style="762" customWidth="1"/>
    <col min="11788" max="11790" width="7" style="762" bestFit="1" customWidth="1"/>
    <col min="11791" max="11791" width="8" style="762" customWidth="1"/>
    <col min="11792" max="12032" width="9.140625" style="762"/>
    <col min="12033" max="12033" width="4.28515625" style="762" customWidth="1"/>
    <col min="12034" max="12034" width="28.5703125" style="762" customWidth="1"/>
    <col min="12035" max="12037" width="9.140625" style="762" customWidth="1"/>
    <col min="12038" max="12038" width="9.5703125" style="762" customWidth="1"/>
    <col min="12039" max="12039" width="9" style="762" customWidth="1"/>
    <col min="12040" max="12040" width="8.7109375" style="762" customWidth="1"/>
    <col min="12041" max="12041" width="8.140625" style="762" customWidth="1"/>
    <col min="12042" max="12042" width="8.28515625" style="762" customWidth="1"/>
    <col min="12043" max="12043" width="7.140625" style="762" customWidth="1"/>
    <col min="12044" max="12046" width="7" style="762" bestFit="1" customWidth="1"/>
    <col min="12047" max="12047" width="8" style="762" customWidth="1"/>
    <col min="12048" max="12288" width="9.140625" style="762"/>
    <col min="12289" max="12289" width="4.28515625" style="762" customWidth="1"/>
    <col min="12290" max="12290" width="28.5703125" style="762" customWidth="1"/>
    <col min="12291" max="12293" width="9.140625" style="762" customWidth="1"/>
    <col min="12294" max="12294" width="9.5703125" style="762" customWidth="1"/>
    <col min="12295" max="12295" width="9" style="762" customWidth="1"/>
    <col min="12296" max="12296" width="8.7109375" style="762" customWidth="1"/>
    <col min="12297" max="12297" width="8.140625" style="762" customWidth="1"/>
    <col min="12298" max="12298" width="8.28515625" style="762" customWidth="1"/>
    <col min="12299" max="12299" width="7.140625" style="762" customWidth="1"/>
    <col min="12300" max="12302" width="7" style="762" bestFit="1" customWidth="1"/>
    <col min="12303" max="12303" width="8" style="762" customWidth="1"/>
    <col min="12304" max="12544" width="9.140625" style="762"/>
    <col min="12545" max="12545" width="4.28515625" style="762" customWidth="1"/>
    <col min="12546" max="12546" width="28.5703125" style="762" customWidth="1"/>
    <col min="12547" max="12549" width="9.140625" style="762" customWidth="1"/>
    <col min="12550" max="12550" width="9.5703125" style="762" customWidth="1"/>
    <col min="12551" max="12551" width="9" style="762" customWidth="1"/>
    <col min="12552" max="12552" width="8.7109375" style="762" customWidth="1"/>
    <col min="12553" max="12553" width="8.140625" style="762" customWidth="1"/>
    <col min="12554" max="12554" width="8.28515625" style="762" customWidth="1"/>
    <col min="12555" max="12555" width="7.140625" style="762" customWidth="1"/>
    <col min="12556" max="12558" width="7" style="762" bestFit="1" customWidth="1"/>
    <col min="12559" max="12559" width="8" style="762" customWidth="1"/>
    <col min="12560" max="12800" width="9.140625" style="762"/>
    <col min="12801" max="12801" width="4.28515625" style="762" customWidth="1"/>
    <col min="12802" max="12802" width="28.5703125" style="762" customWidth="1"/>
    <col min="12803" max="12805" width="9.140625" style="762" customWidth="1"/>
    <col min="12806" max="12806" width="9.5703125" style="762" customWidth="1"/>
    <col min="12807" max="12807" width="9" style="762" customWidth="1"/>
    <col min="12808" max="12808" width="8.7109375" style="762" customWidth="1"/>
    <col min="12809" max="12809" width="8.140625" style="762" customWidth="1"/>
    <col min="12810" max="12810" width="8.28515625" style="762" customWidth="1"/>
    <col min="12811" max="12811" width="7.140625" style="762" customWidth="1"/>
    <col min="12812" max="12814" width="7" style="762" bestFit="1" customWidth="1"/>
    <col min="12815" max="12815" width="8" style="762" customWidth="1"/>
    <col min="12816" max="13056" width="9.140625" style="762"/>
    <col min="13057" max="13057" width="4.28515625" style="762" customWidth="1"/>
    <col min="13058" max="13058" width="28.5703125" style="762" customWidth="1"/>
    <col min="13059" max="13061" width="9.140625" style="762" customWidth="1"/>
    <col min="13062" max="13062" width="9.5703125" style="762" customWidth="1"/>
    <col min="13063" max="13063" width="9" style="762" customWidth="1"/>
    <col min="13064" max="13064" width="8.7109375" style="762" customWidth="1"/>
    <col min="13065" max="13065" width="8.140625" style="762" customWidth="1"/>
    <col min="13066" max="13066" width="8.28515625" style="762" customWidth="1"/>
    <col min="13067" max="13067" width="7.140625" style="762" customWidth="1"/>
    <col min="13068" max="13070" width="7" style="762" bestFit="1" customWidth="1"/>
    <col min="13071" max="13071" width="8" style="762" customWidth="1"/>
    <col min="13072" max="13312" width="9.140625" style="762"/>
    <col min="13313" max="13313" width="4.28515625" style="762" customWidth="1"/>
    <col min="13314" max="13314" width="28.5703125" style="762" customWidth="1"/>
    <col min="13315" max="13317" width="9.140625" style="762" customWidth="1"/>
    <col min="13318" max="13318" width="9.5703125" style="762" customWidth="1"/>
    <col min="13319" max="13319" width="9" style="762" customWidth="1"/>
    <col min="13320" max="13320" width="8.7109375" style="762" customWidth="1"/>
    <col min="13321" max="13321" width="8.140625" style="762" customWidth="1"/>
    <col min="13322" max="13322" width="8.28515625" style="762" customWidth="1"/>
    <col min="13323" max="13323" width="7.140625" style="762" customWidth="1"/>
    <col min="13324" max="13326" width="7" style="762" bestFit="1" customWidth="1"/>
    <col min="13327" max="13327" width="8" style="762" customWidth="1"/>
    <col min="13328" max="13568" width="9.140625" style="762"/>
    <col min="13569" max="13569" width="4.28515625" style="762" customWidth="1"/>
    <col min="13570" max="13570" width="28.5703125" style="762" customWidth="1"/>
    <col min="13571" max="13573" width="9.140625" style="762" customWidth="1"/>
    <col min="13574" max="13574" width="9.5703125" style="762" customWidth="1"/>
    <col min="13575" max="13575" width="9" style="762" customWidth="1"/>
    <col min="13576" max="13576" width="8.7109375" style="762" customWidth="1"/>
    <col min="13577" max="13577" width="8.140625" style="762" customWidth="1"/>
    <col min="13578" max="13578" width="8.28515625" style="762" customWidth="1"/>
    <col min="13579" max="13579" width="7.140625" style="762" customWidth="1"/>
    <col min="13580" max="13582" width="7" style="762" bestFit="1" customWidth="1"/>
    <col min="13583" max="13583" width="8" style="762" customWidth="1"/>
    <col min="13584" max="13824" width="9.140625" style="762"/>
    <col min="13825" max="13825" width="4.28515625" style="762" customWidth="1"/>
    <col min="13826" max="13826" width="28.5703125" style="762" customWidth="1"/>
    <col min="13827" max="13829" width="9.140625" style="762" customWidth="1"/>
    <col min="13830" max="13830" width="9.5703125" style="762" customWidth="1"/>
    <col min="13831" max="13831" width="9" style="762" customWidth="1"/>
    <col min="13832" max="13832" width="8.7109375" style="762" customWidth="1"/>
    <col min="13833" max="13833" width="8.140625" style="762" customWidth="1"/>
    <col min="13834" max="13834" width="8.28515625" style="762" customWidth="1"/>
    <col min="13835" max="13835" width="7.140625" style="762" customWidth="1"/>
    <col min="13836" max="13838" width="7" style="762" bestFit="1" customWidth="1"/>
    <col min="13839" max="13839" width="8" style="762" customWidth="1"/>
    <col min="13840" max="14080" width="9.140625" style="762"/>
    <col min="14081" max="14081" width="4.28515625" style="762" customWidth="1"/>
    <col min="14082" max="14082" width="28.5703125" style="762" customWidth="1"/>
    <col min="14083" max="14085" width="9.140625" style="762" customWidth="1"/>
    <col min="14086" max="14086" width="9.5703125" style="762" customWidth="1"/>
    <col min="14087" max="14087" width="9" style="762" customWidth="1"/>
    <col min="14088" max="14088" width="8.7109375" style="762" customWidth="1"/>
    <col min="14089" max="14089" width="8.140625" style="762" customWidth="1"/>
    <col min="14090" max="14090" width="8.28515625" style="762" customWidth="1"/>
    <col min="14091" max="14091" width="7.140625" style="762" customWidth="1"/>
    <col min="14092" max="14094" width="7" style="762" bestFit="1" customWidth="1"/>
    <col min="14095" max="14095" width="8" style="762" customWidth="1"/>
    <col min="14096" max="14336" width="9.140625" style="762"/>
    <col min="14337" max="14337" width="4.28515625" style="762" customWidth="1"/>
    <col min="14338" max="14338" width="28.5703125" style="762" customWidth="1"/>
    <col min="14339" max="14341" width="9.140625" style="762" customWidth="1"/>
    <col min="14342" max="14342" width="9.5703125" style="762" customWidth="1"/>
    <col min="14343" max="14343" width="9" style="762" customWidth="1"/>
    <col min="14344" max="14344" width="8.7109375" style="762" customWidth="1"/>
    <col min="14345" max="14345" width="8.140625" style="762" customWidth="1"/>
    <col min="14346" max="14346" width="8.28515625" style="762" customWidth="1"/>
    <col min="14347" max="14347" width="7.140625" style="762" customWidth="1"/>
    <col min="14348" max="14350" width="7" style="762" bestFit="1" customWidth="1"/>
    <col min="14351" max="14351" width="8" style="762" customWidth="1"/>
    <col min="14352" max="14592" width="9.140625" style="762"/>
    <col min="14593" max="14593" width="4.28515625" style="762" customWidth="1"/>
    <col min="14594" max="14594" width="28.5703125" style="762" customWidth="1"/>
    <col min="14595" max="14597" width="9.140625" style="762" customWidth="1"/>
    <col min="14598" max="14598" width="9.5703125" style="762" customWidth="1"/>
    <col min="14599" max="14599" width="9" style="762" customWidth="1"/>
    <col min="14600" max="14600" width="8.7109375" style="762" customWidth="1"/>
    <col min="14601" max="14601" width="8.140625" style="762" customWidth="1"/>
    <col min="14602" max="14602" width="8.28515625" style="762" customWidth="1"/>
    <col min="14603" max="14603" width="7.140625" style="762" customWidth="1"/>
    <col min="14604" max="14606" width="7" style="762" bestFit="1" customWidth="1"/>
    <col min="14607" max="14607" width="8" style="762" customWidth="1"/>
    <col min="14608" max="14848" width="9.140625" style="762"/>
    <col min="14849" max="14849" width="4.28515625" style="762" customWidth="1"/>
    <col min="14850" max="14850" width="28.5703125" style="762" customWidth="1"/>
    <col min="14851" max="14853" width="9.140625" style="762" customWidth="1"/>
    <col min="14854" max="14854" width="9.5703125" style="762" customWidth="1"/>
    <col min="14855" max="14855" width="9" style="762" customWidth="1"/>
    <col min="14856" max="14856" width="8.7109375" style="762" customWidth="1"/>
    <col min="14857" max="14857" width="8.140625" style="762" customWidth="1"/>
    <col min="14858" max="14858" width="8.28515625" style="762" customWidth="1"/>
    <col min="14859" max="14859" width="7.140625" style="762" customWidth="1"/>
    <col min="14860" max="14862" width="7" style="762" bestFit="1" customWidth="1"/>
    <col min="14863" max="14863" width="8" style="762" customWidth="1"/>
    <col min="14864" max="15104" width="9.140625" style="762"/>
    <col min="15105" max="15105" width="4.28515625" style="762" customWidth="1"/>
    <col min="15106" max="15106" width="28.5703125" style="762" customWidth="1"/>
    <col min="15107" max="15109" width="9.140625" style="762" customWidth="1"/>
    <col min="15110" max="15110" width="9.5703125" style="762" customWidth="1"/>
    <col min="15111" max="15111" width="9" style="762" customWidth="1"/>
    <col min="15112" max="15112" width="8.7109375" style="762" customWidth="1"/>
    <col min="15113" max="15113" width="8.140625" style="762" customWidth="1"/>
    <col min="15114" max="15114" width="8.28515625" style="762" customWidth="1"/>
    <col min="15115" max="15115" width="7.140625" style="762" customWidth="1"/>
    <col min="15116" max="15118" width="7" style="762" bestFit="1" customWidth="1"/>
    <col min="15119" max="15119" width="8" style="762" customWidth="1"/>
    <col min="15120" max="15360" width="9.140625" style="762"/>
    <col min="15361" max="15361" width="4.28515625" style="762" customWidth="1"/>
    <col min="15362" max="15362" width="28.5703125" style="762" customWidth="1"/>
    <col min="15363" max="15365" width="9.140625" style="762" customWidth="1"/>
    <col min="15366" max="15366" width="9.5703125" style="762" customWidth="1"/>
    <col min="15367" max="15367" width="9" style="762" customWidth="1"/>
    <col min="15368" max="15368" width="8.7109375" style="762" customWidth="1"/>
    <col min="15369" max="15369" width="8.140625" style="762" customWidth="1"/>
    <col min="15370" max="15370" width="8.28515625" style="762" customWidth="1"/>
    <col min="15371" max="15371" width="7.140625" style="762" customWidth="1"/>
    <col min="15372" max="15374" width="7" style="762" bestFit="1" customWidth="1"/>
    <col min="15375" max="15375" width="8" style="762" customWidth="1"/>
    <col min="15376" max="15616" width="9.140625" style="762"/>
    <col min="15617" max="15617" width="4.28515625" style="762" customWidth="1"/>
    <col min="15618" max="15618" width="28.5703125" style="762" customWidth="1"/>
    <col min="15619" max="15621" width="9.140625" style="762" customWidth="1"/>
    <col min="15622" max="15622" width="9.5703125" style="762" customWidth="1"/>
    <col min="15623" max="15623" width="9" style="762" customWidth="1"/>
    <col min="15624" max="15624" width="8.7109375" style="762" customWidth="1"/>
    <col min="15625" max="15625" width="8.140625" style="762" customWidth="1"/>
    <col min="15626" max="15626" width="8.28515625" style="762" customWidth="1"/>
    <col min="15627" max="15627" width="7.140625" style="762" customWidth="1"/>
    <col min="15628" max="15630" width="7" style="762" bestFit="1" customWidth="1"/>
    <col min="15631" max="15631" width="8" style="762" customWidth="1"/>
    <col min="15632" max="15872" width="9.140625" style="762"/>
    <col min="15873" max="15873" width="4.28515625" style="762" customWidth="1"/>
    <col min="15874" max="15874" width="28.5703125" style="762" customWidth="1"/>
    <col min="15875" max="15877" width="9.140625" style="762" customWidth="1"/>
    <col min="15878" max="15878" width="9.5703125" style="762" customWidth="1"/>
    <col min="15879" max="15879" width="9" style="762" customWidth="1"/>
    <col min="15880" max="15880" width="8.7109375" style="762" customWidth="1"/>
    <col min="15881" max="15881" width="8.140625" style="762" customWidth="1"/>
    <col min="15882" max="15882" width="8.28515625" style="762" customWidth="1"/>
    <col min="15883" max="15883" width="7.140625" style="762" customWidth="1"/>
    <col min="15884" max="15886" width="7" style="762" bestFit="1" customWidth="1"/>
    <col min="15887" max="15887" width="8" style="762" customWidth="1"/>
    <col min="15888" max="16128" width="9.140625" style="762"/>
    <col min="16129" max="16129" width="4.28515625" style="762" customWidth="1"/>
    <col min="16130" max="16130" width="28.5703125" style="762" customWidth="1"/>
    <col min="16131" max="16133" width="9.140625" style="762" customWidth="1"/>
    <col min="16134" max="16134" width="9.5703125" style="762" customWidth="1"/>
    <col min="16135" max="16135" width="9" style="762" customWidth="1"/>
    <col min="16136" max="16136" width="8.7109375" style="762" customWidth="1"/>
    <col min="16137" max="16137" width="8.140625" style="762" customWidth="1"/>
    <col min="16138" max="16138" width="8.28515625" style="762" customWidth="1"/>
    <col min="16139" max="16139" width="7.140625" style="762" customWidth="1"/>
    <col min="16140" max="16142" width="7" style="762" bestFit="1" customWidth="1"/>
    <col min="16143" max="16143" width="8" style="762" customWidth="1"/>
    <col min="16144" max="16384" width="9.140625" style="762"/>
  </cols>
  <sheetData>
    <row r="1" spans="1:41" ht="18.75">
      <c r="A1" s="756" t="s">
        <v>744</v>
      </c>
      <c r="B1" s="756"/>
      <c r="C1" s="757"/>
      <c r="D1" s="756"/>
      <c r="E1" s="756"/>
      <c r="F1" s="758"/>
      <c r="G1" s="756"/>
      <c r="H1" s="756"/>
      <c r="I1" s="756"/>
      <c r="J1" s="759"/>
      <c r="K1" s="760"/>
      <c r="L1" s="761"/>
      <c r="M1" s="761"/>
      <c r="N1" s="761"/>
      <c r="O1" s="761"/>
    </row>
    <row r="2" spans="1:41" ht="15.75" customHeight="1" thickBot="1">
      <c r="A2" s="756"/>
      <c r="B2" s="763"/>
      <c r="C2" s="3268" t="s">
        <v>745</v>
      </c>
      <c r="D2" s="3268"/>
      <c r="E2" s="3268"/>
      <c r="F2" s="3268"/>
      <c r="G2" s="3268"/>
      <c r="H2" s="3269"/>
      <c r="I2" s="764"/>
      <c r="J2" s="765"/>
      <c r="K2" s="766"/>
      <c r="L2" s="767"/>
      <c r="M2" s="767"/>
      <c r="N2" s="767"/>
      <c r="O2" s="767"/>
    </row>
    <row r="3" spans="1:41" ht="15" customHeight="1" thickBot="1">
      <c r="A3" s="3270" t="s">
        <v>746</v>
      </c>
      <c r="B3" s="3271"/>
      <c r="C3" s="3271"/>
      <c r="D3" s="3271"/>
      <c r="E3" s="3271"/>
      <c r="F3" s="3272"/>
      <c r="G3" s="768" t="s">
        <v>319</v>
      </c>
      <c r="H3" s="769" t="s">
        <v>319</v>
      </c>
      <c r="J3" s="770"/>
      <c r="K3" s="771"/>
      <c r="L3" s="765"/>
      <c r="M3" s="765"/>
      <c r="N3" s="765"/>
      <c r="O3" s="765"/>
    </row>
    <row r="4" spans="1:41" ht="15" customHeight="1" thickBot="1">
      <c r="A4" s="772"/>
      <c r="B4" s="773"/>
      <c r="C4" s="774" t="s">
        <v>747</v>
      </c>
      <c r="D4" s="774" t="s">
        <v>748</v>
      </c>
      <c r="E4" s="774" t="s">
        <v>749</v>
      </c>
      <c r="F4" s="774" t="s">
        <v>750</v>
      </c>
      <c r="G4" s="775">
        <v>41275</v>
      </c>
      <c r="H4" s="776">
        <v>41306</v>
      </c>
      <c r="I4" s="777"/>
      <c r="K4" s="771"/>
      <c r="L4" s="778"/>
      <c r="M4" s="778"/>
      <c r="N4" s="778"/>
      <c r="O4" s="778"/>
      <c r="P4" s="779"/>
      <c r="Q4" s="779"/>
      <c r="R4" s="779"/>
      <c r="S4" s="779"/>
      <c r="T4" s="779"/>
      <c r="U4" s="779"/>
      <c r="V4" s="779"/>
      <c r="W4" s="779"/>
      <c r="X4" s="779"/>
      <c r="Y4" s="779"/>
      <c r="Z4" s="779"/>
      <c r="AA4" s="779"/>
      <c r="AB4" s="779"/>
      <c r="AC4" s="779"/>
    </row>
    <row r="5" spans="1:41" ht="15" customHeight="1">
      <c r="A5" s="780"/>
      <c r="B5" s="781"/>
      <c r="C5" s="782" t="s">
        <v>148</v>
      </c>
      <c r="D5" s="782"/>
      <c r="E5" s="783"/>
      <c r="F5" s="784"/>
      <c r="G5" s="785"/>
      <c r="H5" s="786"/>
      <c r="I5" s="787"/>
      <c r="K5" s="771"/>
      <c r="L5" s="778"/>
      <c r="M5" s="778"/>
      <c r="N5" s="778"/>
      <c r="O5" s="778"/>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row>
    <row r="6" spans="1:41" ht="15" customHeight="1">
      <c r="A6" s="788">
        <v>1</v>
      </c>
      <c r="B6" s="789" t="s">
        <v>751</v>
      </c>
      <c r="C6" s="790">
        <v>800</v>
      </c>
      <c r="D6" s="790">
        <v>700</v>
      </c>
      <c r="E6" s="790">
        <v>700</v>
      </c>
      <c r="F6" s="787">
        <v>500</v>
      </c>
      <c r="G6" s="791">
        <v>4300</v>
      </c>
      <c r="H6" s="792">
        <f>C6+D6+E6+F6</f>
        <v>2700</v>
      </c>
      <c r="I6" s="793"/>
      <c r="K6" s="771"/>
      <c r="L6" s="794"/>
      <c r="M6" s="795"/>
      <c r="N6" s="795"/>
      <c r="O6" s="795"/>
    </row>
    <row r="7" spans="1:41" ht="15" customHeight="1">
      <c r="A7" s="788">
        <v>2</v>
      </c>
      <c r="B7" s="789" t="s">
        <v>752</v>
      </c>
      <c r="C7" s="790">
        <v>1015</v>
      </c>
      <c r="D7" s="790">
        <v>1100</v>
      </c>
      <c r="E7" s="790">
        <v>2095</v>
      </c>
      <c r="F7" s="787">
        <v>2260</v>
      </c>
      <c r="G7" s="791">
        <v>9930</v>
      </c>
      <c r="H7" s="792">
        <f>C7+D7+E7+F7</f>
        <v>6470</v>
      </c>
      <c r="I7" s="793"/>
      <c r="K7" s="771"/>
      <c r="L7" s="794"/>
      <c r="M7" s="795"/>
      <c r="N7" s="795"/>
      <c r="O7" s="795"/>
    </row>
    <row r="8" spans="1:41" ht="15" customHeight="1">
      <c r="A8" s="788">
        <v>3</v>
      </c>
      <c r="B8" s="796" t="s">
        <v>753</v>
      </c>
      <c r="C8" s="790">
        <v>800</v>
      </c>
      <c r="D8" s="797">
        <v>700</v>
      </c>
      <c r="E8" s="797">
        <v>700</v>
      </c>
      <c r="F8" s="787">
        <v>500</v>
      </c>
      <c r="G8" s="791">
        <v>4125</v>
      </c>
      <c r="H8" s="792">
        <f>C8+D8+E8+F8</f>
        <v>2700</v>
      </c>
      <c r="I8" s="793"/>
      <c r="K8" s="771"/>
    </row>
    <row r="9" spans="1:41" ht="15" customHeight="1">
      <c r="A9" s="788">
        <v>4</v>
      </c>
      <c r="B9" s="789" t="s">
        <v>754</v>
      </c>
      <c r="C9" s="798">
        <v>865</v>
      </c>
      <c r="D9" s="798">
        <v>246.3</v>
      </c>
      <c r="E9" s="799">
        <v>610</v>
      </c>
      <c r="F9" s="787">
        <v>1200</v>
      </c>
      <c r="G9" s="791">
        <v>3857.8</v>
      </c>
      <c r="H9" s="792">
        <f>C9+D9+E9+F9</f>
        <v>2921.3</v>
      </c>
      <c r="I9" s="793"/>
      <c r="K9" s="771"/>
      <c r="L9" s="795"/>
      <c r="M9" s="795"/>
      <c r="N9" s="795"/>
      <c r="O9" s="795"/>
    </row>
    <row r="10" spans="1:41" ht="15" customHeight="1">
      <c r="A10" s="788">
        <v>5</v>
      </c>
      <c r="B10" s="789" t="s">
        <v>755</v>
      </c>
      <c r="C10" s="800">
        <f>C8-C9</f>
        <v>-65</v>
      </c>
      <c r="D10" s="800">
        <f>D8-D9</f>
        <v>453.7</v>
      </c>
      <c r="E10" s="800">
        <f>E8-E9</f>
        <v>90</v>
      </c>
      <c r="F10" s="800">
        <f>F8-F9</f>
        <v>-700</v>
      </c>
      <c r="G10" s="801">
        <v>267.19999999999993</v>
      </c>
      <c r="H10" s="802">
        <f>C10+D10+E10+F10</f>
        <v>-221.3</v>
      </c>
      <c r="I10" s="793"/>
      <c r="K10" s="803"/>
      <c r="L10" s="795"/>
      <c r="M10" s="795"/>
      <c r="N10" s="795"/>
      <c r="O10" s="795"/>
    </row>
    <row r="11" spans="1:41" ht="5.25" customHeight="1" thickBot="1">
      <c r="A11" s="804"/>
      <c r="B11" s="805"/>
      <c r="C11" s="806"/>
      <c r="D11" s="806"/>
      <c r="E11" s="806"/>
      <c r="F11" s="807"/>
      <c r="G11" s="808"/>
      <c r="H11" s="809"/>
      <c r="I11" s="810"/>
      <c r="J11" s="795"/>
      <c r="K11" s="811"/>
      <c r="L11" s="765"/>
      <c r="M11" s="765"/>
      <c r="N11" s="765"/>
      <c r="O11" s="765"/>
    </row>
    <row r="12" spans="1:41" ht="14.25" customHeight="1">
      <c r="A12" s="812" t="s">
        <v>361</v>
      </c>
      <c r="B12" s="761"/>
      <c r="C12" s="813"/>
      <c r="D12" s="814"/>
      <c r="E12" s="814"/>
      <c r="F12" s="813"/>
      <c r="G12" s="814"/>
      <c r="H12" s="814"/>
      <c r="I12" s="814"/>
      <c r="J12" s="814"/>
      <c r="K12" s="761" t="s">
        <v>148</v>
      </c>
      <c r="L12" s="815"/>
      <c r="M12" s="761"/>
      <c r="N12" s="761"/>
      <c r="O12" s="761"/>
    </row>
    <row r="13" spans="1:41">
      <c r="A13" s="812" t="s">
        <v>756</v>
      </c>
      <c r="B13" s="812"/>
      <c r="C13" s="816"/>
      <c r="D13" s="816"/>
      <c r="E13" s="816"/>
      <c r="F13" s="816"/>
      <c r="G13" s="816"/>
      <c r="H13" s="761"/>
      <c r="I13" s="761"/>
      <c r="J13" s="761"/>
      <c r="K13" s="761"/>
      <c r="L13" s="817"/>
      <c r="M13" s="817"/>
      <c r="N13" s="817"/>
      <c r="O13" s="817"/>
    </row>
    <row r="14" spans="1:41" ht="8.25" customHeight="1">
      <c r="A14" s="812"/>
      <c r="B14" s="761"/>
      <c r="C14" s="818"/>
      <c r="D14" s="818"/>
      <c r="E14" s="818"/>
      <c r="F14" s="818"/>
      <c r="G14" s="818"/>
      <c r="H14" s="818"/>
      <c r="I14" s="818"/>
      <c r="J14" s="761"/>
      <c r="K14" s="761"/>
      <c r="L14" s="761"/>
      <c r="M14" s="761"/>
      <c r="N14" s="761"/>
      <c r="O14" s="761"/>
    </row>
    <row r="15" spans="1:41" ht="18.75" customHeight="1">
      <c r="A15" s="756" t="s">
        <v>757</v>
      </c>
      <c r="B15" s="763"/>
      <c r="C15" s="819"/>
      <c r="D15" s="820"/>
      <c r="E15" s="820"/>
      <c r="F15" s="821"/>
      <c r="G15" s="820"/>
      <c r="H15" s="820"/>
      <c r="I15" s="820"/>
      <c r="J15" s="822"/>
      <c r="K15" s="817"/>
      <c r="L15" s="761"/>
      <c r="M15" s="761"/>
      <c r="N15" s="761"/>
      <c r="O15" s="761"/>
      <c r="P15" s="817"/>
      <c r="Q15" s="817"/>
      <c r="R15" s="817"/>
      <c r="S15" s="817"/>
      <c r="T15" s="817"/>
      <c r="U15" s="817"/>
      <c r="V15" s="817"/>
      <c r="W15" s="817"/>
      <c r="X15" s="817"/>
      <c r="Y15" s="817"/>
      <c r="Z15" s="817"/>
      <c r="AA15" s="817"/>
      <c r="AB15" s="817"/>
      <c r="AC15" s="817"/>
      <c r="AD15" s="817"/>
      <c r="AE15" s="817"/>
      <c r="AF15" s="817"/>
      <c r="AG15" s="817"/>
    </row>
    <row r="16" spans="1:41" ht="4.5" customHeight="1" thickBot="1">
      <c r="A16" s="817"/>
      <c r="B16" s="817"/>
      <c r="C16" s="823"/>
      <c r="D16" s="817"/>
      <c r="E16" s="817"/>
      <c r="F16" s="823"/>
      <c r="G16" s="824"/>
      <c r="H16" s="817"/>
      <c r="I16" s="817"/>
      <c r="J16" s="817"/>
      <c r="K16" s="817"/>
      <c r="L16" s="817"/>
      <c r="M16" s="817"/>
      <c r="N16" s="817"/>
      <c r="O16" s="817"/>
      <c r="P16" s="817"/>
      <c r="Q16" s="817"/>
      <c r="R16" s="817"/>
      <c r="S16" s="817"/>
      <c r="T16" s="817"/>
      <c r="U16" s="817"/>
      <c r="V16" s="817"/>
      <c r="W16" s="817"/>
      <c r="X16" s="817"/>
      <c r="Y16" s="817"/>
      <c r="Z16" s="817"/>
      <c r="AA16" s="817"/>
      <c r="AB16" s="817"/>
      <c r="AC16" s="817"/>
      <c r="AD16" s="817"/>
      <c r="AE16" s="817"/>
      <c r="AF16" s="817"/>
      <c r="AG16" s="817"/>
    </row>
    <row r="17" spans="1:15" ht="15" thickTop="1" thickBot="1">
      <c r="A17" s="825"/>
      <c r="B17" s="826"/>
      <c r="C17" s="827">
        <v>40940</v>
      </c>
      <c r="D17" s="827">
        <v>40969</v>
      </c>
      <c r="E17" s="827">
        <v>41000</v>
      </c>
      <c r="F17" s="827">
        <v>41030</v>
      </c>
      <c r="G17" s="827">
        <v>41061</v>
      </c>
      <c r="H17" s="827">
        <v>41091</v>
      </c>
      <c r="I17" s="827">
        <v>41122</v>
      </c>
      <c r="J17" s="827">
        <v>41153</v>
      </c>
      <c r="K17" s="827">
        <v>41183</v>
      </c>
      <c r="L17" s="827">
        <v>41214</v>
      </c>
      <c r="M17" s="827">
        <v>41244</v>
      </c>
      <c r="N17" s="827">
        <v>41275</v>
      </c>
      <c r="O17" s="827">
        <v>41306</v>
      </c>
    </row>
    <row r="18" spans="1:15" s="829" customFormat="1" ht="18.75" customHeight="1" thickBot="1">
      <c r="A18" s="828"/>
      <c r="B18" s="3273" t="s">
        <v>758</v>
      </c>
      <c r="C18" s="3273"/>
      <c r="D18" s="3273"/>
      <c r="E18" s="3273"/>
      <c r="F18" s="3273"/>
      <c r="G18" s="3273"/>
      <c r="H18" s="3273"/>
      <c r="I18" s="3273"/>
      <c r="J18" s="3273"/>
      <c r="K18" s="3273"/>
      <c r="L18" s="3273"/>
      <c r="M18" s="3273"/>
      <c r="N18" s="3273"/>
      <c r="O18" s="3274"/>
    </row>
    <row r="19" spans="1:15" ht="6" customHeight="1" thickTop="1">
      <c r="A19" s="830"/>
      <c r="B19" s="831"/>
      <c r="C19" s="832"/>
      <c r="D19" s="832"/>
      <c r="E19" s="833"/>
      <c r="F19" s="832"/>
      <c r="G19" s="832"/>
      <c r="H19" s="832"/>
      <c r="I19" s="832"/>
      <c r="J19" s="832"/>
      <c r="K19" s="832"/>
      <c r="L19" s="832"/>
      <c r="M19" s="832"/>
      <c r="N19" s="832"/>
      <c r="O19" s="832"/>
    </row>
    <row r="20" spans="1:15" ht="13.5">
      <c r="A20" s="834">
        <v>1</v>
      </c>
      <c r="B20" s="835" t="s">
        <v>759</v>
      </c>
      <c r="C20" s="836">
        <v>4900</v>
      </c>
      <c r="D20" s="836">
        <v>4600</v>
      </c>
      <c r="E20" s="836">
        <v>3800</v>
      </c>
      <c r="F20" s="836">
        <v>3800</v>
      </c>
      <c r="G20" s="836">
        <v>4000</v>
      </c>
      <c r="H20" s="836">
        <v>3200</v>
      </c>
      <c r="I20" s="836">
        <v>4000</v>
      </c>
      <c r="J20" s="836">
        <v>3200</v>
      </c>
      <c r="K20" s="836">
        <v>3800</v>
      </c>
      <c r="L20" s="836">
        <v>4000</v>
      </c>
      <c r="M20" s="836">
        <v>3600</v>
      </c>
      <c r="N20" s="836">
        <v>4300</v>
      </c>
      <c r="O20" s="836">
        <v>2700</v>
      </c>
    </row>
    <row r="21" spans="1:15" ht="5.25" customHeight="1">
      <c r="A21" s="837"/>
      <c r="B21" s="835"/>
      <c r="C21" s="838"/>
      <c r="D21" s="838"/>
      <c r="E21" s="838"/>
      <c r="F21" s="838"/>
      <c r="G21" s="838"/>
      <c r="H21" s="838"/>
      <c r="I21" s="838"/>
      <c r="J21" s="838"/>
      <c r="K21" s="838"/>
      <c r="L21" s="838"/>
      <c r="M21" s="838"/>
      <c r="N21" s="838"/>
      <c r="O21" s="838"/>
    </row>
    <row r="22" spans="1:15" ht="13.5">
      <c r="A22" s="834">
        <v>2</v>
      </c>
      <c r="B22" s="835" t="s">
        <v>760</v>
      </c>
      <c r="C22" s="839">
        <v>5386.3</v>
      </c>
      <c r="D22" s="839">
        <v>5771</v>
      </c>
      <c r="E22" s="839">
        <v>5615</v>
      </c>
      <c r="F22" s="839">
        <v>6070</v>
      </c>
      <c r="G22" s="839">
        <v>4741</v>
      </c>
      <c r="H22" s="839">
        <v>2122.3000000000002</v>
      </c>
      <c r="I22" s="839">
        <v>3930</v>
      </c>
      <c r="J22" s="839">
        <v>6296</v>
      </c>
      <c r="K22" s="839">
        <v>12362</v>
      </c>
      <c r="L22" s="839">
        <v>7600</v>
      </c>
      <c r="M22" s="839">
        <v>6755</v>
      </c>
      <c r="N22" s="839">
        <v>9930</v>
      </c>
      <c r="O22" s="839">
        <v>6470</v>
      </c>
    </row>
    <row r="23" spans="1:15" ht="15.75" hidden="1">
      <c r="A23" s="837"/>
      <c r="B23" s="840" t="s">
        <v>761</v>
      </c>
      <c r="C23" s="841"/>
      <c r="D23" s="841"/>
      <c r="E23" s="841"/>
      <c r="F23" s="841"/>
      <c r="G23" s="841"/>
      <c r="H23" s="841"/>
      <c r="I23" s="841"/>
      <c r="J23" s="841"/>
      <c r="K23" s="841"/>
      <c r="L23" s="841"/>
      <c r="M23" s="841"/>
      <c r="N23" s="841"/>
      <c r="O23" s="841"/>
    </row>
    <row r="24" spans="1:15" ht="13.5">
      <c r="A24" s="837"/>
      <c r="B24" s="842" t="s">
        <v>762</v>
      </c>
      <c r="C24" s="843">
        <v>1145</v>
      </c>
      <c r="D24" s="843">
        <v>1235</v>
      </c>
      <c r="E24" s="843">
        <v>740</v>
      </c>
      <c r="F24" s="843">
        <v>800</v>
      </c>
      <c r="G24" s="843">
        <v>1595</v>
      </c>
      <c r="H24" s="843">
        <v>0</v>
      </c>
      <c r="I24" s="843">
        <v>290</v>
      </c>
      <c r="J24" s="843">
        <v>1915</v>
      </c>
      <c r="K24" s="844">
        <v>1280</v>
      </c>
      <c r="L24" s="845">
        <v>960</v>
      </c>
      <c r="M24" s="843">
        <v>1180</v>
      </c>
      <c r="N24" s="843">
        <v>1230</v>
      </c>
      <c r="O24" s="843">
        <v>2260</v>
      </c>
    </row>
    <row r="25" spans="1:15" ht="13.5">
      <c r="A25" s="837"/>
      <c r="B25" s="835" t="s">
        <v>763</v>
      </c>
      <c r="C25" s="843">
        <v>1500</v>
      </c>
      <c r="D25" s="843">
        <v>1401</v>
      </c>
      <c r="E25" s="843">
        <v>635</v>
      </c>
      <c r="F25" s="843">
        <v>1195</v>
      </c>
      <c r="G25" s="843">
        <v>750.8</v>
      </c>
      <c r="H25" s="843">
        <v>740</v>
      </c>
      <c r="I25" s="843">
        <v>1165</v>
      </c>
      <c r="J25" s="843">
        <v>1655</v>
      </c>
      <c r="K25" s="843">
        <v>3525</v>
      </c>
      <c r="L25" s="843">
        <v>930</v>
      </c>
      <c r="M25" s="843">
        <v>2325</v>
      </c>
      <c r="N25" s="843">
        <v>835</v>
      </c>
      <c r="O25" s="843">
        <v>2095</v>
      </c>
    </row>
    <row r="26" spans="1:15" ht="13.5">
      <c r="A26" s="837"/>
      <c r="B26" s="835" t="s">
        <v>764</v>
      </c>
      <c r="C26" s="843">
        <v>685</v>
      </c>
      <c r="D26" s="843">
        <v>1360</v>
      </c>
      <c r="E26" s="843">
        <v>2060</v>
      </c>
      <c r="F26" s="843">
        <v>1720</v>
      </c>
      <c r="G26" s="843">
        <v>1515</v>
      </c>
      <c r="H26" s="843">
        <v>585</v>
      </c>
      <c r="I26" s="843">
        <v>980</v>
      </c>
      <c r="J26" s="843">
        <v>540</v>
      </c>
      <c r="K26" s="843">
        <v>2491</v>
      </c>
      <c r="L26" s="843">
        <v>3380</v>
      </c>
      <c r="M26" s="843">
        <v>1770</v>
      </c>
      <c r="N26" s="843">
        <v>2865</v>
      </c>
      <c r="O26" s="843">
        <v>1100</v>
      </c>
    </row>
    <row r="27" spans="1:15" ht="13.5">
      <c r="A27" s="837"/>
      <c r="B27" s="835" t="s">
        <v>765</v>
      </c>
      <c r="C27" s="843">
        <v>2056</v>
      </c>
      <c r="D27" s="843">
        <v>1775</v>
      </c>
      <c r="E27" s="843">
        <v>2180</v>
      </c>
      <c r="F27" s="843">
        <v>2355</v>
      </c>
      <c r="G27" s="843">
        <v>880</v>
      </c>
      <c r="H27" s="843">
        <v>797.3</v>
      </c>
      <c r="I27" s="843">
        <v>1495</v>
      </c>
      <c r="J27" s="843">
        <v>2186</v>
      </c>
      <c r="K27" s="843">
        <v>5066</v>
      </c>
      <c r="L27" s="843">
        <v>2330</v>
      </c>
      <c r="M27" s="843">
        <v>1480</v>
      </c>
      <c r="N27" s="843">
        <v>5000</v>
      </c>
      <c r="O27" s="843">
        <v>1015</v>
      </c>
    </row>
    <row r="28" spans="1:15" ht="13.5" hidden="1">
      <c r="A28" s="837"/>
      <c r="B28" s="840" t="s">
        <v>766</v>
      </c>
      <c r="C28" s="838"/>
      <c r="D28" s="838"/>
      <c r="E28" s="838"/>
      <c r="F28" s="838"/>
      <c r="G28" s="838"/>
      <c r="H28" s="838"/>
      <c r="I28" s="838"/>
      <c r="J28" s="838"/>
      <c r="K28" s="838"/>
      <c r="L28" s="838"/>
      <c r="M28" s="838"/>
      <c r="N28" s="838"/>
      <c r="O28" s="838"/>
    </row>
    <row r="29" spans="1:15" ht="6" customHeight="1">
      <c r="A29" s="837"/>
      <c r="B29" s="846"/>
      <c r="C29" s="838"/>
      <c r="D29" s="838"/>
      <c r="E29" s="838"/>
      <c r="F29" s="838"/>
      <c r="G29" s="838"/>
      <c r="H29" s="838"/>
      <c r="I29" s="838"/>
      <c r="J29" s="838"/>
      <c r="K29" s="838"/>
      <c r="L29" s="838"/>
      <c r="M29" s="838"/>
      <c r="N29" s="838"/>
      <c r="O29" s="838"/>
    </row>
    <row r="30" spans="1:15" ht="15" customHeight="1">
      <c r="A30" s="834">
        <v>3</v>
      </c>
      <c r="B30" s="842" t="s">
        <v>767</v>
      </c>
      <c r="C30" s="847">
        <v>3076.3</v>
      </c>
      <c r="D30" s="847">
        <v>3480</v>
      </c>
      <c r="E30" s="847">
        <v>3560</v>
      </c>
      <c r="F30" s="847">
        <v>3305</v>
      </c>
      <c r="G30" s="847">
        <v>2261</v>
      </c>
      <c r="H30" s="847">
        <v>1242.0999999999999</v>
      </c>
      <c r="I30" s="847">
        <v>2760</v>
      </c>
      <c r="J30" s="847">
        <v>2935.5</v>
      </c>
      <c r="K30" s="847">
        <v>3600</v>
      </c>
      <c r="L30" s="847">
        <v>3790</v>
      </c>
      <c r="M30" s="847">
        <v>3385</v>
      </c>
      <c r="N30" s="847">
        <v>4125</v>
      </c>
      <c r="O30" s="847">
        <v>2700</v>
      </c>
    </row>
    <row r="31" spans="1:15" ht="15.75" hidden="1">
      <c r="A31" s="837"/>
      <c r="B31" s="840" t="s">
        <v>761</v>
      </c>
      <c r="C31" s="838"/>
      <c r="D31" s="838"/>
      <c r="E31" s="838"/>
      <c r="F31" s="838"/>
      <c r="G31" s="838"/>
      <c r="H31" s="838"/>
      <c r="I31" s="838"/>
      <c r="J31" s="838"/>
      <c r="K31" s="838"/>
      <c r="L31" s="838"/>
      <c r="M31" s="838"/>
      <c r="N31" s="838"/>
      <c r="O31" s="838"/>
    </row>
    <row r="32" spans="1:15" ht="13.5">
      <c r="A32" s="837"/>
      <c r="B32" s="842" t="s">
        <v>762</v>
      </c>
      <c r="C32" s="843">
        <v>700</v>
      </c>
      <c r="D32" s="843">
        <v>625</v>
      </c>
      <c r="E32" s="843">
        <v>500</v>
      </c>
      <c r="F32" s="843">
        <v>300</v>
      </c>
      <c r="G32" s="843">
        <v>600</v>
      </c>
      <c r="H32" s="843">
        <v>0</v>
      </c>
      <c r="I32" s="843">
        <v>220</v>
      </c>
      <c r="J32" s="843">
        <v>650</v>
      </c>
      <c r="K32" s="844">
        <v>500</v>
      </c>
      <c r="L32" s="845">
        <v>400</v>
      </c>
      <c r="M32" s="845">
        <v>500</v>
      </c>
      <c r="N32" s="845">
        <v>400</v>
      </c>
      <c r="O32" s="845">
        <v>500</v>
      </c>
    </row>
    <row r="33" spans="1:33" ht="13.5">
      <c r="A33" s="837"/>
      <c r="B33" s="835" t="s">
        <v>763</v>
      </c>
      <c r="C33" s="843">
        <v>805</v>
      </c>
      <c r="D33" s="843">
        <v>970</v>
      </c>
      <c r="E33" s="843">
        <v>400</v>
      </c>
      <c r="F33" s="843">
        <v>520</v>
      </c>
      <c r="G33" s="843">
        <v>505.8</v>
      </c>
      <c r="H33" s="843">
        <v>414.8</v>
      </c>
      <c r="I33" s="843">
        <v>790</v>
      </c>
      <c r="J33" s="843">
        <v>400</v>
      </c>
      <c r="K33" s="843">
        <v>1000</v>
      </c>
      <c r="L33" s="843">
        <v>400</v>
      </c>
      <c r="M33" s="843">
        <v>1165</v>
      </c>
      <c r="N33" s="843">
        <v>400</v>
      </c>
      <c r="O33" s="843">
        <v>700</v>
      </c>
    </row>
    <row r="34" spans="1:33" ht="13.5">
      <c r="A34" s="837"/>
      <c r="B34" s="835" t="s">
        <v>764</v>
      </c>
      <c r="C34" s="843">
        <v>310</v>
      </c>
      <c r="D34" s="843">
        <v>1050</v>
      </c>
      <c r="E34" s="843">
        <v>1245</v>
      </c>
      <c r="F34" s="843">
        <v>1015</v>
      </c>
      <c r="G34" s="843">
        <v>535</v>
      </c>
      <c r="H34" s="843">
        <v>295</v>
      </c>
      <c r="I34" s="843">
        <v>655</v>
      </c>
      <c r="J34" s="843">
        <v>365</v>
      </c>
      <c r="K34" s="843">
        <v>900</v>
      </c>
      <c r="L34" s="843">
        <v>1885</v>
      </c>
      <c r="M34" s="843">
        <v>900</v>
      </c>
      <c r="N34" s="843">
        <v>1225</v>
      </c>
      <c r="O34" s="843">
        <v>700</v>
      </c>
    </row>
    <row r="35" spans="1:33" ht="13.5">
      <c r="A35" s="837"/>
      <c r="B35" s="835" t="s">
        <v>765</v>
      </c>
      <c r="C35" s="843">
        <v>1261.3</v>
      </c>
      <c r="D35" s="843">
        <v>835</v>
      </c>
      <c r="E35" s="843">
        <v>1415</v>
      </c>
      <c r="F35" s="843">
        <v>1470</v>
      </c>
      <c r="G35" s="843">
        <v>620</v>
      </c>
      <c r="H35" s="843">
        <v>532.29999999999995</v>
      </c>
      <c r="I35" s="843">
        <v>1095</v>
      </c>
      <c r="J35" s="843">
        <v>1520.5</v>
      </c>
      <c r="K35" s="843">
        <v>1200</v>
      </c>
      <c r="L35" s="843">
        <v>1105</v>
      </c>
      <c r="M35" s="843">
        <v>820</v>
      </c>
      <c r="N35" s="843">
        <v>2100</v>
      </c>
      <c r="O35" s="843">
        <v>800</v>
      </c>
    </row>
    <row r="36" spans="1:33" ht="13.5" hidden="1">
      <c r="A36" s="837"/>
      <c r="B36" s="840" t="s">
        <v>766</v>
      </c>
      <c r="C36" s="841"/>
      <c r="D36" s="848"/>
      <c r="E36" s="849"/>
      <c r="F36" s="841"/>
      <c r="G36" s="841"/>
      <c r="H36" s="841"/>
      <c r="I36" s="841"/>
      <c r="J36" s="841"/>
      <c r="K36" s="841"/>
      <c r="L36" s="841"/>
      <c r="M36" s="841"/>
      <c r="N36" s="841"/>
      <c r="O36" s="841"/>
    </row>
    <row r="37" spans="1:33" ht="6.75" customHeight="1" thickBot="1">
      <c r="A37" s="837"/>
      <c r="B37" s="850"/>
      <c r="C37" s="841"/>
      <c r="D37" s="851"/>
      <c r="E37" s="849"/>
      <c r="F37" s="841"/>
      <c r="G37" s="841"/>
      <c r="H37" s="841"/>
      <c r="I37" s="841"/>
      <c r="J37" s="841"/>
      <c r="K37" s="841"/>
      <c r="L37" s="841"/>
      <c r="M37" s="841"/>
      <c r="N37" s="841"/>
      <c r="O37" s="841"/>
    </row>
    <row r="38" spans="1:33" s="829" customFormat="1" ht="15" thickBot="1">
      <c r="A38" s="852"/>
      <c r="B38" s="3275" t="s">
        <v>768</v>
      </c>
      <c r="C38" s="3275"/>
      <c r="D38" s="3275"/>
      <c r="E38" s="3275"/>
      <c r="F38" s="3275"/>
      <c r="G38" s="3275"/>
      <c r="H38" s="3275"/>
      <c r="I38" s="3275"/>
      <c r="J38" s="3275"/>
      <c r="K38" s="3275"/>
      <c r="L38" s="3275"/>
      <c r="M38" s="3275"/>
      <c r="N38" s="3275"/>
      <c r="O38" s="3276"/>
    </row>
    <row r="39" spans="1:33" ht="13.5">
      <c r="A39" s="834">
        <v>4</v>
      </c>
      <c r="B39" s="853" t="s">
        <v>769</v>
      </c>
      <c r="C39" s="841"/>
      <c r="D39" s="854"/>
      <c r="E39" s="854"/>
      <c r="F39" s="849"/>
      <c r="G39" s="841"/>
      <c r="H39" s="841"/>
      <c r="I39" s="841"/>
      <c r="J39" s="841"/>
      <c r="K39" s="841"/>
      <c r="L39" s="841"/>
      <c r="M39" s="841"/>
      <c r="N39" s="841"/>
      <c r="O39" s="841"/>
    </row>
    <row r="40" spans="1:33" ht="13.5">
      <c r="A40" s="837"/>
      <c r="B40" s="855" t="s">
        <v>762</v>
      </c>
      <c r="C40" s="856">
        <v>3.92</v>
      </c>
      <c r="D40" s="856">
        <v>3.69</v>
      </c>
      <c r="E40" s="856">
        <v>3.38</v>
      </c>
      <c r="F40" s="856">
        <v>3.3</v>
      </c>
      <c r="G40" s="856">
        <v>3.04</v>
      </c>
      <c r="H40" s="856" t="s">
        <v>770</v>
      </c>
      <c r="I40" s="856">
        <v>3.09</v>
      </c>
      <c r="J40" s="856">
        <v>3.14</v>
      </c>
      <c r="K40" s="856">
        <v>2.97</v>
      </c>
      <c r="L40" s="856">
        <v>2.8</v>
      </c>
      <c r="M40" s="856">
        <v>2.74</v>
      </c>
      <c r="N40" s="856">
        <v>2.66</v>
      </c>
      <c r="O40" s="856">
        <v>2.41</v>
      </c>
    </row>
    <row r="41" spans="1:33" ht="13.5">
      <c r="A41" s="837"/>
      <c r="B41" s="781" t="s">
        <v>763</v>
      </c>
      <c r="C41" s="857">
        <v>4.13</v>
      </c>
      <c r="D41" s="857">
        <v>3.95</v>
      </c>
      <c r="E41" s="857">
        <v>3.59</v>
      </c>
      <c r="F41" s="857">
        <v>3.51</v>
      </c>
      <c r="G41" s="857">
        <v>3.41</v>
      </c>
      <c r="H41" s="857">
        <v>3.32</v>
      </c>
      <c r="I41" s="857">
        <v>3.37</v>
      </c>
      <c r="J41" s="857">
        <v>3.27</v>
      </c>
      <c r="K41" s="857">
        <v>3.11</v>
      </c>
      <c r="L41" s="857">
        <v>2.96</v>
      </c>
      <c r="M41" s="857">
        <v>2.86</v>
      </c>
      <c r="N41" s="857">
        <v>2.72</v>
      </c>
      <c r="O41" s="857">
        <v>2.62</v>
      </c>
    </row>
    <row r="42" spans="1:33" ht="13.5">
      <c r="A42" s="837"/>
      <c r="B42" s="835" t="s">
        <v>764</v>
      </c>
      <c r="C42" s="857">
        <v>4.33</v>
      </c>
      <c r="D42" s="857">
        <v>4.2</v>
      </c>
      <c r="E42" s="857">
        <v>3.78</v>
      </c>
      <c r="F42" s="857">
        <v>3.7</v>
      </c>
      <c r="G42" s="857">
        <v>3.51</v>
      </c>
      <c r="H42" s="857">
        <v>3.38</v>
      </c>
      <c r="I42" s="857">
        <v>3.42</v>
      </c>
      <c r="J42" s="857">
        <v>3.46</v>
      </c>
      <c r="K42" s="857">
        <v>3.28</v>
      </c>
      <c r="L42" s="857">
        <v>3.11</v>
      </c>
      <c r="M42" s="857">
        <v>2.97</v>
      </c>
      <c r="N42" s="857">
        <v>2.87</v>
      </c>
      <c r="O42" s="857">
        <v>2.74</v>
      </c>
    </row>
    <row r="43" spans="1:33" ht="13.5">
      <c r="A43" s="837"/>
      <c r="B43" s="781" t="s">
        <v>765</v>
      </c>
      <c r="C43" s="857">
        <v>4.5</v>
      </c>
      <c r="D43" s="857">
        <v>4.38</v>
      </c>
      <c r="E43" s="857">
        <v>3.95</v>
      </c>
      <c r="F43" s="857">
        <v>3.88</v>
      </c>
      <c r="G43" s="857">
        <v>3.81</v>
      </c>
      <c r="H43" s="857">
        <v>3.82</v>
      </c>
      <c r="I43" s="857">
        <v>3.88</v>
      </c>
      <c r="J43" s="857">
        <v>3.91</v>
      </c>
      <c r="K43" s="857">
        <v>3.4</v>
      </c>
      <c r="L43" s="857">
        <v>3.2</v>
      </c>
      <c r="M43" s="857">
        <v>3.08</v>
      </c>
      <c r="N43" s="857">
        <v>2.95</v>
      </c>
      <c r="O43" s="857">
        <v>2.83</v>
      </c>
    </row>
    <row r="44" spans="1:33" ht="13.5" hidden="1">
      <c r="A44" s="837"/>
      <c r="B44" s="858" t="s">
        <v>766</v>
      </c>
      <c r="C44" s="841"/>
      <c r="D44" s="841"/>
      <c r="E44" s="841"/>
      <c r="F44" s="841"/>
      <c r="G44" s="841"/>
      <c r="H44" s="841"/>
      <c r="I44" s="841"/>
      <c r="J44" s="841"/>
      <c r="K44" s="841"/>
      <c r="L44" s="841"/>
      <c r="M44" s="841"/>
      <c r="N44" s="841"/>
      <c r="O44" s="841"/>
    </row>
    <row r="45" spans="1:33" ht="13.5">
      <c r="A45" s="834">
        <v>5</v>
      </c>
      <c r="B45" s="781" t="s">
        <v>771</v>
      </c>
      <c r="C45" s="859">
        <v>4.25</v>
      </c>
      <c r="D45" s="859">
        <v>4.08</v>
      </c>
      <c r="E45" s="859">
        <v>3.77</v>
      </c>
      <c r="F45" s="859">
        <v>3.71</v>
      </c>
      <c r="G45" s="859">
        <v>3.44</v>
      </c>
      <c r="H45" s="859">
        <v>3.55</v>
      </c>
      <c r="I45" s="859">
        <v>3.56</v>
      </c>
      <c r="J45" s="859">
        <v>3.6</v>
      </c>
      <c r="K45" s="859">
        <v>3.23</v>
      </c>
      <c r="L45" s="859">
        <v>3.09</v>
      </c>
      <c r="M45" s="859">
        <v>2.92</v>
      </c>
      <c r="N45" s="859">
        <v>2.88</v>
      </c>
      <c r="O45" s="859">
        <v>2.67</v>
      </c>
    </row>
    <row r="46" spans="1:33" ht="13.5">
      <c r="A46" s="834">
        <v>6</v>
      </c>
      <c r="B46" s="781" t="s">
        <v>772</v>
      </c>
      <c r="C46" s="860">
        <v>4.22</v>
      </c>
      <c r="D46" s="860">
        <v>4.0999999999999996</v>
      </c>
      <c r="E46" s="860">
        <v>3.7</v>
      </c>
      <c r="F46" s="860">
        <v>3.64</v>
      </c>
      <c r="G46" s="860">
        <v>3.51</v>
      </c>
      <c r="H46" s="860">
        <v>3.39</v>
      </c>
      <c r="I46" s="860">
        <v>3.43</v>
      </c>
      <c r="J46" s="860">
        <v>3.47</v>
      </c>
      <c r="K46" s="860">
        <v>3.26</v>
      </c>
      <c r="L46" s="860">
        <v>3.08</v>
      </c>
      <c r="M46" s="860">
        <v>2.95</v>
      </c>
      <c r="N46" s="860">
        <v>2.84</v>
      </c>
      <c r="O46" s="860">
        <v>2.74</v>
      </c>
    </row>
    <row r="47" spans="1:33" ht="6.75" customHeight="1" thickBot="1">
      <c r="A47" s="861"/>
      <c r="B47" s="862"/>
      <c r="C47" s="851"/>
      <c r="D47" s="851"/>
      <c r="E47" s="851"/>
      <c r="F47" s="863"/>
      <c r="G47" s="851"/>
      <c r="H47" s="851"/>
      <c r="I47" s="851"/>
      <c r="J47" s="851"/>
      <c r="K47" s="851"/>
      <c r="L47" s="851"/>
      <c r="M47" s="851"/>
      <c r="N47" s="851"/>
      <c r="O47" s="851"/>
    </row>
    <row r="48" spans="1:33" ht="17.25" customHeight="1">
      <c r="A48" s="812" t="s">
        <v>361</v>
      </c>
      <c r="B48" s="817"/>
      <c r="C48" s="823"/>
      <c r="D48" s="817"/>
      <c r="E48" s="817"/>
      <c r="F48" s="864"/>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row>
    <row r="49" spans="1:15">
      <c r="A49" s="812" t="s">
        <v>756</v>
      </c>
      <c r="B49" s="812"/>
      <c r="C49" s="816"/>
      <c r="D49" s="816"/>
      <c r="E49" s="816"/>
      <c r="F49" s="816"/>
      <c r="G49" s="816"/>
      <c r="H49" s="761"/>
      <c r="I49" s="761"/>
      <c r="J49" s="761"/>
      <c r="K49" s="761"/>
      <c r="L49" s="817"/>
      <c r="M49" s="817"/>
      <c r="N49" s="817"/>
      <c r="O49" s="817"/>
    </row>
    <row r="50" spans="1:15">
      <c r="A50" s="761"/>
      <c r="B50" s="761"/>
      <c r="C50" s="818"/>
      <c r="D50" s="818"/>
      <c r="E50" s="818"/>
      <c r="F50" s="818"/>
      <c r="G50" s="818"/>
      <c r="H50" s="761"/>
      <c r="I50" s="761"/>
      <c r="J50" s="761"/>
      <c r="K50" s="761"/>
      <c r="L50" s="817"/>
      <c r="M50" s="817"/>
      <c r="N50" s="817"/>
      <c r="O50" s="817"/>
    </row>
    <row r="51" spans="1:15">
      <c r="A51" s="761"/>
      <c r="B51" s="761"/>
      <c r="C51" s="818"/>
      <c r="D51" s="818"/>
      <c r="E51" s="818"/>
      <c r="F51" s="818"/>
      <c r="G51" s="818"/>
      <c r="H51" s="761"/>
      <c r="I51" s="761"/>
      <c r="J51" s="761"/>
      <c r="K51" s="761"/>
      <c r="L51" s="817"/>
      <c r="M51" s="817"/>
      <c r="N51" s="817"/>
      <c r="O51" s="817"/>
    </row>
    <row r="52" spans="1:15">
      <c r="A52" s="761"/>
      <c r="B52" s="761"/>
      <c r="C52" s="818"/>
      <c r="D52" s="818"/>
      <c r="E52" s="818"/>
      <c r="F52" s="818"/>
      <c r="G52" s="818"/>
      <c r="H52" s="818"/>
      <c r="I52" s="818"/>
      <c r="J52" s="761"/>
      <c r="K52" s="761"/>
      <c r="L52" s="761"/>
      <c r="M52" s="761"/>
      <c r="N52" s="761"/>
      <c r="O52" s="761"/>
    </row>
    <row r="53" spans="1:15">
      <c r="A53" s="761"/>
      <c r="B53" s="761"/>
      <c r="C53" s="818"/>
      <c r="D53" s="818"/>
      <c r="E53" s="818"/>
      <c r="F53" s="818"/>
      <c r="G53" s="818"/>
      <c r="H53" s="818"/>
      <c r="I53" s="818"/>
      <c r="J53" s="761"/>
      <c r="K53" s="761"/>
      <c r="L53" s="761"/>
      <c r="M53" s="761"/>
      <c r="N53" s="761"/>
      <c r="O53" s="761"/>
    </row>
    <row r="54" spans="1:15">
      <c r="A54" s="761"/>
      <c r="B54" s="761"/>
      <c r="C54" s="818"/>
      <c r="D54" s="818"/>
      <c r="E54" s="818"/>
      <c r="F54" s="818"/>
      <c r="G54" s="818"/>
      <c r="H54" s="818"/>
      <c r="I54" s="818" t="s">
        <v>712</v>
      </c>
      <c r="J54" s="761"/>
      <c r="K54" s="761"/>
      <c r="L54" s="761"/>
      <c r="M54" s="761"/>
      <c r="N54" s="761"/>
      <c r="O54" s="761"/>
    </row>
    <row r="55" spans="1:15">
      <c r="A55" s="761"/>
      <c r="B55" s="761"/>
      <c r="C55" s="818"/>
      <c r="D55" s="818"/>
      <c r="E55" s="818"/>
      <c r="F55" s="818"/>
      <c r="G55" s="818"/>
      <c r="H55" s="818"/>
      <c r="I55" s="818"/>
      <c r="J55" s="761"/>
      <c r="K55" s="761"/>
      <c r="L55" s="761"/>
      <c r="M55" s="761"/>
      <c r="N55" s="761"/>
      <c r="O55" s="761"/>
    </row>
    <row r="56" spans="1:15">
      <c r="A56" s="761"/>
      <c r="B56" s="761"/>
      <c r="C56" s="818"/>
      <c r="D56" s="818"/>
      <c r="E56" s="818"/>
      <c r="F56" s="818"/>
      <c r="G56" s="818"/>
      <c r="H56" s="818"/>
      <c r="I56" s="818"/>
      <c r="J56" s="761"/>
      <c r="K56" s="761"/>
      <c r="L56" s="761"/>
      <c r="M56" s="761"/>
      <c r="N56" s="761"/>
      <c r="O56" s="761"/>
    </row>
    <row r="57" spans="1:15">
      <c r="A57" s="761"/>
      <c r="B57" s="761"/>
      <c r="C57" s="818"/>
      <c r="D57" s="818"/>
      <c r="E57" s="818"/>
      <c r="F57" s="818"/>
      <c r="G57" s="818"/>
      <c r="H57" s="818"/>
      <c r="I57" s="818"/>
      <c r="J57" s="761"/>
      <c r="K57" s="761"/>
      <c r="L57" s="761"/>
      <c r="M57" s="761"/>
      <c r="N57" s="761"/>
      <c r="O57" s="761"/>
    </row>
    <row r="58" spans="1:15">
      <c r="A58" s="761"/>
      <c r="B58" s="761"/>
      <c r="C58" s="818"/>
      <c r="D58" s="818"/>
      <c r="E58" s="818"/>
      <c r="F58" s="818"/>
      <c r="G58" s="818"/>
      <c r="H58" s="818"/>
      <c r="I58" s="818"/>
      <c r="J58" s="761"/>
      <c r="K58" s="761"/>
      <c r="L58" s="761"/>
      <c r="M58" s="761"/>
      <c r="N58" s="761"/>
      <c r="O58" s="761"/>
    </row>
    <row r="59" spans="1:15">
      <c r="F59" s="779"/>
    </row>
    <row r="60" spans="1:15">
      <c r="F60" s="779"/>
    </row>
    <row r="61" spans="1:15">
      <c r="F61" s="779"/>
    </row>
    <row r="62" spans="1:15">
      <c r="F62" s="779"/>
    </row>
    <row r="63" spans="1:15">
      <c r="F63" s="779"/>
    </row>
    <row r="64" spans="1:15">
      <c r="F64" s="779"/>
    </row>
    <row r="65" spans="6:6">
      <c r="F65" s="779"/>
    </row>
    <row r="66" spans="6:6">
      <c r="F66" s="779"/>
    </row>
    <row r="67" spans="6:6">
      <c r="F67" s="779"/>
    </row>
    <row r="68" spans="6:6">
      <c r="F68" s="779"/>
    </row>
  </sheetData>
  <mergeCells count="4">
    <mergeCell ref="C2:H2"/>
    <mergeCell ref="A3:F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topLeftCell="A25" zoomScaleNormal="100" workbookViewId="0">
      <pane xSplit="1" topLeftCell="B1" activePane="topRight" state="frozen"/>
      <selection activeCell="A13" sqref="A13"/>
      <selection pane="topRight" activeCell="H11" sqref="H11"/>
    </sheetView>
  </sheetViews>
  <sheetFormatPr defaultRowHeight="12.75"/>
  <cols>
    <col min="1" max="1" width="3.140625" style="762" customWidth="1"/>
    <col min="2" max="2" width="55.42578125" style="762" customWidth="1"/>
    <col min="3" max="3" width="12.28515625" style="762" customWidth="1"/>
    <col min="4" max="4" width="13.140625" style="762" customWidth="1"/>
    <col min="5" max="5" width="11.7109375" style="762" customWidth="1"/>
    <col min="6" max="6" width="13.5703125" style="762" customWidth="1"/>
    <col min="7" max="7" width="11.5703125" style="762" customWidth="1"/>
    <col min="8" max="8" width="10.5703125" style="762" customWidth="1"/>
    <col min="9" max="9" width="11.28515625" style="762" customWidth="1"/>
    <col min="10" max="11" width="9.85546875" style="762" customWidth="1"/>
    <col min="12" max="12" width="9.85546875" style="762" bestFit="1" customWidth="1"/>
    <col min="13" max="13" width="9.140625" style="762"/>
    <col min="14" max="14" width="9.42578125" style="762" bestFit="1" customWidth="1"/>
    <col min="15" max="16" width="9.28515625" style="762" bestFit="1" customWidth="1"/>
    <col min="17" max="19" width="9.28515625" style="762" customWidth="1"/>
    <col min="20" max="20" width="9.28515625" style="762" bestFit="1" customWidth="1"/>
    <col min="21" max="256" width="9.140625" style="762"/>
    <col min="257" max="257" width="3.140625" style="762" customWidth="1"/>
    <col min="258" max="258" width="55.42578125" style="762" customWidth="1"/>
    <col min="259" max="259" width="12.28515625" style="762" customWidth="1"/>
    <col min="260" max="260" width="13.140625" style="762" customWidth="1"/>
    <col min="261" max="261" width="11.7109375" style="762" customWidth="1"/>
    <col min="262" max="262" width="13.5703125" style="762" customWidth="1"/>
    <col min="263" max="263" width="11.5703125" style="762" customWidth="1"/>
    <col min="264" max="264" width="10.5703125" style="762" customWidth="1"/>
    <col min="265" max="265" width="11.28515625" style="762" customWidth="1"/>
    <col min="266" max="267" width="9.85546875" style="762" customWidth="1"/>
    <col min="268" max="268" width="9.85546875" style="762" bestFit="1" customWidth="1"/>
    <col min="269" max="269" width="9.140625" style="762"/>
    <col min="270" max="270" width="9.42578125" style="762" bestFit="1" customWidth="1"/>
    <col min="271" max="272" width="9.28515625" style="762" bestFit="1" customWidth="1"/>
    <col min="273" max="275" width="9.28515625" style="762" customWidth="1"/>
    <col min="276" max="276" width="9.28515625" style="762" bestFit="1" customWidth="1"/>
    <col min="277" max="512" width="9.140625" style="762"/>
    <col min="513" max="513" width="3.140625" style="762" customWidth="1"/>
    <col min="514" max="514" width="55.42578125" style="762" customWidth="1"/>
    <col min="515" max="515" width="12.28515625" style="762" customWidth="1"/>
    <col min="516" max="516" width="13.140625" style="762" customWidth="1"/>
    <col min="517" max="517" width="11.7109375" style="762" customWidth="1"/>
    <col min="518" max="518" width="13.5703125" style="762" customWidth="1"/>
    <col min="519" max="519" width="11.5703125" style="762" customWidth="1"/>
    <col min="520" max="520" width="10.5703125" style="762" customWidth="1"/>
    <col min="521" max="521" width="11.28515625" style="762" customWidth="1"/>
    <col min="522" max="523" width="9.85546875" style="762" customWidth="1"/>
    <col min="524" max="524" width="9.85546875" style="762" bestFit="1" customWidth="1"/>
    <col min="525" max="525" width="9.140625" style="762"/>
    <col min="526" max="526" width="9.42578125" style="762" bestFit="1" customWidth="1"/>
    <col min="527" max="528" width="9.28515625" style="762" bestFit="1" customWidth="1"/>
    <col min="529" max="531" width="9.28515625" style="762" customWidth="1"/>
    <col min="532" max="532" width="9.28515625" style="762" bestFit="1" customWidth="1"/>
    <col min="533" max="768" width="9.140625" style="762"/>
    <col min="769" max="769" width="3.140625" style="762" customWidth="1"/>
    <col min="770" max="770" width="55.42578125" style="762" customWidth="1"/>
    <col min="771" max="771" width="12.28515625" style="762" customWidth="1"/>
    <col min="772" max="772" width="13.140625" style="762" customWidth="1"/>
    <col min="773" max="773" width="11.7109375" style="762" customWidth="1"/>
    <col min="774" max="774" width="13.5703125" style="762" customWidth="1"/>
    <col min="775" max="775" width="11.5703125" style="762" customWidth="1"/>
    <col min="776" max="776" width="10.5703125" style="762" customWidth="1"/>
    <col min="777" max="777" width="11.28515625" style="762" customWidth="1"/>
    <col min="778" max="779" width="9.85546875" style="762" customWidth="1"/>
    <col min="780" max="780" width="9.85546875" style="762" bestFit="1" customWidth="1"/>
    <col min="781" max="781" width="9.140625" style="762"/>
    <col min="782" max="782" width="9.42578125" style="762" bestFit="1" customWidth="1"/>
    <col min="783" max="784" width="9.28515625" style="762" bestFit="1" customWidth="1"/>
    <col min="785" max="787" width="9.28515625" style="762" customWidth="1"/>
    <col min="788" max="788" width="9.28515625" style="762" bestFit="1" customWidth="1"/>
    <col min="789" max="1024" width="9.140625" style="762"/>
    <col min="1025" max="1025" width="3.140625" style="762" customWidth="1"/>
    <col min="1026" max="1026" width="55.42578125" style="762" customWidth="1"/>
    <col min="1027" max="1027" width="12.28515625" style="762" customWidth="1"/>
    <col min="1028" max="1028" width="13.140625" style="762" customWidth="1"/>
    <col min="1029" max="1029" width="11.7109375" style="762" customWidth="1"/>
    <col min="1030" max="1030" width="13.5703125" style="762" customWidth="1"/>
    <col min="1031" max="1031" width="11.5703125" style="762" customWidth="1"/>
    <col min="1032" max="1032" width="10.5703125" style="762" customWidth="1"/>
    <col min="1033" max="1033" width="11.28515625" style="762" customWidth="1"/>
    <col min="1034" max="1035" width="9.85546875" style="762" customWidth="1"/>
    <col min="1036" max="1036" width="9.85546875" style="762" bestFit="1" customWidth="1"/>
    <col min="1037" max="1037" width="9.140625" style="762"/>
    <col min="1038" max="1038" width="9.42578125" style="762" bestFit="1" customWidth="1"/>
    <col min="1039" max="1040" width="9.28515625" style="762" bestFit="1" customWidth="1"/>
    <col min="1041" max="1043" width="9.28515625" style="762" customWidth="1"/>
    <col min="1044" max="1044" width="9.28515625" style="762" bestFit="1" customWidth="1"/>
    <col min="1045" max="1280" width="9.140625" style="762"/>
    <col min="1281" max="1281" width="3.140625" style="762" customWidth="1"/>
    <col min="1282" max="1282" width="55.42578125" style="762" customWidth="1"/>
    <col min="1283" max="1283" width="12.28515625" style="762" customWidth="1"/>
    <col min="1284" max="1284" width="13.140625" style="762" customWidth="1"/>
    <col min="1285" max="1285" width="11.7109375" style="762" customWidth="1"/>
    <col min="1286" max="1286" width="13.5703125" style="762" customWidth="1"/>
    <col min="1287" max="1287" width="11.5703125" style="762" customWidth="1"/>
    <col min="1288" max="1288" width="10.5703125" style="762" customWidth="1"/>
    <col min="1289" max="1289" width="11.28515625" style="762" customWidth="1"/>
    <col min="1290" max="1291" width="9.85546875" style="762" customWidth="1"/>
    <col min="1292" max="1292" width="9.85546875" style="762" bestFit="1" customWidth="1"/>
    <col min="1293" max="1293" width="9.140625" style="762"/>
    <col min="1294" max="1294" width="9.42578125" style="762" bestFit="1" customWidth="1"/>
    <col min="1295" max="1296" width="9.28515625" style="762" bestFit="1" customWidth="1"/>
    <col min="1297" max="1299" width="9.28515625" style="762" customWidth="1"/>
    <col min="1300" max="1300" width="9.28515625" style="762" bestFit="1" customWidth="1"/>
    <col min="1301" max="1536" width="9.140625" style="762"/>
    <col min="1537" max="1537" width="3.140625" style="762" customWidth="1"/>
    <col min="1538" max="1538" width="55.42578125" style="762" customWidth="1"/>
    <col min="1539" max="1539" width="12.28515625" style="762" customWidth="1"/>
    <col min="1540" max="1540" width="13.140625" style="762" customWidth="1"/>
    <col min="1541" max="1541" width="11.7109375" style="762" customWidth="1"/>
    <col min="1542" max="1542" width="13.5703125" style="762" customWidth="1"/>
    <col min="1543" max="1543" width="11.5703125" style="762" customWidth="1"/>
    <col min="1544" max="1544" width="10.5703125" style="762" customWidth="1"/>
    <col min="1545" max="1545" width="11.28515625" style="762" customWidth="1"/>
    <col min="1546" max="1547" width="9.85546875" style="762" customWidth="1"/>
    <col min="1548" max="1548" width="9.85546875" style="762" bestFit="1" customWidth="1"/>
    <col min="1549" max="1549" width="9.140625" style="762"/>
    <col min="1550" max="1550" width="9.42578125" style="762" bestFit="1" customWidth="1"/>
    <col min="1551" max="1552" width="9.28515625" style="762" bestFit="1" customWidth="1"/>
    <col min="1553" max="1555" width="9.28515625" style="762" customWidth="1"/>
    <col min="1556" max="1556" width="9.28515625" style="762" bestFit="1" customWidth="1"/>
    <col min="1557" max="1792" width="9.140625" style="762"/>
    <col min="1793" max="1793" width="3.140625" style="762" customWidth="1"/>
    <col min="1794" max="1794" width="55.42578125" style="762" customWidth="1"/>
    <col min="1795" max="1795" width="12.28515625" style="762" customWidth="1"/>
    <col min="1796" max="1796" width="13.140625" style="762" customWidth="1"/>
    <col min="1797" max="1797" width="11.7109375" style="762" customWidth="1"/>
    <col min="1798" max="1798" width="13.5703125" style="762" customWidth="1"/>
    <col min="1799" max="1799" width="11.5703125" style="762" customWidth="1"/>
    <col min="1800" max="1800" width="10.5703125" style="762" customWidth="1"/>
    <col min="1801" max="1801" width="11.28515625" style="762" customWidth="1"/>
    <col min="1802" max="1803" width="9.85546875" style="762" customWidth="1"/>
    <col min="1804" max="1804" width="9.85546875" style="762" bestFit="1" customWidth="1"/>
    <col min="1805" max="1805" width="9.140625" style="762"/>
    <col min="1806" max="1806" width="9.42578125" style="762" bestFit="1" customWidth="1"/>
    <col min="1807" max="1808" width="9.28515625" style="762" bestFit="1" customWidth="1"/>
    <col min="1809" max="1811" width="9.28515625" style="762" customWidth="1"/>
    <col min="1812" max="1812" width="9.28515625" style="762" bestFit="1" customWidth="1"/>
    <col min="1813" max="2048" width="9.140625" style="762"/>
    <col min="2049" max="2049" width="3.140625" style="762" customWidth="1"/>
    <col min="2050" max="2050" width="55.42578125" style="762" customWidth="1"/>
    <col min="2051" max="2051" width="12.28515625" style="762" customWidth="1"/>
    <col min="2052" max="2052" width="13.140625" style="762" customWidth="1"/>
    <col min="2053" max="2053" width="11.7109375" style="762" customWidth="1"/>
    <col min="2054" max="2054" width="13.5703125" style="762" customWidth="1"/>
    <col min="2055" max="2055" width="11.5703125" style="762" customWidth="1"/>
    <col min="2056" max="2056" width="10.5703125" style="762" customWidth="1"/>
    <col min="2057" max="2057" width="11.28515625" style="762" customWidth="1"/>
    <col min="2058" max="2059" width="9.85546875" style="762" customWidth="1"/>
    <col min="2060" max="2060" width="9.85546875" style="762" bestFit="1" customWidth="1"/>
    <col min="2061" max="2061" width="9.140625" style="762"/>
    <col min="2062" max="2062" width="9.42578125" style="762" bestFit="1" customWidth="1"/>
    <col min="2063" max="2064" width="9.28515625" style="762" bestFit="1" customWidth="1"/>
    <col min="2065" max="2067" width="9.28515625" style="762" customWidth="1"/>
    <col min="2068" max="2068" width="9.28515625" style="762" bestFit="1" customWidth="1"/>
    <col min="2069" max="2304" width="9.140625" style="762"/>
    <col min="2305" max="2305" width="3.140625" style="762" customWidth="1"/>
    <col min="2306" max="2306" width="55.42578125" style="762" customWidth="1"/>
    <col min="2307" max="2307" width="12.28515625" style="762" customWidth="1"/>
    <col min="2308" max="2308" width="13.140625" style="762" customWidth="1"/>
    <col min="2309" max="2309" width="11.7109375" style="762" customWidth="1"/>
    <col min="2310" max="2310" width="13.5703125" style="762" customWidth="1"/>
    <col min="2311" max="2311" width="11.5703125" style="762" customWidth="1"/>
    <col min="2312" max="2312" width="10.5703125" style="762" customWidth="1"/>
    <col min="2313" max="2313" width="11.28515625" style="762" customWidth="1"/>
    <col min="2314" max="2315" width="9.85546875" style="762" customWidth="1"/>
    <col min="2316" max="2316" width="9.85546875" style="762" bestFit="1" customWidth="1"/>
    <col min="2317" max="2317" width="9.140625" style="762"/>
    <col min="2318" max="2318" width="9.42578125" style="762" bestFit="1" customWidth="1"/>
    <col min="2319" max="2320" width="9.28515625" style="762" bestFit="1" customWidth="1"/>
    <col min="2321" max="2323" width="9.28515625" style="762" customWidth="1"/>
    <col min="2324" max="2324" width="9.28515625" style="762" bestFit="1" customWidth="1"/>
    <col min="2325" max="2560" width="9.140625" style="762"/>
    <col min="2561" max="2561" width="3.140625" style="762" customWidth="1"/>
    <col min="2562" max="2562" width="55.42578125" style="762" customWidth="1"/>
    <col min="2563" max="2563" width="12.28515625" style="762" customWidth="1"/>
    <col min="2564" max="2564" width="13.140625" style="762" customWidth="1"/>
    <col min="2565" max="2565" width="11.7109375" style="762" customWidth="1"/>
    <col min="2566" max="2566" width="13.5703125" style="762" customWidth="1"/>
    <col min="2567" max="2567" width="11.5703125" style="762" customWidth="1"/>
    <col min="2568" max="2568" width="10.5703125" style="762" customWidth="1"/>
    <col min="2569" max="2569" width="11.28515625" style="762" customWidth="1"/>
    <col min="2570" max="2571" width="9.85546875" style="762" customWidth="1"/>
    <col min="2572" max="2572" width="9.85546875" style="762" bestFit="1" customWidth="1"/>
    <col min="2573" max="2573" width="9.140625" style="762"/>
    <col min="2574" max="2574" width="9.42578125" style="762" bestFit="1" customWidth="1"/>
    <col min="2575" max="2576" width="9.28515625" style="762" bestFit="1" customWidth="1"/>
    <col min="2577" max="2579" width="9.28515625" style="762" customWidth="1"/>
    <col min="2580" max="2580" width="9.28515625" style="762" bestFit="1" customWidth="1"/>
    <col min="2581" max="2816" width="9.140625" style="762"/>
    <col min="2817" max="2817" width="3.140625" style="762" customWidth="1"/>
    <col min="2818" max="2818" width="55.42578125" style="762" customWidth="1"/>
    <col min="2819" max="2819" width="12.28515625" style="762" customWidth="1"/>
    <col min="2820" max="2820" width="13.140625" style="762" customWidth="1"/>
    <col min="2821" max="2821" width="11.7109375" style="762" customWidth="1"/>
    <col min="2822" max="2822" width="13.5703125" style="762" customWidth="1"/>
    <col min="2823" max="2823" width="11.5703125" style="762" customWidth="1"/>
    <col min="2824" max="2824" width="10.5703125" style="762" customWidth="1"/>
    <col min="2825" max="2825" width="11.28515625" style="762" customWidth="1"/>
    <col min="2826" max="2827" width="9.85546875" style="762" customWidth="1"/>
    <col min="2828" max="2828" width="9.85546875" style="762" bestFit="1" customWidth="1"/>
    <col min="2829" max="2829" width="9.140625" style="762"/>
    <col min="2830" max="2830" width="9.42578125" style="762" bestFit="1" customWidth="1"/>
    <col min="2831" max="2832" width="9.28515625" style="762" bestFit="1" customWidth="1"/>
    <col min="2833" max="2835" width="9.28515625" style="762" customWidth="1"/>
    <col min="2836" max="2836" width="9.28515625" style="762" bestFit="1" customWidth="1"/>
    <col min="2837" max="3072" width="9.140625" style="762"/>
    <col min="3073" max="3073" width="3.140625" style="762" customWidth="1"/>
    <col min="3074" max="3074" width="55.42578125" style="762" customWidth="1"/>
    <col min="3075" max="3075" width="12.28515625" style="762" customWidth="1"/>
    <col min="3076" max="3076" width="13.140625" style="762" customWidth="1"/>
    <col min="3077" max="3077" width="11.7109375" style="762" customWidth="1"/>
    <col min="3078" max="3078" width="13.5703125" style="762" customWidth="1"/>
    <col min="3079" max="3079" width="11.5703125" style="762" customWidth="1"/>
    <col min="3080" max="3080" width="10.5703125" style="762" customWidth="1"/>
    <col min="3081" max="3081" width="11.28515625" style="762" customWidth="1"/>
    <col min="3082" max="3083" width="9.85546875" style="762" customWidth="1"/>
    <col min="3084" max="3084" width="9.85546875" style="762" bestFit="1" customWidth="1"/>
    <col min="3085" max="3085" width="9.140625" style="762"/>
    <col min="3086" max="3086" width="9.42578125" style="762" bestFit="1" customWidth="1"/>
    <col min="3087" max="3088" width="9.28515625" style="762" bestFit="1" customWidth="1"/>
    <col min="3089" max="3091" width="9.28515625" style="762" customWidth="1"/>
    <col min="3092" max="3092" width="9.28515625" style="762" bestFit="1" customWidth="1"/>
    <col min="3093" max="3328" width="9.140625" style="762"/>
    <col min="3329" max="3329" width="3.140625" style="762" customWidth="1"/>
    <col min="3330" max="3330" width="55.42578125" style="762" customWidth="1"/>
    <col min="3331" max="3331" width="12.28515625" style="762" customWidth="1"/>
    <col min="3332" max="3332" width="13.140625" style="762" customWidth="1"/>
    <col min="3333" max="3333" width="11.7109375" style="762" customWidth="1"/>
    <col min="3334" max="3334" width="13.5703125" style="762" customWidth="1"/>
    <col min="3335" max="3335" width="11.5703125" style="762" customWidth="1"/>
    <col min="3336" max="3336" width="10.5703125" style="762" customWidth="1"/>
    <col min="3337" max="3337" width="11.28515625" style="762" customWidth="1"/>
    <col min="3338" max="3339" width="9.85546875" style="762" customWidth="1"/>
    <col min="3340" max="3340" width="9.85546875" style="762" bestFit="1" customWidth="1"/>
    <col min="3341" max="3341" width="9.140625" style="762"/>
    <col min="3342" max="3342" width="9.42578125" style="762" bestFit="1" customWidth="1"/>
    <col min="3343" max="3344" width="9.28515625" style="762" bestFit="1" customWidth="1"/>
    <col min="3345" max="3347" width="9.28515625" style="762" customWidth="1"/>
    <col min="3348" max="3348" width="9.28515625" style="762" bestFit="1" customWidth="1"/>
    <col min="3349" max="3584" width="9.140625" style="762"/>
    <col min="3585" max="3585" width="3.140625" style="762" customWidth="1"/>
    <col min="3586" max="3586" width="55.42578125" style="762" customWidth="1"/>
    <col min="3587" max="3587" width="12.28515625" style="762" customWidth="1"/>
    <col min="3588" max="3588" width="13.140625" style="762" customWidth="1"/>
    <col min="3589" max="3589" width="11.7109375" style="762" customWidth="1"/>
    <col min="3590" max="3590" width="13.5703125" style="762" customWidth="1"/>
    <col min="3591" max="3591" width="11.5703125" style="762" customWidth="1"/>
    <col min="3592" max="3592" width="10.5703125" style="762" customWidth="1"/>
    <col min="3593" max="3593" width="11.28515625" style="762" customWidth="1"/>
    <col min="3594" max="3595" width="9.85546875" style="762" customWidth="1"/>
    <col min="3596" max="3596" width="9.85546875" style="762" bestFit="1" customWidth="1"/>
    <col min="3597" max="3597" width="9.140625" style="762"/>
    <col min="3598" max="3598" width="9.42578125" style="762" bestFit="1" customWidth="1"/>
    <col min="3599" max="3600" width="9.28515625" style="762" bestFit="1" customWidth="1"/>
    <col min="3601" max="3603" width="9.28515625" style="762" customWidth="1"/>
    <col min="3604" max="3604" width="9.28515625" style="762" bestFit="1" customWidth="1"/>
    <col min="3605" max="3840" width="9.140625" style="762"/>
    <col min="3841" max="3841" width="3.140625" style="762" customWidth="1"/>
    <col min="3842" max="3842" width="55.42578125" style="762" customWidth="1"/>
    <col min="3843" max="3843" width="12.28515625" style="762" customWidth="1"/>
    <col min="3844" max="3844" width="13.140625" style="762" customWidth="1"/>
    <col min="3845" max="3845" width="11.7109375" style="762" customWidth="1"/>
    <col min="3846" max="3846" width="13.5703125" style="762" customWidth="1"/>
    <col min="3847" max="3847" width="11.5703125" style="762" customWidth="1"/>
    <col min="3848" max="3848" width="10.5703125" style="762" customWidth="1"/>
    <col min="3849" max="3849" width="11.28515625" style="762" customWidth="1"/>
    <col min="3850" max="3851" width="9.85546875" style="762" customWidth="1"/>
    <col min="3852" max="3852" width="9.85546875" style="762" bestFit="1" customWidth="1"/>
    <col min="3853" max="3853" width="9.140625" style="762"/>
    <col min="3854" max="3854" width="9.42578125" style="762" bestFit="1" customWidth="1"/>
    <col min="3855" max="3856" width="9.28515625" style="762" bestFit="1" customWidth="1"/>
    <col min="3857" max="3859" width="9.28515625" style="762" customWidth="1"/>
    <col min="3860" max="3860" width="9.28515625" style="762" bestFit="1" customWidth="1"/>
    <col min="3861" max="4096" width="9.140625" style="762"/>
    <col min="4097" max="4097" width="3.140625" style="762" customWidth="1"/>
    <col min="4098" max="4098" width="55.42578125" style="762" customWidth="1"/>
    <col min="4099" max="4099" width="12.28515625" style="762" customWidth="1"/>
    <col min="4100" max="4100" width="13.140625" style="762" customWidth="1"/>
    <col min="4101" max="4101" width="11.7109375" style="762" customWidth="1"/>
    <col min="4102" max="4102" width="13.5703125" style="762" customWidth="1"/>
    <col min="4103" max="4103" width="11.5703125" style="762" customWidth="1"/>
    <col min="4104" max="4104" width="10.5703125" style="762" customWidth="1"/>
    <col min="4105" max="4105" width="11.28515625" style="762" customWidth="1"/>
    <col min="4106" max="4107" width="9.85546875" style="762" customWidth="1"/>
    <col min="4108" max="4108" width="9.85546875" style="762" bestFit="1" customWidth="1"/>
    <col min="4109" max="4109" width="9.140625" style="762"/>
    <col min="4110" max="4110" width="9.42578125" style="762" bestFit="1" customWidth="1"/>
    <col min="4111" max="4112" width="9.28515625" style="762" bestFit="1" customWidth="1"/>
    <col min="4113" max="4115" width="9.28515625" style="762" customWidth="1"/>
    <col min="4116" max="4116" width="9.28515625" style="762" bestFit="1" customWidth="1"/>
    <col min="4117" max="4352" width="9.140625" style="762"/>
    <col min="4353" max="4353" width="3.140625" style="762" customWidth="1"/>
    <col min="4354" max="4354" width="55.42578125" style="762" customWidth="1"/>
    <col min="4355" max="4355" width="12.28515625" style="762" customWidth="1"/>
    <col min="4356" max="4356" width="13.140625" style="762" customWidth="1"/>
    <col min="4357" max="4357" width="11.7109375" style="762" customWidth="1"/>
    <col min="4358" max="4358" width="13.5703125" style="762" customWidth="1"/>
    <col min="4359" max="4359" width="11.5703125" style="762" customWidth="1"/>
    <col min="4360" max="4360" width="10.5703125" style="762" customWidth="1"/>
    <col min="4361" max="4361" width="11.28515625" style="762" customWidth="1"/>
    <col min="4362" max="4363" width="9.85546875" style="762" customWidth="1"/>
    <col min="4364" max="4364" width="9.85546875" style="762" bestFit="1" customWidth="1"/>
    <col min="4365" max="4365" width="9.140625" style="762"/>
    <col min="4366" max="4366" width="9.42578125" style="762" bestFit="1" customWidth="1"/>
    <col min="4367" max="4368" width="9.28515625" style="762" bestFit="1" customWidth="1"/>
    <col min="4369" max="4371" width="9.28515625" style="762" customWidth="1"/>
    <col min="4372" max="4372" width="9.28515625" style="762" bestFit="1" customWidth="1"/>
    <col min="4373" max="4608" width="9.140625" style="762"/>
    <col min="4609" max="4609" width="3.140625" style="762" customWidth="1"/>
    <col min="4610" max="4610" width="55.42578125" style="762" customWidth="1"/>
    <col min="4611" max="4611" width="12.28515625" style="762" customWidth="1"/>
    <col min="4612" max="4612" width="13.140625" style="762" customWidth="1"/>
    <col min="4613" max="4613" width="11.7109375" style="762" customWidth="1"/>
    <col min="4614" max="4614" width="13.5703125" style="762" customWidth="1"/>
    <col min="4615" max="4615" width="11.5703125" style="762" customWidth="1"/>
    <col min="4616" max="4616" width="10.5703125" style="762" customWidth="1"/>
    <col min="4617" max="4617" width="11.28515625" style="762" customWidth="1"/>
    <col min="4618" max="4619" width="9.85546875" style="762" customWidth="1"/>
    <col min="4620" max="4620" width="9.85546875" style="762" bestFit="1" customWidth="1"/>
    <col min="4621" max="4621" width="9.140625" style="762"/>
    <col min="4622" max="4622" width="9.42578125" style="762" bestFit="1" customWidth="1"/>
    <col min="4623" max="4624" width="9.28515625" style="762" bestFit="1" customWidth="1"/>
    <col min="4625" max="4627" width="9.28515625" style="762" customWidth="1"/>
    <col min="4628" max="4628" width="9.28515625" style="762" bestFit="1" customWidth="1"/>
    <col min="4629" max="4864" width="9.140625" style="762"/>
    <col min="4865" max="4865" width="3.140625" style="762" customWidth="1"/>
    <col min="4866" max="4866" width="55.42578125" style="762" customWidth="1"/>
    <col min="4867" max="4867" width="12.28515625" style="762" customWidth="1"/>
    <col min="4868" max="4868" width="13.140625" style="762" customWidth="1"/>
    <col min="4869" max="4869" width="11.7109375" style="762" customWidth="1"/>
    <col min="4870" max="4870" width="13.5703125" style="762" customWidth="1"/>
    <col min="4871" max="4871" width="11.5703125" style="762" customWidth="1"/>
    <col min="4872" max="4872" width="10.5703125" style="762" customWidth="1"/>
    <col min="4873" max="4873" width="11.28515625" style="762" customWidth="1"/>
    <col min="4874" max="4875" width="9.85546875" style="762" customWidth="1"/>
    <col min="4876" max="4876" width="9.85546875" style="762" bestFit="1" customWidth="1"/>
    <col min="4877" max="4877" width="9.140625" style="762"/>
    <col min="4878" max="4878" width="9.42578125" style="762" bestFit="1" customWidth="1"/>
    <col min="4879" max="4880" width="9.28515625" style="762" bestFit="1" customWidth="1"/>
    <col min="4881" max="4883" width="9.28515625" style="762" customWidth="1"/>
    <col min="4884" max="4884" width="9.28515625" style="762" bestFit="1" customWidth="1"/>
    <col min="4885" max="5120" width="9.140625" style="762"/>
    <col min="5121" max="5121" width="3.140625" style="762" customWidth="1"/>
    <col min="5122" max="5122" width="55.42578125" style="762" customWidth="1"/>
    <col min="5123" max="5123" width="12.28515625" style="762" customWidth="1"/>
    <col min="5124" max="5124" width="13.140625" style="762" customWidth="1"/>
    <col min="5125" max="5125" width="11.7109375" style="762" customWidth="1"/>
    <col min="5126" max="5126" width="13.5703125" style="762" customWidth="1"/>
    <col min="5127" max="5127" width="11.5703125" style="762" customWidth="1"/>
    <col min="5128" max="5128" width="10.5703125" style="762" customWidth="1"/>
    <col min="5129" max="5129" width="11.28515625" style="762" customWidth="1"/>
    <col min="5130" max="5131" width="9.85546875" style="762" customWidth="1"/>
    <col min="5132" max="5132" width="9.85546875" style="762" bestFit="1" customWidth="1"/>
    <col min="5133" max="5133" width="9.140625" style="762"/>
    <col min="5134" max="5134" width="9.42578125" style="762" bestFit="1" customWidth="1"/>
    <col min="5135" max="5136" width="9.28515625" style="762" bestFit="1" customWidth="1"/>
    <col min="5137" max="5139" width="9.28515625" style="762" customWidth="1"/>
    <col min="5140" max="5140" width="9.28515625" style="762" bestFit="1" customWidth="1"/>
    <col min="5141" max="5376" width="9.140625" style="762"/>
    <col min="5377" max="5377" width="3.140625" style="762" customWidth="1"/>
    <col min="5378" max="5378" width="55.42578125" style="762" customWidth="1"/>
    <col min="5379" max="5379" width="12.28515625" style="762" customWidth="1"/>
    <col min="5380" max="5380" width="13.140625" style="762" customWidth="1"/>
    <col min="5381" max="5381" width="11.7109375" style="762" customWidth="1"/>
    <col min="5382" max="5382" width="13.5703125" style="762" customWidth="1"/>
    <col min="5383" max="5383" width="11.5703125" style="762" customWidth="1"/>
    <col min="5384" max="5384" width="10.5703125" style="762" customWidth="1"/>
    <col min="5385" max="5385" width="11.28515625" style="762" customWidth="1"/>
    <col min="5386" max="5387" width="9.85546875" style="762" customWidth="1"/>
    <col min="5388" max="5388" width="9.85546875" style="762" bestFit="1" customWidth="1"/>
    <col min="5389" max="5389" width="9.140625" style="762"/>
    <col min="5390" max="5390" width="9.42578125" style="762" bestFit="1" customWidth="1"/>
    <col min="5391" max="5392" width="9.28515625" style="762" bestFit="1" customWidth="1"/>
    <col min="5393" max="5395" width="9.28515625" style="762" customWidth="1"/>
    <col min="5396" max="5396" width="9.28515625" style="762" bestFit="1" customWidth="1"/>
    <col min="5397" max="5632" width="9.140625" style="762"/>
    <col min="5633" max="5633" width="3.140625" style="762" customWidth="1"/>
    <col min="5634" max="5634" width="55.42578125" style="762" customWidth="1"/>
    <col min="5635" max="5635" width="12.28515625" style="762" customWidth="1"/>
    <col min="5636" max="5636" width="13.140625" style="762" customWidth="1"/>
    <col min="5637" max="5637" width="11.7109375" style="762" customWidth="1"/>
    <col min="5638" max="5638" width="13.5703125" style="762" customWidth="1"/>
    <col min="5639" max="5639" width="11.5703125" style="762" customWidth="1"/>
    <col min="5640" max="5640" width="10.5703125" style="762" customWidth="1"/>
    <col min="5641" max="5641" width="11.28515625" style="762" customWidth="1"/>
    <col min="5642" max="5643" width="9.85546875" style="762" customWidth="1"/>
    <col min="5644" max="5644" width="9.85546875" style="762" bestFit="1" customWidth="1"/>
    <col min="5645" max="5645" width="9.140625" style="762"/>
    <col min="5646" max="5646" width="9.42578125" style="762" bestFit="1" customWidth="1"/>
    <col min="5647" max="5648" width="9.28515625" style="762" bestFit="1" customWidth="1"/>
    <col min="5649" max="5651" width="9.28515625" style="762" customWidth="1"/>
    <col min="5652" max="5652" width="9.28515625" style="762" bestFit="1" customWidth="1"/>
    <col min="5653" max="5888" width="9.140625" style="762"/>
    <col min="5889" max="5889" width="3.140625" style="762" customWidth="1"/>
    <col min="5890" max="5890" width="55.42578125" style="762" customWidth="1"/>
    <col min="5891" max="5891" width="12.28515625" style="762" customWidth="1"/>
    <col min="5892" max="5892" width="13.140625" style="762" customWidth="1"/>
    <col min="5893" max="5893" width="11.7109375" style="762" customWidth="1"/>
    <col min="5894" max="5894" width="13.5703125" style="762" customWidth="1"/>
    <col min="5895" max="5895" width="11.5703125" style="762" customWidth="1"/>
    <col min="5896" max="5896" width="10.5703125" style="762" customWidth="1"/>
    <col min="5897" max="5897" width="11.28515625" style="762" customWidth="1"/>
    <col min="5898" max="5899" width="9.85546875" style="762" customWidth="1"/>
    <col min="5900" max="5900" width="9.85546875" style="762" bestFit="1" customWidth="1"/>
    <col min="5901" max="5901" width="9.140625" style="762"/>
    <col min="5902" max="5902" width="9.42578125" style="762" bestFit="1" customWidth="1"/>
    <col min="5903" max="5904" width="9.28515625" style="762" bestFit="1" customWidth="1"/>
    <col min="5905" max="5907" width="9.28515625" style="762" customWidth="1"/>
    <col min="5908" max="5908" width="9.28515625" style="762" bestFit="1" customWidth="1"/>
    <col min="5909" max="6144" width="9.140625" style="762"/>
    <col min="6145" max="6145" width="3.140625" style="762" customWidth="1"/>
    <col min="6146" max="6146" width="55.42578125" style="762" customWidth="1"/>
    <col min="6147" max="6147" width="12.28515625" style="762" customWidth="1"/>
    <col min="6148" max="6148" width="13.140625" style="762" customWidth="1"/>
    <col min="6149" max="6149" width="11.7109375" style="762" customWidth="1"/>
    <col min="6150" max="6150" width="13.5703125" style="762" customWidth="1"/>
    <col min="6151" max="6151" width="11.5703125" style="762" customWidth="1"/>
    <col min="6152" max="6152" width="10.5703125" style="762" customWidth="1"/>
    <col min="6153" max="6153" width="11.28515625" style="762" customWidth="1"/>
    <col min="6154" max="6155" width="9.85546875" style="762" customWidth="1"/>
    <col min="6156" max="6156" width="9.85546875" style="762" bestFit="1" customWidth="1"/>
    <col min="6157" max="6157" width="9.140625" style="762"/>
    <col min="6158" max="6158" width="9.42578125" style="762" bestFit="1" customWidth="1"/>
    <col min="6159" max="6160" width="9.28515625" style="762" bestFit="1" customWidth="1"/>
    <col min="6161" max="6163" width="9.28515625" style="762" customWidth="1"/>
    <col min="6164" max="6164" width="9.28515625" style="762" bestFit="1" customWidth="1"/>
    <col min="6165" max="6400" width="9.140625" style="762"/>
    <col min="6401" max="6401" width="3.140625" style="762" customWidth="1"/>
    <col min="6402" max="6402" width="55.42578125" style="762" customWidth="1"/>
    <col min="6403" max="6403" width="12.28515625" style="762" customWidth="1"/>
    <col min="6404" max="6404" width="13.140625" style="762" customWidth="1"/>
    <col min="6405" max="6405" width="11.7109375" style="762" customWidth="1"/>
    <col min="6406" max="6406" width="13.5703125" style="762" customWidth="1"/>
    <col min="6407" max="6407" width="11.5703125" style="762" customWidth="1"/>
    <col min="6408" max="6408" width="10.5703125" style="762" customWidth="1"/>
    <col min="6409" max="6409" width="11.28515625" style="762" customWidth="1"/>
    <col min="6410" max="6411" width="9.85546875" style="762" customWidth="1"/>
    <col min="6412" max="6412" width="9.85546875" style="762" bestFit="1" customWidth="1"/>
    <col min="6413" max="6413" width="9.140625" style="762"/>
    <col min="6414" max="6414" width="9.42578125" style="762" bestFit="1" customWidth="1"/>
    <col min="6415" max="6416" width="9.28515625" style="762" bestFit="1" customWidth="1"/>
    <col min="6417" max="6419" width="9.28515625" style="762" customWidth="1"/>
    <col min="6420" max="6420" width="9.28515625" style="762" bestFit="1" customWidth="1"/>
    <col min="6421" max="6656" width="9.140625" style="762"/>
    <col min="6657" max="6657" width="3.140625" style="762" customWidth="1"/>
    <col min="6658" max="6658" width="55.42578125" style="762" customWidth="1"/>
    <col min="6659" max="6659" width="12.28515625" style="762" customWidth="1"/>
    <col min="6660" max="6660" width="13.140625" style="762" customWidth="1"/>
    <col min="6661" max="6661" width="11.7109375" style="762" customWidth="1"/>
    <col min="6662" max="6662" width="13.5703125" style="762" customWidth="1"/>
    <col min="6663" max="6663" width="11.5703125" style="762" customWidth="1"/>
    <col min="6664" max="6664" width="10.5703125" style="762" customWidth="1"/>
    <col min="6665" max="6665" width="11.28515625" style="762" customWidth="1"/>
    <col min="6666" max="6667" width="9.85546875" style="762" customWidth="1"/>
    <col min="6668" max="6668" width="9.85546875" style="762" bestFit="1" customWidth="1"/>
    <col min="6669" max="6669" width="9.140625" style="762"/>
    <col min="6670" max="6670" width="9.42578125" style="762" bestFit="1" customWidth="1"/>
    <col min="6671" max="6672" width="9.28515625" style="762" bestFit="1" customWidth="1"/>
    <col min="6673" max="6675" width="9.28515625" style="762" customWidth="1"/>
    <col min="6676" max="6676" width="9.28515625" style="762" bestFit="1" customWidth="1"/>
    <col min="6677" max="6912" width="9.140625" style="762"/>
    <col min="6913" max="6913" width="3.140625" style="762" customWidth="1"/>
    <col min="6914" max="6914" width="55.42578125" style="762" customWidth="1"/>
    <col min="6915" max="6915" width="12.28515625" style="762" customWidth="1"/>
    <col min="6916" max="6916" width="13.140625" style="762" customWidth="1"/>
    <col min="6917" max="6917" width="11.7109375" style="762" customWidth="1"/>
    <col min="6918" max="6918" width="13.5703125" style="762" customWidth="1"/>
    <col min="6919" max="6919" width="11.5703125" style="762" customWidth="1"/>
    <col min="6920" max="6920" width="10.5703125" style="762" customWidth="1"/>
    <col min="6921" max="6921" width="11.28515625" style="762" customWidth="1"/>
    <col min="6922" max="6923" width="9.85546875" style="762" customWidth="1"/>
    <col min="6924" max="6924" width="9.85546875" style="762" bestFit="1" customWidth="1"/>
    <col min="6925" max="6925" width="9.140625" style="762"/>
    <col min="6926" max="6926" width="9.42578125" style="762" bestFit="1" customWidth="1"/>
    <col min="6927" max="6928" width="9.28515625" style="762" bestFit="1" customWidth="1"/>
    <col min="6929" max="6931" width="9.28515625" style="762" customWidth="1"/>
    <col min="6932" max="6932" width="9.28515625" style="762" bestFit="1" customWidth="1"/>
    <col min="6933" max="7168" width="9.140625" style="762"/>
    <col min="7169" max="7169" width="3.140625" style="762" customWidth="1"/>
    <col min="7170" max="7170" width="55.42578125" style="762" customWidth="1"/>
    <col min="7171" max="7171" width="12.28515625" style="762" customWidth="1"/>
    <col min="7172" max="7172" width="13.140625" style="762" customWidth="1"/>
    <col min="7173" max="7173" width="11.7109375" style="762" customWidth="1"/>
    <col min="7174" max="7174" width="13.5703125" style="762" customWidth="1"/>
    <col min="7175" max="7175" width="11.5703125" style="762" customWidth="1"/>
    <col min="7176" max="7176" width="10.5703125" style="762" customWidth="1"/>
    <col min="7177" max="7177" width="11.28515625" style="762" customWidth="1"/>
    <col min="7178" max="7179" width="9.85546875" style="762" customWidth="1"/>
    <col min="7180" max="7180" width="9.85546875" style="762" bestFit="1" customWidth="1"/>
    <col min="7181" max="7181" width="9.140625" style="762"/>
    <col min="7182" max="7182" width="9.42578125" style="762" bestFit="1" customWidth="1"/>
    <col min="7183" max="7184" width="9.28515625" style="762" bestFit="1" customWidth="1"/>
    <col min="7185" max="7187" width="9.28515625" style="762" customWidth="1"/>
    <col min="7188" max="7188" width="9.28515625" style="762" bestFit="1" customWidth="1"/>
    <col min="7189" max="7424" width="9.140625" style="762"/>
    <col min="7425" max="7425" width="3.140625" style="762" customWidth="1"/>
    <col min="7426" max="7426" width="55.42578125" style="762" customWidth="1"/>
    <col min="7427" max="7427" width="12.28515625" style="762" customWidth="1"/>
    <col min="7428" max="7428" width="13.140625" style="762" customWidth="1"/>
    <col min="7429" max="7429" width="11.7109375" style="762" customWidth="1"/>
    <col min="7430" max="7430" width="13.5703125" style="762" customWidth="1"/>
    <col min="7431" max="7431" width="11.5703125" style="762" customWidth="1"/>
    <col min="7432" max="7432" width="10.5703125" style="762" customWidth="1"/>
    <col min="7433" max="7433" width="11.28515625" style="762" customWidth="1"/>
    <col min="7434" max="7435" width="9.85546875" style="762" customWidth="1"/>
    <col min="7436" max="7436" width="9.85546875" style="762" bestFit="1" customWidth="1"/>
    <col min="7437" max="7437" width="9.140625" style="762"/>
    <col min="7438" max="7438" width="9.42578125" style="762" bestFit="1" customWidth="1"/>
    <col min="7439" max="7440" width="9.28515625" style="762" bestFit="1" customWidth="1"/>
    <col min="7441" max="7443" width="9.28515625" style="762" customWidth="1"/>
    <col min="7444" max="7444" width="9.28515625" style="762" bestFit="1" customWidth="1"/>
    <col min="7445" max="7680" width="9.140625" style="762"/>
    <col min="7681" max="7681" width="3.140625" style="762" customWidth="1"/>
    <col min="7682" max="7682" width="55.42578125" style="762" customWidth="1"/>
    <col min="7683" max="7683" width="12.28515625" style="762" customWidth="1"/>
    <col min="7684" max="7684" width="13.140625" style="762" customWidth="1"/>
    <col min="7685" max="7685" width="11.7109375" style="762" customWidth="1"/>
    <col min="7686" max="7686" width="13.5703125" style="762" customWidth="1"/>
    <col min="7687" max="7687" width="11.5703125" style="762" customWidth="1"/>
    <col min="7688" max="7688" width="10.5703125" style="762" customWidth="1"/>
    <col min="7689" max="7689" width="11.28515625" style="762" customWidth="1"/>
    <col min="7690" max="7691" width="9.85546875" style="762" customWidth="1"/>
    <col min="7692" max="7692" width="9.85546875" style="762" bestFit="1" customWidth="1"/>
    <col min="7693" max="7693" width="9.140625" style="762"/>
    <col min="7694" max="7694" width="9.42578125" style="762" bestFit="1" customWidth="1"/>
    <col min="7695" max="7696" width="9.28515625" style="762" bestFit="1" customWidth="1"/>
    <col min="7697" max="7699" width="9.28515625" style="762" customWidth="1"/>
    <col min="7700" max="7700" width="9.28515625" style="762" bestFit="1" customWidth="1"/>
    <col min="7701" max="7936" width="9.140625" style="762"/>
    <col min="7937" max="7937" width="3.140625" style="762" customWidth="1"/>
    <col min="7938" max="7938" width="55.42578125" style="762" customWidth="1"/>
    <col min="7939" max="7939" width="12.28515625" style="762" customWidth="1"/>
    <col min="7940" max="7940" width="13.140625" style="762" customWidth="1"/>
    <col min="7941" max="7941" width="11.7109375" style="762" customWidth="1"/>
    <col min="7942" max="7942" width="13.5703125" style="762" customWidth="1"/>
    <col min="7943" max="7943" width="11.5703125" style="762" customWidth="1"/>
    <col min="7944" max="7944" width="10.5703125" style="762" customWidth="1"/>
    <col min="7945" max="7945" width="11.28515625" style="762" customWidth="1"/>
    <col min="7946" max="7947" width="9.85546875" style="762" customWidth="1"/>
    <col min="7948" max="7948" width="9.85546875" style="762" bestFit="1" customWidth="1"/>
    <col min="7949" max="7949" width="9.140625" style="762"/>
    <col min="7950" max="7950" width="9.42578125" style="762" bestFit="1" customWidth="1"/>
    <col min="7951" max="7952" width="9.28515625" style="762" bestFit="1" customWidth="1"/>
    <col min="7953" max="7955" width="9.28515625" style="762" customWidth="1"/>
    <col min="7956" max="7956" width="9.28515625" style="762" bestFit="1" customWidth="1"/>
    <col min="7957" max="8192" width="9.140625" style="762"/>
    <col min="8193" max="8193" width="3.140625" style="762" customWidth="1"/>
    <col min="8194" max="8194" width="55.42578125" style="762" customWidth="1"/>
    <col min="8195" max="8195" width="12.28515625" style="762" customWidth="1"/>
    <col min="8196" max="8196" width="13.140625" style="762" customWidth="1"/>
    <col min="8197" max="8197" width="11.7109375" style="762" customWidth="1"/>
    <col min="8198" max="8198" width="13.5703125" style="762" customWidth="1"/>
    <col min="8199" max="8199" width="11.5703125" style="762" customWidth="1"/>
    <col min="8200" max="8200" width="10.5703125" style="762" customWidth="1"/>
    <col min="8201" max="8201" width="11.28515625" style="762" customWidth="1"/>
    <col min="8202" max="8203" width="9.85546875" style="762" customWidth="1"/>
    <col min="8204" max="8204" width="9.85546875" style="762" bestFit="1" customWidth="1"/>
    <col min="8205" max="8205" width="9.140625" style="762"/>
    <col min="8206" max="8206" width="9.42578125" style="762" bestFit="1" customWidth="1"/>
    <col min="8207" max="8208" width="9.28515625" style="762" bestFit="1" customWidth="1"/>
    <col min="8209" max="8211" width="9.28515625" style="762" customWidth="1"/>
    <col min="8212" max="8212" width="9.28515625" style="762" bestFit="1" customWidth="1"/>
    <col min="8213" max="8448" width="9.140625" style="762"/>
    <col min="8449" max="8449" width="3.140625" style="762" customWidth="1"/>
    <col min="8450" max="8450" width="55.42578125" style="762" customWidth="1"/>
    <col min="8451" max="8451" width="12.28515625" style="762" customWidth="1"/>
    <col min="8452" max="8452" width="13.140625" style="762" customWidth="1"/>
    <col min="8453" max="8453" width="11.7109375" style="762" customWidth="1"/>
    <col min="8454" max="8454" width="13.5703125" style="762" customWidth="1"/>
    <col min="8455" max="8455" width="11.5703125" style="762" customWidth="1"/>
    <col min="8456" max="8456" width="10.5703125" style="762" customWidth="1"/>
    <col min="8457" max="8457" width="11.28515625" style="762" customWidth="1"/>
    <col min="8458" max="8459" width="9.85546875" style="762" customWidth="1"/>
    <col min="8460" max="8460" width="9.85546875" style="762" bestFit="1" customWidth="1"/>
    <col min="8461" max="8461" width="9.140625" style="762"/>
    <col min="8462" max="8462" width="9.42578125" style="762" bestFit="1" customWidth="1"/>
    <col min="8463" max="8464" width="9.28515625" style="762" bestFit="1" customWidth="1"/>
    <col min="8465" max="8467" width="9.28515625" style="762" customWidth="1"/>
    <col min="8468" max="8468" width="9.28515625" style="762" bestFit="1" customWidth="1"/>
    <col min="8469" max="8704" width="9.140625" style="762"/>
    <col min="8705" max="8705" width="3.140625" style="762" customWidth="1"/>
    <col min="8706" max="8706" width="55.42578125" style="762" customWidth="1"/>
    <col min="8707" max="8707" width="12.28515625" style="762" customWidth="1"/>
    <col min="8708" max="8708" width="13.140625" style="762" customWidth="1"/>
    <col min="8709" max="8709" width="11.7109375" style="762" customWidth="1"/>
    <col min="8710" max="8710" width="13.5703125" style="762" customWidth="1"/>
    <col min="8711" max="8711" width="11.5703125" style="762" customWidth="1"/>
    <col min="8712" max="8712" width="10.5703125" style="762" customWidth="1"/>
    <col min="8713" max="8713" width="11.28515625" style="762" customWidth="1"/>
    <col min="8714" max="8715" width="9.85546875" style="762" customWidth="1"/>
    <col min="8716" max="8716" width="9.85546875" style="762" bestFit="1" customWidth="1"/>
    <col min="8717" max="8717" width="9.140625" style="762"/>
    <col min="8718" max="8718" width="9.42578125" style="762" bestFit="1" customWidth="1"/>
    <col min="8719" max="8720" width="9.28515625" style="762" bestFit="1" customWidth="1"/>
    <col min="8721" max="8723" width="9.28515625" style="762" customWidth="1"/>
    <col min="8724" max="8724" width="9.28515625" style="762" bestFit="1" customWidth="1"/>
    <col min="8725" max="8960" width="9.140625" style="762"/>
    <col min="8961" max="8961" width="3.140625" style="762" customWidth="1"/>
    <col min="8962" max="8962" width="55.42578125" style="762" customWidth="1"/>
    <col min="8963" max="8963" width="12.28515625" style="762" customWidth="1"/>
    <col min="8964" max="8964" width="13.140625" style="762" customWidth="1"/>
    <col min="8965" max="8965" width="11.7109375" style="762" customWidth="1"/>
    <col min="8966" max="8966" width="13.5703125" style="762" customWidth="1"/>
    <col min="8967" max="8967" width="11.5703125" style="762" customWidth="1"/>
    <col min="8968" max="8968" width="10.5703125" style="762" customWidth="1"/>
    <col min="8969" max="8969" width="11.28515625" style="762" customWidth="1"/>
    <col min="8970" max="8971" width="9.85546875" style="762" customWidth="1"/>
    <col min="8972" max="8972" width="9.85546875" style="762" bestFit="1" customWidth="1"/>
    <col min="8973" max="8973" width="9.140625" style="762"/>
    <col min="8974" max="8974" width="9.42578125" style="762" bestFit="1" customWidth="1"/>
    <col min="8975" max="8976" width="9.28515625" style="762" bestFit="1" customWidth="1"/>
    <col min="8977" max="8979" width="9.28515625" style="762" customWidth="1"/>
    <col min="8980" max="8980" width="9.28515625" style="762" bestFit="1" customWidth="1"/>
    <col min="8981" max="9216" width="9.140625" style="762"/>
    <col min="9217" max="9217" width="3.140625" style="762" customWidth="1"/>
    <col min="9218" max="9218" width="55.42578125" style="762" customWidth="1"/>
    <col min="9219" max="9219" width="12.28515625" style="762" customWidth="1"/>
    <col min="9220" max="9220" width="13.140625" style="762" customWidth="1"/>
    <col min="9221" max="9221" width="11.7109375" style="762" customWidth="1"/>
    <col min="9222" max="9222" width="13.5703125" style="762" customWidth="1"/>
    <col min="9223" max="9223" width="11.5703125" style="762" customWidth="1"/>
    <col min="9224" max="9224" width="10.5703125" style="762" customWidth="1"/>
    <col min="9225" max="9225" width="11.28515625" style="762" customWidth="1"/>
    <col min="9226" max="9227" width="9.85546875" style="762" customWidth="1"/>
    <col min="9228" max="9228" width="9.85546875" style="762" bestFit="1" customWidth="1"/>
    <col min="9229" max="9229" width="9.140625" style="762"/>
    <col min="9230" max="9230" width="9.42578125" style="762" bestFit="1" customWidth="1"/>
    <col min="9231" max="9232" width="9.28515625" style="762" bestFit="1" customWidth="1"/>
    <col min="9233" max="9235" width="9.28515625" style="762" customWidth="1"/>
    <col min="9236" max="9236" width="9.28515625" style="762" bestFit="1" customWidth="1"/>
    <col min="9237" max="9472" width="9.140625" style="762"/>
    <col min="9473" max="9473" width="3.140625" style="762" customWidth="1"/>
    <col min="9474" max="9474" width="55.42578125" style="762" customWidth="1"/>
    <col min="9475" max="9475" width="12.28515625" style="762" customWidth="1"/>
    <col min="9476" max="9476" width="13.140625" style="762" customWidth="1"/>
    <col min="9477" max="9477" width="11.7109375" style="762" customWidth="1"/>
    <col min="9478" max="9478" width="13.5703125" style="762" customWidth="1"/>
    <col min="9479" max="9479" width="11.5703125" style="762" customWidth="1"/>
    <col min="9480" max="9480" width="10.5703125" style="762" customWidth="1"/>
    <col min="9481" max="9481" width="11.28515625" style="762" customWidth="1"/>
    <col min="9482" max="9483" width="9.85546875" style="762" customWidth="1"/>
    <col min="9484" max="9484" width="9.85546875" style="762" bestFit="1" customWidth="1"/>
    <col min="9485" max="9485" width="9.140625" style="762"/>
    <col min="9486" max="9486" width="9.42578125" style="762" bestFit="1" customWidth="1"/>
    <col min="9487" max="9488" width="9.28515625" style="762" bestFit="1" customWidth="1"/>
    <col min="9489" max="9491" width="9.28515625" style="762" customWidth="1"/>
    <col min="9492" max="9492" width="9.28515625" style="762" bestFit="1" customWidth="1"/>
    <col min="9493" max="9728" width="9.140625" style="762"/>
    <col min="9729" max="9729" width="3.140625" style="762" customWidth="1"/>
    <col min="9730" max="9730" width="55.42578125" style="762" customWidth="1"/>
    <col min="9731" max="9731" width="12.28515625" style="762" customWidth="1"/>
    <col min="9732" max="9732" width="13.140625" style="762" customWidth="1"/>
    <col min="9733" max="9733" width="11.7109375" style="762" customWidth="1"/>
    <col min="9734" max="9734" width="13.5703125" style="762" customWidth="1"/>
    <col min="9735" max="9735" width="11.5703125" style="762" customWidth="1"/>
    <col min="9736" max="9736" width="10.5703125" style="762" customWidth="1"/>
    <col min="9737" max="9737" width="11.28515625" style="762" customWidth="1"/>
    <col min="9738" max="9739" width="9.85546875" style="762" customWidth="1"/>
    <col min="9740" max="9740" width="9.85546875" style="762" bestFit="1" customWidth="1"/>
    <col min="9741" max="9741" width="9.140625" style="762"/>
    <col min="9742" max="9742" width="9.42578125" style="762" bestFit="1" customWidth="1"/>
    <col min="9743" max="9744" width="9.28515625" style="762" bestFit="1" customWidth="1"/>
    <col min="9745" max="9747" width="9.28515625" style="762" customWidth="1"/>
    <col min="9748" max="9748" width="9.28515625" style="762" bestFit="1" customWidth="1"/>
    <col min="9749" max="9984" width="9.140625" style="762"/>
    <col min="9985" max="9985" width="3.140625" style="762" customWidth="1"/>
    <col min="9986" max="9986" width="55.42578125" style="762" customWidth="1"/>
    <col min="9987" max="9987" width="12.28515625" style="762" customWidth="1"/>
    <col min="9988" max="9988" width="13.140625" style="762" customWidth="1"/>
    <col min="9989" max="9989" width="11.7109375" style="762" customWidth="1"/>
    <col min="9990" max="9990" width="13.5703125" style="762" customWidth="1"/>
    <col min="9991" max="9991" width="11.5703125" style="762" customWidth="1"/>
    <col min="9992" max="9992" width="10.5703125" style="762" customWidth="1"/>
    <col min="9993" max="9993" width="11.28515625" style="762" customWidth="1"/>
    <col min="9994" max="9995" width="9.85546875" style="762" customWidth="1"/>
    <col min="9996" max="9996" width="9.85546875" style="762" bestFit="1" customWidth="1"/>
    <col min="9997" max="9997" width="9.140625" style="762"/>
    <col min="9998" max="9998" width="9.42578125" style="762" bestFit="1" customWidth="1"/>
    <col min="9999" max="10000" width="9.28515625" style="762" bestFit="1" customWidth="1"/>
    <col min="10001" max="10003" width="9.28515625" style="762" customWidth="1"/>
    <col min="10004" max="10004" width="9.28515625" style="762" bestFit="1" customWidth="1"/>
    <col min="10005" max="10240" width="9.140625" style="762"/>
    <col min="10241" max="10241" width="3.140625" style="762" customWidth="1"/>
    <col min="10242" max="10242" width="55.42578125" style="762" customWidth="1"/>
    <col min="10243" max="10243" width="12.28515625" style="762" customWidth="1"/>
    <col min="10244" max="10244" width="13.140625" style="762" customWidth="1"/>
    <col min="10245" max="10245" width="11.7109375" style="762" customWidth="1"/>
    <col min="10246" max="10246" width="13.5703125" style="762" customWidth="1"/>
    <col min="10247" max="10247" width="11.5703125" style="762" customWidth="1"/>
    <col min="10248" max="10248" width="10.5703125" style="762" customWidth="1"/>
    <col min="10249" max="10249" width="11.28515625" style="762" customWidth="1"/>
    <col min="10250" max="10251" width="9.85546875" style="762" customWidth="1"/>
    <col min="10252" max="10252" width="9.85546875" style="762" bestFit="1" customWidth="1"/>
    <col min="10253" max="10253" width="9.140625" style="762"/>
    <col min="10254" max="10254" width="9.42578125" style="762" bestFit="1" customWidth="1"/>
    <col min="10255" max="10256" width="9.28515625" style="762" bestFit="1" customWidth="1"/>
    <col min="10257" max="10259" width="9.28515625" style="762" customWidth="1"/>
    <col min="10260" max="10260" width="9.28515625" style="762" bestFit="1" customWidth="1"/>
    <col min="10261" max="10496" width="9.140625" style="762"/>
    <col min="10497" max="10497" width="3.140625" style="762" customWidth="1"/>
    <col min="10498" max="10498" width="55.42578125" style="762" customWidth="1"/>
    <col min="10499" max="10499" width="12.28515625" style="762" customWidth="1"/>
    <col min="10500" max="10500" width="13.140625" style="762" customWidth="1"/>
    <col min="10501" max="10501" width="11.7109375" style="762" customWidth="1"/>
    <col min="10502" max="10502" width="13.5703125" style="762" customWidth="1"/>
    <col min="10503" max="10503" width="11.5703125" style="762" customWidth="1"/>
    <col min="10504" max="10504" width="10.5703125" style="762" customWidth="1"/>
    <col min="10505" max="10505" width="11.28515625" style="762" customWidth="1"/>
    <col min="10506" max="10507" width="9.85546875" style="762" customWidth="1"/>
    <col min="10508" max="10508" width="9.85546875" style="762" bestFit="1" customWidth="1"/>
    <col min="10509" max="10509" width="9.140625" style="762"/>
    <col min="10510" max="10510" width="9.42578125" style="762" bestFit="1" customWidth="1"/>
    <col min="10511" max="10512" width="9.28515625" style="762" bestFit="1" customWidth="1"/>
    <col min="10513" max="10515" width="9.28515625" style="762" customWidth="1"/>
    <col min="10516" max="10516" width="9.28515625" style="762" bestFit="1" customWidth="1"/>
    <col min="10517" max="10752" width="9.140625" style="762"/>
    <col min="10753" max="10753" width="3.140625" style="762" customWidth="1"/>
    <col min="10754" max="10754" width="55.42578125" style="762" customWidth="1"/>
    <col min="10755" max="10755" width="12.28515625" style="762" customWidth="1"/>
    <col min="10756" max="10756" width="13.140625" style="762" customWidth="1"/>
    <col min="10757" max="10757" width="11.7109375" style="762" customWidth="1"/>
    <col min="10758" max="10758" width="13.5703125" style="762" customWidth="1"/>
    <col min="10759" max="10759" width="11.5703125" style="762" customWidth="1"/>
    <col min="10760" max="10760" width="10.5703125" style="762" customWidth="1"/>
    <col min="10761" max="10761" width="11.28515625" style="762" customWidth="1"/>
    <col min="10762" max="10763" width="9.85546875" style="762" customWidth="1"/>
    <col min="10764" max="10764" width="9.85546875" style="762" bestFit="1" customWidth="1"/>
    <col min="10765" max="10765" width="9.140625" style="762"/>
    <col min="10766" max="10766" width="9.42578125" style="762" bestFit="1" customWidth="1"/>
    <col min="10767" max="10768" width="9.28515625" style="762" bestFit="1" customWidth="1"/>
    <col min="10769" max="10771" width="9.28515625" style="762" customWidth="1"/>
    <col min="10772" max="10772" width="9.28515625" style="762" bestFit="1" customWidth="1"/>
    <col min="10773" max="11008" width="9.140625" style="762"/>
    <col min="11009" max="11009" width="3.140625" style="762" customWidth="1"/>
    <col min="11010" max="11010" width="55.42578125" style="762" customWidth="1"/>
    <col min="11011" max="11011" width="12.28515625" style="762" customWidth="1"/>
    <col min="11012" max="11012" width="13.140625" style="762" customWidth="1"/>
    <col min="11013" max="11013" width="11.7109375" style="762" customWidth="1"/>
    <col min="11014" max="11014" width="13.5703125" style="762" customWidth="1"/>
    <col min="11015" max="11015" width="11.5703125" style="762" customWidth="1"/>
    <col min="11016" max="11016" width="10.5703125" style="762" customWidth="1"/>
    <col min="11017" max="11017" width="11.28515625" style="762" customWidth="1"/>
    <col min="11018" max="11019" width="9.85546875" style="762" customWidth="1"/>
    <col min="11020" max="11020" width="9.85546875" style="762" bestFit="1" customWidth="1"/>
    <col min="11021" max="11021" width="9.140625" style="762"/>
    <col min="11022" max="11022" width="9.42578125" style="762" bestFit="1" customWidth="1"/>
    <col min="11023" max="11024" width="9.28515625" style="762" bestFit="1" customWidth="1"/>
    <col min="11025" max="11027" width="9.28515625" style="762" customWidth="1"/>
    <col min="11028" max="11028" width="9.28515625" style="762" bestFit="1" customWidth="1"/>
    <col min="11029" max="11264" width="9.140625" style="762"/>
    <col min="11265" max="11265" width="3.140625" style="762" customWidth="1"/>
    <col min="11266" max="11266" width="55.42578125" style="762" customWidth="1"/>
    <col min="11267" max="11267" width="12.28515625" style="762" customWidth="1"/>
    <col min="11268" max="11268" width="13.140625" style="762" customWidth="1"/>
    <col min="11269" max="11269" width="11.7109375" style="762" customWidth="1"/>
    <col min="11270" max="11270" width="13.5703125" style="762" customWidth="1"/>
    <col min="11271" max="11271" width="11.5703125" style="762" customWidth="1"/>
    <col min="11272" max="11272" width="10.5703125" style="762" customWidth="1"/>
    <col min="11273" max="11273" width="11.28515625" style="762" customWidth="1"/>
    <col min="11274" max="11275" width="9.85546875" style="762" customWidth="1"/>
    <col min="11276" max="11276" width="9.85546875" style="762" bestFit="1" customWidth="1"/>
    <col min="11277" max="11277" width="9.140625" style="762"/>
    <col min="11278" max="11278" width="9.42578125" style="762" bestFit="1" customWidth="1"/>
    <col min="11279" max="11280" width="9.28515625" style="762" bestFit="1" customWidth="1"/>
    <col min="11281" max="11283" width="9.28515625" style="762" customWidth="1"/>
    <col min="11284" max="11284" width="9.28515625" style="762" bestFit="1" customWidth="1"/>
    <col min="11285" max="11520" width="9.140625" style="762"/>
    <col min="11521" max="11521" width="3.140625" style="762" customWidth="1"/>
    <col min="11522" max="11522" width="55.42578125" style="762" customWidth="1"/>
    <col min="11523" max="11523" width="12.28515625" style="762" customWidth="1"/>
    <col min="11524" max="11524" width="13.140625" style="762" customWidth="1"/>
    <col min="11525" max="11525" width="11.7109375" style="762" customWidth="1"/>
    <col min="11526" max="11526" width="13.5703125" style="762" customWidth="1"/>
    <col min="11527" max="11527" width="11.5703125" style="762" customWidth="1"/>
    <col min="11528" max="11528" width="10.5703125" style="762" customWidth="1"/>
    <col min="11529" max="11529" width="11.28515625" style="762" customWidth="1"/>
    <col min="11530" max="11531" width="9.85546875" style="762" customWidth="1"/>
    <col min="11532" max="11532" width="9.85546875" style="762" bestFit="1" customWidth="1"/>
    <col min="11533" max="11533" width="9.140625" style="762"/>
    <col min="11534" max="11534" width="9.42578125" style="762" bestFit="1" customWidth="1"/>
    <col min="11535" max="11536" width="9.28515625" style="762" bestFit="1" customWidth="1"/>
    <col min="11537" max="11539" width="9.28515625" style="762" customWidth="1"/>
    <col min="11540" max="11540" width="9.28515625" style="762" bestFit="1" customWidth="1"/>
    <col min="11541" max="11776" width="9.140625" style="762"/>
    <col min="11777" max="11777" width="3.140625" style="762" customWidth="1"/>
    <col min="11778" max="11778" width="55.42578125" style="762" customWidth="1"/>
    <col min="11779" max="11779" width="12.28515625" style="762" customWidth="1"/>
    <col min="11780" max="11780" width="13.140625" style="762" customWidth="1"/>
    <col min="11781" max="11781" width="11.7109375" style="762" customWidth="1"/>
    <col min="11782" max="11782" width="13.5703125" style="762" customWidth="1"/>
    <col min="11783" max="11783" width="11.5703125" style="762" customWidth="1"/>
    <col min="11784" max="11784" width="10.5703125" style="762" customWidth="1"/>
    <col min="11785" max="11785" width="11.28515625" style="762" customWidth="1"/>
    <col min="11786" max="11787" width="9.85546875" style="762" customWidth="1"/>
    <col min="11788" max="11788" width="9.85546875" style="762" bestFit="1" customWidth="1"/>
    <col min="11789" max="11789" width="9.140625" style="762"/>
    <col min="11790" max="11790" width="9.42578125" style="762" bestFit="1" customWidth="1"/>
    <col min="11791" max="11792" width="9.28515625" style="762" bestFit="1" customWidth="1"/>
    <col min="11793" max="11795" width="9.28515625" style="762" customWidth="1"/>
    <col min="11796" max="11796" width="9.28515625" style="762" bestFit="1" customWidth="1"/>
    <col min="11797" max="12032" width="9.140625" style="762"/>
    <col min="12033" max="12033" width="3.140625" style="762" customWidth="1"/>
    <col min="12034" max="12034" width="55.42578125" style="762" customWidth="1"/>
    <col min="12035" max="12035" width="12.28515625" style="762" customWidth="1"/>
    <col min="12036" max="12036" width="13.140625" style="762" customWidth="1"/>
    <col min="12037" max="12037" width="11.7109375" style="762" customWidth="1"/>
    <col min="12038" max="12038" width="13.5703125" style="762" customWidth="1"/>
    <col min="12039" max="12039" width="11.5703125" style="762" customWidth="1"/>
    <col min="12040" max="12040" width="10.5703125" style="762" customWidth="1"/>
    <col min="12041" max="12041" width="11.28515625" style="762" customWidth="1"/>
    <col min="12042" max="12043" width="9.85546875" style="762" customWidth="1"/>
    <col min="12044" max="12044" width="9.85546875" style="762" bestFit="1" customWidth="1"/>
    <col min="12045" max="12045" width="9.140625" style="762"/>
    <col min="12046" max="12046" width="9.42578125" style="762" bestFit="1" customWidth="1"/>
    <col min="12047" max="12048" width="9.28515625" style="762" bestFit="1" customWidth="1"/>
    <col min="12049" max="12051" width="9.28515625" style="762" customWidth="1"/>
    <col min="12052" max="12052" width="9.28515625" style="762" bestFit="1" customWidth="1"/>
    <col min="12053" max="12288" width="9.140625" style="762"/>
    <col min="12289" max="12289" width="3.140625" style="762" customWidth="1"/>
    <col min="12290" max="12290" width="55.42578125" style="762" customWidth="1"/>
    <col min="12291" max="12291" width="12.28515625" style="762" customWidth="1"/>
    <col min="12292" max="12292" width="13.140625" style="762" customWidth="1"/>
    <col min="12293" max="12293" width="11.7109375" style="762" customWidth="1"/>
    <col min="12294" max="12294" width="13.5703125" style="762" customWidth="1"/>
    <col min="12295" max="12295" width="11.5703125" style="762" customWidth="1"/>
    <col min="12296" max="12296" width="10.5703125" style="762" customWidth="1"/>
    <col min="12297" max="12297" width="11.28515625" style="762" customWidth="1"/>
    <col min="12298" max="12299" width="9.85546875" style="762" customWidth="1"/>
    <col min="12300" max="12300" width="9.85546875" style="762" bestFit="1" customWidth="1"/>
    <col min="12301" max="12301" width="9.140625" style="762"/>
    <col min="12302" max="12302" width="9.42578125" style="762" bestFit="1" customWidth="1"/>
    <col min="12303" max="12304" width="9.28515625" style="762" bestFit="1" customWidth="1"/>
    <col min="12305" max="12307" width="9.28515625" style="762" customWidth="1"/>
    <col min="12308" max="12308" width="9.28515625" style="762" bestFit="1" customWidth="1"/>
    <col min="12309" max="12544" width="9.140625" style="762"/>
    <col min="12545" max="12545" width="3.140625" style="762" customWidth="1"/>
    <col min="12546" max="12546" width="55.42578125" style="762" customWidth="1"/>
    <col min="12547" max="12547" width="12.28515625" style="762" customWidth="1"/>
    <col min="12548" max="12548" width="13.140625" style="762" customWidth="1"/>
    <col min="12549" max="12549" width="11.7109375" style="762" customWidth="1"/>
    <col min="12550" max="12550" width="13.5703125" style="762" customWidth="1"/>
    <col min="12551" max="12551" width="11.5703125" style="762" customWidth="1"/>
    <col min="12552" max="12552" width="10.5703125" style="762" customWidth="1"/>
    <col min="12553" max="12553" width="11.28515625" style="762" customWidth="1"/>
    <col min="12554" max="12555" width="9.85546875" style="762" customWidth="1"/>
    <col min="12556" max="12556" width="9.85546875" style="762" bestFit="1" customWidth="1"/>
    <col min="12557" max="12557" width="9.140625" style="762"/>
    <col min="12558" max="12558" width="9.42578125" style="762" bestFit="1" customWidth="1"/>
    <col min="12559" max="12560" width="9.28515625" style="762" bestFit="1" customWidth="1"/>
    <col min="12561" max="12563" width="9.28515625" style="762" customWidth="1"/>
    <col min="12564" max="12564" width="9.28515625" style="762" bestFit="1" customWidth="1"/>
    <col min="12565" max="12800" width="9.140625" style="762"/>
    <col min="12801" max="12801" width="3.140625" style="762" customWidth="1"/>
    <col min="12802" max="12802" width="55.42578125" style="762" customWidth="1"/>
    <col min="12803" max="12803" width="12.28515625" style="762" customWidth="1"/>
    <col min="12804" max="12804" width="13.140625" style="762" customWidth="1"/>
    <col min="12805" max="12805" width="11.7109375" style="762" customWidth="1"/>
    <col min="12806" max="12806" width="13.5703125" style="762" customWidth="1"/>
    <col min="12807" max="12807" width="11.5703125" style="762" customWidth="1"/>
    <col min="12808" max="12808" width="10.5703125" style="762" customWidth="1"/>
    <col min="12809" max="12809" width="11.28515625" style="762" customWidth="1"/>
    <col min="12810" max="12811" width="9.85546875" style="762" customWidth="1"/>
    <col min="12812" max="12812" width="9.85546875" style="762" bestFit="1" customWidth="1"/>
    <col min="12813" max="12813" width="9.140625" style="762"/>
    <col min="12814" max="12814" width="9.42578125" style="762" bestFit="1" customWidth="1"/>
    <col min="12815" max="12816" width="9.28515625" style="762" bestFit="1" customWidth="1"/>
    <col min="12817" max="12819" width="9.28515625" style="762" customWidth="1"/>
    <col min="12820" max="12820" width="9.28515625" style="762" bestFit="1" customWidth="1"/>
    <col min="12821" max="13056" width="9.140625" style="762"/>
    <col min="13057" max="13057" width="3.140625" style="762" customWidth="1"/>
    <col min="13058" max="13058" width="55.42578125" style="762" customWidth="1"/>
    <col min="13059" max="13059" width="12.28515625" style="762" customWidth="1"/>
    <col min="13060" max="13060" width="13.140625" style="762" customWidth="1"/>
    <col min="13061" max="13061" width="11.7109375" style="762" customWidth="1"/>
    <col min="13062" max="13062" width="13.5703125" style="762" customWidth="1"/>
    <col min="13063" max="13063" width="11.5703125" style="762" customWidth="1"/>
    <col min="13064" max="13064" width="10.5703125" style="762" customWidth="1"/>
    <col min="13065" max="13065" width="11.28515625" style="762" customWidth="1"/>
    <col min="13066" max="13067" width="9.85546875" style="762" customWidth="1"/>
    <col min="13068" max="13068" width="9.85546875" style="762" bestFit="1" customWidth="1"/>
    <col min="13069" max="13069" width="9.140625" style="762"/>
    <col min="13070" max="13070" width="9.42578125" style="762" bestFit="1" customWidth="1"/>
    <col min="13071" max="13072" width="9.28515625" style="762" bestFit="1" customWidth="1"/>
    <col min="13073" max="13075" width="9.28515625" style="762" customWidth="1"/>
    <col min="13076" max="13076" width="9.28515625" style="762" bestFit="1" customWidth="1"/>
    <col min="13077" max="13312" width="9.140625" style="762"/>
    <col min="13313" max="13313" width="3.140625" style="762" customWidth="1"/>
    <col min="13314" max="13314" width="55.42578125" style="762" customWidth="1"/>
    <col min="13315" max="13315" width="12.28515625" style="762" customWidth="1"/>
    <col min="13316" max="13316" width="13.140625" style="762" customWidth="1"/>
    <col min="13317" max="13317" width="11.7109375" style="762" customWidth="1"/>
    <col min="13318" max="13318" width="13.5703125" style="762" customWidth="1"/>
    <col min="13319" max="13319" width="11.5703125" style="762" customWidth="1"/>
    <col min="13320" max="13320" width="10.5703125" style="762" customWidth="1"/>
    <col min="13321" max="13321" width="11.28515625" style="762" customWidth="1"/>
    <col min="13322" max="13323" width="9.85546875" style="762" customWidth="1"/>
    <col min="13324" max="13324" width="9.85546875" style="762" bestFit="1" customWidth="1"/>
    <col min="13325" max="13325" width="9.140625" style="762"/>
    <col min="13326" max="13326" width="9.42578125" style="762" bestFit="1" customWidth="1"/>
    <col min="13327" max="13328" width="9.28515625" style="762" bestFit="1" customWidth="1"/>
    <col min="13329" max="13331" width="9.28515625" style="762" customWidth="1"/>
    <col min="13332" max="13332" width="9.28515625" style="762" bestFit="1" customWidth="1"/>
    <col min="13333" max="13568" width="9.140625" style="762"/>
    <col min="13569" max="13569" width="3.140625" style="762" customWidth="1"/>
    <col min="13570" max="13570" width="55.42578125" style="762" customWidth="1"/>
    <col min="13571" max="13571" width="12.28515625" style="762" customWidth="1"/>
    <col min="13572" max="13572" width="13.140625" style="762" customWidth="1"/>
    <col min="13573" max="13573" width="11.7109375" style="762" customWidth="1"/>
    <col min="13574" max="13574" width="13.5703125" style="762" customWidth="1"/>
    <col min="13575" max="13575" width="11.5703125" style="762" customWidth="1"/>
    <col min="13576" max="13576" width="10.5703125" style="762" customWidth="1"/>
    <col min="13577" max="13577" width="11.28515625" style="762" customWidth="1"/>
    <col min="13578" max="13579" width="9.85546875" style="762" customWidth="1"/>
    <col min="13580" max="13580" width="9.85546875" style="762" bestFit="1" customWidth="1"/>
    <col min="13581" max="13581" width="9.140625" style="762"/>
    <col min="13582" max="13582" width="9.42578125" style="762" bestFit="1" customWidth="1"/>
    <col min="13583" max="13584" width="9.28515625" style="762" bestFit="1" customWidth="1"/>
    <col min="13585" max="13587" width="9.28515625" style="762" customWidth="1"/>
    <col min="13588" max="13588" width="9.28515625" style="762" bestFit="1" customWidth="1"/>
    <col min="13589" max="13824" width="9.140625" style="762"/>
    <col min="13825" max="13825" width="3.140625" style="762" customWidth="1"/>
    <col min="13826" max="13826" width="55.42578125" style="762" customWidth="1"/>
    <col min="13827" max="13827" width="12.28515625" style="762" customWidth="1"/>
    <col min="13828" max="13828" width="13.140625" style="762" customWidth="1"/>
    <col min="13829" max="13829" width="11.7109375" style="762" customWidth="1"/>
    <col min="13830" max="13830" width="13.5703125" style="762" customWidth="1"/>
    <col min="13831" max="13831" width="11.5703125" style="762" customWidth="1"/>
    <col min="13832" max="13832" width="10.5703125" style="762" customWidth="1"/>
    <col min="13833" max="13833" width="11.28515625" style="762" customWidth="1"/>
    <col min="13834" max="13835" width="9.85546875" style="762" customWidth="1"/>
    <col min="13836" max="13836" width="9.85546875" style="762" bestFit="1" customWidth="1"/>
    <col min="13837" max="13837" width="9.140625" style="762"/>
    <col min="13838" max="13838" width="9.42578125" style="762" bestFit="1" customWidth="1"/>
    <col min="13839" max="13840" width="9.28515625" style="762" bestFit="1" customWidth="1"/>
    <col min="13841" max="13843" width="9.28515625" style="762" customWidth="1"/>
    <col min="13844" max="13844" width="9.28515625" style="762" bestFit="1" customWidth="1"/>
    <col min="13845" max="14080" width="9.140625" style="762"/>
    <col min="14081" max="14081" width="3.140625" style="762" customWidth="1"/>
    <col min="14082" max="14082" width="55.42578125" style="762" customWidth="1"/>
    <col min="14083" max="14083" width="12.28515625" style="762" customWidth="1"/>
    <col min="14084" max="14084" width="13.140625" style="762" customWidth="1"/>
    <col min="14085" max="14085" width="11.7109375" style="762" customWidth="1"/>
    <col min="14086" max="14086" width="13.5703125" style="762" customWidth="1"/>
    <col min="14087" max="14087" width="11.5703125" style="762" customWidth="1"/>
    <col min="14088" max="14088" width="10.5703125" style="762" customWidth="1"/>
    <col min="14089" max="14089" width="11.28515625" style="762" customWidth="1"/>
    <col min="14090" max="14091" width="9.85546875" style="762" customWidth="1"/>
    <col min="14092" max="14092" width="9.85546875" style="762" bestFit="1" customWidth="1"/>
    <col min="14093" max="14093" width="9.140625" style="762"/>
    <col min="14094" max="14094" width="9.42578125" style="762" bestFit="1" customWidth="1"/>
    <col min="14095" max="14096" width="9.28515625" style="762" bestFit="1" customWidth="1"/>
    <col min="14097" max="14099" width="9.28515625" style="762" customWidth="1"/>
    <col min="14100" max="14100" width="9.28515625" style="762" bestFit="1" customWidth="1"/>
    <col min="14101" max="14336" width="9.140625" style="762"/>
    <col min="14337" max="14337" width="3.140625" style="762" customWidth="1"/>
    <col min="14338" max="14338" width="55.42578125" style="762" customWidth="1"/>
    <col min="14339" max="14339" width="12.28515625" style="762" customWidth="1"/>
    <col min="14340" max="14340" width="13.140625" style="762" customWidth="1"/>
    <col min="14341" max="14341" width="11.7109375" style="762" customWidth="1"/>
    <col min="14342" max="14342" width="13.5703125" style="762" customWidth="1"/>
    <col min="14343" max="14343" width="11.5703125" style="762" customWidth="1"/>
    <col min="14344" max="14344" width="10.5703125" style="762" customWidth="1"/>
    <col min="14345" max="14345" width="11.28515625" style="762" customWidth="1"/>
    <col min="14346" max="14347" width="9.85546875" style="762" customWidth="1"/>
    <col min="14348" max="14348" width="9.85546875" style="762" bestFit="1" customWidth="1"/>
    <col min="14349" max="14349" width="9.140625" style="762"/>
    <col min="14350" max="14350" width="9.42578125" style="762" bestFit="1" customWidth="1"/>
    <col min="14351" max="14352" width="9.28515625" style="762" bestFit="1" customWidth="1"/>
    <col min="14353" max="14355" width="9.28515625" style="762" customWidth="1"/>
    <col min="14356" max="14356" width="9.28515625" style="762" bestFit="1" customWidth="1"/>
    <col min="14357" max="14592" width="9.140625" style="762"/>
    <col min="14593" max="14593" width="3.140625" style="762" customWidth="1"/>
    <col min="14594" max="14594" width="55.42578125" style="762" customWidth="1"/>
    <col min="14595" max="14595" width="12.28515625" style="762" customWidth="1"/>
    <col min="14596" max="14596" width="13.140625" style="762" customWidth="1"/>
    <col min="14597" max="14597" width="11.7109375" style="762" customWidth="1"/>
    <col min="14598" max="14598" width="13.5703125" style="762" customWidth="1"/>
    <col min="14599" max="14599" width="11.5703125" style="762" customWidth="1"/>
    <col min="14600" max="14600" width="10.5703125" style="762" customWidth="1"/>
    <col min="14601" max="14601" width="11.28515625" style="762" customWidth="1"/>
    <col min="14602" max="14603" width="9.85546875" style="762" customWidth="1"/>
    <col min="14604" max="14604" width="9.85546875" style="762" bestFit="1" customWidth="1"/>
    <col min="14605" max="14605" width="9.140625" style="762"/>
    <col min="14606" max="14606" width="9.42578125" style="762" bestFit="1" customWidth="1"/>
    <col min="14607" max="14608" width="9.28515625" style="762" bestFit="1" customWidth="1"/>
    <col min="14609" max="14611" width="9.28515625" style="762" customWidth="1"/>
    <col min="14612" max="14612" width="9.28515625" style="762" bestFit="1" customWidth="1"/>
    <col min="14613" max="14848" width="9.140625" style="762"/>
    <col min="14849" max="14849" width="3.140625" style="762" customWidth="1"/>
    <col min="14850" max="14850" width="55.42578125" style="762" customWidth="1"/>
    <col min="14851" max="14851" width="12.28515625" style="762" customWidth="1"/>
    <col min="14852" max="14852" width="13.140625" style="762" customWidth="1"/>
    <col min="14853" max="14853" width="11.7109375" style="762" customWidth="1"/>
    <col min="14854" max="14854" width="13.5703125" style="762" customWidth="1"/>
    <col min="14855" max="14855" width="11.5703125" style="762" customWidth="1"/>
    <col min="14856" max="14856" width="10.5703125" style="762" customWidth="1"/>
    <col min="14857" max="14857" width="11.28515625" style="762" customWidth="1"/>
    <col min="14858" max="14859" width="9.85546875" style="762" customWidth="1"/>
    <col min="14860" max="14860" width="9.85546875" style="762" bestFit="1" customWidth="1"/>
    <col min="14861" max="14861" width="9.140625" style="762"/>
    <col min="14862" max="14862" width="9.42578125" style="762" bestFit="1" customWidth="1"/>
    <col min="14863" max="14864" width="9.28515625" style="762" bestFit="1" customWidth="1"/>
    <col min="14865" max="14867" width="9.28515625" style="762" customWidth="1"/>
    <col min="14868" max="14868" width="9.28515625" style="762" bestFit="1" customWidth="1"/>
    <col min="14869" max="15104" width="9.140625" style="762"/>
    <col min="15105" max="15105" width="3.140625" style="762" customWidth="1"/>
    <col min="15106" max="15106" width="55.42578125" style="762" customWidth="1"/>
    <col min="15107" max="15107" width="12.28515625" style="762" customWidth="1"/>
    <col min="15108" max="15108" width="13.140625" style="762" customWidth="1"/>
    <col min="15109" max="15109" width="11.7109375" style="762" customWidth="1"/>
    <col min="15110" max="15110" width="13.5703125" style="762" customWidth="1"/>
    <col min="15111" max="15111" width="11.5703125" style="762" customWidth="1"/>
    <col min="15112" max="15112" width="10.5703125" style="762" customWidth="1"/>
    <col min="15113" max="15113" width="11.28515625" style="762" customWidth="1"/>
    <col min="15114" max="15115" width="9.85546875" style="762" customWidth="1"/>
    <col min="15116" max="15116" width="9.85546875" style="762" bestFit="1" customWidth="1"/>
    <col min="15117" max="15117" width="9.140625" style="762"/>
    <col min="15118" max="15118" width="9.42578125" style="762" bestFit="1" customWidth="1"/>
    <col min="15119" max="15120" width="9.28515625" style="762" bestFit="1" customWidth="1"/>
    <col min="15121" max="15123" width="9.28515625" style="762" customWidth="1"/>
    <col min="15124" max="15124" width="9.28515625" style="762" bestFit="1" customWidth="1"/>
    <col min="15125" max="15360" width="9.140625" style="762"/>
    <col min="15361" max="15361" width="3.140625" style="762" customWidth="1"/>
    <col min="15362" max="15362" width="55.42578125" style="762" customWidth="1"/>
    <col min="15363" max="15363" width="12.28515625" style="762" customWidth="1"/>
    <col min="15364" max="15364" width="13.140625" style="762" customWidth="1"/>
    <col min="15365" max="15365" width="11.7109375" style="762" customWidth="1"/>
    <col min="15366" max="15366" width="13.5703125" style="762" customWidth="1"/>
    <col min="15367" max="15367" width="11.5703125" style="762" customWidth="1"/>
    <col min="15368" max="15368" width="10.5703125" style="762" customWidth="1"/>
    <col min="15369" max="15369" width="11.28515625" style="762" customWidth="1"/>
    <col min="15370" max="15371" width="9.85546875" style="762" customWidth="1"/>
    <col min="15372" max="15372" width="9.85546875" style="762" bestFit="1" customWidth="1"/>
    <col min="15373" max="15373" width="9.140625" style="762"/>
    <col min="15374" max="15374" width="9.42578125" style="762" bestFit="1" customWidth="1"/>
    <col min="15375" max="15376" width="9.28515625" style="762" bestFit="1" customWidth="1"/>
    <col min="15377" max="15379" width="9.28515625" style="762" customWidth="1"/>
    <col min="15380" max="15380" width="9.28515625" style="762" bestFit="1" customWidth="1"/>
    <col min="15381" max="15616" width="9.140625" style="762"/>
    <col min="15617" max="15617" width="3.140625" style="762" customWidth="1"/>
    <col min="15618" max="15618" width="55.42578125" style="762" customWidth="1"/>
    <col min="15619" max="15619" width="12.28515625" style="762" customWidth="1"/>
    <col min="15620" max="15620" width="13.140625" style="762" customWidth="1"/>
    <col min="15621" max="15621" width="11.7109375" style="762" customWidth="1"/>
    <col min="15622" max="15622" width="13.5703125" style="762" customWidth="1"/>
    <col min="15623" max="15623" width="11.5703125" style="762" customWidth="1"/>
    <col min="15624" max="15624" width="10.5703125" style="762" customWidth="1"/>
    <col min="15625" max="15625" width="11.28515625" style="762" customWidth="1"/>
    <col min="15626" max="15627" width="9.85546875" style="762" customWidth="1"/>
    <col min="15628" max="15628" width="9.85546875" style="762" bestFit="1" customWidth="1"/>
    <col min="15629" max="15629" width="9.140625" style="762"/>
    <col min="15630" max="15630" width="9.42578125" style="762" bestFit="1" customWidth="1"/>
    <col min="15631" max="15632" width="9.28515625" style="762" bestFit="1" customWidth="1"/>
    <col min="15633" max="15635" width="9.28515625" style="762" customWidth="1"/>
    <col min="15636" max="15636" width="9.28515625" style="762" bestFit="1" customWidth="1"/>
    <col min="15637" max="15872" width="9.140625" style="762"/>
    <col min="15873" max="15873" width="3.140625" style="762" customWidth="1"/>
    <col min="15874" max="15874" width="55.42578125" style="762" customWidth="1"/>
    <col min="15875" max="15875" width="12.28515625" style="762" customWidth="1"/>
    <col min="15876" max="15876" width="13.140625" style="762" customWidth="1"/>
    <col min="15877" max="15877" width="11.7109375" style="762" customWidth="1"/>
    <col min="15878" max="15878" width="13.5703125" style="762" customWidth="1"/>
    <col min="15879" max="15879" width="11.5703125" style="762" customWidth="1"/>
    <col min="15880" max="15880" width="10.5703125" style="762" customWidth="1"/>
    <col min="15881" max="15881" width="11.28515625" style="762" customWidth="1"/>
    <col min="15882" max="15883" width="9.85546875" style="762" customWidth="1"/>
    <col min="15884" max="15884" width="9.85546875" style="762" bestFit="1" customWidth="1"/>
    <col min="15885" max="15885" width="9.140625" style="762"/>
    <col min="15886" max="15886" width="9.42578125" style="762" bestFit="1" customWidth="1"/>
    <col min="15887" max="15888" width="9.28515625" style="762" bestFit="1" customWidth="1"/>
    <col min="15889" max="15891" width="9.28515625" style="762" customWidth="1"/>
    <col min="15892" max="15892" width="9.28515625" style="762" bestFit="1" customWidth="1"/>
    <col min="15893" max="16128" width="9.140625" style="762"/>
    <col min="16129" max="16129" width="3.140625" style="762" customWidth="1"/>
    <col min="16130" max="16130" width="55.42578125" style="762" customWidth="1"/>
    <col min="16131" max="16131" width="12.28515625" style="762" customWidth="1"/>
    <col min="16132" max="16132" width="13.140625" style="762" customWidth="1"/>
    <col min="16133" max="16133" width="11.7109375" style="762" customWidth="1"/>
    <col min="16134" max="16134" width="13.5703125" style="762" customWidth="1"/>
    <col min="16135" max="16135" width="11.5703125" style="762" customWidth="1"/>
    <col min="16136" max="16136" width="10.5703125" style="762" customWidth="1"/>
    <col min="16137" max="16137" width="11.28515625" style="762" customWidth="1"/>
    <col min="16138" max="16139" width="9.85546875" style="762" customWidth="1"/>
    <col min="16140" max="16140" width="9.85546875" style="762" bestFit="1" customWidth="1"/>
    <col min="16141" max="16141" width="9.140625" style="762"/>
    <col min="16142" max="16142" width="9.42578125" style="762" bestFit="1" customWidth="1"/>
    <col min="16143" max="16144" width="9.28515625" style="762" bestFit="1" customWidth="1"/>
    <col min="16145" max="16147" width="9.28515625" style="762" customWidth="1"/>
    <col min="16148" max="16148" width="9.28515625" style="762" bestFit="1" customWidth="1"/>
    <col min="16149" max="16384" width="9.140625" style="762"/>
  </cols>
  <sheetData>
    <row r="1" spans="1:10" ht="15.75">
      <c r="A1" s="907" t="s">
        <v>809</v>
      </c>
      <c r="B1" s="907"/>
      <c r="C1" s="907"/>
      <c r="D1" s="907"/>
      <c r="E1" s="907"/>
      <c r="F1" s="907"/>
      <c r="G1" s="908"/>
      <c r="H1" s="908"/>
    </row>
    <row r="2" spans="1:10" ht="15" thickBot="1">
      <c r="A2" s="823"/>
      <c r="B2" s="909"/>
      <c r="C2" s="3279" t="s">
        <v>810</v>
      </c>
      <c r="D2" s="3279"/>
      <c r="E2" s="3279"/>
      <c r="F2" s="3279"/>
      <c r="G2" s="910"/>
    </row>
    <row r="3" spans="1:10" ht="13.5" thickBot="1">
      <c r="A3" s="911"/>
      <c r="B3" s="912"/>
      <c r="C3" s="3280" t="s">
        <v>811</v>
      </c>
      <c r="D3" s="3281"/>
      <c r="E3" s="3281"/>
      <c r="F3" s="3282"/>
      <c r="G3" s="777"/>
      <c r="H3" s="913"/>
    </row>
    <row r="4" spans="1:10" ht="13.5" thickBot="1">
      <c r="A4" s="914"/>
      <c r="B4" s="915"/>
      <c r="C4" s="774" t="s">
        <v>747</v>
      </c>
      <c r="D4" s="774" t="s">
        <v>748</v>
      </c>
      <c r="E4" s="774" t="s">
        <v>749</v>
      </c>
      <c r="F4" s="774" t="s">
        <v>750</v>
      </c>
      <c r="G4" s="777"/>
      <c r="H4" s="916"/>
      <c r="I4" s="917"/>
    </row>
    <row r="5" spans="1:10" ht="6" customHeight="1">
      <c r="A5" s="918"/>
      <c r="B5" s="919"/>
      <c r="C5" s="920"/>
      <c r="D5" s="921"/>
      <c r="E5" s="921"/>
      <c r="F5" s="922"/>
      <c r="G5" s="923"/>
      <c r="H5" s="924"/>
    </row>
    <row r="6" spans="1:10" ht="15.75">
      <c r="A6" s="925">
        <v>1</v>
      </c>
      <c r="B6" s="926" t="s">
        <v>812</v>
      </c>
      <c r="C6" s="927"/>
      <c r="D6" s="928"/>
      <c r="E6" s="928"/>
      <c r="F6" s="929"/>
      <c r="G6" s="923"/>
      <c r="H6" s="930"/>
    </row>
    <row r="7" spans="1:10" ht="15.75">
      <c r="A7" s="918"/>
      <c r="B7" s="931" t="s">
        <v>813</v>
      </c>
      <c r="C7" s="932" t="s">
        <v>770</v>
      </c>
      <c r="D7" s="933" t="s">
        <v>770</v>
      </c>
      <c r="E7" s="933" t="s">
        <v>770</v>
      </c>
      <c r="F7" s="934">
        <v>2.41</v>
      </c>
      <c r="G7" s="935"/>
      <c r="H7" s="778"/>
      <c r="I7" s="936"/>
    </row>
    <row r="8" spans="1:10" ht="15.75">
      <c r="A8" s="918"/>
      <c r="B8" s="931" t="s">
        <v>814</v>
      </c>
      <c r="C8" s="932" t="s">
        <v>770</v>
      </c>
      <c r="D8" s="933" t="s">
        <v>770</v>
      </c>
      <c r="E8" s="933">
        <v>2.62</v>
      </c>
      <c r="F8" s="934" t="s">
        <v>770</v>
      </c>
      <c r="G8" s="935"/>
      <c r="H8" s="778"/>
      <c r="I8" s="765"/>
      <c r="J8" s="765"/>
    </row>
    <row r="9" spans="1:10" ht="15.75">
      <c r="A9" s="918"/>
      <c r="B9" s="931" t="s">
        <v>815</v>
      </c>
      <c r="C9" s="932" t="s">
        <v>770</v>
      </c>
      <c r="D9" s="933">
        <v>2.74</v>
      </c>
      <c r="E9" s="933" t="s">
        <v>770</v>
      </c>
      <c r="F9" s="934" t="s">
        <v>770</v>
      </c>
      <c r="G9" s="935"/>
      <c r="H9" s="778"/>
      <c r="I9" s="765"/>
      <c r="J9" s="765"/>
    </row>
    <row r="10" spans="1:10" ht="15.75">
      <c r="A10" s="918"/>
      <c r="B10" s="931" t="s">
        <v>816</v>
      </c>
      <c r="C10" s="932">
        <v>2.83</v>
      </c>
      <c r="D10" s="933" t="s">
        <v>770</v>
      </c>
      <c r="E10" s="933" t="s">
        <v>770</v>
      </c>
      <c r="F10" s="934" t="s">
        <v>770</v>
      </c>
      <c r="G10" s="935"/>
      <c r="H10" s="924"/>
    </row>
    <row r="11" spans="1:10" ht="18.75">
      <c r="A11" s="925">
        <v>2</v>
      </c>
      <c r="B11" s="926" t="s">
        <v>817</v>
      </c>
      <c r="C11" s="932">
        <v>2.75</v>
      </c>
      <c r="D11" s="933">
        <v>2.74</v>
      </c>
      <c r="E11" s="933">
        <v>2.71</v>
      </c>
      <c r="F11" s="934">
        <v>2.71</v>
      </c>
      <c r="G11" s="935"/>
      <c r="H11" s="924"/>
    </row>
    <row r="12" spans="1:10" ht="8.25" customHeight="1" thickBot="1">
      <c r="A12" s="937"/>
      <c r="B12" s="938"/>
      <c r="C12" s="939"/>
      <c r="D12" s="940"/>
      <c r="E12" s="940"/>
      <c r="F12" s="941"/>
      <c r="G12" s="787"/>
      <c r="H12" s="795"/>
    </row>
    <row r="13" spans="1:10" ht="18.75" customHeight="1">
      <c r="A13" s="942" t="s">
        <v>818</v>
      </c>
      <c r="B13" s="817"/>
      <c r="C13" s="817"/>
      <c r="D13" s="817"/>
      <c r="E13" s="817"/>
      <c r="F13" s="817"/>
      <c r="H13" s="823"/>
    </row>
    <row r="14" spans="1:10" s="829" customFormat="1">
      <c r="A14" s="829" t="s">
        <v>787</v>
      </c>
    </row>
    <row r="15" spans="1:10" ht="12" customHeight="1">
      <c r="A15" s="765"/>
      <c r="B15" s="765"/>
      <c r="C15" s="765"/>
      <c r="D15" s="765"/>
      <c r="E15" s="765"/>
      <c r="F15" s="765"/>
      <c r="G15" s="765"/>
      <c r="H15" s="765"/>
      <c r="I15" s="943"/>
    </row>
    <row r="16" spans="1:10" ht="15" customHeight="1">
      <c r="A16" s="3283" t="s">
        <v>819</v>
      </c>
      <c r="B16" s="3283"/>
      <c r="C16" s="3283"/>
      <c r="D16" s="3283"/>
      <c r="E16" s="3283"/>
      <c r="F16" s="3283"/>
      <c r="G16" s="944"/>
      <c r="H16" s="944"/>
    </row>
    <row r="17" spans="1:9" ht="19.5" customHeight="1" thickBot="1">
      <c r="A17" s="945"/>
      <c r="B17" s="945"/>
      <c r="C17" s="945"/>
      <c r="D17" s="945"/>
      <c r="E17" s="945"/>
      <c r="F17" s="946"/>
      <c r="G17" s="944"/>
      <c r="H17" s="944"/>
    </row>
    <row r="18" spans="1:9" ht="18.75" customHeight="1" thickBot="1">
      <c r="A18" s="947" t="s">
        <v>820</v>
      </c>
      <c r="B18" s="948"/>
      <c r="C18" s="3284" t="s">
        <v>821</v>
      </c>
      <c r="D18" s="3285"/>
      <c r="E18" s="3284" t="s">
        <v>822</v>
      </c>
      <c r="F18" s="3285"/>
      <c r="G18" s="777"/>
    </row>
    <row r="19" spans="1:9" ht="20.25" customHeight="1" thickBot="1">
      <c r="A19" s="949"/>
      <c r="B19" s="950"/>
      <c r="C19" s="3277" t="s">
        <v>823</v>
      </c>
      <c r="D19" s="3278"/>
      <c r="E19" s="3277" t="s">
        <v>823</v>
      </c>
      <c r="F19" s="3278"/>
      <c r="G19" s="777"/>
    </row>
    <row r="20" spans="1:9" ht="20.25" customHeight="1">
      <c r="A20" s="951">
        <v>1</v>
      </c>
      <c r="B20" s="952" t="s">
        <v>824</v>
      </c>
      <c r="C20" s="3286">
        <v>3165</v>
      </c>
      <c r="D20" s="3287"/>
      <c r="E20" s="3286">
        <v>2940</v>
      </c>
      <c r="F20" s="3287"/>
      <c r="G20" s="953"/>
    </row>
    <row r="21" spans="1:9" ht="20.25" customHeight="1">
      <c r="A21" s="951">
        <v>2</v>
      </c>
      <c r="B21" s="952" t="s">
        <v>825</v>
      </c>
      <c r="C21" s="3288">
        <v>450</v>
      </c>
      <c r="D21" s="3289"/>
      <c r="E21" s="3288">
        <v>850</v>
      </c>
      <c r="F21" s="3289"/>
      <c r="G21" s="953"/>
    </row>
    <row r="22" spans="1:9" ht="20.25" customHeight="1">
      <c r="A22" s="951">
        <v>3</v>
      </c>
      <c r="B22" s="954" t="s">
        <v>826</v>
      </c>
      <c r="C22" s="3290">
        <v>4.9000000000000004</v>
      </c>
      <c r="D22" s="3291"/>
      <c r="E22" s="3290">
        <v>4.9000000000000004</v>
      </c>
      <c r="F22" s="3291"/>
      <c r="G22" s="955"/>
    </row>
    <row r="23" spans="1:9" ht="20.25" customHeight="1">
      <c r="A23" s="951">
        <v>4</v>
      </c>
      <c r="B23" s="952" t="s">
        <v>827</v>
      </c>
      <c r="C23" s="3290">
        <v>4.3</v>
      </c>
      <c r="D23" s="3291"/>
      <c r="E23" s="3290">
        <v>4.09</v>
      </c>
      <c r="F23" s="3291"/>
      <c r="G23" s="955"/>
    </row>
    <row r="24" spans="1:9" ht="20.25" customHeight="1">
      <c r="A24" s="951">
        <v>5</v>
      </c>
      <c r="B24" s="952" t="s">
        <v>828</v>
      </c>
      <c r="C24" s="3298">
        <v>4.22</v>
      </c>
      <c r="D24" s="3299"/>
      <c r="E24" s="3298">
        <v>4.0599999999999996</v>
      </c>
      <c r="F24" s="3299"/>
      <c r="G24" s="956"/>
    </row>
    <row r="25" spans="1:9" ht="20.25" customHeight="1">
      <c r="A25" s="951">
        <v>6</v>
      </c>
      <c r="B25" s="952" t="s">
        <v>829</v>
      </c>
      <c r="C25" s="3300" t="s">
        <v>830</v>
      </c>
      <c r="D25" s="3301"/>
      <c r="E25" s="3300" t="s">
        <v>831</v>
      </c>
      <c r="F25" s="3301"/>
      <c r="G25" s="957"/>
    </row>
    <row r="26" spans="1:9" ht="11.25" customHeight="1" thickBot="1">
      <c r="A26" s="958"/>
      <c r="B26" s="959"/>
      <c r="C26" s="3292"/>
      <c r="D26" s="3293"/>
      <c r="E26" s="3292"/>
      <c r="F26" s="3293"/>
      <c r="G26" s="960"/>
    </row>
    <row r="27" spans="1:9" ht="18" customHeight="1">
      <c r="A27" s="961"/>
      <c r="B27" s="962" t="s">
        <v>832</v>
      </c>
      <c r="C27" s="962"/>
      <c r="D27" s="962" t="s">
        <v>833</v>
      </c>
      <c r="E27" s="963"/>
      <c r="F27" s="963"/>
      <c r="G27" s="964"/>
      <c r="H27" s="963"/>
      <c r="I27" s="964"/>
    </row>
    <row r="28" spans="1:9" ht="15.75" customHeight="1">
      <c r="A28" s="965"/>
      <c r="B28" s="965" t="s">
        <v>834</v>
      </c>
      <c r="C28" s="965"/>
      <c r="D28" s="965" t="s">
        <v>834</v>
      </c>
      <c r="E28" s="964"/>
      <c r="F28" s="966"/>
      <c r="G28" s="964"/>
      <c r="H28" s="966"/>
      <c r="I28" s="964"/>
    </row>
    <row r="29" spans="1:9" ht="15.75" customHeight="1">
      <c r="A29" s="965"/>
      <c r="B29" s="965"/>
      <c r="C29" s="965"/>
      <c r="D29" s="965"/>
      <c r="E29" s="964"/>
      <c r="F29" s="966"/>
      <c r="G29" s="964"/>
      <c r="H29" s="966"/>
      <c r="I29" s="964"/>
    </row>
    <row r="30" spans="1:9" ht="13.5" customHeight="1">
      <c r="A30" s="965"/>
      <c r="B30" s="965"/>
      <c r="C30" s="965"/>
      <c r="D30" s="965"/>
      <c r="E30" s="964"/>
      <c r="F30" s="966"/>
      <c r="G30" s="964"/>
      <c r="H30" s="966"/>
      <c r="I30" s="964"/>
    </row>
    <row r="31" spans="1:9" s="829" customFormat="1">
      <c r="A31" s="965" t="s">
        <v>787</v>
      </c>
      <c r="B31" s="965"/>
      <c r="C31" s="965"/>
      <c r="D31" s="965"/>
      <c r="E31" s="965"/>
      <c r="F31" s="965"/>
      <c r="G31" s="965"/>
      <c r="H31" s="965"/>
      <c r="I31" s="965"/>
    </row>
    <row r="32" spans="1:9" ht="17.25" customHeight="1"/>
    <row r="33" spans="1:58" ht="15.75">
      <c r="A33" s="3294" t="s">
        <v>835</v>
      </c>
      <c r="B33" s="3294"/>
      <c r="C33" s="3294"/>
      <c r="D33" s="3294"/>
      <c r="E33" s="3294"/>
      <c r="F33" s="3294"/>
      <c r="G33" s="3294"/>
      <c r="H33" s="3294"/>
      <c r="I33" s="817"/>
      <c r="J33" s="817"/>
      <c r="K33" s="817"/>
      <c r="L33" s="817"/>
      <c r="M33" s="817"/>
      <c r="N33" s="817"/>
      <c r="O33" s="817"/>
      <c r="P33" s="817"/>
      <c r="Q33" s="817"/>
      <c r="R33" s="817"/>
      <c r="S33" s="817"/>
      <c r="T33" s="817"/>
      <c r="U33" s="817"/>
      <c r="V33" s="817"/>
      <c r="W33" s="817"/>
      <c r="X33" s="817"/>
      <c r="Y33" s="817"/>
      <c r="Z33" s="817"/>
      <c r="AA33" s="817"/>
      <c r="AB33" s="817"/>
    </row>
    <row r="34" spans="1:58" ht="6.75" customHeight="1" thickBot="1">
      <c r="A34" s="866"/>
      <c r="B34" s="866"/>
      <c r="C34" s="866"/>
      <c r="D34" s="866"/>
      <c r="E34" s="866"/>
      <c r="F34" s="866"/>
      <c r="G34" s="866"/>
      <c r="H34" s="866"/>
      <c r="I34" s="817"/>
      <c r="J34" s="817"/>
      <c r="K34" s="817"/>
      <c r="L34" s="817"/>
      <c r="M34" s="817"/>
      <c r="N34" s="817"/>
      <c r="O34" s="817"/>
      <c r="P34" s="817"/>
      <c r="Q34" s="817"/>
      <c r="R34" s="817"/>
      <c r="S34" s="817"/>
      <c r="T34" s="817"/>
      <c r="U34" s="817"/>
      <c r="V34" s="817"/>
      <c r="W34" s="817"/>
      <c r="X34" s="817"/>
      <c r="Y34" s="817"/>
      <c r="Z34" s="817"/>
      <c r="AA34" s="817"/>
      <c r="AB34" s="817"/>
    </row>
    <row r="35" spans="1:58" s="871" customFormat="1" ht="18" customHeight="1" thickBot="1">
      <c r="A35" s="868"/>
      <c r="B35" s="967"/>
      <c r="C35" s="3295" t="s">
        <v>774</v>
      </c>
      <c r="D35" s="3296"/>
      <c r="E35" s="3296"/>
      <c r="F35" s="3296"/>
      <c r="G35" s="3296"/>
      <c r="H35" s="3297"/>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row>
    <row r="36" spans="1:58" s="871" customFormat="1" ht="24" customHeight="1" thickBot="1">
      <c r="A36" s="872"/>
      <c r="B36" s="968"/>
      <c r="C36" s="969" t="s">
        <v>836</v>
      </c>
      <c r="D36" s="969" t="s">
        <v>837</v>
      </c>
      <c r="E36" s="969" t="s">
        <v>838</v>
      </c>
      <c r="F36" s="969" t="s">
        <v>839</v>
      </c>
      <c r="G36" s="969" t="s">
        <v>840</v>
      </c>
      <c r="H36" s="969" t="s">
        <v>841</v>
      </c>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62"/>
      <c r="AY36" s="762"/>
      <c r="AZ36" s="762"/>
      <c r="BA36" s="762"/>
      <c r="BB36" s="762"/>
      <c r="BC36" s="762"/>
      <c r="BD36" s="762"/>
      <c r="BE36" s="762"/>
      <c r="BF36" s="762"/>
    </row>
    <row r="37" spans="1:58" ht="20.25" customHeight="1">
      <c r="A37" s="875">
        <v>1</v>
      </c>
      <c r="B37" s="970" t="s">
        <v>777</v>
      </c>
      <c r="C37" s="971">
        <v>1400</v>
      </c>
      <c r="D37" s="971">
        <v>1500</v>
      </c>
      <c r="E37" s="971">
        <v>1400</v>
      </c>
      <c r="F37" s="971">
        <v>1400</v>
      </c>
      <c r="G37" s="971">
        <v>1400</v>
      </c>
      <c r="H37" s="971">
        <v>1200</v>
      </c>
    </row>
    <row r="38" spans="1:58" ht="20.25" customHeight="1">
      <c r="A38" s="875">
        <v>2</v>
      </c>
      <c r="B38" s="970" t="s">
        <v>778</v>
      </c>
      <c r="C38" s="971">
        <v>2130</v>
      </c>
      <c r="D38" s="971">
        <v>2537</v>
      </c>
      <c r="E38" s="971">
        <v>2639</v>
      </c>
      <c r="F38" s="971">
        <v>4265</v>
      </c>
      <c r="G38" s="971">
        <v>3435</v>
      </c>
      <c r="H38" s="971">
        <v>4700</v>
      </c>
    </row>
    <row r="39" spans="1:58" ht="20.25" customHeight="1">
      <c r="A39" s="875">
        <v>3</v>
      </c>
      <c r="B39" s="970" t="s">
        <v>779</v>
      </c>
      <c r="C39" s="971">
        <v>1400</v>
      </c>
      <c r="D39" s="971">
        <v>1812</v>
      </c>
      <c r="E39" s="971">
        <v>1610</v>
      </c>
      <c r="F39" s="971">
        <v>965</v>
      </c>
      <c r="G39" s="971">
        <v>1400</v>
      </c>
      <c r="H39" s="971">
        <v>1200</v>
      </c>
    </row>
    <row r="40" spans="1:58" ht="20.25" customHeight="1">
      <c r="A40" s="875">
        <v>4</v>
      </c>
      <c r="B40" s="970" t="s">
        <v>780</v>
      </c>
      <c r="C40" s="972">
        <v>6</v>
      </c>
      <c r="D40" s="972">
        <v>6</v>
      </c>
      <c r="E40" s="972">
        <v>6</v>
      </c>
      <c r="F40" s="972">
        <v>5.7</v>
      </c>
      <c r="G40" s="972">
        <v>5.7</v>
      </c>
      <c r="H40" s="972">
        <v>4.3</v>
      </c>
    </row>
    <row r="41" spans="1:58" ht="20.25" customHeight="1">
      <c r="A41" s="875">
        <v>5</v>
      </c>
      <c r="B41" s="973" t="s">
        <v>781</v>
      </c>
      <c r="C41" s="974">
        <v>6.35</v>
      </c>
      <c r="D41" s="974">
        <v>6.25</v>
      </c>
      <c r="E41" s="974">
        <v>6.15</v>
      </c>
      <c r="F41" s="974">
        <v>5.85</v>
      </c>
      <c r="G41" s="974">
        <v>5.61</v>
      </c>
      <c r="H41" s="974">
        <v>4.4000000000000004</v>
      </c>
    </row>
    <row r="42" spans="1:58" ht="20.25" customHeight="1">
      <c r="A42" s="875">
        <v>6</v>
      </c>
      <c r="B42" s="973" t="s">
        <v>782</v>
      </c>
      <c r="C42" s="974">
        <v>6.23</v>
      </c>
      <c r="D42" s="974">
        <v>6.18</v>
      </c>
      <c r="E42" s="974">
        <v>6.11</v>
      </c>
      <c r="F42" s="974">
        <v>5.77</v>
      </c>
      <c r="G42" s="974">
        <v>5.58</v>
      </c>
      <c r="H42" s="974">
        <v>4.34</v>
      </c>
    </row>
    <row r="43" spans="1:58" ht="20.25" customHeight="1">
      <c r="A43" s="875">
        <v>7</v>
      </c>
      <c r="B43" s="973" t="s">
        <v>783</v>
      </c>
      <c r="C43" s="975">
        <v>99.025000000000006</v>
      </c>
      <c r="D43" s="975">
        <v>99.248000000000005</v>
      </c>
      <c r="E43" s="975">
        <v>99.55</v>
      </c>
      <c r="F43" s="975">
        <v>99.7</v>
      </c>
      <c r="G43" s="975">
        <v>100.495</v>
      </c>
      <c r="H43" s="975">
        <v>99.822000000000003</v>
      </c>
    </row>
    <row r="44" spans="1:58" ht="10.5" customHeight="1" thickBot="1">
      <c r="A44" s="876"/>
      <c r="B44" s="976"/>
      <c r="C44" s="977"/>
      <c r="D44" s="977"/>
      <c r="E44" s="977"/>
      <c r="F44" s="977"/>
      <c r="G44" s="977"/>
      <c r="H44" s="977"/>
    </row>
    <row r="45" spans="1:58" ht="8.25" customHeight="1">
      <c r="A45" s="978"/>
      <c r="B45" s="978"/>
      <c r="C45" s="978"/>
      <c r="D45" s="978"/>
      <c r="E45" s="978"/>
      <c r="F45" s="978"/>
      <c r="G45" s="978"/>
      <c r="H45" s="978"/>
    </row>
    <row r="46" spans="1:58" ht="15.75">
      <c r="B46" s="880" t="s">
        <v>842</v>
      </c>
      <c r="C46" s="880" t="s">
        <v>843</v>
      </c>
      <c r="D46" s="979"/>
      <c r="F46" s="880"/>
      <c r="G46" s="881"/>
      <c r="H46" s="882"/>
    </row>
    <row r="47" spans="1:58" ht="15.75">
      <c r="B47" s="880" t="s">
        <v>844</v>
      </c>
      <c r="C47" s="880" t="s">
        <v>845</v>
      </c>
      <c r="D47" s="880"/>
      <c r="E47" s="882"/>
      <c r="F47" s="880"/>
      <c r="G47" s="881"/>
      <c r="H47" s="882"/>
    </row>
    <row r="48" spans="1:58" s="829" customFormat="1" ht="15.75">
      <c r="B48" s="880" t="s">
        <v>846</v>
      </c>
      <c r="C48" s="880" t="s">
        <v>847</v>
      </c>
    </row>
    <row r="49" spans="1:3" ht="15.75">
      <c r="A49" s="829" t="s">
        <v>787</v>
      </c>
      <c r="C49" s="880"/>
    </row>
  </sheetData>
  <mergeCells count="23">
    <mergeCell ref="C26:D26"/>
    <mergeCell ref="E26:F26"/>
    <mergeCell ref="A33:H33"/>
    <mergeCell ref="C35:H35"/>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C2:F2"/>
    <mergeCell ref="C3:F3"/>
    <mergeCell ref="A16:F16"/>
    <mergeCell ref="C18:D18"/>
    <mergeCell ref="E18:F18"/>
  </mergeCells>
  <printOptions horizontalCentered="1"/>
  <pageMargins left="0.24" right="0" top="0.61" bottom="0.196850393700787" header="0.28999999999999998"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4"/>
  <sheetViews>
    <sheetView zoomScaleNormal="100" workbookViewId="0">
      <pane xSplit="4" ySplit="4" topLeftCell="E5" activePane="bottomRight" state="frozen"/>
      <selection pane="topRight" activeCell="D1" sqref="D1"/>
      <selection pane="bottomLeft" activeCell="A5" sqref="A5"/>
      <selection pane="bottomRight" activeCell="M6" sqref="M6"/>
    </sheetView>
  </sheetViews>
  <sheetFormatPr defaultRowHeight="15"/>
  <cols>
    <col min="2" max="2" width="2.7109375" bestFit="1" customWidth="1"/>
    <col min="3" max="3" width="41.140625" customWidth="1"/>
    <col min="4" max="4" width="12.85546875" customWidth="1"/>
    <col min="5" max="6" width="10.42578125" bestFit="1" customWidth="1"/>
    <col min="7" max="7" width="9.42578125" bestFit="1" customWidth="1"/>
    <col min="8" max="9" width="10.42578125" bestFit="1" customWidth="1"/>
    <col min="10" max="10" width="9.140625" hidden="1" customWidth="1"/>
    <col min="12" max="12" width="4.140625" customWidth="1"/>
    <col min="258" max="258" width="2.7109375" bestFit="1" customWidth="1"/>
    <col min="259" max="259" width="41.140625" customWidth="1"/>
    <col min="260" max="260" width="12.85546875" customWidth="1"/>
    <col min="261" max="262" width="10.42578125" bestFit="1" customWidth="1"/>
    <col min="263" max="263" width="9.42578125" bestFit="1" customWidth="1"/>
    <col min="264" max="265" width="10.42578125" bestFit="1" customWidth="1"/>
    <col min="266" max="266" width="0" hidden="1" customWidth="1"/>
    <col min="268" max="268" width="4.140625" customWidth="1"/>
    <col min="514" max="514" width="2.7109375" bestFit="1" customWidth="1"/>
    <col min="515" max="515" width="41.140625" customWidth="1"/>
    <col min="516" max="516" width="12.85546875" customWidth="1"/>
    <col min="517" max="518" width="10.42578125" bestFit="1" customWidth="1"/>
    <col min="519" max="519" width="9.42578125" bestFit="1" customWidth="1"/>
    <col min="520" max="521" width="10.42578125" bestFit="1" customWidth="1"/>
    <col min="522" max="522" width="0" hidden="1" customWidth="1"/>
    <col min="524" max="524" width="4.140625" customWidth="1"/>
    <col min="770" max="770" width="2.7109375" bestFit="1" customWidth="1"/>
    <col min="771" max="771" width="41.140625" customWidth="1"/>
    <col min="772" max="772" width="12.85546875" customWidth="1"/>
    <col min="773" max="774" width="10.42578125" bestFit="1" customWidth="1"/>
    <col min="775" max="775" width="9.42578125" bestFit="1" customWidth="1"/>
    <col min="776" max="777" width="10.42578125" bestFit="1" customWidth="1"/>
    <col min="778" max="778" width="0" hidden="1" customWidth="1"/>
    <col min="780" max="780" width="4.140625" customWidth="1"/>
    <col min="1026" max="1026" width="2.7109375" bestFit="1" customWidth="1"/>
    <col min="1027" max="1027" width="41.140625" customWidth="1"/>
    <col min="1028" max="1028" width="12.85546875" customWidth="1"/>
    <col min="1029" max="1030" width="10.42578125" bestFit="1" customWidth="1"/>
    <col min="1031" max="1031" width="9.42578125" bestFit="1" customWidth="1"/>
    <col min="1032" max="1033" width="10.42578125" bestFit="1" customWidth="1"/>
    <col min="1034" max="1034" width="0" hidden="1" customWidth="1"/>
    <col min="1036" max="1036" width="4.140625" customWidth="1"/>
    <col min="1282" max="1282" width="2.7109375" bestFit="1" customWidth="1"/>
    <col min="1283" max="1283" width="41.140625" customWidth="1"/>
    <col min="1284" max="1284" width="12.85546875" customWidth="1"/>
    <col min="1285" max="1286" width="10.42578125" bestFit="1" customWidth="1"/>
    <col min="1287" max="1287" width="9.42578125" bestFit="1" customWidth="1"/>
    <col min="1288" max="1289" width="10.42578125" bestFit="1" customWidth="1"/>
    <col min="1290" max="1290" width="0" hidden="1" customWidth="1"/>
    <col min="1292" max="1292" width="4.140625" customWidth="1"/>
    <col min="1538" max="1538" width="2.7109375" bestFit="1" customWidth="1"/>
    <col min="1539" max="1539" width="41.140625" customWidth="1"/>
    <col min="1540" max="1540" width="12.85546875" customWidth="1"/>
    <col min="1541" max="1542" width="10.42578125" bestFit="1" customWidth="1"/>
    <col min="1543" max="1543" width="9.42578125" bestFit="1" customWidth="1"/>
    <col min="1544" max="1545" width="10.42578125" bestFit="1" customWidth="1"/>
    <col min="1546" max="1546" width="0" hidden="1" customWidth="1"/>
    <col min="1548" max="1548" width="4.140625" customWidth="1"/>
    <col min="1794" max="1794" width="2.7109375" bestFit="1" customWidth="1"/>
    <col min="1795" max="1795" width="41.140625" customWidth="1"/>
    <col min="1796" max="1796" width="12.85546875" customWidth="1"/>
    <col min="1797" max="1798" width="10.42578125" bestFit="1" customWidth="1"/>
    <col min="1799" max="1799" width="9.42578125" bestFit="1" customWidth="1"/>
    <col min="1800" max="1801" width="10.42578125" bestFit="1" customWidth="1"/>
    <col min="1802" max="1802" width="0" hidden="1" customWidth="1"/>
    <col min="1804" max="1804" width="4.140625" customWidth="1"/>
    <col min="2050" max="2050" width="2.7109375" bestFit="1" customWidth="1"/>
    <col min="2051" max="2051" width="41.140625" customWidth="1"/>
    <col min="2052" max="2052" width="12.85546875" customWidth="1"/>
    <col min="2053" max="2054" width="10.42578125" bestFit="1" customWidth="1"/>
    <col min="2055" max="2055" width="9.42578125" bestFit="1" customWidth="1"/>
    <col min="2056" max="2057" width="10.42578125" bestFit="1" customWidth="1"/>
    <col min="2058" max="2058" width="0" hidden="1" customWidth="1"/>
    <col min="2060" max="2060" width="4.140625" customWidth="1"/>
    <col min="2306" max="2306" width="2.7109375" bestFit="1" customWidth="1"/>
    <col min="2307" max="2307" width="41.140625" customWidth="1"/>
    <col min="2308" max="2308" width="12.85546875" customWidth="1"/>
    <col min="2309" max="2310" width="10.42578125" bestFit="1" customWidth="1"/>
    <col min="2311" max="2311" width="9.42578125" bestFit="1" customWidth="1"/>
    <col min="2312" max="2313" width="10.42578125" bestFit="1" customWidth="1"/>
    <col min="2314" max="2314" width="0" hidden="1" customWidth="1"/>
    <col min="2316" max="2316" width="4.140625" customWidth="1"/>
    <col min="2562" max="2562" width="2.7109375" bestFit="1" customWidth="1"/>
    <col min="2563" max="2563" width="41.140625" customWidth="1"/>
    <col min="2564" max="2564" width="12.85546875" customWidth="1"/>
    <col min="2565" max="2566" width="10.42578125" bestFit="1" customWidth="1"/>
    <col min="2567" max="2567" width="9.42578125" bestFit="1" customWidth="1"/>
    <col min="2568" max="2569" width="10.42578125" bestFit="1" customWidth="1"/>
    <col min="2570" max="2570" width="0" hidden="1" customWidth="1"/>
    <col min="2572" max="2572" width="4.140625" customWidth="1"/>
    <col min="2818" max="2818" width="2.7109375" bestFit="1" customWidth="1"/>
    <col min="2819" max="2819" width="41.140625" customWidth="1"/>
    <col min="2820" max="2820" width="12.85546875" customWidth="1"/>
    <col min="2821" max="2822" width="10.42578125" bestFit="1" customWidth="1"/>
    <col min="2823" max="2823" width="9.42578125" bestFit="1" customWidth="1"/>
    <col min="2824" max="2825" width="10.42578125" bestFit="1" customWidth="1"/>
    <col min="2826" max="2826" width="0" hidden="1" customWidth="1"/>
    <col min="2828" max="2828" width="4.140625" customWidth="1"/>
    <col min="3074" max="3074" width="2.7109375" bestFit="1" customWidth="1"/>
    <col min="3075" max="3075" width="41.140625" customWidth="1"/>
    <col min="3076" max="3076" width="12.85546875" customWidth="1"/>
    <col min="3077" max="3078" width="10.42578125" bestFit="1" customWidth="1"/>
    <col min="3079" max="3079" width="9.42578125" bestFit="1" customWidth="1"/>
    <col min="3080" max="3081" width="10.42578125" bestFit="1" customWidth="1"/>
    <col min="3082" max="3082" width="0" hidden="1" customWidth="1"/>
    <col min="3084" max="3084" width="4.140625" customWidth="1"/>
    <col min="3330" max="3330" width="2.7109375" bestFit="1" customWidth="1"/>
    <col min="3331" max="3331" width="41.140625" customWidth="1"/>
    <col min="3332" max="3332" width="12.85546875" customWidth="1"/>
    <col min="3333" max="3334" width="10.42578125" bestFit="1" customWidth="1"/>
    <col min="3335" max="3335" width="9.42578125" bestFit="1" customWidth="1"/>
    <col min="3336" max="3337" width="10.42578125" bestFit="1" customWidth="1"/>
    <col min="3338" max="3338" width="0" hidden="1" customWidth="1"/>
    <col min="3340" max="3340" width="4.140625" customWidth="1"/>
    <col min="3586" max="3586" width="2.7109375" bestFit="1" customWidth="1"/>
    <col min="3587" max="3587" width="41.140625" customWidth="1"/>
    <col min="3588" max="3588" width="12.85546875" customWidth="1"/>
    <col min="3589" max="3590" width="10.42578125" bestFit="1" customWidth="1"/>
    <col min="3591" max="3591" width="9.42578125" bestFit="1" customWidth="1"/>
    <col min="3592" max="3593" width="10.42578125" bestFit="1" customWidth="1"/>
    <col min="3594" max="3594" width="0" hidden="1" customWidth="1"/>
    <col min="3596" max="3596" width="4.140625" customWidth="1"/>
    <col min="3842" max="3842" width="2.7109375" bestFit="1" customWidth="1"/>
    <col min="3843" max="3843" width="41.140625" customWidth="1"/>
    <col min="3844" max="3844" width="12.85546875" customWidth="1"/>
    <col min="3845" max="3846" width="10.42578125" bestFit="1" customWidth="1"/>
    <col min="3847" max="3847" width="9.42578125" bestFit="1" customWidth="1"/>
    <col min="3848" max="3849" width="10.42578125" bestFit="1" customWidth="1"/>
    <col min="3850" max="3850" width="0" hidden="1" customWidth="1"/>
    <col min="3852" max="3852" width="4.140625" customWidth="1"/>
    <col min="4098" max="4098" width="2.7109375" bestFit="1" customWidth="1"/>
    <col min="4099" max="4099" width="41.140625" customWidth="1"/>
    <col min="4100" max="4100" width="12.85546875" customWidth="1"/>
    <col min="4101" max="4102" width="10.42578125" bestFit="1" customWidth="1"/>
    <col min="4103" max="4103" width="9.42578125" bestFit="1" customWidth="1"/>
    <col min="4104" max="4105" width="10.42578125" bestFit="1" customWidth="1"/>
    <col min="4106" max="4106" width="0" hidden="1" customWidth="1"/>
    <col min="4108" max="4108" width="4.140625" customWidth="1"/>
    <col min="4354" max="4354" width="2.7109375" bestFit="1" customWidth="1"/>
    <col min="4355" max="4355" width="41.140625" customWidth="1"/>
    <col min="4356" max="4356" width="12.85546875" customWidth="1"/>
    <col min="4357" max="4358" width="10.42578125" bestFit="1" customWidth="1"/>
    <col min="4359" max="4359" width="9.42578125" bestFit="1" customWidth="1"/>
    <col min="4360" max="4361" width="10.42578125" bestFit="1" customWidth="1"/>
    <col min="4362" max="4362" width="0" hidden="1" customWidth="1"/>
    <col min="4364" max="4364" width="4.140625" customWidth="1"/>
    <col min="4610" max="4610" width="2.7109375" bestFit="1" customWidth="1"/>
    <col min="4611" max="4611" width="41.140625" customWidth="1"/>
    <col min="4612" max="4612" width="12.85546875" customWidth="1"/>
    <col min="4613" max="4614" width="10.42578125" bestFit="1" customWidth="1"/>
    <col min="4615" max="4615" width="9.42578125" bestFit="1" customWidth="1"/>
    <col min="4616" max="4617" width="10.42578125" bestFit="1" customWidth="1"/>
    <col min="4618" max="4618" width="0" hidden="1" customWidth="1"/>
    <col min="4620" max="4620" width="4.140625" customWidth="1"/>
    <col min="4866" max="4866" width="2.7109375" bestFit="1" customWidth="1"/>
    <col min="4867" max="4867" width="41.140625" customWidth="1"/>
    <col min="4868" max="4868" width="12.85546875" customWidth="1"/>
    <col min="4869" max="4870" width="10.42578125" bestFit="1" customWidth="1"/>
    <col min="4871" max="4871" width="9.42578125" bestFit="1" customWidth="1"/>
    <col min="4872" max="4873" width="10.42578125" bestFit="1" customWidth="1"/>
    <col min="4874" max="4874" width="0" hidden="1" customWidth="1"/>
    <col min="4876" max="4876" width="4.140625" customWidth="1"/>
    <col min="5122" max="5122" width="2.7109375" bestFit="1" customWidth="1"/>
    <col min="5123" max="5123" width="41.140625" customWidth="1"/>
    <col min="5124" max="5124" width="12.85546875" customWidth="1"/>
    <col min="5125" max="5126" width="10.42578125" bestFit="1" customWidth="1"/>
    <col min="5127" max="5127" width="9.42578125" bestFit="1" customWidth="1"/>
    <col min="5128" max="5129" width="10.42578125" bestFit="1" customWidth="1"/>
    <col min="5130" max="5130" width="0" hidden="1" customWidth="1"/>
    <col min="5132" max="5132" width="4.140625" customWidth="1"/>
    <col min="5378" max="5378" width="2.7109375" bestFit="1" customWidth="1"/>
    <col min="5379" max="5379" width="41.140625" customWidth="1"/>
    <col min="5380" max="5380" width="12.85546875" customWidth="1"/>
    <col min="5381" max="5382" width="10.42578125" bestFit="1" customWidth="1"/>
    <col min="5383" max="5383" width="9.42578125" bestFit="1" customWidth="1"/>
    <col min="5384" max="5385" width="10.42578125" bestFit="1" customWidth="1"/>
    <col min="5386" max="5386" width="0" hidden="1" customWidth="1"/>
    <col min="5388" max="5388" width="4.140625" customWidth="1"/>
    <col min="5634" max="5634" width="2.7109375" bestFit="1" customWidth="1"/>
    <col min="5635" max="5635" width="41.140625" customWidth="1"/>
    <col min="5636" max="5636" width="12.85546875" customWidth="1"/>
    <col min="5637" max="5638" width="10.42578125" bestFit="1" customWidth="1"/>
    <col min="5639" max="5639" width="9.42578125" bestFit="1" customWidth="1"/>
    <col min="5640" max="5641" width="10.42578125" bestFit="1" customWidth="1"/>
    <col min="5642" max="5642" width="0" hidden="1" customWidth="1"/>
    <col min="5644" max="5644" width="4.140625" customWidth="1"/>
    <col min="5890" max="5890" width="2.7109375" bestFit="1" customWidth="1"/>
    <col min="5891" max="5891" width="41.140625" customWidth="1"/>
    <col min="5892" max="5892" width="12.85546875" customWidth="1"/>
    <col min="5893" max="5894" width="10.42578125" bestFit="1" customWidth="1"/>
    <col min="5895" max="5895" width="9.42578125" bestFit="1" customWidth="1"/>
    <col min="5896" max="5897" width="10.42578125" bestFit="1" customWidth="1"/>
    <col min="5898" max="5898" width="0" hidden="1" customWidth="1"/>
    <col min="5900" max="5900" width="4.140625" customWidth="1"/>
    <col min="6146" max="6146" width="2.7109375" bestFit="1" customWidth="1"/>
    <col min="6147" max="6147" width="41.140625" customWidth="1"/>
    <col min="6148" max="6148" width="12.85546875" customWidth="1"/>
    <col min="6149" max="6150" width="10.42578125" bestFit="1" customWidth="1"/>
    <col min="6151" max="6151" width="9.42578125" bestFit="1" customWidth="1"/>
    <col min="6152" max="6153" width="10.42578125" bestFit="1" customWidth="1"/>
    <col min="6154" max="6154" width="0" hidden="1" customWidth="1"/>
    <col min="6156" max="6156" width="4.140625" customWidth="1"/>
    <col min="6402" max="6402" width="2.7109375" bestFit="1" customWidth="1"/>
    <col min="6403" max="6403" width="41.140625" customWidth="1"/>
    <col min="6404" max="6404" width="12.85546875" customWidth="1"/>
    <col min="6405" max="6406" width="10.42578125" bestFit="1" customWidth="1"/>
    <col min="6407" max="6407" width="9.42578125" bestFit="1" customWidth="1"/>
    <col min="6408" max="6409" width="10.42578125" bestFit="1" customWidth="1"/>
    <col min="6410" max="6410" width="0" hidden="1" customWidth="1"/>
    <col min="6412" max="6412" width="4.140625" customWidth="1"/>
    <col min="6658" max="6658" width="2.7109375" bestFit="1" customWidth="1"/>
    <col min="6659" max="6659" width="41.140625" customWidth="1"/>
    <col min="6660" max="6660" width="12.85546875" customWidth="1"/>
    <col min="6661" max="6662" width="10.42578125" bestFit="1" customWidth="1"/>
    <col min="6663" max="6663" width="9.42578125" bestFit="1" customWidth="1"/>
    <col min="6664" max="6665" width="10.42578125" bestFit="1" customWidth="1"/>
    <col min="6666" max="6666" width="0" hidden="1" customWidth="1"/>
    <col min="6668" max="6668" width="4.140625" customWidth="1"/>
    <col min="6914" max="6914" width="2.7109375" bestFit="1" customWidth="1"/>
    <col min="6915" max="6915" width="41.140625" customWidth="1"/>
    <col min="6916" max="6916" width="12.85546875" customWidth="1"/>
    <col min="6917" max="6918" width="10.42578125" bestFit="1" customWidth="1"/>
    <col min="6919" max="6919" width="9.42578125" bestFit="1" customWidth="1"/>
    <col min="6920" max="6921" width="10.42578125" bestFit="1" customWidth="1"/>
    <col min="6922" max="6922" width="0" hidden="1" customWidth="1"/>
    <col min="6924" max="6924" width="4.140625" customWidth="1"/>
    <col min="7170" max="7170" width="2.7109375" bestFit="1" customWidth="1"/>
    <col min="7171" max="7171" width="41.140625" customWidth="1"/>
    <col min="7172" max="7172" width="12.85546875" customWidth="1"/>
    <col min="7173" max="7174" width="10.42578125" bestFit="1" customWidth="1"/>
    <col min="7175" max="7175" width="9.42578125" bestFit="1" customWidth="1"/>
    <col min="7176" max="7177" width="10.42578125" bestFit="1" customWidth="1"/>
    <col min="7178" max="7178" width="0" hidden="1" customWidth="1"/>
    <col min="7180" max="7180" width="4.140625" customWidth="1"/>
    <col min="7426" max="7426" width="2.7109375" bestFit="1" customWidth="1"/>
    <col min="7427" max="7427" width="41.140625" customWidth="1"/>
    <col min="7428" max="7428" width="12.85546875" customWidth="1"/>
    <col min="7429" max="7430" width="10.42578125" bestFit="1" customWidth="1"/>
    <col min="7431" max="7431" width="9.42578125" bestFit="1" customWidth="1"/>
    <col min="7432" max="7433" width="10.42578125" bestFit="1" customWidth="1"/>
    <col min="7434" max="7434" width="0" hidden="1" customWidth="1"/>
    <col min="7436" max="7436" width="4.140625" customWidth="1"/>
    <col min="7682" max="7682" width="2.7109375" bestFit="1" customWidth="1"/>
    <col min="7683" max="7683" width="41.140625" customWidth="1"/>
    <col min="7684" max="7684" width="12.85546875" customWidth="1"/>
    <col min="7685" max="7686" width="10.42578125" bestFit="1" customWidth="1"/>
    <col min="7687" max="7687" width="9.42578125" bestFit="1" customWidth="1"/>
    <col min="7688" max="7689" width="10.42578125" bestFit="1" customWidth="1"/>
    <col min="7690" max="7690" width="0" hidden="1" customWidth="1"/>
    <col min="7692" max="7692" width="4.140625" customWidth="1"/>
    <col min="7938" max="7938" width="2.7109375" bestFit="1" customWidth="1"/>
    <col min="7939" max="7939" width="41.140625" customWidth="1"/>
    <col min="7940" max="7940" width="12.85546875" customWidth="1"/>
    <col min="7941" max="7942" width="10.42578125" bestFit="1" customWidth="1"/>
    <col min="7943" max="7943" width="9.42578125" bestFit="1" customWidth="1"/>
    <col min="7944" max="7945" width="10.42578125" bestFit="1" customWidth="1"/>
    <col min="7946" max="7946" width="0" hidden="1" customWidth="1"/>
    <col min="7948" max="7948" width="4.140625" customWidth="1"/>
    <col min="8194" max="8194" width="2.7109375" bestFit="1" customWidth="1"/>
    <col min="8195" max="8195" width="41.140625" customWidth="1"/>
    <col min="8196" max="8196" width="12.85546875" customWidth="1"/>
    <col min="8197" max="8198" width="10.42578125" bestFit="1" customWidth="1"/>
    <col min="8199" max="8199" width="9.42578125" bestFit="1" customWidth="1"/>
    <col min="8200" max="8201" width="10.42578125" bestFit="1" customWidth="1"/>
    <col min="8202" max="8202" width="0" hidden="1" customWidth="1"/>
    <col min="8204" max="8204" width="4.140625" customWidth="1"/>
    <col min="8450" max="8450" width="2.7109375" bestFit="1" customWidth="1"/>
    <col min="8451" max="8451" width="41.140625" customWidth="1"/>
    <col min="8452" max="8452" width="12.85546875" customWidth="1"/>
    <col min="8453" max="8454" width="10.42578125" bestFit="1" customWidth="1"/>
    <col min="8455" max="8455" width="9.42578125" bestFit="1" customWidth="1"/>
    <col min="8456" max="8457" width="10.42578125" bestFit="1" customWidth="1"/>
    <col min="8458" max="8458" width="0" hidden="1" customWidth="1"/>
    <col min="8460" max="8460" width="4.140625" customWidth="1"/>
    <col min="8706" max="8706" width="2.7109375" bestFit="1" customWidth="1"/>
    <col min="8707" max="8707" width="41.140625" customWidth="1"/>
    <col min="8708" max="8708" width="12.85546875" customWidth="1"/>
    <col min="8709" max="8710" width="10.42578125" bestFit="1" customWidth="1"/>
    <col min="8711" max="8711" width="9.42578125" bestFit="1" customWidth="1"/>
    <col min="8712" max="8713" width="10.42578125" bestFit="1" customWidth="1"/>
    <col min="8714" max="8714" width="0" hidden="1" customWidth="1"/>
    <col min="8716" max="8716" width="4.140625" customWidth="1"/>
    <col min="8962" max="8962" width="2.7109375" bestFit="1" customWidth="1"/>
    <col min="8963" max="8963" width="41.140625" customWidth="1"/>
    <col min="8964" max="8964" width="12.85546875" customWidth="1"/>
    <col min="8965" max="8966" width="10.42578125" bestFit="1" customWidth="1"/>
    <col min="8967" max="8967" width="9.42578125" bestFit="1" customWidth="1"/>
    <col min="8968" max="8969" width="10.42578125" bestFit="1" customWidth="1"/>
    <col min="8970" max="8970" width="0" hidden="1" customWidth="1"/>
    <col min="8972" max="8972" width="4.140625" customWidth="1"/>
    <col min="9218" max="9218" width="2.7109375" bestFit="1" customWidth="1"/>
    <col min="9219" max="9219" width="41.140625" customWidth="1"/>
    <col min="9220" max="9220" width="12.85546875" customWidth="1"/>
    <col min="9221" max="9222" width="10.42578125" bestFit="1" customWidth="1"/>
    <col min="9223" max="9223" width="9.42578125" bestFit="1" customWidth="1"/>
    <col min="9224" max="9225" width="10.42578125" bestFit="1" customWidth="1"/>
    <col min="9226" max="9226" width="0" hidden="1" customWidth="1"/>
    <col min="9228" max="9228" width="4.140625" customWidth="1"/>
    <col min="9474" max="9474" width="2.7109375" bestFit="1" customWidth="1"/>
    <col min="9475" max="9475" width="41.140625" customWidth="1"/>
    <col min="9476" max="9476" width="12.85546875" customWidth="1"/>
    <col min="9477" max="9478" width="10.42578125" bestFit="1" customWidth="1"/>
    <col min="9479" max="9479" width="9.42578125" bestFit="1" customWidth="1"/>
    <col min="9480" max="9481" width="10.42578125" bestFit="1" customWidth="1"/>
    <col min="9482" max="9482" width="0" hidden="1" customWidth="1"/>
    <col min="9484" max="9484" width="4.140625" customWidth="1"/>
    <col min="9730" max="9730" width="2.7109375" bestFit="1" customWidth="1"/>
    <col min="9731" max="9731" width="41.140625" customWidth="1"/>
    <col min="9732" max="9732" width="12.85546875" customWidth="1"/>
    <col min="9733" max="9734" width="10.42578125" bestFit="1" customWidth="1"/>
    <col min="9735" max="9735" width="9.42578125" bestFit="1" customWidth="1"/>
    <col min="9736" max="9737" width="10.42578125" bestFit="1" customWidth="1"/>
    <col min="9738" max="9738" width="0" hidden="1" customWidth="1"/>
    <col min="9740" max="9740" width="4.140625" customWidth="1"/>
    <col min="9986" max="9986" width="2.7109375" bestFit="1" customWidth="1"/>
    <col min="9987" max="9987" width="41.140625" customWidth="1"/>
    <col min="9988" max="9988" width="12.85546875" customWidth="1"/>
    <col min="9989" max="9990" width="10.42578125" bestFit="1" customWidth="1"/>
    <col min="9991" max="9991" width="9.42578125" bestFit="1" customWidth="1"/>
    <col min="9992" max="9993" width="10.42578125" bestFit="1" customWidth="1"/>
    <col min="9994" max="9994" width="0" hidden="1" customWidth="1"/>
    <col min="9996" max="9996" width="4.140625" customWidth="1"/>
    <col min="10242" max="10242" width="2.7109375" bestFit="1" customWidth="1"/>
    <col min="10243" max="10243" width="41.140625" customWidth="1"/>
    <col min="10244" max="10244" width="12.85546875" customWidth="1"/>
    <col min="10245" max="10246" width="10.42578125" bestFit="1" customWidth="1"/>
    <col min="10247" max="10247" width="9.42578125" bestFit="1" customWidth="1"/>
    <col min="10248" max="10249" width="10.42578125" bestFit="1" customWidth="1"/>
    <col min="10250" max="10250" width="0" hidden="1" customWidth="1"/>
    <col min="10252" max="10252" width="4.140625" customWidth="1"/>
    <col min="10498" max="10498" width="2.7109375" bestFit="1" customWidth="1"/>
    <col min="10499" max="10499" width="41.140625" customWidth="1"/>
    <col min="10500" max="10500" width="12.85546875" customWidth="1"/>
    <col min="10501" max="10502" width="10.42578125" bestFit="1" customWidth="1"/>
    <col min="10503" max="10503" width="9.42578125" bestFit="1" customWidth="1"/>
    <col min="10504" max="10505" width="10.42578125" bestFit="1" customWidth="1"/>
    <col min="10506" max="10506" width="0" hidden="1" customWidth="1"/>
    <col min="10508" max="10508" width="4.140625" customWidth="1"/>
    <col min="10754" max="10754" width="2.7109375" bestFit="1" customWidth="1"/>
    <col min="10755" max="10755" width="41.140625" customWidth="1"/>
    <col min="10756" max="10756" width="12.85546875" customWidth="1"/>
    <col min="10757" max="10758" width="10.42578125" bestFit="1" customWidth="1"/>
    <col min="10759" max="10759" width="9.42578125" bestFit="1" customWidth="1"/>
    <col min="10760" max="10761" width="10.42578125" bestFit="1" customWidth="1"/>
    <col min="10762" max="10762" width="0" hidden="1" customWidth="1"/>
    <col min="10764" max="10764" width="4.140625" customWidth="1"/>
    <col min="11010" max="11010" width="2.7109375" bestFit="1" customWidth="1"/>
    <col min="11011" max="11011" width="41.140625" customWidth="1"/>
    <col min="11012" max="11012" width="12.85546875" customWidth="1"/>
    <col min="11013" max="11014" width="10.42578125" bestFit="1" customWidth="1"/>
    <col min="11015" max="11015" width="9.42578125" bestFit="1" customWidth="1"/>
    <col min="11016" max="11017" width="10.42578125" bestFit="1" customWidth="1"/>
    <col min="11018" max="11018" width="0" hidden="1" customWidth="1"/>
    <col min="11020" max="11020" width="4.140625" customWidth="1"/>
    <col min="11266" max="11266" width="2.7109375" bestFit="1" customWidth="1"/>
    <col min="11267" max="11267" width="41.140625" customWidth="1"/>
    <col min="11268" max="11268" width="12.85546875" customWidth="1"/>
    <col min="11269" max="11270" width="10.42578125" bestFit="1" customWidth="1"/>
    <col min="11271" max="11271" width="9.42578125" bestFit="1" customWidth="1"/>
    <col min="11272" max="11273" width="10.42578125" bestFit="1" customWidth="1"/>
    <col min="11274" max="11274" width="0" hidden="1" customWidth="1"/>
    <col min="11276" max="11276" width="4.140625" customWidth="1"/>
    <col min="11522" max="11522" width="2.7109375" bestFit="1" customWidth="1"/>
    <col min="11523" max="11523" width="41.140625" customWidth="1"/>
    <col min="11524" max="11524" width="12.85546875" customWidth="1"/>
    <col min="11525" max="11526" width="10.42578125" bestFit="1" customWidth="1"/>
    <col min="11527" max="11527" width="9.42578125" bestFit="1" customWidth="1"/>
    <col min="11528" max="11529" width="10.42578125" bestFit="1" customWidth="1"/>
    <col min="11530" max="11530" width="0" hidden="1" customWidth="1"/>
    <col min="11532" max="11532" width="4.140625" customWidth="1"/>
    <col min="11778" max="11778" width="2.7109375" bestFit="1" customWidth="1"/>
    <col min="11779" max="11779" width="41.140625" customWidth="1"/>
    <col min="11780" max="11780" width="12.85546875" customWidth="1"/>
    <col min="11781" max="11782" width="10.42578125" bestFit="1" customWidth="1"/>
    <col min="11783" max="11783" width="9.42578125" bestFit="1" customWidth="1"/>
    <col min="11784" max="11785" width="10.42578125" bestFit="1" customWidth="1"/>
    <col min="11786" max="11786" width="0" hidden="1" customWidth="1"/>
    <col min="11788" max="11788" width="4.140625" customWidth="1"/>
    <col min="12034" max="12034" width="2.7109375" bestFit="1" customWidth="1"/>
    <col min="12035" max="12035" width="41.140625" customWidth="1"/>
    <col min="12036" max="12036" width="12.85546875" customWidth="1"/>
    <col min="12037" max="12038" width="10.42578125" bestFit="1" customWidth="1"/>
    <col min="12039" max="12039" width="9.42578125" bestFit="1" customWidth="1"/>
    <col min="12040" max="12041" width="10.42578125" bestFit="1" customWidth="1"/>
    <col min="12042" max="12042" width="0" hidden="1" customWidth="1"/>
    <col min="12044" max="12044" width="4.140625" customWidth="1"/>
    <col min="12290" max="12290" width="2.7109375" bestFit="1" customWidth="1"/>
    <col min="12291" max="12291" width="41.140625" customWidth="1"/>
    <col min="12292" max="12292" width="12.85546875" customWidth="1"/>
    <col min="12293" max="12294" width="10.42578125" bestFit="1" customWidth="1"/>
    <col min="12295" max="12295" width="9.42578125" bestFit="1" customWidth="1"/>
    <col min="12296" max="12297" width="10.42578125" bestFit="1" customWidth="1"/>
    <col min="12298" max="12298" width="0" hidden="1" customWidth="1"/>
    <col min="12300" max="12300" width="4.140625" customWidth="1"/>
    <col min="12546" max="12546" width="2.7109375" bestFit="1" customWidth="1"/>
    <col min="12547" max="12547" width="41.140625" customWidth="1"/>
    <col min="12548" max="12548" width="12.85546875" customWidth="1"/>
    <col min="12549" max="12550" width="10.42578125" bestFit="1" customWidth="1"/>
    <col min="12551" max="12551" width="9.42578125" bestFit="1" customWidth="1"/>
    <col min="12552" max="12553" width="10.42578125" bestFit="1" customWidth="1"/>
    <col min="12554" max="12554" width="0" hidden="1" customWidth="1"/>
    <col min="12556" max="12556" width="4.140625" customWidth="1"/>
    <col min="12802" max="12802" width="2.7109375" bestFit="1" customWidth="1"/>
    <col min="12803" max="12803" width="41.140625" customWidth="1"/>
    <col min="12804" max="12804" width="12.85546875" customWidth="1"/>
    <col min="12805" max="12806" width="10.42578125" bestFit="1" customWidth="1"/>
    <col min="12807" max="12807" width="9.42578125" bestFit="1" customWidth="1"/>
    <col min="12808" max="12809" width="10.42578125" bestFit="1" customWidth="1"/>
    <col min="12810" max="12810" width="0" hidden="1" customWidth="1"/>
    <col min="12812" max="12812" width="4.140625" customWidth="1"/>
    <col min="13058" max="13058" width="2.7109375" bestFit="1" customWidth="1"/>
    <col min="13059" max="13059" width="41.140625" customWidth="1"/>
    <col min="13060" max="13060" width="12.85546875" customWidth="1"/>
    <col min="13061" max="13062" width="10.42578125" bestFit="1" customWidth="1"/>
    <col min="13063" max="13063" width="9.42578125" bestFit="1" customWidth="1"/>
    <col min="13064" max="13065" width="10.42578125" bestFit="1" customWidth="1"/>
    <col min="13066" max="13066" width="0" hidden="1" customWidth="1"/>
    <col min="13068" max="13068" width="4.140625" customWidth="1"/>
    <col min="13314" max="13314" width="2.7109375" bestFit="1" customWidth="1"/>
    <col min="13315" max="13315" width="41.140625" customWidth="1"/>
    <col min="13316" max="13316" width="12.85546875" customWidth="1"/>
    <col min="13317" max="13318" width="10.42578125" bestFit="1" customWidth="1"/>
    <col min="13319" max="13319" width="9.42578125" bestFit="1" customWidth="1"/>
    <col min="13320" max="13321" width="10.42578125" bestFit="1" customWidth="1"/>
    <col min="13322" max="13322" width="0" hidden="1" customWidth="1"/>
    <col min="13324" max="13324" width="4.140625" customWidth="1"/>
    <col min="13570" max="13570" width="2.7109375" bestFit="1" customWidth="1"/>
    <col min="13571" max="13571" width="41.140625" customWidth="1"/>
    <col min="13572" max="13572" width="12.85546875" customWidth="1"/>
    <col min="13573" max="13574" width="10.42578125" bestFit="1" customWidth="1"/>
    <col min="13575" max="13575" width="9.42578125" bestFit="1" customWidth="1"/>
    <col min="13576" max="13577" width="10.42578125" bestFit="1" customWidth="1"/>
    <col min="13578" max="13578" width="0" hidden="1" customWidth="1"/>
    <col min="13580" max="13580" width="4.140625" customWidth="1"/>
    <col min="13826" max="13826" width="2.7109375" bestFit="1" customWidth="1"/>
    <col min="13827" max="13827" width="41.140625" customWidth="1"/>
    <col min="13828" max="13828" width="12.85546875" customWidth="1"/>
    <col min="13829" max="13830" width="10.42578125" bestFit="1" customWidth="1"/>
    <col min="13831" max="13831" width="9.42578125" bestFit="1" customWidth="1"/>
    <col min="13832" max="13833" width="10.42578125" bestFit="1" customWidth="1"/>
    <col min="13834" max="13834" width="0" hidden="1" customWidth="1"/>
    <col min="13836" max="13836" width="4.140625" customWidth="1"/>
    <col min="14082" max="14082" width="2.7109375" bestFit="1" customWidth="1"/>
    <col min="14083" max="14083" width="41.140625" customWidth="1"/>
    <col min="14084" max="14084" width="12.85546875" customWidth="1"/>
    <col min="14085" max="14086" width="10.42578125" bestFit="1" customWidth="1"/>
    <col min="14087" max="14087" width="9.42578125" bestFit="1" customWidth="1"/>
    <col min="14088" max="14089" width="10.42578125" bestFit="1" customWidth="1"/>
    <col min="14090" max="14090" width="0" hidden="1" customWidth="1"/>
    <col min="14092" max="14092" width="4.140625" customWidth="1"/>
    <col min="14338" max="14338" width="2.7109375" bestFit="1" customWidth="1"/>
    <col min="14339" max="14339" width="41.140625" customWidth="1"/>
    <col min="14340" max="14340" width="12.85546875" customWidth="1"/>
    <col min="14341" max="14342" width="10.42578125" bestFit="1" customWidth="1"/>
    <col min="14343" max="14343" width="9.42578125" bestFit="1" customWidth="1"/>
    <col min="14344" max="14345" width="10.42578125" bestFit="1" customWidth="1"/>
    <col min="14346" max="14346" width="0" hidden="1" customWidth="1"/>
    <col min="14348" max="14348" width="4.140625" customWidth="1"/>
    <col min="14594" max="14594" width="2.7109375" bestFit="1" customWidth="1"/>
    <col min="14595" max="14595" width="41.140625" customWidth="1"/>
    <col min="14596" max="14596" width="12.85546875" customWidth="1"/>
    <col min="14597" max="14598" width="10.42578125" bestFit="1" customWidth="1"/>
    <col min="14599" max="14599" width="9.42578125" bestFit="1" customWidth="1"/>
    <col min="14600" max="14601" width="10.42578125" bestFit="1" customWidth="1"/>
    <col min="14602" max="14602" width="0" hidden="1" customWidth="1"/>
    <col min="14604" max="14604" width="4.140625" customWidth="1"/>
    <col min="14850" max="14850" width="2.7109375" bestFit="1" customWidth="1"/>
    <col min="14851" max="14851" width="41.140625" customWidth="1"/>
    <col min="14852" max="14852" width="12.85546875" customWidth="1"/>
    <col min="14853" max="14854" width="10.42578125" bestFit="1" customWidth="1"/>
    <col min="14855" max="14855" width="9.42578125" bestFit="1" customWidth="1"/>
    <col min="14856" max="14857" width="10.42578125" bestFit="1" customWidth="1"/>
    <col min="14858" max="14858" width="0" hidden="1" customWidth="1"/>
    <col min="14860" max="14860" width="4.140625" customWidth="1"/>
    <col min="15106" max="15106" width="2.7109375" bestFit="1" customWidth="1"/>
    <col min="15107" max="15107" width="41.140625" customWidth="1"/>
    <col min="15108" max="15108" width="12.85546875" customWidth="1"/>
    <col min="15109" max="15110" width="10.42578125" bestFit="1" customWidth="1"/>
    <col min="15111" max="15111" width="9.42578125" bestFit="1" customWidth="1"/>
    <col min="15112" max="15113" width="10.42578125" bestFit="1" customWidth="1"/>
    <col min="15114" max="15114" width="0" hidden="1" customWidth="1"/>
    <col min="15116" max="15116" width="4.140625" customWidth="1"/>
    <col min="15362" max="15362" width="2.7109375" bestFit="1" customWidth="1"/>
    <col min="15363" max="15363" width="41.140625" customWidth="1"/>
    <col min="15364" max="15364" width="12.85546875" customWidth="1"/>
    <col min="15365" max="15366" width="10.42578125" bestFit="1" customWidth="1"/>
    <col min="15367" max="15367" width="9.42578125" bestFit="1" customWidth="1"/>
    <col min="15368" max="15369" width="10.42578125" bestFit="1" customWidth="1"/>
    <col min="15370" max="15370" width="0" hidden="1" customWidth="1"/>
    <col min="15372" max="15372" width="4.140625" customWidth="1"/>
    <col min="15618" max="15618" width="2.7109375" bestFit="1" customWidth="1"/>
    <col min="15619" max="15619" width="41.140625" customWidth="1"/>
    <col min="15620" max="15620" width="12.85546875" customWidth="1"/>
    <col min="15621" max="15622" width="10.42578125" bestFit="1" customWidth="1"/>
    <col min="15623" max="15623" width="9.42578125" bestFit="1" customWidth="1"/>
    <col min="15624" max="15625" width="10.42578125" bestFit="1" customWidth="1"/>
    <col min="15626" max="15626" width="0" hidden="1" customWidth="1"/>
    <col min="15628" max="15628" width="4.140625" customWidth="1"/>
    <col min="15874" max="15874" width="2.7109375" bestFit="1" customWidth="1"/>
    <col min="15875" max="15875" width="41.140625" customWidth="1"/>
    <col min="15876" max="15876" width="12.85546875" customWidth="1"/>
    <col min="15877" max="15878" width="10.42578125" bestFit="1" customWidth="1"/>
    <col min="15879" max="15879" width="9.42578125" bestFit="1" customWidth="1"/>
    <col min="15880" max="15881" width="10.42578125" bestFit="1" customWidth="1"/>
    <col min="15882" max="15882" width="0" hidden="1" customWidth="1"/>
    <col min="15884" max="15884" width="4.140625" customWidth="1"/>
    <col min="16130" max="16130" width="2.7109375" bestFit="1" customWidth="1"/>
    <col min="16131" max="16131" width="41.140625" customWidth="1"/>
    <col min="16132" max="16132" width="12.85546875" customWidth="1"/>
    <col min="16133" max="16134" width="10.42578125" bestFit="1" customWidth="1"/>
    <col min="16135" max="16135" width="9.42578125" bestFit="1" customWidth="1"/>
    <col min="16136" max="16137" width="10.42578125" bestFit="1" customWidth="1"/>
    <col min="16138" max="16138" width="0" hidden="1" customWidth="1"/>
    <col min="16140" max="16140" width="4.140625" customWidth="1"/>
  </cols>
  <sheetData>
    <row r="1" spans="2:58" s="762" customFormat="1" ht="15.75">
      <c r="B1" s="763" t="s">
        <v>773</v>
      </c>
      <c r="C1" s="763"/>
      <c r="D1" s="763"/>
      <c r="E1" s="763"/>
      <c r="F1" s="763"/>
      <c r="G1" s="763"/>
      <c r="H1" s="763"/>
      <c r="I1" s="763"/>
      <c r="J1" s="817"/>
      <c r="K1" s="817"/>
      <c r="L1" s="817"/>
      <c r="M1" s="817"/>
      <c r="N1" s="817"/>
      <c r="O1" s="817"/>
      <c r="P1" s="817"/>
      <c r="Q1" s="817"/>
      <c r="R1" s="817"/>
      <c r="S1" s="817"/>
      <c r="T1" s="817"/>
      <c r="U1" s="817"/>
      <c r="V1" s="817"/>
      <c r="W1" s="817"/>
      <c r="X1" s="817"/>
      <c r="Y1" s="817"/>
      <c r="Z1" s="817"/>
      <c r="AA1" s="817"/>
      <c r="AB1" s="817"/>
      <c r="AC1" s="817"/>
    </row>
    <row r="2" spans="2:58" s="762" customFormat="1" ht="16.5" thickBot="1">
      <c r="B2" s="866"/>
      <c r="C2" s="866"/>
      <c r="D2" s="866"/>
      <c r="E2" s="866"/>
      <c r="F2" s="867"/>
      <c r="G2" s="867"/>
      <c r="H2" s="867"/>
      <c r="I2" s="867"/>
      <c r="L2" s="817"/>
      <c r="M2" s="817"/>
      <c r="N2" s="817"/>
      <c r="O2" s="817"/>
      <c r="P2" s="817"/>
      <c r="Q2" s="817"/>
      <c r="R2" s="817"/>
      <c r="S2" s="817"/>
      <c r="T2" s="817"/>
      <c r="U2" s="817"/>
      <c r="V2" s="817"/>
      <c r="W2" s="817"/>
      <c r="X2" s="817"/>
      <c r="Y2" s="817"/>
      <c r="Z2" s="817"/>
      <c r="AA2" s="817"/>
      <c r="AB2" s="817"/>
      <c r="AC2" s="817"/>
    </row>
    <row r="3" spans="2:58" s="871" customFormat="1" ht="15.75">
      <c r="B3" s="868"/>
      <c r="C3" s="869"/>
      <c r="D3" s="870"/>
      <c r="E3" s="3302" t="s">
        <v>774</v>
      </c>
      <c r="F3" s="3303"/>
      <c r="G3" s="3302" t="s">
        <v>774</v>
      </c>
      <c r="H3" s="3303"/>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c r="BF3" s="762"/>
    </row>
    <row r="4" spans="2:58" s="871" customFormat="1" ht="16.5" thickBot="1">
      <c r="B4" s="872"/>
      <c r="C4" s="873"/>
      <c r="D4" s="874"/>
      <c r="E4" s="3304" t="s">
        <v>775</v>
      </c>
      <c r="F4" s="3305"/>
      <c r="G4" s="3304" t="s">
        <v>776</v>
      </c>
      <c r="H4" s="3305"/>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c r="BF4" s="762"/>
    </row>
    <row r="5" spans="2:58" s="762" customFormat="1" ht="15.75">
      <c r="B5" s="875">
        <v>1</v>
      </c>
      <c r="C5" s="3306" t="s">
        <v>777</v>
      </c>
      <c r="D5" s="3307"/>
      <c r="E5" s="3308">
        <v>1000</v>
      </c>
      <c r="F5" s="3309"/>
      <c r="G5" s="3308">
        <v>1000</v>
      </c>
      <c r="H5" s="3309"/>
    </row>
    <row r="6" spans="2:58" s="762" customFormat="1" ht="15.75">
      <c r="B6" s="875">
        <v>2</v>
      </c>
      <c r="C6" s="3306" t="s">
        <v>778</v>
      </c>
      <c r="D6" s="3307"/>
      <c r="E6" s="3310">
        <v>2818.1</v>
      </c>
      <c r="F6" s="3311"/>
      <c r="G6" s="3310">
        <v>2504.1</v>
      </c>
      <c r="H6" s="3311"/>
    </row>
    <row r="7" spans="2:58" s="762" customFormat="1" ht="15.75">
      <c r="B7" s="875">
        <v>3</v>
      </c>
      <c r="C7" s="3306" t="s">
        <v>779</v>
      </c>
      <c r="D7" s="3307"/>
      <c r="E7" s="3310">
        <v>995</v>
      </c>
      <c r="F7" s="3311"/>
      <c r="G7" s="3310">
        <v>1000</v>
      </c>
      <c r="H7" s="3311"/>
    </row>
    <row r="8" spans="2:58" s="762" customFormat="1" ht="15.75">
      <c r="B8" s="875">
        <v>4</v>
      </c>
      <c r="C8" s="3306" t="s">
        <v>780</v>
      </c>
      <c r="D8" s="3307"/>
      <c r="E8" s="3312">
        <v>7.35</v>
      </c>
      <c r="F8" s="3313"/>
      <c r="G8" s="3312">
        <v>7</v>
      </c>
      <c r="H8" s="3313"/>
    </row>
    <row r="9" spans="2:58" s="762" customFormat="1" ht="15.75">
      <c r="B9" s="875">
        <v>5</v>
      </c>
      <c r="C9" s="3306" t="s">
        <v>781</v>
      </c>
      <c r="D9" s="3307"/>
      <c r="E9" s="3312">
        <v>7.6</v>
      </c>
      <c r="F9" s="3313"/>
      <c r="G9" s="3312">
        <v>7.2</v>
      </c>
      <c r="H9" s="3313"/>
    </row>
    <row r="10" spans="2:58" s="762" customFormat="1" ht="15.75">
      <c r="B10" s="875">
        <v>6</v>
      </c>
      <c r="C10" s="3306" t="s">
        <v>782</v>
      </c>
      <c r="D10" s="3307"/>
      <c r="E10" s="3312">
        <v>7.49</v>
      </c>
      <c r="F10" s="3313"/>
      <c r="G10" s="3312">
        <v>7.06</v>
      </c>
      <c r="H10" s="3313"/>
    </row>
    <row r="11" spans="2:58" s="762" customFormat="1" ht="15.75">
      <c r="B11" s="875">
        <v>7</v>
      </c>
      <c r="C11" s="3306" t="s">
        <v>783</v>
      </c>
      <c r="D11" s="3307"/>
      <c r="E11" s="3316">
        <v>99.027000000000001</v>
      </c>
      <c r="F11" s="3317"/>
      <c r="G11" s="3316">
        <v>99.575000000000003</v>
      </c>
      <c r="H11" s="3317"/>
    </row>
    <row r="12" spans="2:58" s="762" customFormat="1" ht="16.5" thickBot="1">
      <c r="B12" s="876"/>
      <c r="C12" s="877"/>
      <c r="D12" s="874"/>
      <c r="E12" s="3318"/>
      <c r="F12" s="3319"/>
      <c r="G12" s="878"/>
      <c r="H12" s="879"/>
    </row>
    <row r="13" spans="2:58" s="762" customFormat="1" ht="15.75">
      <c r="C13" s="880" t="s">
        <v>784</v>
      </c>
      <c r="D13" s="880"/>
      <c r="E13" s="880" t="s">
        <v>785</v>
      </c>
      <c r="G13" s="880"/>
      <c r="H13" s="881"/>
      <c r="I13" s="882"/>
    </row>
    <row r="14" spans="2:58" s="762" customFormat="1" ht="15.75" hidden="1">
      <c r="C14" s="880" t="s">
        <v>786</v>
      </c>
      <c r="D14" s="880"/>
      <c r="E14" s="880"/>
      <c r="G14" s="880"/>
      <c r="H14" s="881"/>
      <c r="I14" s="882"/>
    </row>
    <row r="15" spans="2:58" s="829" customFormat="1" ht="12.75">
      <c r="B15" s="829" t="s">
        <v>787</v>
      </c>
    </row>
    <row r="16" spans="2:58">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65"/>
      <c r="AT16" s="765"/>
      <c r="AU16" s="765"/>
      <c r="AV16" s="765"/>
      <c r="AW16" s="765"/>
      <c r="AX16" s="765"/>
      <c r="AY16" s="765"/>
      <c r="AZ16" s="765"/>
      <c r="BA16" s="765"/>
      <c r="BB16" s="765"/>
      <c r="BC16" s="765"/>
      <c r="BD16" s="765"/>
      <c r="BE16" s="765"/>
      <c r="BF16" s="765"/>
    </row>
    <row r="17" spans="2:9" s="762" customFormat="1" ht="20.25" hidden="1" customHeight="1">
      <c r="B17" s="3294" t="s">
        <v>788</v>
      </c>
      <c r="C17" s="3294"/>
      <c r="D17" s="3294"/>
      <c r="E17" s="3294"/>
      <c r="F17" s="3294"/>
      <c r="G17" s="3294"/>
      <c r="H17" s="3294"/>
      <c r="I17" s="3294"/>
    </row>
    <row r="18" spans="2:9" s="762" customFormat="1" ht="3.75" hidden="1" customHeight="1" thickBot="1">
      <c r="B18" s="763"/>
      <c r="C18" s="763"/>
      <c r="D18" s="763"/>
      <c r="E18" s="763"/>
      <c r="F18" s="763"/>
      <c r="G18" s="883"/>
      <c r="H18" s="866"/>
      <c r="I18" s="866"/>
    </row>
    <row r="19" spans="2:9" s="762" customFormat="1" ht="26.25" hidden="1" customHeight="1" thickBot="1">
      <c r="B19" s="3320" t="s">
        <v>789</v>
      </c>
      <c r="C19" s="3321"/>
      <c r="D19" s="3324" t="s">
        <v>790</v>
      </c>
      <c r="E19" s="3324"/>
      <c r="F19" s="3325"/>
      <c r="G19" s="3324" t="s">
        <v>791</v>
      </c>
      <c r="H19" s="3324"/>
      <c r="I19" s="3325"/>
    </row>
    <row r="20" spans="2:9" s="762" customFormat="1" ht="23.25" hidden="1" customHeight="1" thickBot="1">
      <c r="B20" s="3322"/>
      <c r="C20" s="3323"/>
      <c r="D20" s="884" t="s">
        <v>792</v>
      </c>
      <c r="E20" s="885" t="s">
        <v>793</v>
      </c>
      <c r="F20" s="885" t="s">
        <v>794</v>
      </c>
      <c r="G20" s="884" t="s">
        <v>792</v>
      </c>
      <c r="H20" s="885" t="s">
        <v>793</v>
      </c>
      <c r="I20" s="885" t="s">
        <v>794</v>
      </c>
    </row>
    <row r="21" spans="2:9" s="762" customFormat="1" ht="21.75" hidden="1" customHeight="1">
      <c r="B21" s="886">
        <v>1</v>
      </c>
      <c r="C21" s="887" t="s">
        <v>795</v>
      </c>
      <c r="D21" s="888">
        <v>545.70000000000005</v>
      </c>
      <c r="E21" s="889">
        <v>497.7</v>
      </c>
      <c r="F21" s="890">
        <v>419</v>
      </c>
      <c r="G21" s="888">
        <v>623.79999999999995</v>
      </c>
      <c r="H21" s="889">
        <v>421.1</v>
      </c>
      <c r="I21" s="890">
        <v>377.3</v>
      </c>
    </row>
    <row r="22" spans="2:9" s="762" customFormat="1" ht="21.75" hidden="1" customHeight="1">
      <c r="B22" s="886">
        <v>2</v>
      </c>
      <c r="C22" s="887" t="s">
        <v>796</v>
      </c>
      <c r="D22" s="891">
        <v>345.7</v>
      </c>
      <c r="E22" s="892">
        <v>340.3</v>
      </c>
      <c r="F22" s="890">
        <v>314</v>
      </c>
      <c r="G22" s="891">
        <v>438.6</v>
      </c>
      <c r="H22" s="892">
        <v>296.10000000000002</v>
      </c>
      <c r="I22" s="890">
        <v>265.3</v>
      </c>
    </row>
    <row r="23" spans="2:9" s="762" customFormat="1" ht="21.75" hidden="1" customHeight="1">
      <c r="B23" s="886">
        <v>3</v>
      </c>
      <c r="C23" s="893" t="s">
        <v>797</v>
      </c>
      <c r="D23" s="894">
        <v>7.5</v>
      </c>
      <c r="E23" s="894">
        <v>7.65</v>
      </c>
      <c r="F23" s="894">
        <v>7.8</v>
      </c>
      <c r="G23" s="894">
        <v>7.5</v>
      </c>
      <c r="H23" s="894">
        <v>7.65</v>
      </c>
      <c r="I23" s="894">
        <v>7.8</v>
      </c>
    </row>
    <row r="24" spans="2:9" s="762" customFormat="1" ht="21.75" hidden="1" customHeight="1">
      <c r="B24" s="886">
        <v>4</v>
      </c>
      <c r="C24" s="887" t="s">
        <v>798</v>
      </c>
      <c r="D24" s="895">
        <v>9.6</v>
      </c>
      <c r="E24" s="896">
        <v>10.6</v>
      </c>
      <c r="F24" s="897">
        <v>10.9</v>
      </c>
      <c r="G24" s="895">
        <v>9.8000000000000007</v>
      </c>
      <c r="H24" s="896">
        <v>10.8</v>
      </c>
      <c r="I24" s="897">
        <v>11.1</v>
      </c>
    </row>
    <row r="25" spans="2:9" s="762" customFormat="1" ht="21.75" hidden="1" customHeight="1">
      <c r="B25" s="886">
        <v>5</v>
      </c>
      <c r="C25" s="887" t="s">
        <v>799</v>
      </c>
      <c r="D25" s="895">
        <v>9.24</v>
      </c>
      <c r="E25" s="896">
        <v>10.15</v>
      </c>
      <c r="F25" s="897">
        <v>10.38</v>
      </c>
      <c r="G25" s="895">
        <v>9.44</v>
      </c>
      <c r="H25" s="896">
        <v>10.37</v>
      </c>
      <c r="I25" s="897">
        <v>10.7</v>
      </c>
    </row>
    <row r="26" spans="2:9" s="762" customFormat="1" ht="21.75" hidden="1" customHeight="1">
      <c r="B26" s="886">
        <v>6</v>
      </c>
      <c r="C26" s="887" t="s">
        <v>800</v>
      </c>
      <c r="D26" s="898">
        <v>91.174999999999997</v>
      </c>
      <c r="E26" s="899">
        <v>82.168999999999997</v>
      </c>
      <c r="F26" s="900">
        <v>78.429000000000002</v>
      </c>
      <c r="G26" s="898">
        <v>90.224000000000004</v>
      </c>
      <c r="H26" s="899">
        <v>80.816999999999993</v>
      </c>
      <c r="I26" s="900">
        <v>76.266999999999996</v>
      </c>
    </row>
    <row r="27" spans="2:9" s="762" customFormat="1" ht="8.25" hidden="1" customHeight="1" thickBot="1">
      <c r="B27" s="901"/>
      <c r="C27" s="902"/>
      <c r="D27" s="903"/>
      <c r="E27" s="904"/>
      <c r="F27" s="905"/>
      <c r="G27" s="903"/>
      <c r="H27" s="904"/>
      <c r="I27" s="905"/>
    </row>
    <row r="28" spans="2:9" s="779" customFormat="1" ht="4.5" hidden="1" customHeight="1"/>
    <row r="29" spans="2:9" s="906" customFormat="1" ht="12.75" hidden="1" customHeight="1">
      <c r="B29" s="3314" t="s">
        <v>801</v>
      </c>
      <c r="C29" s="3315"/>
      <c r="D29" s="3315"/>
      <c r="E29" s="3314" t="s">
        <v>802</v>
      </c>
      <c r="F29" s="3314"/>
      <c r="G29" s="3314"/>
      <c r="H29" s="3314"/>
      <c r="I29" s="3314"/>
    </row>
    <row r="30" spans="2:9" s="906" customFormat="1" ht="13.5" hidden="1" customHeight="1">
      <c r="B30" s="3326" t="s">
        <v>803</v>
      </c>
      <c r="C30" s="3326"/>
      <c r="D30" s="3326"/>
      <c r="E30" s="3326" t="s">
        <v>804</v>
      </c>
      <c r="F30" s="3326"/>
      <c r="G30" s="3326"/>
      <c r="H30" s="3326"/>
      <c r="I30" s="3326"/>
    </row>
    <row r="31" spans="2:9" s="906" customFormat="1" ht="13.5" hidden="1" customHeight="1">
      <c r="B31" s="3326" t="s">
        <v>805</v>
      </c>
      <c r="C31" s="3326"/>
      <c r="D31" s="3326"/>
      <c r="E31" s="3326" t="s">
        <v>806</v>
      </c>
      <c r="F31" s="3326"/>
      <c r="G31" s="3326"/>
      <c r="H31" s="3326"/>
      <c r="I31" s="3326"/>
    </row>
    <row r="32" spans="2:9" s="906" customFormat="1" ht="13.5" hidden="1" customHeight="1">
      <c r="B32" s="3326" t="s">
        <v>807</v>
      </c>
      <c r="C32" s="3326"/>
      <c r="D32" s="3326"/>
      <c r="E32" s="3326" t="s">
        <v>808</v>
      </c>
      <c r="F32" s="3326"/>
      <c r="G32" s="3326"/>
      <c r="H32" s="3326"/>
      <c r="I32" s="3326"/>
    </row>
    <row r="33" spans="2:17" s="280" customFormat="1" ht="12.75" hidden="1">
      <c r="B33" s="812" t="s">
        <v>787</v>
      </c>
      <c r="C33" s="761"/>
      <c r="D33" s="765"/>
      <c r="E33" s="814"/>
      <c r="F33" s="814"/>
      <c r="G33" s="814"/>
      <c r="H33" s="814"/>
      <c r="I33" s="814"/>
      <c r="J33" s="814"/>
      <c r="K33" s="761"/>
      <c r="L33" s="761"/>
      <c r="M33" s="761"/>
      <c r="N33" s="817"/>
      <c r="O33" s="817"/>
      <c r="P33" s="762"/>
      <c r="Q33" s="762"/>
    </row>
    <row r="34" spans="2:17">
      <c r="B34" s="765"/>
      <c r="C34" s="765"/>
      <c r="D34" s="765"/>
      <c r="E34" s="765"/>
      <c r="F34" s="765"/>
      <c r="G34" s="765"/>
      <c r="H34" s="765"/>
      <c r="I34" s="765"/>
      <c r="J34" s="765"/>
      <c r="K34" s="765"/>
      <c r="L34" s="765"/>
      <c r="M34" s="765"/>
      <c r="N34" s="765"/>
      <c r="O34" s="765"/>
      <c r="P34" s="765"/>
      <c r="Q34" s="765"/>
    </row>
  </sheetData>
  <mergeCells count="38">
    <mergeCell ref="B30:D30"/>
    <mergeCell ref="E30:I30"/>
    <mergeCell ref="B31:D31"/>
    <mergeCell ref="E31:I31"/>
    <mergeCell ref="B32:D32"/>
    <mergeCell ref="E32:I32"/>
    <mergeCell ref="B29:D29"/>
    <mergeCell ref="E29:I29"/>
    <mergeCell ref="C10:D10"/>
    <mergeCell ref="E10:F10"/>
    <mergeCell ref="G10:H10"/>
    <mergeCell ref="C11:D11"/>
    <mergeCell ref="E11:F11"/>
    <mergeCell ref="G11:H11"/>
    <mergeCell ref="E12:F12"/>
    <mergeCell ref="B17:I17"/>
    <mergeCell ref="B19:C20"/>
    <mergeCell ref="D19:F19"/>
    <mergeCell ref="G19:I19"/>
    <mergeCell ref="C8:D8"/>
    <mergeCell ref="E8:F8"/>
    <mergeCell ref="G8:H8"/>
    <mergeCell ref="C9:D9"/>
    <mergeCell ref="E9:F9"/>
    <mergeCell ref="G9:H9"/>
    <mergeCell ref="C6:D6"/>
    <mergeCell ref="E6:F6"/>
    <mergeCell ref="G6:H6"/>
    <mergeCell ref="C7:D7"/>
    <mergeCell ref="E7:F7"/>
    <mergeCell ref="G7:H7"/>
    <mergeCell ref="E3:F3"/>
    <mergeCell ref="G3:H3"/>
    <mergeCell ref="E4:F4"/>
    <mergeCell ref="G4:H4"/>
    <mergeCell ref="C5:D5"/>
    <mergeCell ref="E5:F5"/>
    <mergeCell ref="G5:H5"/>
  </mergeCells>
  <printOptions horizontalCentered="1"/>
  <pageMargins left="0" right="0" top="0.74" bottom="0.2" header="0.26" footer="0"/>
  <pageSetup paperSize="9" scale="8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K7" sqref="K7"/>
    </sheetView>
  </sheetViews>
  <sheetFormatPr defaultRowHeight="12.75"/>
  <cols>
    <col min="1" max="1" width="2.7109375" style="765" bestFit="1" customWidth="1"/>
    <col min="2" max="2" width="41.140625" style="765" customWidth="1"/>
    <col min="3" max="3" width="9.42578125" style="765" bestFit="1" customWidth="1"/>
    <col min="4" max="4" width="11.5703125" style="765" customWidth="1"/>
    <col min="5" max="5" width="10.42578125" style="765" bestFit="1" customWidth="1"/>
    <col min="6" max="6" width="9.42578125" style="765" bestFit="1" customWidth="1"/>
    <col min="7" max="8" width="10.42578125" style="765" bestFit="1" customWidth="1"/>
    <col min="9" max="9" width="9.140625" style="765" hidden="1" customWidth="1"/>
    <col min="10" max="10" width="9.140625" style="765"/>
    <col min="11" max="11" width="4.140625" style="765" customWidth="1"/>
    <col min="12" max="256" width="9.140625" style="765"/>
    <col min="257" max="257" width="2.7109375" style="765" bestFit="1" customWidth="1"/>
    <col min="258" max="258" width="41.140625" style="765" customWidth="1"/>
    <col min="259" max="259" width="9.42578125" style="765" bestFit="1" customWidth="1"/>
    <col min="260" max="260" width="11.5703125" style="765" customWidth="1"/>
    <col min="261" max="261" width="10.42578125" style="765" bestFit="1" customWidth="1"/>
    <col min="262" max="262" width="9.42578125" style="765" bestFit="1" customWidth="1"/>
    <col min="263" max="264" width="10.42578125" style="765" bestFit="1" customWidth="1"/>
    <col min="265" max="265" width="0" style="765" hidden="1" customWidth="1"/>
    <col min="266" max="266" width="9.140625" style="765"/>
    <col min="267" max="267" width="4.140625" style="765" customWidth="1"/>
    <col min="268" max="512" width="9.140625" style="765"/>
    <col min="513" max="513" width="2.7109375" style="765" bestFit="1" customWidth="1"/>
    <col min="514" max="514" width="41.140625" style="765" customWidth="1"/>
    <col min="515" max="515" width="9.42578125" style="765" bestFit="1" customWidth="1"/>
    <col min="516" max="516" width="11.5703125" style="765" customWidth="1"/>
    <col min="517" max="517" width="10.42578125" style="765" bestFit="1" customWidth="1"/>
    <col min="518" max="518" width="9.42578125" style="765" bestFit="1" customWidth="1"/>
    <col min="519" max="520" width="10.42578125" style="765" bestFit="1" customWidth="1"/>
    <col min="521" max="521" width="0" style="765" hidden="1" customWidth="1"/>
    <col min="522" max="522" width="9.140625" style="765"/>
    <col min="523" max="523" width="4.140625" style="765" customWidth="1"/>
    <col min="524" max="768" width="9.140625" style="765"/>
    <col min="769" max="769" width="2.7109375" style="765" bestFit="1" customWidth="1"/>
    <col min="770" max="770" width="41.140625" style="765" customWidth="1"/>
    <col min="771" max="771" width="9.42578125" style="765" bestFit="1" customWidth="1"/>
    <col min="772" max="772" width="11.5703125" style="765" customWidth="1"/>
    <col min="773" max="773" width="10.42578125" style="765" bestFit="1" customWidth="1"/>
    <col min="774" max="774" width="9.42578125" style="765" bestFit="1" customWidth="1"/>
    <col min="775" max="776" width="10.42578125" style="765" bestFit="1" customWidth="1"/>
    <col min="777" max="777" width="0" style="765" hidden="1" customWidth="1"/>
    <col min="778" max="778" width="9.140625" style="765"/>
    <col min="779" max="779" width="4.140625" style="765" customWidth="1"/>
    <col min="780" max="1024" width="9.140625" style="765"/>
    <col min="1025" max="1025" width="2.7109375" style="765" bestFit="1" customWidth="1"/>
    <col min="1026" max="1026" width="41.140625" style="765" customWidth="1"/>
    <col min="1027" max="1027" width="9.42578125" style="765" bestFit="1" customWidth="1"/>
    <col min="1028" max="1028" width="11.5703125" style="765" customWidth="1"/>
    <col min="1029" max="1029" width="10.42578125" style="765" bestFit="1" customWidth="1"/>
    <col min="1030" max="1030" width="9.42578125" style="765" bestFit="1" customWidth="1"/>
    <col min="1031" max="1032" width="10.42578125" style="765" bestFit="1" customWidth="1"/>
    <col min="1033" max="1033" width="0" style="765" hidden="1" customWidth="1"/>
    <col min="1034" max="1034" width="9.140625" style="765"/>
    <col min="1035" max="1035" width="4.140625" style="765" customWidth="1"/>
    <col min="1036" max="1280" width="9.140625" style="765"/>
    <col min="1281" max="1281" width="2.7109375" style="765" bestFit="1" customWidth="1"/>
    <col min="1282" max="1282" width="41.140625" style="765" customWidth="1"/>
    <col min="1283" max="1283" width="9.42578125" style="765" bestFit="1" customWidth="1"/>
    <col min="1284" max="1284" width="11.5703125" style="765" customWidth="1"/>
    <col min="1285" max="1285" width="10.42578125" style="765" bestFit="1" customWidth="1"/>
    <col min="1286" max="1286" width="9.42578125" style="765" bestFit="1" customWidth="1"/>
    <col min="1287" max="1288" width="10.42578125" style="765" bestFit="1" customWidth="1"/>
    <col min="1289" max="1289" width="0" style="765" hidden="1" customWidth="1"/>
    <col min="1290" max="1290" width="9.140625" style="765"/>
    <col min="1291" max="1291" width="4.140625" style="765" customWidth="1"/>
    <col min="1292" max="1536" width="9.140625" style="765"/>
    <col min="1537" max="1537" width="2.7109375" style="765" bestFit="1" customWidth="1"/>
    <col min="1538" max="1538" width="41.140625" style="765" customWidth="1"/>
    <col min="1539" max="1539" width="9.42578125" style="765" bestFit="1" customWidth="1"/>
    <col min="1540" max="1540" width="11.5703125" style="765" customWidth="1"/>
    <col min="1541" max="1541" width="10.42578125" style="765" bestFit="1" customWidth="1"/>
    <col min="1542" max="1542" width="9.42578125" style="765" bestFit="1" customWidth="1"/>
    <col min="1543" max="1544" width="10.42578125" style="765" bestFit="1" customWidth="1"/>
    <col min="1545" max="1545" width="0" style="765" hidden="1" customWidth="1"/>
    <col min="1546" max="1546" width="9.140625" style="765"/>
    <col min="1547" max="1547" width="4.140625" style="765" customWidth="1"/>
    <col min="1548" max="1792" width="9.140625" style="765"/>
    <col min="1793" max="1793" width="2.7109375" style="765" bestFit="1" customWidth="1"/>
    <col min="1794" max="1794" width="41.140625" style="765" customWidth="1"/>
    <col min="1795" max="1795" width="9.42578125" style="765" bestFit="1" customWidth="1"/>
    <col min="1796" max="1796" width="11.5703125" style="765" customWidth="1"/>
    <col min="1797" max="1797" width="10.42578125" style="765" bestFit="1" customWidth="1"/>
    <col min="1798" max="1798" width="9.42578125" style="765" bestFit="1" customWidth="1"/>
    <col min="1799" max="1800" width="10.42578125" style="765" bestFit="1" customWidth="1"/>
    <col min="1801" max="1801" width="0" style="765" hidden="1" customWidth="1"/>
    <col min="1802" max="1802" width="9.140625" style="765"/>
    <col min="1803" max="1803" width="4.140625" style="765" customWidth="1"/>
    <col min="1804" max="2048" width="9.140625" style="765"/>
    <col min="2049" max="2049" width="2.7109375" style="765" bestFit="1" customWidth="1"/>
    <col min="2050" max="2050" width="41.140625" style="765" customWidth="1"/>
    <col min="2051" max="2051" width="9.42578125" style="765" bestFit="1" customWidth="1"/>
    <col min="2052" max="2052" width="11.5703125" style="765" customWidth="1"/>
    <col min="2053" max="2053" width="10.42578125" style="765" bestFit="1" customWidth="1"/>
    <col min="2054" max="2054" width="9.42578125" style="765" bestFit="1" customWidth="1"/>
    <col min="2055" max="2056" width="10.42578125" style="765" bestFit="1" customWidth="1"/>
    <col min="2057" max="2057" width="0" style="765" hidden="1" customWidth="1"/>
    <col min="2058" max="2058" width="9.140625" style="765"/>
    <col min="2059" max="2059" width="4.140625" style="765" customWidth="1"/>
    <col min="2060" max="2304" width="9.140625" style="765"/>
    <col min="2305" max="2305" width="2.7109375" style="765" bestFit="1" customWidth="1"/>
    <col min="2306" max="2306" width="41.140625" style="765" customWidth="1"/>
    <col min="2307" max="2307" width="9.42578125" style="765" bestFit="1" customWidth="1"/>
    <col min="2308" max="2308" width="11.5703125" style="765" customWidth="1"/>
    <col min="2309" max="2309" width="10.42578125" style="765" bestFit="1" customWidth="1"/>
    <col min="2310" max="2310" width="9.42578125" style="765" bestFit="1" customWidth="1"/>
    <col min="2311" max="2312" width="10.42578125" style="765" bestFit="1" customWidth="1"/>
    <col min="2313" max="2313" width="0" style="765" hidden="1" customWidth="1"/>
    <col min="2314" max="2314" width="9.140625" style="765"/>
    <col min="2315" max="2315" width="4.140625" style="765" customWidth="1"/>
    <col min="2316" max="2560" width="9.140625" style="765"/>
    <col min="2561" max="2561" width="2.7109375" style="765" bestFit="1" customWidth="1"/>
    <col min="2562" max="2562" width="41.140625" style="765" customWidth="1"/>
    <col min="2563" max="2563" width="9.42578125" style="765" bestFit="1" customWidth="1"/>
    <col min="2564" max="2564" width="11.5703125" style="765" customWidth="1"/>
    <col min="2565" max="2565" width="10.42578125" style="765" bestFit="1" customWidth="1"/>
    <col min="2566" max="2566" width="9.42578125" style="765" bestFit="1" customWidth="1"/>
    <col min="2567" max="2568" width="10.42578125" style="765" bestFit="1" customWidth="1"/>
    <col min="2569" max="2569" width="0" style="765" hidden="1" customWidth="1"/>
    <col min="2570" max="2570" width="9.140625" style="765"/>
    <col min="2571" max="2571" width="4.140625" style="765" customWidth="1"/>
    <col min="2572" max="2816" width="9.140625" style="765"/>
    <col min="2817" max="2817" width="2.7109375" style="765" bestFit="1" customWidth="1"/>
    <col min="2818" max="2818" width="41.140625" style="765" customWidth="1"/>
    <col min="2819" max="2819" width="9.42578125" style="765" bestFit="1" customWidth="1"/>
    <col min="2820" max="2820" width="11.5703125" style="765" customWidth="1"/>
    <col min="2821" max="2821" width="10.42578125" style="765" bestFit="1" customWidth="1"/>
    <col min="2822" max="2822" width="9.42578125" style="765" bestFit="1" customWidth="1"/>
    <col min="2823" max="2824" width="10.42578125" style="765" bestFit="1" customWidth="1"/>
    <col min="2825" max="2825" width="0" style="765" hidden="1" customWidth="1"/>
    <col min="2826" max="2826" width="9.140625" style="765"/>
    <col min="2827" max="2827" width="4.140625" style="765" customWidth="1"/>
    <col min="2828" max="3072" width="9.140625" style="765"/>
    <col min="3073" max="3073" width="2.7109375" style="765" bestFit="1" customWidth="1"/>
    <col min="3074" max="3074" width="41.140625" style="765" customWidth="1"/>
    <col min="3075" max="3075" width="9.42578125" style="765" bestFit="1" customWidth="1"/>
    <col min="3076" max="3076" width="11.5703125" style="765" customWidth="1"/>
    <col min="3077" max="3077" width="10.42578125" style="765" bestFit="1" customWidth="1"/>
    <col min="3078" max="3078" width="9.42578125" style="765" bestFit="1" customWidth="1"/>
    <col min="3079" max="3080" width="10.42578125" style="765" bestFit="1" customWidth="1"/>
    <col min="3081" max="3081" width="0" style="765" hidden="1" customWidth="1"/>
    <col min="3082" max="3082" width="9.140625" style="765"/>
    <col min="3083" max="3083" width="4.140625" style="765" customWidth="1"/>
    <col min="3084" max="3328" width="9.140625" style="765"/>
    <col min="3329" max="3329" width="2.7109375" style="765" bestFit="1" customWidth="1"/>
    <col min="3330" max="3330" width="41.140625" style="765" customWidth="1"/>
    <col min="3331" max="3331" width="9.42578125" style="765" bestFit="1" customWidth="1"/>
    <col min="3332" max="3332" width="11.5703125" style="765" customWidth="1"/>
    <col min="3333" max="3333" width="10.42578125" style="765" bestFit="1" customWidth="1"/>
    <col min="3334" max="3334" width="9.42578125" style="765" bestFit="1" customWidth="1"/>
    <col min="3335" max="3336" width="10.42578125" style="765" bestFit="1" customWidth="1"/>
    <col min="3337" max="3337" width="0" style="765" hidden="1" customWidth="1"/>
    <col min="3338" max="3338" width="9.140625" style="765"/>
    <col min="3339" max="3339" width="4.140625" style="765" customWidth="1"/>
    <col min="3340" max="3584" width="9.140625" style="765"/>
    <col min="3585" max="3585" width="2.7109375" style="765" bestFit="1" customWidth="1"/>
    <col min="3586" max="3586" width="41.140625" style="765" customWidth="1"/>
    <col min="3587" max="3587" width="9.42578125" style="765" bestFit="1" customWidth="1"/>
    <col min="3588" max="3588" width="11.5703125" style="765" customWidth="1"/>
    <col min="3589" max="3589" width="10.42578125" style="765" bestFit="1" customWidth="1"/>
    <col min="3590" max="3590" width="9.42578125" style="765" bestFit="1" customWidth="1"/>
    <col min="3591" max="3592" width="10.42578125" style="765" bestFit="1" customWidth="1"/>
    <col min="3593" max="3593" width="0" style="765" hidden="1" customWidth="1"/>
    <col min="3594" max="3594" width="9.140625" style="765"/>
    <col min="3595" max="3595" width="4.140625" style="765" customWidth="1"/>
    <col min="3596" max="3840" width="9.140625" style="765"/>
    <col min="3841" max="3841" width="2.7109375" style="765" bestFit="1" customWidth="1"/>
    <col min="3842" max="3842" width="41.140625" style="765" customWidth="1"/>
    <col min="3843" max="3843" width="9.42578125" style="765" bestFit="1" customWidth="1"/>
    <col min="3844" max="3844" width="11.5703125" style="765" customWidth="1"/>
    <col min="3845" max="3845" width="10.42578125" style="765" bestFit="1" customWidth="1"/>
    <col min="3846" max="3846" width="9.42578125" style="765" bestFit="1" customWidth="1"/>
    <col min="3847" max="3848" width="10.42578125" style="765" bestFit="1" customWidth="1"/>
    <col min="3849" max="3849" width="0" style="765" hidden="1" customWidth="1"/>
    <col min="3850" max="3850" width="9.140625" style="765"/>
    <col min="3851" max="3851" width="4.140625" style="765" customWidth="1"/>
    <col min="3852" max="4096" width="9.140625" style="765"/>
    <col min="4097" max="4097" width="2.7109375" style="765" bestFit="1" customWidth="1"/>
    <col min="4098" max="4098" width="41.140625" style="765" customWidth="1"/>
    <col min="4099" max="4099" width="9.42578125" style="765" bestFit="1" customWidth="1"/>
    <col min="4100" max="4100" width="11.5703125" style="765" customWidth="1"/>
    <col min="4101" max="4101" width="10.42578125" style="765" bestFit="1" customWidth="1"/>
    <col min="4102" max="4102" width="9.42578125" style="765" bestFit="1" customWidth="1"/>
    <col min="4103" max="4104" width="10.42578125" style="765" bestFit="1" customWidth="1"/>
    <col min="4105" max="4105" width="0" style="765" hidden="1" customWidth="1"/>
    <col min="4106" max="4106" width="9.140625" style="765"/>
    <col min="4107" max="4107" width="4.140625" style="765" customWidth="1"/>
    <col min="4108" max="4352" width="9.140625" style="765"/>
    <col min="4353" max="4353" width="2.7109375" style="765" bestFit="1" customWidth="1"/>
    <col min="4354" max="4354" width="41.140625" style="765" customWidth="1"/>
    <col min="4355" max="4355" width="9.42578125" style="765" bestFit="1" customWidth="1"/>
    <col min="4356" max="4356" width="11.5703125" style="765" customWidth="1"/>
    <col min="4357" max="4357" width="10.42578125" style="765" bestFit="1" customWidth="1"/>
    <col min="4358" max="4358" width="9.42578125" style="765" bestFit="1" customWidth="1"/>
    <col min="4359" max="4360" width="10.42578125" style="765" bestFit="1" customWidth="1"/>
    <col min="4361" max="4361" width="0" style="765" hidden="1" customWidth="1"/>
    <col min="4362" max="4362" width="9.140625" style="765"/>
    <col min="4363" max="4363" width="4.140625" style="765" customWidth="1"/>
    <col min="4364" max="4608" width="9.140625" style="765"/>
    <col min="4609" max="4609" width="2.7109375" style="765" bestFit="1" customWidth="1"/>
    <col min="4610" max="4610" width="41.140625" style="765" customWidth="1"/>
    <col min="4611" max="4611" width="9.42578125" style="765" bestFit="1" customWidth="1"/>
    <col min="4612" max="4612" width="11.5703125" style="765" customWidth="1"/>
    <col min="4613" max="4613" width="10.42578125" style="765" bestFit="1" customWidth="1"/>
    <col min="4614" max="4614" width="9.42578125" style="765" bestFit="1" customWidth="1"/>
    <col min="4615" max="4616" width="10.42578125" style="765" bestFit="1" customWidth="1"/>
    <col min="4617" max="4617" width="0" style="765" hidden="1" customWidth="1"/>
    <col min="4618" max="4618" width="9.140625" style="765"/>
    <col min="4619" max="4619" width="4.140625" style="765" customWidth="1"/>
    <col min="4620" max="4864" width="9.140625" style="765"/>
    <col min="4865" max="4865" width="2.7109375" style="765" bestFit="1" customWidth="1"/>
    <col min="4866" max="4866" width="41.140625" style="765" customWidth="1"/>
    <col min="4867" max="4867" width="9.42578125" style="765" bestFit="1" customWidth="1"/>
    <col min="4868" max="4868" width="11.5703125" style="765" customWidth="1"/>
    <col min="4869" max="4869" width="10.42578125" style="765" bestFit="1" customWidth="1"/>
    <col min="4870" max="4870" width="9.42578125" style="765" bestFit="1" customWidth="1"/>
    <col min="4871" max="4872" width="10.42578125" style="765" bestFit="1" customWidth="1"/>
    <col min="4873" max="4873" width="0" style="765" hidden="1" customWidth="1"/>
    <col min="4874" max="4874" width="9.140625" style="765"/>
    <col min="4875" max="4875" width="4.140625" style="765" customWidth="1"/>
    <col min="4876" max="5120" width="9.140625" style="765"/>
    <col min="5121" max="5121" width="2.7109375" style="765" bestFit="1" customWidth="1"/>
    <col min="5122" max="5122" width="41.140625" style="765" customWidth="1"/>
    <col min="5123" max="5123" width="9.42578125" style="765" bestFit="1" customWidth="1"/>
    <col min="5124" max="5124" width="11.5703125" style="765" customWidth="1"/>
    <col min="5125" max="5125" width="10.42578125" style="765" bestFit="1" customWidth="1"/>
    <col min="5126" max="5126" width="9.42578125" style="765" bestFit="1" customWidth="1"/>
    <col min="5127" max="5128" width="10.42578125" style="765" bestFit="1" customWidth="1"/>
    <col min="5129" max="5129" width="0" style="765" hidden="1" customWidth="1"/>
    <col min="5130" max="5130" width="9.140625" style="765"/>
    <col min="5131" max="5131" width="4.140625" style="765" customWidth="1"/>
    <col min="5132" max="5376" width="9.140625" style="765"/>
    <col min="5377" max="5377" width="2.7109375" style="765" bestFit="1" customWidth="1"/>
    <col min="5378" max="5378" width="41.140625" style="765" customWidth="1"/>
    <col min="5379" max="5379" width="9.42578125" style="765" bestFit="1" customWidth="1"/>
    <col min="5380" max="5380" width="11.5703125" style="765" customWidth="1"/>
    <col min="5381" max="5381" width="10.42578125" style="765" bestFit="1" customWidth="1"/>
    <col min="5382" max="5382" width="9.42578125" style="765" bestFit="1" customWidth="1"/>
    <col min="5383" max="5384" width="10.42578125" style="765" bestFit="1" customWidth="1"/>
    <col min="5385" max="5385" width="0" style="765" hidden="1" customWidth="1"/>
    <col min="5386" max="5386" width="9.140625" style="765"/>
    <col min="5387" max="5387" width="4.140625" style="765" customWidth="1"/>
    <col min="5388" max="5632" width="9.140625" style="765"/>
    <col min="5633" max="5633" width="2.7109375" style="765" bestFit="1" customWidth="1"/>
    <col min="5634" max="5634" width="41.140625" style="765" customWidth="1"/>
    <col min="5635" max="5635" width="9.42578125" style="765" bestFit="1" customWidth="1"/>
    <col min="5636" max="5636" width="11.5703125" style="765" customWidth="1"/>
    <col min="5637" max="5637" width="10.42578125" style="765" bestFit="1" customWidth="1"/>
    <col min="5638" max="5638" width="9.42578125" style="765" bestFit="1" customWidth="1"/>
    <col min="5639" max="5640" width="10.42578125" style="765" bestFit="1" customWidth="1"/>
    <col min="5641" max="5641" width="0" style="765" hidden="1" customWidth="1"/>
    <col min="5642" max="5642" width="9.140625" style="765"/>
    <col min="5643" max="5643" width="4.140625" style="765" customWidth="1"/>
    <col min="5644" max="5888" width="9.140625" style="765"/>
    <col min="5889" max="5889" width="2.7109375" style="765" bestFit="1" customWidth="1"/>
    <col min="5890" max="5890" width="41.140625" style="765" customWidth="1"/>
    <col min="5891" max="5891" width="9.42578125" style="765" bestFit="1" customWidth="1"/>
    <col min="5892" max="5892" width="11.5703125" style="765" customWidth="1"/>
    <col min="5893" max="5893" width="10.42578125" style="765" bestFit="1" customWidth="1"/>
    <col min="5894" max="5894" width="9.42578125" style="765" bestFit="1" customWidth="1"/>
    <col min="5895" max="5896" width="10.42578125" style="765" bestFit="1" customWidth="1"/>
    <col min="5897" max="5897" width="0" style="765" hidden="1" customWidth="1"/>
    <col min="5898" max="5898" width="9.140625" style="765"/>
    <col min="5899" max="5899" width="4.140625" style="765" customWidth="1"/>
    <col min="5900" max="6144" width="9.140625" style="765"/>
    <col min="6145" max="6145" width="2.7109375" style="765" bestFit="1" customWidth="1"/>
    <col min="6146" max="6146" width="41.140625" style="765" customWidth="1"/>
    <col min="6147" max="6147" width="9.42578125" style="765" bestFit="1" customWidth="1"/>
    <col min="6148" max="6148" width="11.5703125" style="765" customWidth="1"/>
    <col min="6149" max="6149" width="10.42578125" style="765" bestFit="1" customWidth="1"/>
    <col min="6150" max="6150" width="9.42578125" style="765" bestFit="1" customWidth="1"/>
    <col min="6151" max="6152" width="10.42578125" style="765" bestFit="1" customWidth="1"/>
    <col min="6153" max="6153" width="0" style="765" hidden="1" customWidth="1"/>
    <col min="6154" max="6154" width="9.140625" style="765"/>
    <col min="6155" max="6155" width="4.140625" style="765" customWidth="1"/>
    <col min="6156" max="6400" width="9.140625" style="765"/>
    <col min="6401" max="6401" width="2.7109375" style="765" bestFit="1" customWidth="1"/>
    <col min="6402" max="6402" width="41.140625" style="765" customWidth="1"/>
    <col min="6403" max="6403" width="9.42578125" style="765" bestFit="1" customWidth="1"/>
    <col min="6404" max="6404" width="11.5703125" style="765" customWidth="1"/>
    <col min="6405" max="6405" width="10.42578125" style="765" bestFit="1" customWidth="1"/>
    <col min="6406" max="6406" width="9.42578125" style="765" bestFit="1" customWidth="1"/>
    <col min="6407" max="6408" width="10.42578125" style="765" bestFit="1" customWidth="1"/>
    <col min="6409" max="6409" width="0" style="765" hidden="1" customWidth="1"/>
    <col min="6410" max="6410" width="9.140625" style="765"/>
    <col min="6411" max="6411" width="4.140625" style="765" customWidth="1"/>
    <col min="6412" max="6656" width="9.140625" style="765"/>
    <col min="6657" max="6657" width="2.7109375" style="765" bestFit="1" customWidth="1"/>
    <col min="6658" max="6658" width="41.140625" style="765" customWidth="1"/>
    <col min="6659" max="6659" width="9.42578125" style="765" bestFit="1" customWidth="1"/>
    <col min="6660" max="6660" width="11.5703125" style="765" customWidth="1"/>
    <col min="6661" max="6661" width="10.42578125" style="765" bestFit="1" customWidth="1"/>
    <col min="6662" max="6662" width="9.42578125" style="765" bestFit="1" customWidth="1"/>
    <col min="6663" max="6664" width="10.42578125" style="765" bestFit="1" customWidth="1"/>
    <col min="6665" max="6665" width="0" style="765" hidden="1" customWidth="1"/>
    <col min="6666" max="6666" width="9.140625" style="765"/>
    <col min="6667" max="6667" width="4.140625" style="765" customWidth="1"/>
    <col min="6668" max="6912" width="9.140625" style="765"/>
    <col min="6913" max="6913" width="2.7109375" style="765" bestFit="1" customWidth="1"/>
    <col min="6914" max="6914" width="41.140625" style="765" customWidth="1"/>
    <col min="6915" max="6915" width="9.42578125" style="765" bestFit="1" customWidth="1"/>
    <col min="6916" max="6916" width="11.5703125" style="765" customWidth="1"/>
    <col min="6917" max="6917" width="10.42578125" style="765" bestFit="1" customWidth="1"/>
    <col min="6918" max="6918" width="9.42578125" style="765" bestFit="1" customWidth="1"/>
    <col min="6919" max="6920" width="10.42578125" style="765" bestFit="1" customWidth="1"/>
    <col min="6921" max="6921" width="0" style="765" hidden="1" customWidth="1"/>
    <col min="6922" max="6922" width="9.140625" style="765"/>
    <col min="6923" max="6923" width="4.140625" style="765" customWidth="1"/>
    <col min="6924" max="7168" width="9.140625" style="765"/>
    <col min="7169" max="7169" width="2.7109375" style="765" bestFit="1" customWidth="1"/>
    <col min="7170" max="7170" width="41.140625" style="765" customWidth="1"/>
    <col min="7171" max="7171" width="9.42578125" style="765" bestFit="1" customWidth="1"/>
    <col min="7172" max="7172" width="11.5703125" style="765" customWidth="1"/>
    <col min="7173" max="7173" width="10.42578125" style="765" bestFit="1" customWidth="1"/>
    <col min="7174" max="7174" width="9.42578125" style="765" bestFit="1" customWidth="1"/>
    <col min="7175" max="7176" width="10.42578125" style="765" bestFit="1" customWidth="1"/>
    <col min="7177" max="7177" width="0" style="765" hidden="1" customWidth="1"/>
    <col min="7178" max="7178" width="9.140625" style="765"/>
    <col min="7179" max="7179" width="4.140625" style="765" customWidth="1"/>
    <col min="7180" max="7424" width="9.140625" style="765"/>
    <col min="7425" max="7425" width="2.7109375" style="765" bestFit="1" customWidth="1"/>
    <col min="7426" max="7426" width="41.140625" style="765" customWidth="1"/>
    <col min="7427" max="7427" width="9.42578125" style="765" bestFit="1" customWidth="1"/>
    <col min="7428" max="7428" width="11.5703125" style="765" customWidth="1"/>
    <col min="7429" max="7429" width="10.42578125" style="765" bestFit="1" customWidth="1"/>
    <col min="7430" max="7430" width="9.42578125" style="765" bestFit="1" customWidth="1"/>
    <col min="7431" max="7432" width="10.42578125" style="765" bestFit="1" customWidth="1"/>
    <col min="7433" max="7433" width="0" style="765" hidden="1" customWidth="1"/>
    <col min="7434" max="7434" width="9.140625" style="765"/>
    <col min="7435" max="7435" width="4.140625" style="765" customWidth="1"/>
    <col min="7436" max="7680" width="9.140625" style="765"/>
    <col min="7681" max="7681" width="2.7109375" style="765" bestFit="1" customWidth="1"/>
    <col min="7682" max="7682" width="41.140625" style="765" customWidth="1"/>
    <col min="7683" max="7683" width="9.42578125" style="765" bestFit="1" customWidth="1"/>
    <col min="7684" max="7684" width="11.5703125" style="765" customWidth="1"/>
    <col min="7685" max="7685" width="10.42578125" style="765" bestFit="1" customWidth="1"/>
    <col min="7686" max="7686" width="9.42578125" style="765" bestFit="1" customWidth="1"/>
    <col min="7687" max="7688" width="10.42578125" style="765" bestFit="1" customWidth="1"/>
    <col min="7689" max="7689" width="0" style="765" hidden="1" customWidth="1"/>
    <col min="7690" max="7690" width="9.140625" style="765"/>
    <col min="7691" max="7691" width="4.140625" style="765" customWidth="1"/>
    <col min="7692" max="7936" width="9.140625" style="765"/>
    <col min="7937" max="7937" width="2.7109375" style="765" bestFit="1" customWidth="1"/>
    <col min="7938" max="7938" width="41.140625" style="765" customWidth="1"/>
    <col min="7939" max="7939" width="9.42578125" style="765" bestFit="1" customWidth="1"/>
    <col min="7940" max="7940" width="11.5703125" style="765" customWidth="1"/>
    <col min="7941" max="7941" width="10.42578125" style="765" bestFit="1" customWidth="1"/>
    <col min="7942" max="7942" width="9.42578125" style="765" bestFit="1" customWidth="1"/>
    <col min="7943" max="7944" width="10.42578125" style="765" bestFit="1" customWidth="1"/>
    <col min="7945" max="7945" width="0" style="765" hidden="1" customWidth="1"/>
    <col min="7946" max="7946" width="9.140625" style="765"/>
    <col min="7947" max="7947" width="4.140625" style="765" customWidth="1"/>
    <col min="7948" max="8192" width="9.140625" style="765"/>
    <col min="8193" max="8193" width="2.7109375" style="765" bestFit="1" customWidth="1"/>
    <col min="8194" max="8194" width="41.140625" style="765" customWidth="1"/>
    <col min="8195" max="8195" width="9.42578125" style="765" bestFit="1" customWidth="1"/>
    <col min="8196" max="8196" width="11.5703125" style="765" customWidth="1"/>
    <col min="8197" max="8197" width="10.42578125" style="765" bestFit="1" customWidth="1"/>
    <col min="8198" max="8198" width="9.42578125" style="765" bestFit="1" customWidth="1"/>
    <col min="8199" max="8200" width="10.42578125" style="765" bestFit="1" customWidth="1"/>
    <col min="8201" max="8201" width="0" style="765" hidden="1" customWidth="1"/>
    <col min="8202" max="8202" width="9.140625" style="765"/>
    <col min="8203" max="8203" width="4.140625" style="765" customWidth="1"/>
    <col min="8204" max="8448" width="9.140625" style="765"/>
    <col min="8449" max="8449" width="2.7109375" style="765" bestFit="1" customWidth="1"/>
    <col min="8450" max="8450" width="41.140625" style="765" customWidth="1"/>
    <col min="8451" max="8451" width="9.42578125" style="765" bestFit="1" customWidth="1"/>
    <col min="8452" max="8452" width="11.5703125" style="765" customWidth="1"/>
    <col min="8453" max="8453" width="10.42578125" style="765" bestFit="1" customWidth="1"/>
    <col min="8454" max="8454" width="9.42578125" style="765" bestFit="1" customWidth="1"/>
    <col min="8455" max="8456" width="10.42578125" style="765" bestFit="1" customWidth="1"/>
    <col min="8457" max="8457" width="0" style="765" hidden="1" customWidth="1"/>
    <col min="8458" max="8458" width="9.140625" style="765"/>
    <col min="8459" max="8459" width="4.140625" style="765" customWidth="1"/>
    <col min="8460" max="8704" width="9.140625" style="765"/>
    <col min="8705" max="8705" width="2.7109375" style="765" bestFit="1" customWidth="1"/>
    <col min="8706" max="8706" width="41.140625" style="765" customWidth="1"/>
    <col min="8707" max="8707" width="9.42578125" style="765" bestFit="1" customWidth="1"/>
    <col min="8708" max="8708" width="11.5703125" style="765" customWidth="1"/>
    <col min="8709" max="8709" width="10.42578125" style="765" bestFit="1" customWidth="1"/>
    <col min="8710" max="8710" width="9.42578125" style="765" bestFit="1" customWidth="1"/>
    <col min="8711" max="8712" width="10.42578125" style="765" bestFit="1" customWidth="1"/>
    <col min="8713" max="8713" width="0" style="765" hidden="1" customWidth="1"/>
    <col min="8714" max="8714" width="9.140625" style="765"/>
    <col min="8715" max="8715" width="4.140625" style="765" customWidth="1"/>
    <col min="8716" max="8960" width="9.140625" style="765"/>
    <col min="8961" max="8961" width="2.7109375" style="765" bestFit="1" customWidth="1"/>
    <col min="8962" max="8962" width="41.140625" style="765" customWidth="1"/>
    <col min="8963" max="8963" width="9.42578125" style="765" bestFit="1" customWidth="1"/>
    <col min="8964" max="8964" width="11.5703125" style="765" customWidth="1"/>
    <col min="8965" max="8965" width="10.42578125" style="765" bestFit="1" customWidth="1"/>
    <col min="8966" max="8966" width="9.42578125" style="765" bestFit="1" customWidth="1"/>
    <col min="8967" max="8968" width="10.42578125" style="765" bestFit="1" customWidth="1"/>
    <col min="8969" max="8969" width="0" style="765" hidden="1" customWidth="1"/>
    <col min="8970" max="8970" width="9.140625" style="765"/>
    <col min="8971" max="8971" width="4.140625" style="765" customWidth="1"/>
    <col min="8972" max="9216" width="9.140625" style="765"/>
    <col min="9217" max="9217" width="2.7109375" style="765" bestFit="1" customWidth="1"/>
    <col min="9218" max="9218" width="41.140625" style="765" customWidth="1"/>
    <col min="9219" max="9219" width="9.42578125" style="765" bestFit="1" customWidth="1"/>
    <col min="9220" max="9220" width="11.5703125" style="765" customWidth="1"/>
    <col min="9221" max="9221" width="10.42578125" style="765" bestFit="1" customWidth="1"/>
    <col min="9222" max="9222" width="9.42578125" style="765" bestFit="1" customWidth="1"/>
    <col min="9223" max="9224" width="10.42578125" style="765" bestFit="1" customWidth="1"/>
    <col min="9225" max="9225" width="0" style="765" hidden="1" customWidth="1"/>
    <col min="9226" max="9226" width="9.140625" style="765"/>
    <col min="9227" max="9227" width="4.140625" style="765" customWidth="1"/>
    <col min="9228" max="9472" width="9.140625" style="765"/>
    <col min="9473" max="9473" width="2.7109375" style="765" bestFit="1" customWidth="1"/>
    <col min="9474" max="9474" width="41.140625" style="765" customWidth="1"/>
    <col min="9475" max="9475" width="9.42578125" style="765" bestFit="1" customWidth="1"/>
    <col min="9476" max="9476" width="11.5703125" style="765" customWidth="1"/>
    <col min="9477" max="9477" width="10.42578125" style="765" bestFit="1" customWidth="1"/>
    <col min="9478" max="9478" width="9.42578125" style="765" bestFit="1" customWidth="1"/>
    <col min="9479" max="9480" width="10.42578125" style="765" bestFit="1" customWidth="1"/>
    <col min="9481" max="9481" width="0" style="765" hidden="1" customWidth="1"/>
    <col min="9482" max="9482" width="9.140625" style="765"/>
    <col min="9483" max="9483" width="4.140625" style="765" customWidth="1"/>
    <col min="9484" max="9728" width="9.140625" style="765"/>
    <col min="9729" max="9729" width="2.7109375" style="765" bestFit="1" customWidth="1"/>
    <col min="9730" max="9730" width="41.140625" style="765" customWidth="1"/>
    <col min="9731" max="9731" width="9.42578125" style="765" bestFit="1" customWidth="1"/>
    <col min="9732" max="9732" width="11.5703125" style="765" customWidth="1"/>
    <col min="9733" max="9733" width="10.42578125" style="765" bestFit="1" customWidth="1"/>
    <col min="9734" max="9734" width="9.42578125" style="765" bestFit="1" customWidth="1"/>
    <col min="9735" max="9736" width="10.42578125" style="765" bestFit="1" customWidth="1"/>
    <col min="9737" max="9737" width="0" style="765" hidden="1" customWidth="1"/>
    <col min="9738" max="9738" width="9.140625" style="765"/>
    <col min="9739" max="9739" width="4.140625" style="765" customWidth="1"/>
    <col min="9740" max="9984" width="9.140625" style="765"/>
    <col min="9985" max="9985" width="2.7109375" style="765" bestFit="1" customWidth="1"/>
    <col min="9986" max="9986" width="41.140625" style="765" customWidth="1"/>
    <col min="9987" max="9987" width="9.42578125" style="765" bestFit="1" customWidth="1"/>
    <col min="9988" max="9988" width="11.5703125" style="765" customWidth="1"/>
    <col min="9989" max="9989" width="10.42578125" style="765" bestFit="1" customWidth="1"/>
    <col min="9990" max="9990" width="9.42578125" style="765" bestFit="1" customWidth="1"/>
    <col min="9991" max="9992" width="10.42578125" style="765" bestFit="1" customWidth="1"/>
    <col min="9993" max="9993" width="0" style="765" hidden="1" customWidth="1"/>
    <col min="9994" max="9994" width="9.140625" style="765"/>
    <col min="9995" max="9995" width="4.140625" style="765" customWidth="1"/>
    <col min="9996" max="10240" width="9.140625" style="765"/>
    <col min="10241" max="10241" width="2.7109375" style="765" bestFit="1" customWidth="1"/>
    <col min="10242" max="10242" width="41.140625" style="765" customWidth="1"/>
    <col min="10243" max="10243" width="9.42578125" style="765" bestFit="1" customWidth="1"/>
    <col min="10244" max="10244" width="11.5703125" style="765" customWidth="1"/>
    <col min="10245" max="10245" width="10.42578125" style="765" bestFit="1" customWidth="1"/>
    <col min="10246" max="10246" width="9.42578125" style="765" bestFit="1" customWidth="1"/>
    <col min="10247" max="10248" width="10.42578125" style="765" bestFit="1" customWidth="1"/>
    <col min="10249" max="10249" width="0" style="765" hidden="1" customWidth="1"/>
    <col min="10250" max="10250" width="9.140625" style="765"/>
    <col min="10251" max="10251" width="4.140625" style="765" customWidth="1"/>
    <col min="10252" max="10496" width="9.140625" style="765"/>
    <col min="10497" max="10497" width="2.7109375" style="765" bestFit="1" customWidth="1"/>
    <col min="10498" max="10498" width="41.140625" style="765" customWidth="1"/>
    <col min="10499" max="10499" width="9.42578125" style="765" bestFit="1" customWidth="1"/>
    <col min="10500" max="10500" width="11.5703125" style="765" customWidth="1"/>
    <col min="10501" max="10501" width="10.42578125" style="765" bestFit="1" customWidth="1"/>
    <col min="10502" max="10502" width="9.42578125" style="765" bestFit="1" customWidth="1"/>
    <col min="10503" max="10504" width="10.42578125" style="765" bestFit="1" customWidth="1"/>
    <col min="10505" max="10505" width="0" style="765" hidden="1" customWidth="1"/>
    <col min="10506" max="10506" width="9.140625" style="765"/>
    <col min="10507" max="10507" width="4.140625" style="765" customWidth="1"/>
    <col min="10508" max="10752" width="9.140625" style="765"/>
    <col min="10753" max="10753" width="2.7109375" style="765" bestFit="1" customWidth="1"/>
    <col min="10754" max="10754" width="41.140625" style="765" customWidth="1"/>
    <col min="10755" max="10755" width="9.42578125" style="765" bestFit="1" customWidth="1"/>
    <col min="10756" max="10756" width="11.5703125" style="765" customWidth="1"/>
    <col min="10757" max="10757" width="10.42578125" style="765" bestFit="1" customWidth="1"/>
    <col min="10758" max="10758" width="9.42578125" style="765" bestFit="1" customWidth="1"/>
    <col min="10759" max="10760" width="10.42578125" style="765" bestFit="1" customWidth="1"/>
    <col min="10761" max="10761" width="0" style="765" hidden="1" customWidth="1"/>
    <col min="10762" max="10762" width="9.140625" style="765"/>
    <col min="10763" max="10763" width="4.140625" style="765" customWidth="1"/>
    <col min="10764" max="11008" width="9.140625" style="765"/>
    <col min="11009" max="11009" width="2.7109375" style="765" bestFit="1" customWidth="1"/>
    <col min="11010" max="11010" width="41.140625" style="765" customWidth="1"/>
    <col min="11011" max="11011" width="9.42578125" style="765" bestFit="1" customWidth="1"/>
    <col min="11012" max="11012" width="11.5703125" style="765" customWidth="1"/>
    <col min="11013" max="11013" width="10.42578125" style="765" bestFit="1" customWidth="1"/>
    <col min="11014" max="11014" width="9.42578125" style="765" bestFit="1" customWidth="1"/>
    <col min="11015" max="11016" width="10.42578125" style="765" bestFit="1" customWidth="1"/>
    <col min="11017" max="11017" width="0" style="765" hidden="1" customWidth="1"/>
    <col min="11018" max="11018" width="9.140625" style="765"/>
    <col min="11019" max="11019" width="4.140625" style="765" customWidth="1"/>
    <col min="11020" max="11264" width="9.140625" style="765"/>
    <col min="11265" max="11265" width="2.7109375" style="765" bestFit="1" customWidth="1"/>
    <col min="11266" max="11266" width="41.140625" style="765" customWidth="1"/>
    <col min="11267" max="11267" width="9.42578125" style="765" bestFit="1" customWidth="1"/>
    <col min="11268" max="11268" width="11.5703125" style="765" customWidth="1"/>
    <col min="11269" max="11269" width="10.42578125" style="765" bestFit="1" customWidth="1"/>
    <col min="11270" max="11270" width="9.42578125" style="765" bestFit="1" customWidth="1"/>
    <col min="11271" max="11272" width="10.42578125" style="765" bestFit="1" customWidth="1"/>
    <col min="11273" max="11273" width="0" style="765" hidden="1" customWidth="1"/>
    <col min="11274" max="11274" width="9.140625" style="765"/>
    <col min="11275" max="11275" width="4.140625" style="765" customWidth="1"/>
    <col min="11276" max="11520" width="9.140625" style="765"/>
    <col min="11521" max="11521" width="2.7109375" style="765" bestFit="1" customWidth="1"/>
    <col min="11522" max="11522" width="41.140625" style="765" customWidth="1"/>
    <col min="11523" max="11523" width="9.42578125" style="765" bestFit="1" customWidth="1"/>
    <col min="11524" max="11524" width="11.5703125" style="765" customWidth="1"/>
    <col min="11525" max="11525" width="10.42578125" style="765" bestFit="1" customWidth="1"/>
    <col min="11526" max="11526" width="9.42578125" style="765" bestFit="1" customWidth="1"/>
    <col min="11527" max="11528" width="10.42578125" style="765" bestFit="1" customWidth="1"/>
    <col min="11529" max="11529" width="0" style="765" hidden="1" customWidth="1"/>
    <col min="11530" max="11530" width="9.140625" style="765"/>
    <col min="11531" max="11531" width="4.140625" style="765" customWidth="1"/>
    <col min="11532" max="11776" width="9.140625" style="765"/>
    <col min="11777" max="11777" width="2.7109375" style="765" bestFit="1" customWidth="1"/>
    <col min="11778" max="11778" width="41.140625" style="765" customWidth="1"/>
    <col min="11779" max="11779" width="9.42578125" style="765" bestFit="1" customWidth="1"/>
    <col min="11780" max="11780" width="11.5703125" style="765" customWidth="1"/>
    <col min="11781" max="11781" width="10.42578125" style="765" bestFit="1" customWidth="1"/>
    <col min="11782" max="11782" width="9.42578125" style="765" bestFit="1" customWidth="1"/>
    <col min="11783" max="11784" width="10.42578125" style="765" bestFit="1" customWidth="1"/>
    <col min="11785" max="11785" width="0" style="765" hidden="1" customWidth="1"/>
    <col min="11786" max="11786" width="9.140625" style="765"/>
    <col min="11787" max="11787" width="4.140625" style="765" customWidth="1"/>
    <col min="11788" max="12032" width="9.140625" style="765"/>
    <col min="12033" max="12033" width="2.7109375" style="765" bestFit="1" customWidth="1"/>
    <col min="12034" max="12034" width="41.140625" style="765" customWidth="1"/>
    <col min="12035" max="12035" width="9.42578125" style="765" bestFit="1" customWidth="1"/>
    <col min="12036" max="12036" width="11.5703125" style="765" customWidth="1"/>
    <col min="12037" max="12037" width="10.42578125" style="765" bestFit="1" customWidth="1"/>
    <col min="12038" max="12038" width="9.42578125" style="765" bestFit="1" customWidth="1"/>
    <col min="12039" max="12040" width="10.42578125" style="765" bestFit="1" customWidth="1"/>
    <col min="12041" max="12041" width="0" style="765" hidden="1" customWidth="1"/>
    <col min="12042" max="12042" width="9.140625" style="765"/>
    <col min="12043" max="12043" width="4.140625" style="765" customWidth="1"/>
    <col min="12044" max="12288" width="9.140625" style="765"/>
    <col min="12289" max="12289" width="2.7109375" style="765" bestFit="1" customWidth="1"/>
    <col min="12290" max="12290" width="41.140625" style="765" customWidth="1"/>
    <col min="12291" max="12291" width="9.42578125" style="765" bestFit="1" customWidth="1"/>
    <col min="12292" max="12292" width="11.5703125" style="765" customWidth="1"/>
    <col min="12293" max="12293" width="10.42578125" style="765" bestFit="1" customWidth="1"/>
    <col min="12294" max="12294" width="9.42578125" style="765" bestFit="1" customWidth="1"/>
    <col min="12295" max="12296" width="10.42578125" style="765" bestFit="1" customWidth="1"/>
    <col min="12297" max="12297" width="0" style="765" hidden="1" customWidth="1"/>
    <col min="12298" max="12298" width="9.140625" style="765"/>
    <col min="12299" max="12299" width="4.140625" style="765" customWidth="1"/>
    <col min="12300" max="12544" width="9.140625" style="765"/>
    <col min="12545" max="12545" width="2.7109375" style="765" bestFit="1" customWidth="1"/>
    <col min="12546" max="12546" width="41.140625" style="765" customWidth="1"/>
    <col min="12547" max="12547" width="9.42578125" style="765" bestFit="1" customWidth="1"/>
    <col min="12548" max="12548" width="11.5703125" style="765" customWidth="1"/>
    <col min="12549" max="12549" width="10.42578125" style="765" bestFit="1" customWidth="1"/>
    <col min="12550" max="12550" width="9.42578125" style="765" bestFit="1" customWidth="1"/>
    <col min="12551" max="12552" width="10.42578125" style="765" bestFit="1" customWidth="1"/>
    <col min="12553" max="12553" width="0" style="765" hidden="1" customWidth="1"/>
    <col min="12554" max="12554" width="9.140625" style="765"/>
    <col min="12555" max="12555" width="4.140625" style="765" customWidth="1"/>
    <col min="12556" max="12800" width="9.140625" style="765"/>
    <col min="12801" max="12801" width="2.7109375" style="765" bestFit="1" customWidth="1"/>
    <col min="12802" max="12802" width="41.140625" style="765" customWidth="1"/>
    <col min="12803" max="12803" width="9.42578125" style="765" bestFit="1" customWidth="1"/>
    <col min="12804" max="12804" width="11.5703125" style="765" customWidth="1"/>
    <col min="12805" max="12805" width="10.42578125" style="765" bestFit="1" customWidth="1"/>
    <col min="12806" max="12806" width="9.42578125" style="765" bestFit="1" customWidth="1"/>
    <col min="12807" max="12808" width="10.42578125" style="765" bestFit="1" customWidth="1"/>
    <col min="12809" max="12809" width="0" style="765" hidden="1" customWidth="1"/>
    <col min="12810" max="12810" width="9.140625" style="765"/>
    <col min="12811" max="12811" width="4.140625" style="765" customWidth="1"/>
    <col min="12812" max="13056" width="9.140625" style="765"/>
    <col min="13057" max="13057" width="2.7109375" style="765" bestFit="1" customWidth="1"/>
    <col min="13058" max="13058" width="41.140625" style="765" customWidth="1"/>
    <col min="13059" max="13059" width="9.42578125" style="765" bestFit="1" customWidth="1"/>
    <col min="13060" max="13060" width="11.5703125" style="765" customWidth="1"/>
    <col min="13061" max="13061" width="10.42578125" style="765" bestFit="1" customWidth="1"/>
    <col min="13062" max="13062" width="9.42578125" style="765" bestFit="1" customWidth="1"/>
    <col min="13063" max="13064" width="10.42578125" style="765" bestFit="1" customWidth="1"/>
    <col min="13065" max="13065" width="0" style="765" hidden="1" customWidth="1"/>
    <col min="13066" max="13066" width="9.140625" style="765"/>
    <col min="13067" max="13067" width="4.140625" style="765" customWidth="1"/>
    <col min="13068" max="13312" width="9.140625" style="765"/>
    <col min="13313" max="13313" width="2.7109375" style="765" bestFit="1" customWidth="1"/>
    <col min="13314" max="13314" width="41.140625" style="765" customWidth="1"/>
    <col min="13315" max="13315" width="9.42578125" style="765" bestFit="1" customWidth="1"/>
    <col min="13316" max="13316" width="11.5703125" style="765" customWidth="1"/>
    <col min="13317" max="13317" width="10.42578125" style="765" bestFit="1" customWidth="1"/>
    <col min="13318" max="13318" width="9.42578125" style="765" bestFit="1" customWidth="1"/>
    <col min="13319" max="13320" width="10.42578125" style="765" bestFit="1" customWidth="1"/>
    <col min="13321" max="13321" width="0" style="765" hidden="1" customWidth="1"/>
    <col min="13322" max="13322" width="9.140625" style="765"/>
    <col min="13323" max="13323" width="4.140625" style="765" customWidth="1"/>
    <col min="13324" max="13568" width="9.140625" style="765"/>
    <col min="13569" max="13569" width="2.7109375" style="765" bestFit="1" customWidth="1"/>
    <col min="13570" max="13570" width="41.140625" style="765" customWidth="1"/>
    <col min="13571" max="13571" width="9.42578125" style="765" bestFit="1" customWidth="1"/>
    <col min="13572" max="13572" width="11.5703125" style="765" customWidth="1"/>
    <col min="13573" max="13573" width="10.42578125" style="765" bestFit="1" customWidth="1"/>
    <col min="13574" max="13574" width="9.42578125" style="765" bestFit="1" customWidth="1"/>
    <col min="13575" max="13576" width="10.42578125" style="765" bestFit="1" customWidth="1"/>
    <col min="13577" max="13577" width="0" style="765" hidden="1" customWidth="1"/>
    <col min="13578" max="13578" width="9.140625" style="765"/>
    <col min="13579" max="13579" width="4.140625" style="765" customWidth="1"/>
    <col min="13580" max="13824" width="9.140625" style="765"/>
    <col min="13825" max="13825" width="2.7109375" style="765" bestFit="1" customWidth="1"/>
    <col min="13826" max="13826" width="41.140625" style="765" customWidth="1"/>
    <col min="13827" max="13827" width="9.42578125" style="765" bestFit="1" customWidth="1"/>
    <col min="13828" max="13828" width="11.5703125" style="765" customWidth="1"/>
    <col min="13829" max="13829" width="10.42578125" style="765" bestFit="1" customWidth="1"/>
    <col min="13830" max="13830" width="9.42578125" style="765" bestFit="1" customWidth="1"/>
    <col min="13831" max="13832" width="10.42578125" style="765" bestFit="1" customWidth="1"/>
    <col min="13833" max="13833" width="0" style="765" hidden="1" customWidth="1"/>
    <col min="13834" max="13834" width="9.140625" style="765"/>
    <col min="13835" max="13835" width="4.140625" style="765" customWidth="1"/>
    <col min="13836" max="14080" width="9.140625" style="765"/>
    <col min="14081" max="14081" width="2.7109375" style="765" bestFit="1" customWidth="1"/>
    <col min="14082" max="14082" width="41.140625" style="765" customWidth="1"/>
    <col min="14083" max="14083" width="9.42578125" style="765" bestFit="1" customWidth="1"/>
    <col min="14084" max="14084" width="11.5703125" style="765" customWidth="1"/>
    <col min="14085" max="14085" width="10.42578125" style="765" bestFit="1" customWidth="1"/>
    <col min="14086" max="14086" width="9.42578125" style="765" bestFit="1" customWidth="1"/>
    <col min="14087" max="14088" width="10.42578125" style="765" bestFit="1" customWidth="1"/>
    <col min="14089" max="14089" width="0" style="765" hidden="1" customWidth="1"/>
    <col min="14090" max="14090" width="9.140625" style="765"/>
    <col min="14091" max="14091" width="4.140625" style="765" customWidth="1"/>
    <col min="14092" max="14336" width="9.140625" style="765"/>
    <col min="14337" max="14337" width="2.7109375" style="765" bestFit="1" customWidth="1"/>
    <col min="14338" max="14338" width="41.140625" style="765" customWidth="1"/>
    <col min="14339" max="14339" width="9.42578125" style="765" bestFit="1" customWidth="1"/>
    <col min="14340" max="14340" width="11.5703125" style="765" customWidth="1"/>
    <col min="14341" max="14341" width="10.42578125" style="765" bestFit="1" customWidth="1"/>
    <col min="14342" max="14342" width="9.42578125" style="765" bestFit="1" customWidth="1"/>
    <col min="14343" max="14344" width="10.42578125" style="765" bestFit="1" customWidth="1"/>
    <col min="14345" max="14345" width="0" style="765" hidden="1" customWidth="1"/>
    <col min="14346" max="14346" width="9.140625" style="765"/>
    <col min="14347" max="14347" width="4.140625" style="765" customWidth="1"/>
    <col min="14348" max="14592" width="9.140625" style="765"/>
    <col min="14593" max="14593" width="2.7109375" style="765" bestFit="1" customWidth="1"/>
    <col min="14594" max="14594" width="41.140625" style="765" customWidth="1"/>
    <col min="14595" max="14595" width="9.42578125" style="765" bestFit="1" customWidth="1"/>
    <col min="14596" max="14596" width="11.5703125" style="765" customWidth="1"/>
    <col min="14597" max="14597" width="10.42578125" style="765" bestFit="1" customWidth="1"/>
    <col min="14598" max="14598" width="9.42578125" style="765" bestFit="1" customWidth="1"/>
    <col min="14599" max="14600" width="10.42578125" style="765" bestFit="1" customWidth="1"/>
    <col min="14601" max="14601" width="0" style="765" hidden="1" customWidth="1"/>
    <col min="14602" max="14602" width="9.140625" style="765"/>
    <col min="14603" max="14603" width="4.140625" style="765" customWidth="1"/>
    <col min="14604" max="14848" width="9.140625" style="765"/>
    <col min="14849" max="14849" width="2.7109375" style="765" bestFit="1" customWidth="1"/>
    <col min="14850" max="14850" width="41.140625" style="765" customWidth="1"/>
    <col min="14851" max="14851" width="9.42578125" style="765" bestFit="1" customWidth="1"/>
    <col min="14852" max="14852" width="11.5703125" style="765" customWidth="1"/>
    <col min="14853" max="14853" width="10.42578125" style="765" bestFit="1" customWidth="1"/>
    <col min="14854" max="14854" width="9.42578125" style="765" bestFit="1" customWidth="1"/>
    <col min="14855" max="14856" width="10.42578125" style="765" bestFit="1" customWidth="1"/>
    <col min="14857" max="14857" width="0" style="765" hidden="1" customWidth="1"/>
    <col min="14858" max="14858" width="9.140625" style="765"/>
    <col min="14859" max="14859" width="4.140625" style="765" customWidth="1"/>
    <col min="14860" max="15104" width="9.140625" style="765"/>
    <col min="15105" max="15105" width="2.7109375" style="765" bestFit="1" customWidth="1"/>
    <col min="15106" max="15106" width="41.140625" style="765" customWidth="1"/>
    <col min="15107" max="15107" width="9.42578125" style="765" bestFit="1" customWidth="1"/>
    <col min="15108" max="15108" width="11.5703125" style="765" customWidth="1"/>
    <col min="15109" max="15109" width="10.42578125" style="765" bestFit="1" customWidth="1"/>
    <col min="15110" max="15110" width="9.42578125" style="765" bestFit="1" customWidth="1"/>
    <col min="15111" max="15112" width="10.42578125" style="765" bestFit="1" customWidth="1"/>
    <col min="15113" max="15113" width="0" style="765" hidden="1" customWidth="1"/>
    <col min="15114" max="15114" width="9.140625" style="765"/>
    <col min="15115" max="15115" width="4.140625" style="765" customWidth="1"/>
    <col min="15116" max="15360" width="9.140625" style="765"/>
    <col min="15361" max="15361" width="2.7109375" style="765" bestFit="1" customWidth="1"/>
    <col min="15362" max="15362" width="41.140625" style="765" customWidth="1"/>
    <col min="15363" max="15363" width="9.42578125" style="765" bestFit="1" customWidth="1"/>
    <col min="15364" max="15364" width="11.5703125" style="765" customWidth="1"/>
    <col min="15365" max="15365" width="10.42578125" style="765" bestFit="1" customWidth="1"/>
    <col min="15366" max="15366" width="9.42578125" style="765" bestFit="1" customWidth="1"/>
    <col min="15367" max="15368" width="10.42578125" style="765" bestFit="1" customWidth="1"/>
    <col min="15369" max="15369" width="0" style="765" hidden="1" customWidth="1"/>
    <col min="15370" max="15370" width="9.140625" style="765"/>
    <col min="15371" max="15371" width="4.140625" style="765" customWidth="1"/>
    <col min="15372" max="15616" width="9.140625" style="765"/>
    <col min="15617" max="15617" width="2.7109375" style="765" bestFit="1" customWidth="1"/>
    <col min="15618" max="15618" width="41.140625" style="765" customWidth="1"/>
    <col min="15619" max="15619" width="9.42578125" style="765" bestFit="1" customWidth="1"/>
    <col min="15620" max="15620" width="11.5703125" style="765" customWidth="1"/>
    <col min="15621" max="15621" width="10.42578125" style="765" bestFit="1" customWidth="1"/>
    <col min="15622" max="15622" width="9.42578125" style="765" bestFit="1" customWidth="1"/>
    <col min="15623" max="15624" width="10.42578125" style="765" bestFit="1" customWidth="1"/>
    <col min="15625" max="15625" width="0" style="765" hidden="1" customWidth="1"/>
    <col min="15626" max="15626" width="9.140625" style="765"/>
    <col min="15627" max="15627" width="4.140625" style="765" customWidth="1"/>
    <col min="15628" max="15872" width="9.140625" style="765"/>
    <col min="15873" max="15873" width="2.7109375" style="765" bestFit="1" customWidth="1"/>
    <col min="15874" max="15874" width="41.140625" style="765" customWidth="1"/>
    <col min="15875" max="15875" width="9.42578125" style="765" bestFit="1" customWidth="1"/>
    <col min="15876" max="15876" width="11.5703125" style="765" customWidth="1"/>
    <col min="15877" max="15877" width="10.42578125" style="765" bestFit="1" customWidth="1"/>
    <col min="15878" max="15878" width="9.42578125" style="765" bestFit="1" customWidth="1"/>
    <col min="15879" max="15880" width="10.42578125" style="765" bestFit="1" customWidth="1"/>
    <col min="15881" max="15881" width="0" style="765" hidden="1" customWidth="1"/>
    <col min="15882" max="15882" width="9.140625" style="765"/>
    <col min="15883" max="15883" width="4.140625" style="765" customWidth="1"/>
    <col min="15884" max="16128" width="9.140625" style="765"/>
    <col min="16129" max="16129" width="2.7109375" style="765" bestFit="1" customWidth="1"/>
    <col min="16130" max="16130" width="41.140625" style="765" customWidth="1"/>
    <col min="16131" max="16131" width="9.42578125" style="765" bestFit="1" customWidth="1"/>
    <col min="16132" max="16132" width="11.5703125" style="765" customWidth="1"/>
    <col min="16133" max="16133" width="10.42578125" style="765" bestFit="1" customWidth="1"/>
    <col min="16134" max="16134" width="9.42578125" style="765" bestFit="1" customWidth="1"/>
    <col min="16135" max="16136" width="10.42578125" style="765" bestFit="1" customWidth="1"/>
    <col min="16137" max="16137" width="0" style="765" hidden="1" customWidth="1"/>
    <col min="16138" max="16138" width="9.140625" style="765"/>
    <col min="16139" max="16139" width="4.140625" style="765" customWidth="1"/>
    <col min="16140" max="16384" width="9.140625" style="765"/>
  </cols>
  <sheetData>
    <row r="1" spans="1:57" s="762" customFormat="1" ht="15.75">
      <c r="A1" s="3294" t="s">
        <v>848</v>
      </c>
      <c r="B1" s="3294"/>
      <c r="C1" s="3294"/>
      <c r="D1" s="3294"/>
      <c r="E1" s="3294"/>
      <c r="F1" s="3294"/>
      <c r="G1" s="3294"/>
      <c r="H1" s="3294"/>
      <c r="I1" s="817"/>
      <c r="J1" s="817"/>
      <c r="K1" s="817"/>
      <c r="L1" s="817"/>
      <c r="M1" s="817"/>
      <c r="N1" s="817"/>
      <c r="O1" s="817"/>
      <c r="P1" s="817"/>
      <c r="Q1" s="817"/>
      <c r="R1" s="817"/>
      <c r="S1" s="817"/>
      <c r="T1" s="817"/>
      <c r="U1" s="817"/>
      <c r="V1" s="817"/>
      <c r="W1" s="817"/>
      <c r="X1" s="817"/>
      <c r="Y1" s="817"/>
      <c r="Z1" s="817"/>
      <c r="AA1" s="817"/>
      <c r="AB1" s="817"/>
    </row>
    <row r="2" spans="1:57" s="762" customFormat="1" ht="16.5" thickBot="1">
      <c r="A2" s="866"/>
      <c r="B2" s="866"/>
      <c r="C2" s="866"/>
      <c r="D2" s="866"/>
      <c r="E2" s="867"/>
      <c r="F2" s="867"/>
      <c r="G2" s="867"/>
      <c r="H2" s="867"/>
      <c r="K2" s="817"/>
      <c r="L2" s="817"/>
      <c r="M2" s="817"/>
      <c r="N2" s="817"/>
      <c r="O2" s="817"/>
      <c r="P2" s="817"/>
      <c r="Q2" s="817"/>
      <c r="R2" s="817"/>
      <c r="S2" s="817"/>
      <c r="T2" s="817"/>
      <c r="U2" s="817"/>
      <c r="V2" s="817"/>
      <c r="W2" s="817"/>
      <c r="X2" s="817"/>
      <c r="Y2" s="817"/>
      <c r="Z2" s="817"/>
      <c r="AA2" s="817"/>
      <c r="AB2" s="817"/>
    </row>
    <row r="3" spans="1:57" s="871" customFormat="1" ht="15.75">
      <c r="A3" s="868"/>
      <c r="B3" s="869"/>
      <c r="C3" s="870"/>
      <c r="D3" s="3302" t="s">
        <v>774</v>
      </c>
      <c r="E3" s="3303"/>
      <c r="F3" s="3302" t="s">
        <v>774</v>
      </c>
      <c r="G3" s="3303"/>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row>
    <row r="4" spans="1:57" s="871" customFormat="1" ht="16.5" thickBot="1">
      <c r="A4" s="872"/>
      <c r="B4" s="873"/>
      <c r="C4" s="874"/>
      <c r="D4" s="3304" t="s">
        <v>849</v>
      </c>
      <c r="E4" s="3305"/>
      <c r="F4" s="3304" t="s">
        <v>850</v>
      </c>
      <c r="G4" s="3305"/>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row>
    <row r="5" spans="1:57" s="762" customFormat="1" ht="15.75">
      <c r="A5" s="875">
        <v>1</v>
      </c>
      <c r="B5" s="3306" t="s">
        <v>777</v>
      </c>
      <c r="C5" s="3307"/>
      <c r="D5" s="3327">
        <v>1500</v>
      </c>
      <c r="E5" s="3328"/>
      <c r="F5" s="3327">
        <v>1200</v>
      </c>
      <c r="G5" s="3328"/>
    </row>
    <row r="6" spans="1:57" s="762" customFormat="1" ht="15.75">
      <c r="A6" s="875">
        <v>2</v>
      </c>
      <c r="B6" s="3306" t="s">
        <v>778</v>
      </c>
      <c r="C6" s="3307"/>
      <c r="D6" s="3327">
        <v>3677.8</v>
      </c>
      <c r="E6" s="3328"/>
      <c r="F6" s="3327">
        <v>3808.7</v>
      </c>
      <c r="G6" s="3328"/>
    </row>
    <row r="7" spans="1:57" s="762" customFormat="1" ht="15.75">
      <c r="A7" s="875">
        <v>3</v>
      </c>
      <c r="B7" s="3306" t="s">
        <v>779</v>
      </c>
      <c r="C7" s="3307"/>
      <c r="D7" s="3327">
        <v>1064.4000000000001</v>
      </c>
      <c r="E7" s="3328"/>
      <c r="F7" s="3327">
        <v>1395.5</v>
      </c>
      <c r="G7" s="3328"/>
    </row>
    <row r="8" spans="1:57" s="762" customFormat="1" ht="15.75">
      <c r="A8" s="875">
        <v>4</v>
      </c>
      <c r="B8" s="3306" t="s">
        <v>780</v>
      </c>
      <c r="C8" s="3307"/>
      <c r="D8" s="3312">
        <v>8.2899999999999991</v>
      </c>
      <c r="E8" s="3313"/>
      <c r="F8" s="3312">
        <v>7.4</v>
      </c>
      <c r="G8" s="3313"/>
    </row>
    <row r="9" spans="1:57" s="762" customFormat="1" ht="15.75">
      <c r="A9" s="875">
        <v>5</v>
      </c>
      <c r="B9" s="3306" t="s">
        <v>781</v>
      </c>
      <c r="C9" s="3307"/>
      <c r="D9" s="3312">
        <v>8.15</v>
      </c>
      <c r="E9" s="3313"/>
      <c r="F9" s="3312">
        <v>7.6</v>
      </c>
      <c r="G9" s="3313"/>
    </row>
    <row r="10" spans="1:57" s="762" customFormat="1" ht="15.75">
      <c r="A10" s="875">
        <v>6</v>
      </c>
      <c r="B10" s="3306" t="s">
        <v>782</v>
      </c>
      <c r="C10" s="3307"/>
      <c r="D10" s="3312">
        <v>8.06</v>
      </c>
      <c r="E10" s="3313"/>
      <c r="F10" s="3312">
        <v>7.5</v>
      </c>
      <c r="G10" s="3313"/>
    </row>
    <row r="11" spans="1:57" s="762" customFormat="1" ht="15.75">
      <c r="A11" s="875">
        <v>7</v>
      </c>
      <c r="B11" s="3306" t="s">
        <v>783</v>
      </c>
      <c r="C11" s="3307"/>
      <c r="D11" s="3316">
        <v>101.953</v>
      </c>
      <c r="E11" s="3317"/>
      <c r="F11" s="3316">
        <v>99.108999999999995</v>
      </c>
      <c r="G11" s="3317"/>
    </row>
    <row r="12" spans="1:57" s="762" customFormat="1" ht="16.5" thickBot="1">
      <c r="A12" s="876"/>
      <c r="B12" s="877"/>
      <c r="C12" s="874"/>
      <c r="D12" s="3318"/>
      <c r="E12" s="3319"/>
      <c r="F12" s="3318"/>
      <c r="G12" s="3319"/>
    </row>
    <row r="13" spans="1:57" s="762" customFormat="1" ht="15.75">
      <c r="B13" s="880" t="s">
        <v>851</v>
      </c>
      <c r="C13" s="880"/>
      <c r="D13" s="880" t="s">
        <v>852</v>
      </c>
      <c r="E13" s="980"/>
      <c r="F13" s="880"/>
      <c r="G13" s="881"/>
      <c r="H13" s="882"/>
    </row>
    <row r="14" spans="1:57" s="762" customFormat="1" ht="15.75">
      <c r="B14" s="880"/>
      <c r="C14" s="880"/>
      <c r="D14" s="979"/>
      <c r="E14" s="762" t="s">
        <v>853</v>
      </c>
      <c r="F14" s="880"/>
      <c r="G14" s="881"/>
      <c r="H14" s="882"/>
    </row>
    <row r="15" spans="1:57" s="829" customFormat="1">
      <c r="A15" s="829" t="s">
        <v>787</v>
      </c>
    </row>
    <row r="17" spans="1:8" s="762" customFormat="1" ht="20.25" customHeight="1">
      <c r="A17" s="3329"/>
      <c r="B17" s="3329"/>
      <c r="C17" s="3329"/>
      <c r="D17" s="3329"/>
      <c r="E17" s="3329"/>
      <c r="F17" s="3329"/>
      <c r="G17" s="3329"/>
      <c r="H17" s="3329"/>
    </row>
    <row r="18" spans="1:8" s="762" customFormat="1" ht="3.75" customHeight="1">
      <c r="A18" s="981"/>
      <c r="B18" s="981"/>
      <c r="C18" s="981"/>
      <c r="D18" s="981"/>
      <c r="E18" s="981"/>
      <c r="F18" s="883"/>
      <c r="G18" s="883"/>
      <c r="H18" s="883"/>
    </row>
    <row r="19" spans="1:8" s="762" customFormat="1" ht="26.25" customHeight="1">
      <c r="A19" s="3330"/>
      <c r="B19" s="3331"/>
      <c r="C19" s="3332"/>
      <c r="D19" s="3332"/>
      <c r="E19" s="3332"/>
      <c r="F19" s="3332"/>
      <c r="G19" s="3332"/>
      <c r="H19" s="3332"/>
    </row>
    <row r="20" spans="1:8" s="762" customFormat="1" ht="23.25" customHeight="1">
      <c r="A20" s="3331"/>
      <c r="B20" s="3331"/>
      <c r="C20" s="930"/>
      <c r="D20" s="930"/>
      <c r="E20" s="930"/>
      <c r="F20" s="930"/>
      <c r="G20" s="930"/>
      <c r="H20" s="930"/>
    </row>
    <row r="21" spans="1:8" s="762" customFormat="1" ht="21.75" customHeight="1">
      <c r="A21" s="982"/>
      <c r="B21" s="983"/>
      <c r="C21" s="888"/>
      <c r="D21" s="888"/>
      <c r="E21" s="891"/>
      <c r="F21" s="888"/>
      <c r="G21" s="888"/>
      <c r="H21" s="891"/>
    </row>
    <row r="22" spans="1:8" s="762" customFormat="1" ht="21.75" customHeight="1">
      <c r="A22" s="982"/>
      <c r="B22" s="983"/>
      <c r="C22" s="891"/>
      <c r="D22" s="891"/>
      <c r="E22" s="891"/>
      <c r="F22" s="891"/>
      <c r="G22" s="891"/>
      <c r="H22" s="891"/>
    </row>
    <row r="23" spans="1:8" s="762" customFormat="1" ht="21.75" customHeight="1">
      <c r="A23" s="982"/>
      <c r="B23" s="981"/>
      <c r="C23" s="984"/>
      <c r="D23" s="984"/>
      <c r="E23" s="984"/>
      <c r="F23" s="984"/>
      <c r="G23" s="984"/>
      <c r="H23" s="984"/>
    </row>
    <row r="24" spans="1:8" s="762" customFormat="1" ht="21.75" customHeight="1">
      <c r="A24" s="982"/>
      <c r="B24" s="983"/>
      <c r="C24" s="895"/>
      <c r="D24" s="895"/>
      <c r="E24" s="895"/>
      <c r="F24" s="895"/>
      <c r="G24" s="895"/>
      <c r="H24" s="895"/>
    </row>
    <row r="25" spans="1:8" s="762" customFormat="1" ht="21.75" customHeight="1">
      <c r="A25" s="982"/>
      <c r="B25" s="983"/>
      <c r="C25" s="895"/>
      <c r="D25" s="895"/>
      <c r="E25" s="895"/>
      <c r="F25" s="895"/>
      <c r="G25" s="895"/>
      <c r="H25" s="895"/>
    </row>
    <row r="26" spans="1:8" s="762" customFormat="1" ht="21.75" customHeight="1">
      <c r="A26" s="982"/>
      <c r="B26" s="983"/>
      <c r="C26" s="898"/>
      <c r="D26" s="898"/>
      <c r="E26" s="898"/>
      <c r="F26" s="898"/>
      <c r="G26" s="898"/>
      <c r="H26" s="898"/>
    </row>
    <row r="27" spans="1:8" s="762" customFormat="1" ht="8.25" customHeight="1">
      <c r="A27" s="883"/>
      <c r="B27" s="981"/>
      <c r="C27" s="985"/>
      <c r="D27" s="985"/>
      <c r="E27" s="985"/>
      <c r="F27" s="985"/>
      <c r="G27" s="985"/>
      <c r="H27" s="985"/>
    </row>
    <row r="28" spans="1:8" s="779" customFormat="1" ht="4.5" customHeight="1">
      <c r="A28" s="823"/>
      <c r="B28" s="823"/>
      <c r="C28" s="823"/>
      <c r="D28" s="823"/>
      <c r="E28" s="823"/>
      <c r="F28" s="823"/>
      <c r="G28" s="823"/>
      <c r="H28" s="823"/>
    </row>
    <row r="29" spans="1:8" s="906" customFormat="1" ht="12.75" customHeight="1">
      <c r="A29" s="3314"/>
      <c r="B29" s="3315"/>
      <c r="C29" s="3315"/>
      <c r="D29" s="3314"/>
      <c r="E29" s="3314"/>
      <c r="F29" s="3314"/>
      <c r="G29" s="3314"/>
      <c r="H29" s="3314"/>
    </row>
    <row r="30" spans="1:8" s="906" customFormat="1" ht="13.5" customHeight="1">
      <c r="A30" s="3315"/>
      <c r="B30" s="3315"/>
      <c r="C30" s="3315"/>
      <c r="D30" s="3315"/>
      <c r="E30" s="3315"/>
      <c r="F30" s="3315"/>
      <c r="G30" s="3315"/>
      <c r="H30" s="3315"/>
    </row>
    <row r="31" spans="1:8" s="906" customFormat="1" ht="13.5" customHeight="1">
      <c r="A31" s="3315"/>
      <c r="B31" s="3315"/>
      <c r="C31" s="3315"/>
      <c r="D31" s="3315"/>
      <c r="E31" s="3315"/>
      <c r="F31" s="3315"/>
      <c r="G31" s="3315"/>
      <c r="H31" s="3315"/>
    </row>
    <row r="32" spans="1:8" s="906" customFormat="1" ht="13.5" customHeight="1">
      <c r="A32" s="3315"/>
      <c r="B32" s="3315"/>
      <c r="C32" s="3315"/>
      <c r="D32" s="3315"/>
      <c r="E32" s="3315"/>
      <c r="F32" s="3315"/>
      <c r="G32" s="3315"/>
      <c r="H32" s="3315"/>
    </row>
    <row r="33" spans="1:16" s="280" customFormat="1">
      <c r="A33" s="816"/>
      <c r="B33" s="818"/>
      <c r="C33" s="778"/>
      <c r="D33" s="814"/>
      <c r="E33" s="814"/>
      <c r="F33" s="814"/>
      <c r="G33" s="814"/>
      <c r="H33" s="814"/>
      <c r="I33" s="814"/>
      <c r="J33" s="761"/>
      <c r="K33" s="761"/>
      <c r="L33" s="761"/>
      <c r="M33" s="817"/>
      <c r="N33" s="817"/>
      <c r="O33" s="762"/>
      <c r="P33" s="762"/>
    </row>
  </sheetData>
  <mergeCells count="40">
    <mergeCell ref="A32:C32"/>
    <mergeCell ref="D32:H32"/>
    <mergeCell ref="A29:C29"/>
    <mergeCell ref="D29:H29"/>
    <mergeCell ref="A30:C30"/>
    <mergeCell ref="D30:H30"/>
    <mergeCell ref="A31:C31"/>
    <mergeCell ref="D31:H31"/>
    <mergeCell ref="D12:E12"/>
    <mergeCell ref="F12:G12"/>
    <mergeCell ref="A17:H17"/>
    <mergeCell ref="A19:B20"/>
    <mergeCell ref="C19:E19"/>
    <mergeCell ref="F19:H19"/>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B5:C5"/>
    <mergeCell ref="D5:E5"/>
    <mergeCell ref="F5:G5"/>
    <mergeCell ref="A1:H1"/>
    <mergeCell ref="D3:E3"/>
    <mergeCell ref="F3:G3"/>
    <mergeCell ref="D4:E4"/>
    <mergeCell ref="F4:G4"/>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G20" sqref="G20"/>
    </sheetView>
  </sheetViews>
  <sheetFormatPr defaultRowHeight="12.75"/>
  <cols>
    <col min="1" max="1" width="2.7109375" style="765" bestFit="1" customWidth="1"/>
    <col min="2" max="2" width="41.140625" style="765" customWidth="1"/>
    <col min="3" max="3" width="9.42578125" style="765" bestFit="1" customWidth="1"/>
    <col min="4" max="5" width="10.42578125" style="765" bestFit="1" customWidth="1"/>
    <col min="6" max="6" width="9.42578125" style="765" bestFit="1" customWidth="1"/>
    <col min="7" max="8" width="10.42578125" style="765" bestFit="1" customWidth="1"/>
    <col min="9" max="9" width="9.140625" style="765" hidden="1" customWidth="1"/>
    <col min="10" max="10" width="9.140625" style="765"/>
    <col min="11" max="11" width="4.140625" style="765" customWidth="1"/>
    <col min="12" max="256" width="9.140625" style="765"/>
    <col min="257" max="257" width="2.7109375" style="765" bestFit="1" customWidth="1"/>
    <col min="258" max="258" width="41.140625" style="765" customWidth="1"/>
    <col min="259" max="259" width="9.42578125" style="765" bestFit="1" customWidth="1"/>
    <col min="260" max="261" width="10.42578125" style="765" bestFit="1" customWidth="1"/>
    <col min="262" max="262" width="9.42578125" style="765" bestFit="1" customWidth="1"/>
    <col min="263" max="264" width="10.42578125" style="765" bestFit="1" customWidth="1"/>
    <col min="265" max="265" width="0" style="765" hidden="1" customWidth="1"/>
    <col min="266" max="266" width="9.140625" style="765"/>
    <col min="267" max="267" width="4.140625" style="765" customWidth="1"/>
    <col min="268" max="512" width="9.140625" style="765"/>
    <col min="513" max="513" width="2.7109375" style="765" bestFit="1" customWidth="1"/>
    <col min="514" max="514" width="41.140625" style="765" customWidth="1"/>
    <col min="515" max="515" width="9.42578125" style="765" bestFit="1" customWidth="1"/>
    <col min="516" max="517" width="10.42578125" style="765" bestFit="1" customWidth="1"/>
    <col min="518" max="518" width="9.42578125" style="765" bestFit="1" customWidth="1"/>
    <col min="519" max="520" width="10.42578125" style="765" bestFit="1" customWidth="1"/>
    <col min="521" max="521" width="0" style="765" hidden="1" customWidth="1"/>
    <col min="522" max="522" width="9.140625" style="765"/>
    <col min="523" max="523" width="4.140625" style="765" customWidth="1"/>
    <col min="524" max="768" width="9.140625" style="765"/>
    <col min="769" max="769" width="2.7109375" style="765" bestFit="1" customWidth="1"/>
    <col min="770" max="770" width="41.140625" style="765" customWidth="1"/>
    <col min="771" max="771" width="9.42578125" style="765" bestFit="1" customWidth="1"/>
    <col min="772" max="773" width="10.42578125" style="765" bestFit="1" customWidth="1"/>
    <col min="774" max="774" width="9.42578125" style="765" bestFit="1" customWidth="1"/>
    <col min="775" max="776" width="10.42578125" style="765" bestFit="1" customWidth="1"/>
    <col min="777" max="777" width="0" style="765" hidden="1" customWidth="1"/>
    <col min="778" max="778" width="9.140625" style="765"/>
    <col min="779" max="779" width="4.140625" style="765" customWidth="1"/>
    <col min="780" max="1024" width="9.140625" style="765"/>
    <col min="1025" max="1025" width="2.7109375" style="765" bestFit="1" customWidth="1"/>
    <col min="1026" max="1026" width="41.140625" style="765" customWidth="1"/>
    <col min="1027" max="1027" width="9.42578125" style="765" bestFit="1" customWidth="1"/>
    <col min="1028" max="1029" width="10.42578125" style="765" bestFit="1" customWidth="1"/>
    <col min="1030" max="1030" width="9.42578125" style="765" bestFit="1" customWidth="1"/>
    <col min="1031" max="1032" width="10.42578125" style="765" bestFit="1" customWidth="1"/>
    <col min="1033" max="1033" width="0" style="765" hidden="1" customWidth="1"/>
    <col min="1034" max="1034" width="9.140625" style="765"/>
    <col min="1035" max="1035" width="4.140625" style="765" customWidth="1"/>
    <col min="1036" max="1280" width="9.140625" style="765"/>
    <col min="1281" max="1281" width="2.7109375" style="765" bestFit="1" customWidth="1"/>
    <col min="1282" max="1282" width="41.140625" style="765" customWidth="1"/>
    <col min="1283" max="1283" width="9.42578125" style="765" bestFit="1" customWidth="1"/>
    <col min="1284" max="1285" width="10.42578125" style="765" bestFit="1" customWidth="1"/>
    <col min="1286" max="1286" width="9.42578125" style="765" bestFit="1" customWidth="1"/>
    <col min="1287" max="1288" width="10.42578125" style="765" bestFit="1" customWidth="1"/>
    <col min="1289" max="1289" width="0" style="765" hidden="1" customWidth="1"/>
    <col min="1290" max="1290" width="9.140625" style="765"/>
    <col min="1291" max="1291" width="4.140625" style="765" customWidth="1"/>
    <col min="1292" max="1536" width="9.140625" style="765"/>
    <col min="1537" max="1537" width="2.7109375" style="765" bestFit="1" customWidth="1"/>
    <col min="1538" max="1538" width="41.140625" style="765" customWidth="1"/>
    <col min="1539" max="1539" width="9.42578125" style="765" bestFit="1" customWidth="1"/>
    <col min="1540" max="1541" width="10.42578125" style="765" bestFit="1" customWidth="1"/>
    <col min="1542" max="1542" width="9.42578125" style="765" bestFit="1" customWidth="1"/>
    <col min="1543" max="1544" width="10.42578125" style="765" bestFit="1" customWidth="1"/>
    <col min="1545" max="1545" width="0" style="765" hidden="1" customWidth="1"/>
    <col min="1546" max="1546" width="9.140625" style="765"/>
    <col min="1547" max="1547" width="4.140625" style="765" customWidth="1"/>
    <col min="1548" max="1792" width="9.140625" style="765"/>
    <col min="1793" max="1793" width="2.7109375" style="765" bestFit="1" customWidth="1"/>
    <col min="1794" max="1794" width="41.140625" style="765" customWidth="1"/>
    <col min="1795" max="1795" width="9.42578125" style="765" bestFit="1" customWidth="1"/>
    <col min="1796" max="1797" width="10.42578125" style="765" bestFit="1" customWidth="1"/>
    <col min="1798" max="1798" width="9.42578125" style="765" bestFit="1" customWidth="1"/>
    <col min="1799" max="1800" width="10.42578125" style="765" bestFit="1" customWidth="1"/>
    <col min="1801" max="1801" width="0" style="765" hidden="1" customWidth="1"/>
    <col min="1802" max="1802" width="9.140625" style="765"/>
    <col min="1803" max="1803" width="4.140625" style="765" customWidth="1"/>
    <col min="1804" max="2048" width="9.140625" style="765"/>
    <col min="2049" max="2049" width="2.7109375" style="765" bestFit="1" customWidth="1"/>
    <col min="2050" max="2050" width="41.140625" style="765" customWidth="1"/>
    <col min="2051" max="2051" width="9.42578125" style="765" bestFit="1" customWidth="1"/>
    <col min="2052" max="2053" width="10.42578125" style="765" bestFit="1" customWidth="1"/>
    <col min="2054" max="2054" width="9.42578125" style="765" bestFit="1" customWidth="1"/>
    <col min="2055" max="2056" width="10.42578125" style="765" bestFit="1" customWidth="1"/>
    <col min="2057" max="2057" width="0" style="765" hidden="1" customWidth="1"/>
    <col min="2058" max="2058" width="9.140625" style="765"/>
    <col min="2059" max="2059" width="4.140625" style="765" customWidth="1"/>
    <col min="2060" max="2304" width="9.140625" style="765"/>
    <col min="2305" max="2305" width="2.7109375" style="765" bestFit="1" customWidth="1"/>
    <col min="2306" max="2306" width="41.140625" style="765" customWidth="1"/>
    <col min="2307" max="2307" width="9.42578125" style="765" bestFit="1" customWidth="1"/>
    <col min="2308" max="2309" width="10.42578125" style="765" bestFit="1" customWidth="1"/>
    <col min="2310" max="2310" width="9.42578125" style="765" bestFit="1" customWidth="1"/>
    <col min="2311" max="2312" width="10.42578125" style="765" bestFit="1" customWidth="1"/>
    <col min="2313" max="2313" width="0" style="765" hidden="1" customWidth="1"/>
    <col min="2314" max="2314" width="9.140625" style="765"/>
    <col min="2315" max="2315" width="4.140625" style="765" customWidth="1"/>
    <col min="2316" max="2560" width="9.140625" style="765"/>
    <col min="2561" max="2561" width="2.7109375" style="765" bestFit="1" customWidth="1"/>
    <col min="2562" max="2562" width="41.140625" style="765" customWidth="1"/>
    <col min="2563" max="2563" width="9.42578125" style="765" bestFit="1" customWidth="1"/>
    <col min="2564" max="2565" width="10.42578125" style="765" bestFit="1" customWidth="1"/>
    <col min="2566" max="2566" width="9.42578125" style="765" bestFit="1" customWidth="1"/>
    <col min="2567" max="2568" width="10.42578125" style="765" bestFit="1" customWidth="1"/>
    <col min="2569" max="2569" width="0" style="765" hidden="1" customWidth="1"/>
    <col min="2570" max="2570" width="9.140625" style="765"/>
    <col min="2571" max="2571" width="4.140625" style="765" customWidth="1"/>
    <col min="2572" max="2816" width="9.140625" style="765"/>
    <col min="2817" max="2817" width="2.7109375" style="765" bestFit="1" customWidth="1"/>
    <col min="2818" max="2818" width="41.140625" style="765" customWidth="1"/>
    <col min="2819" max="2819" width="9.42578125" style="765" bestFit="1" customWidth="1"/>
    <col min="2820" max="2821" width="10.42578125" style="765" bestFit="1" customWidth="1"/>
    <col min="2822" max="2822" width="9.42578125" style="765" bestFit="1" customWidth="1"/>
    <col min="2823" max="2824" width="10.42578125" style="765" bestFit="1" customWidth="1"/>
    <col min="2825" max="2825" width="0" style="765" hidden="1" customWidth="1"/>
    <col min="2826" max="2826" width="9.140625" style="765"/>
    <col min="2827" max="2827" width="4.140625" style="765" customWidth="1"/>
    <col min="2828" max="3072" width="9.140625" style="765"/>
    <col min="3073" max="3073" width="2.7109375" style="765" bestFit="1" customWidth="1"/>
    <col min="3074" max="3074" width="41.140625" style="765" customWidth="1"/>
    <col min="3075" max="3075" width="9.42578125" style="765" bestFit="1" customWidth="1"/>
    <col min="3076" max="3077" width="10.42578125" style="765" bestFit="1" customWidth="1"/>
    <col min="3078" max="3078" width="9.42578125" style="765" bestFit="1" customWidth="1"/>
    <col min="3079" max="3080" width="10.42578125" style="765" bestFit="1" customWidth="1"/>
    <col min="3081" max="3081" width="0" style="765" hidden="1" customWidth="1"/>
    <col min="3082" max="3082" width="9.140625" style="765"/>
    <col min="3083" max="3083" width="4.140625" style="765" customWidth="1"/>
    <col min="3084" max="3328" width="9.140625" style="765"/>
    <col min="3329" max="3329" width="2.7109375" style="765" bestFit="1" customWidth="1"/>
    <col min="3330" max="3330" width="41.140625" style="765" customWidth="1"/>
    <col min="3331" max="3331" width="9.42578125" style="765" bestFit="1" customWidth="1"/>
    <col min="3332" max="3333" width="10.42578125" style="765" bestFit="1" customWidth="1"/>
    <col min="3334" max="3334" width="9.42578125" style="765" bestFit="1" customWidth="1"/>
    <col min="3335" max="3336" width="10.42578125" style="765" bestFit="1" customWidth="1"/>
    <col min="3337" max="3337" width="0" style="765" hidden="1" customWidth="1"/>
    <col min="3338" max="3338" width="9.140625" style="765"/>
    <col min="3339" max="3339" width="4.140625" style="765" customWidth="1"/>
    <col min="3340" max="3584" width="9.140625" style="765"/>
    <col min="3585" max="3585" width="2.7109375" style="765" bestFit="1" customWidth="1"/>
    <col min="3586" max="3586" width="41.140625" style="765" customWidth="1"/>
    <col min="3587" max="3587" width="9.42578125" style="765" bestFit="1" customWidth="1"/>
    <col min="3588" max="3589" width="10.42578125" style="765" bestFit="1" customWidth="1"/>
    <col min="3590" max="3590" width="9.42578125" style="765" bestFit="1" customWidth="1"/>
    <col min="3591" max="3592" width="10.42578125" style="765" bestFit="1" customWidth="1"/>
    <col min="3593" max="3593" width="0" style="765" hidden="1" customWidth="1"/>
    <col min="3594" max="3594" width="9.140625" style="765"/>
    <col min="3595" max="3595" width="4.140625" style="765" customWidth="1"/>
    <col min="3596" max="3840" width="9.140625" style="765"/>
    <col min="3841" max="3841" width="2.7109375" style="765" bestFit="1" customWidth="1"/>
    <col min="3842" max="3842" width="41.140625" style="765" customWidth="1"/>
    <col min="3843" max="3843" width="9.42578125" style="765" bestFit="1" customWidth="1"/>
    <col min="3844" max="3845" width="10.42578125" style="765" bestFit="1" customWidth="1"/>
    <col min="3846" max="3846" width="9.42578125" style="765" bestFit="1" customWidth="1"/>
    <col min="3847" max="3848" width="10.42578125" style="765" bestFit="1" customWidth="1"/>
    <col min="3849" max="3849" width="0" style="765" hidden="1" customWidth="1"/>
    <col min="3850" max="3850" width="9.140625" style="765"/>
    <col min="3851" max="3851" width="4.140625" style="765" customWidth="1"/>
    <col min="3852" max="4096" width="9.140625" style="765"/>
    <col min="4097" max="4097" width="2.7109375" style="765" bestFit="1" customWidth="1"/>
    <col min="4098" max="4098" width="41.140625" style="765" customWidth="1"/>
    <col min="4099" max="4099" width="9.42578125" style="765" bestFit="1" customWidth="1"/>
    <col min="4100" max="4101" width="10.42578125" style="765" bestFit="1" customWidth="1"/>
    <col min="4102" max="4102" width="9.42578125" style="765" bestFit="1" customWidth="1"/>
    <col min="4103" max="4104" width="10.42578125" style="765" bestFit="1" customWidth="1"/>
    <col min="4105" max="4105" width="0" style="765" hidden="1" customWidth="1"/>
    <col min="4106" max="4106" width="9.140625" style="765"/>
    <col min="4107" max="4107" width="4.140625" style="765" customWidth="1"/>
    <col min="4108" max="4352" width="9.140625" style="765"/>
    <col min="4353" max="4353" width="2.7109375" style="765" bestFit="1" customWidth="1"/>
    <col min="4354" max="4354" width="41.140625" style="765" customWidth="1"/>
    <col min="4355" max="4355" width="9.42578125" style="765" bestFit="1" customWidth="1"/>
    <col min="4356" max="4357" width="10.42578125" style="765" bestFit="1" customWidth="1"/>
    <col min="4358" max="4358" width="9.42578125" style="765" bestFit="1" customWidth="1"/>
    <col min="4359" max="4360" width="10.42578125" style="765" bestFit="1" customWidth="1"/>
    <col min="4361" max="4361" width="0" style="765" hidden="1" customWidth="1"/>
    <col min="4362" max="4362" width="9.140625" style="765"/>
    <col min="4363" max="4363" width="4.140625" style="765" customWidth="1"/>
    <col min="4364" max="4608" width="9.140625" style="765"/>
    <col min="4609" max="4609" width="2.7109375" style="765" bestFit="1" customWidth="1"/>
    <col min="4610" max="4610" width="41.140625" style="765" customWidth="1"/>
    <col min="4611" max="4611" width="9.42578125" style="765" bestFit="1" customWidth="1"/>
    <col min="4612" max="4613" width="10.42578125" style="765" bestFit="1" customWidth="1"/>
    <col min="4614" max="4614" width="9.42578125" style="765" bestFit="1" customWidth="1"/>
    <col min="4615" max="4616" width="10.42578125" style="765" bestFit="1" customWidth="1"/>
    <col min="4617" max="4617" width="0" style="765" hidden="1" customWidth="1"/>
    <col min="4618" max="4618" width="9.140625" style="765"/>
    <col min="4619" max="4619" width="4.140625" style="765" customWidth="1"/>
    <col min="4620" max="4864" width="9.140625" style="765"/>
    <col min="4865" max="4865" width="2.7109375" style="765" bestFit="1" customWidth="1"/>
    <col min="4866" max="4866" width="41.140625" style="765" customWidth="1"/>
    <col min="4867" max="4867" width="9.42578125" style="765" bestFit="1" customWidth="1"/>
    <col min="4868" max="4869" width="10.42578125" style="765" bestFit="1" customWidth="1"/>
    <col min="4870" max="4870" width="9.42578125" style="765" bestFit="1" customWidth="1"/>
    <col min="4871" max="4872" width="10.42578125" style="765" bestFit="1" customWidth="1"/>
    <col min="4873" max="4873" width="0" style="765" hidden="1" customWidth="1"/>
    <col min="4874" max="4874" width="9.140625" style="765"/>
    <col min="4875" max="4875" width="4.140625" style="765" customWidth="1"/>
    <col min="4876" max="5120" width="9.140625" style="765"/>
    <col min="5121" max="5121" width="2.7109375" style="765" bestFit="1" customWidth="1"/>
    <col min="5122" max="5122" width="41.140625" style="765" customWidth="1"/>
    <col min="5123" max="5123" width="9.42578125" style="765" bestFit="1" customWidth="1"/>
    <col min="5124" max="5125" width="10.42578125" style="765" bestFit="1" customWidth="1"/>
    <col min="5126" max="5126" width="9.42578125" style="765" bestFit="1" customWidth="1"/>
    <col min="5127" max="5128" width="10.42578125" style="765" bestFit="1" customWidth="1"/>
    <col min="5129" max="5129" width="0" style="765" hidden="1" customWidth="1"/>
    <col min="5130" max="5130" width="9.140625" style="765"/>
    <col min="5131" max="5131" width="4.140625" style="765" customWidth="1"/>
    <col min="5132" max="5376" width="9.140625" style="765"/>
    <col min="5377" max="5377" width="2.7109375" style="765" bestFit="1" customWidth="1"/>
    <col min="5378" max="5378" width="41.140625" style="765" customWidth="1"/>
    <col min="5379" max="5379" width="9.42578125" style="765" bestFit="1" customWidth="1"/>
    <col min="5380" max="5381" width="10.42578125" style="765" bestFit="1" customWidth="1"/>
    <col min="5382" max="5382" width="9.42578125" style="765" bestFit="1" customWidth="1"/>
    <col min="5383" max="5384" width="10.42578125" style="765" bestFit="1" customWidth="1"/>
    <col min="5385" max="5385" width="0" style="765" hidden="1" customWidth="1"/>
    <col min="5386" max="5386" width="9.140625" style="765"/>
    <col min="5387" max="5387" width="4.140625" style="765" customWidth="1"/>
    <col min="5388" max="5632" width="9.140625" style="765"/>
    <col min="5633" max="5633" width="2.7109375" style="765" bestFit="1" customWidth="1"/>
    <col min="5634" max="5634" width="41.140625" style="765" customWidth="1"/>
    <col min="5635" max="5635" width="9.42578125" style="765" bestFit="1" customWidth="1"/>
    <col min="5636" max="5637" width="10.42578125" style="765" bestFit="1" customWidth="1"/>
    <col min="5638" max="5638" width="9.42578125" style="765" bestFit="1" customWidth="1"/>
    <col min="5639" max="5640" width="10.42578125" style="765" bestFit="1" customWidth="1"/>
    <col min="5641" max="5641" width="0" style="765" hidden="1" customWidth="1"/>
    <col min="5642" max="5642" width="9.140625" style="765"/>
    <col min="5643" max="5643" width="4.140625" style="765" customWidth="1"/>
    <col min="5644" max="5888" width="9.140625" style="765"/>
    <col min="5889" max="5889" width="2.7109375" style="765" bestFit="1" customWidth="1"/>
    <col min="5890" max="5890" width="41.140625" style="765" customWidth="1"/>
    <col min="5891" max="5891" width="9.42578125" style="765" bestFit="1" customWidth="1"/>
    <col min="5892" max="5893" width="10.42578125" style="765" bestFit="1" customWidth="1"/>
    <col min="5894" max="5894" width="9.42578125" style="765" bestFit="1" customWidth="1"/>
    <col min="5895" max="5896" width="10.42578125" style="765" bestFit="1" customWidth="1"/>
    <col min="5897" max="5897" width="0" style="765" hidden="1" customWidth="1"/>
    <col min="5898" max="5898" width="9.140625" style="765"/>
    <col min="5899" max="5899" width="4.140625" style="765" customWidth="1"/>
    <col min="5900" max="6144" width="9.140625" style="765"/>
    <col min="6145" max="6145" width="2.7109375" style="765" bestFit="1" customWidth="1"/>
    <col min="6146" max="6146" width="41.140625" style="765" customWidth="1"/>
    <col min="6147" max="6147" width="9.42578125" style="765" bestFit="1" customWidth="1"/>
    <col min="6148" max="6149" width="10.42578125" style="765" bestFit="1" customWidth="1"/>
    <col min="6150" max="6150" width="9.42578125" style="765" bestFit="1" customWidth="1"/>
    <col min="6151" max="6152" width="10.42578125" style="765" bestFit="1" customWidth="1"/>
    <col min="6153" max="6153" width="0" style="765" hidden="1" customWidth="1"/>
    <col min="6154" max="6154" width="9.140625" style="765"/>
    <col min="6155" max="6155" width="4.140625" style="765" customWidth="1"/>
    <col min="6156" max="6400" width="9.140625" style="765"/>
    <col min="6401" max="6401" width="2.7109375" style="765" bestFit="1" customWidth="1"/>
    <col min="6402" max="6402" width="41.140625" style="765" customWidth="1"/>
    <col min="6403" max="6403" width="9.42578125" style="765" bestFit="1" customWidth="1"/>
    <col min="6404" max="6405" width="10.42578125" style="765" bestFit="1" customWidth="1"/>
    <col min="6406" max="6406" width="9.42578125" style="765" bestFit="1" customWidth="1"/>
    <col min="6407" max="6408" width="10.42578125" style="765" bestFit="1" customWidth="1"/>
    <col min="6409" max="6409" width="0" style="765" hidden="1" customWidth="1"/>
    <col min="6410" max="6410" width="9.140625" style="765"/>
    <col min="6411" max="6411" width="4.140625" style="765" customWidth="1"/>
    <col min="6412" max="6656" width="9.140625" style="765"/>
    <col min="6657" max="6657" width="2.7109375" style="765" bestFit="1" customWidth="1"/>
    <col min="6658" max="6658" width="41.140625" style="765" customWidth="1"/>
    <col min="6659" max="6659" width="9.42578125" style="765" bestFit="1" customWidth="1"/>
    <col min="6660" max="6661" width="10.42578125" style="765" bestFit="1" customWidth="1"/>
    <col min="6662" max="6662" width="9.42578125" style="765" bestFit="1" customWidth="1"/>
    <col min="6663" max="6664" width="10.42578125" style="765" bestFit="1" customWidth="1"/>
    <col min="6665" max="6665" width="0" style="765" hidden="1" customWidth="1"/>
    <col min="6666" max="6666" width="9.140625" style="765"/>
    <col min="6667" max="6667" width="4.140625" style="765" customWidth="1"/>
    <col min="6668" max="6912" width="9.140625" style="765"/>
    <col min="6913" max="6913" width="2.7109375" style="765" bestFit="1" customWidth="1"/>
    <col min="6914" max="6914" width="41.140625" style="765" customWidth="1"/>
    <col min="6915" max="6915" width="9.42578125" style="765" bestFit="1" customWidth="1"/>
    <col min="6916" max="6917" width="10.42578125" style="765" bestFit="1" customWidth="1"/>
    <col min="6918" max="6918" width="9.42578125" style="765" bestFit="1" customWidth="1"/>
    <col min="6919" max="6920" width="10.42578125" style="765" bestFit="1" customWidth="1"/>
    <col min="6921" max="6921" width="0" style="765" hidden="1" customWidth="1"/>
    <col min="6922" max="6922" width="9.140625" style="765"/>
    <col min="6923" max="6923" width="4.140625" style="765" customWidth="1"/>
    <col min="6924" max="7168" width="9.140625" style="765"/>
    <col min="7169" max="7169" width="2.7109375" style="765" bestFit="1" customWidth="1"/>
    <col min="7170" max="7170" width="41.140625" style="765" customWidth="1"/>
    <col min="7171" max="7171" width="9.42578125" style="765" bestFit="1" customWidth="1"/>
    <col min="7172" max="7173" width="10.42578125" style="765" bestFit="1" customWidth="1"/>
    <col min="7174" max="7174" width="9.42578125" style="765" bestFit="1" customWidth="1"/>
    <col min="7175" max="7176" width="10.42578125" style="765" bestFit="1" customWidth="1"/>
    <col min="7177" max="7177" width="0" style="765" hidden="1" customWidth="1"/>
    <col min="7178" max="7178" width="9.140625" style="765"/>
    <col min="7179" max="7179" width="4.140625" style="765" customWidth="1"/>
    <col min="7180" max="7424" width="9.140625" style="765"/>
    <col min="7425" max="7425" width="2.7109375" style="765" bestFit="1" customWidth="1"/>
    <col min="7426" max="7426" width="41.140625" style="765" customWidth="1"/>
    <col min="7427" max="7427" width="9.42578125" style="765" bestFit="1" customWidth="1"/>
    <col min="7428" max="7429" width="10.42578125" style="765" bestFit="1" customWidth="1"/>
    <col min="7430" max="7430" width="9.42578125" style="765" bestFit="1" customWidth="1"/>
    <col min="7431" max="7432" width="10.42578125" style="765" bestFit="1" customWidth="1"/>
    <col min="7433" max="7433" width="0" style="765" hidden="1" customWidth="1"/>
    <col min="7434" max="7434" width="9.140625" style="765"/>
    <col min="7435" max="7435" width="4.140625" style="765" customWidth="1"/>
    <col min="7436" max="7680" width="9.140625" style="765"/>
    <col min="7681" max="7681" width="2.7109375" style="765" bestFit="1" customWidth="1"/>
    <col min="7682" max="7682" width="41.140625" style="765" customWidth="1"/>
    <col min="7683" max="7683" width="9.42578125" style="765" bestFit="1" customWidth="1"/>
    <col min="7684" max="7685" width="10.42578125" style="765" bestFit="1" customWidth="1"/>
    <col min="7686" max="7686" width="9.42578125" style="765" bestFit="1" customWidth="1"/>
    <col min="7687" max="7688" width="10.42578125" style="765" bestFit="1" customWidth="1"/>
    <col min="7689" max="7689" width="0" style="765" hidden="1" customWidth="1"/>
    <col min="7690" max="7690" width="9.140625" style="765"/>
    <col min="7691" max="7691" width="4.140625" style="765" customWidth="1"/>
    <col min="7692" max="7936" width="9.140625" style="765"/>
    <col min="7937" max="7937" width="2.7109375" style="765" bestFit="1" customWidth="1"/>
    <col min="7938" max="7938" width="41.140625" style="765" customWidth="1"/>
    <col min="7939" max="7939" width="9.42578125" style="765" bestFit="1" customWidth="1"/>
    <col min="7940" max="7941" width="10.42578125" style="765" bestFit="1" customWidth="1"/>
    <col min="7942" max="7942" width="9.42578125" style="765" bestFit="1" customWidth="1"/>
    <col min="7943" max="7944" width="10.42578125" style="765" bestFit="1" customWidth="1"/>
    <col min="7945" max="7945" width="0" style="765" hidden="1" customWidth="1"/>
    <col min="7946" max="7946" width="9.140625" style="765"/>
    <col min="7947" max="7947" width="4.140625" style="765" customWidth="1"/>
    <col min="7948" max="8192" width="9.140625" style="765"/>
    <col min="8193" max="8193" width="2.7109375" style="765" bestFit="1" customWidth="1"/>
    <col min="8194" max="8194" width="41.140625" style="765" customWidth="1"/>
    <col min="8195" max="8195" width="9.42578125" style="765" bestFit="1" customWidth="1"/>
    <col min="8196" max="8197" width="10.42578125" style="765" bestFit="1" customWidth="1"/>
    <col min="8198" max="8198" width="9.42578125" style="765" bestFit="1" customWidth="1"/>
    <col min="8199" max="8200" width="10.42578125" style="765" bestFit="1" customWidth="1"/>
    <col min="8201" max="8201" width="0" style="765" hidden="1" customWidth="1"/>
    <col min="8202" max="8202" width="9.140625" style="765"/>
    <col min="8203" max="8203" width="4.140625" style="765" customWidth="1"/>
    <col min="8204" max="8448" width="9.140625" style="765"/>
    <col min="8449" max="8449" width="2.7109375" style="765" bestFit="1" customWidth="1"/>
    <col min="8450" max="8450" width="41.140625" style="765" customWidth="1"/>
    <col min="8451" max="8451" width="9.42578125" style="765" bestFit="1" customWidth="1"/>
    <col min="8452" max="8453" width="10.42578125" style="765" bestFit="1" customWidth="1"/>
    <col min="8454" max="8454" width="9.42578125" style="765" bestFit="1" customWidth="1"/>
    <col min="8455" max="8456" width="10.42578125" style="765" bestFit="1" customWidth="1"/>
    <col min="8457" max="8457" width="0" style="765" hidden="1" customWidth="1"/>
    <col min="8458" max="8458" width="9.140625" style="765"/>
    <col min="8459" max="8459" width="4.140625" style="765" customWidth="1"/>
    <col min="8460" max="8704" width="9.140625" style="765"/>
    <col min="8705" max="8705" width="2.7109375" style="765" bestFit="1" customWidth="1"/>
    <col min="8706" max="8706" width="41.140625" style="765" customWidth="1"/>
    <col min="8707" max="8707" width="9.42578125" style="765" bestFit="1" customWidth="1"/>
    <col min="8708" max="8709" width="10.42578125" style="765" bestFit="1" customWidth="1"/>
    <col min="8710" max="8710" width="9.42578125" style="765" bestFit="1" customWidth="1"/>
    <col min="8711" max="8712" width="10.42578125" style="765" bestFit="1" customWidth="1"/>
    <col min="8713" max="8713" width="0" style="765" hidden="1" customWidth="1"/>
    <col min="8714" max="8714" width="9.140625" style="765"/>
    <col min="8715" max="8715" width="4.140625" style="765" customWidth="1"/>
    <col min="8716" max="8960" width="9.140625" style="765"/>
    <col min="8961" max="8961" width="2.7109375" style="765" bestFit="1" customWidth="1"/>
    <col min="8962" max="8962" width="41.140625" style="765" customWidth="1"/>
    <col min="8963" max="8963" width="9.42578125" style="765" bestFit="1" customWidth="1"/>
    <col min="8964" max="8965" width="10.42578125" style="765" bestFit="1" customWidth="1"/>
    <col min="8966" max="8966" width="9.42578125" style="765" bestFit="1" customWidth="1"/>
    <col min="8967" max="8968" width="10.42578125" style="765" bestFit="1" customWidth="1"/>
    <col min="8969" max="8969" width="0" style="765" hidden="1" customWidth="1"/>
    <col min="8970" max="8970" width="9.140625" style="765"/>
    <col min="8971" max="8971" width="4.140625" style="765" customWidth="1"/>
    <col min="8972" max="9216" width="9.140625" style="765"/>
    <col min="9217" max="9217" width="2.7109375" style="765" bestFit="1" customWidth="1"/>
    <col min="9218" max="9218" width="41.140625" style="765" customWidth="1"/>
    <col min="9219" max="9219" width="9.42578125" style="765" bestFit="1" customWidth="1"/>
    <col min="9220" max="9221" width="10.42578125" style="765" bestFit="1" customWidth="1"/>
    <col min="9222" max="9222" width="9.42578125" style="765" bestFit="1" customWidth="1"/>
    <col min="9223" max="9224" width="10.42578125" style="765" bestFit="1" customWidth="1"/>
    <col min="9225" max="9225" width="0" style="765" hidden="1" customWidth="1"/>
    <col min="9226" max="9226" width="9.140625" style="765"/>
    <col min="9227" max="9227" width="4.140625" style="765" customWidth="1"/>
    <col min="9228" max="9472" width="9.140625" style="765"/>
    <col min="9473" max="9473" width="2.7109375" style="765" bestFit="1" customWidth="1"/>
    <col min="9474" max="9474" width="41.140625" style="765" customWidth="1"/>
    <col min="9475" max="9475" width="9.42578125" style="765" bestFit="1" customWidth="1"/>
    <col min="9476" max="9477" width="10.42578125" style="765" bestFit="1" customWidth="1"/>
    <col min="9478" max="9478" width="9.42578125" style="765" bestFit="1" customWidth="1"/>
    <col min="9479" max="9480" width="10.42578125" style="765" bestFit="1" customWidth="1"/>
    <col min="9481" max="9481" width="0" style="765" hidden="1" customWidth="1"/>
    <col min="9482" max="9482" width="9.140625" style="765"/>
    <col min="9483" max="9483" width="4.140625" style="765" customWidth="1"/>
    <col min="9484" max="9728" width="9.140625" style="765"/>
    <col min="9729" max="9729" width="2.7109375" style="765" bestFit="1" customWidth="1"/>
    <col min="9730" max="9730" width="41.140625" style="765" customWidth="1"/>
    <col min="9731" max="9731" width="9.42578125" style="765" bestFit="1" customWidth="1"/>
    <col min="9732" max="9733" width="10.42578125" style="765" bestFit="1" customWidth="1"/>
    <col min="9734" max="9734" width="9.42578125" style="765" bestFit="1" customWidth="1"/>
    <col min="9735" max="9736" width="10.42578125" style="765" bestFit="1" customWidth="1"/>
    <col min="9737" max="9737" width="0" style="765" hidden="1" customWidth="1"/>
    <col min="9738" max="9738" width="9.140625" style="765"/>
    <col min="9739" max="9739" width="4.140625" style="765" customWidth="1"/>
    <col min="9740" max="9984" width="9.140625" style="765"/>
    <col min="9985" max="9985" width="2.7109375" style="765" bestFit="1" customWidth="1"/>
    <col min="9986" max="9986" width="41.140625" style="765" customWidth="1"/>
    <col min="9987" max="9987" width="9.42578125" style="765" bestFit="1" customWidth="1"/>
    <col min="9988" max="9989" width="10.42578125" style="765" bestFit="1" customWidth="1"/>
    <col min="9990" max="9990" width="9.42578125" style="765" bestFit="1" customWidth="1"/>
    <col min="9991" max="9992" width="10.42578125" style="765" bestFit="1" customWidth="1"/>
    <col min="9993" max="9993" width="0" style="765" hidden="1" customWidth="1"/>
    <col min="9994" max="9994" width="9.140625" style="765"/>
    <col min="9995" max="9995" width="4.140625" style="765" customWidth="1"/>
    <col min="9996" max="10240" width="9.140625" style="765"/>
    <col min="10241" max="10241" width="2.7109375" style="765" bestFit="1" customWidth="1"/>
    <col min="10242" max="10242" width="41.140625" style="765" customWidth="1"/>
    <col min="10243" max="10243" width="9.42578125" style="765" bestFit="1" customWidth="1"/>
    <col min="10244" max="10245" width="10.42578125" style="765" bestFit="1" customWidth="1"/>
    <col min="10246" max="10246" width="9.42578125" style="765" bestFit="1" customWidth="1"/>
    <col min="10247" max="10248" width="10.42578125" style="765" bestFit="1" customWidth="1"/>
    <col min="10249" max="10249" width="0" style="765" hidden="1" customWidth="1"/>
    <col min="10250" max="10250" width="9.140625" style="765"/>
    <col min="10251" max="10251" width="4.140625" style="765" customWidth="1"/>
    <col min="10252" max="10496" width="9.140625" style="765"/>
    <col min="10497" max="10497" width="2.7109375" style="765" bestFit="1" customWidth="1"/>
    <col min="10498" max="10498" width="41.140625" style="765" customWidth="1"/>
    <col min="10499" max="10499" width="9.42578125" style="765" bestFit="1" customWidth="1"/>
    <col min="10500" max="10501" width="10.42578125" style="765" bestFit="1" customWidth="1"/>
    <col min="10502" max="10502" width="9.42578125" style="765" bestFit="1" customWidth="1"/>
    <col min="10503" max="10504" width="10.42578125" style="765" bestFit="1" customWidth="1"/>
    <col min="10505" max="10505" width="0" style="765" hidden="1" customWidth="1"/>
    <col min="10506" max="10506" width="9.140625" style="765"/>
    <col min="10507" max="10507" width="4.140625" style="765" customWidth="1"/>
    <col min="10508" max="10752" width="9.140625" style="765"/>
    <col min="10753" max="10753" width="2.7109375" style="765" bestFit="1" customWidth="1"/>
    <col min="10754" max="10754" width="41.140625" style="765" customWidth="1"/>
    <col min="10755" max="10755" width="9.42578125" style="765" bestFit="1" customWidth="1"/>
    <col min="10756" max="10757" width="10.42578125" style="765" bestFit="1" customWidth="1"/>
    <col min="10758" max="10758" width="9.42578125" style="765" bestFit="1" customWidth="1"/>
    <col min="10759" max="10760" width="10.42578125" style="765" bestFit="1" customWidth="1"/>
    <col min="10761" max="10761" width="0" style="765" hidden="1" customWidth="1"/>
    <col min="10762" max="10762" width="9.140625" style="765"/>
    <col min="10763" max="10763" width="4.140625" style="765" customWidth="1"/>
    <col min="10764" max="11008" width="9.140625" style="765"/>
    <col min="11009" max="11009" width="2.7109375" style="765" bestFit="1" customWidth="1"/>
    <col min="11010" max="11010" width="41.140625" style="765" customWidth="1"/>
    <col min="11011" max="11011" width="9.42578125" style="765" bestFit="1" customWidth="1"/>
    <col min="11012" max="11013" width="10.42578125" style="765" bestFit="1" customWidth="1"/>
    <col min="11014" max="11014" width="9.42578125" style="765" bestFit="1" customWidth="1"/>
    <col min="11015" max="11016" width="10.42578125" style="765" bestFit="1" customWidth="1"/>
    <col min="11017" max="11017" width="0" style="765" hidden="1" customWidth="1"/>
    <col min="11018" max="11018" width="9.140625" style="765"/>
    <col min="11019" max="11019" width="4.140625" style="765" customWidth="1"/>
    <col min="11020" max="11264" width="9.140625" style="765"/>
    <col min="11265" max="11265" width="2.7109375" style="765" bestFit="1" customWidth="1"/>
    <col min="11266" max="11266" width="41.140625" style="765" customWidth="1"/>
    <col min="11267" max="11267" width="9.42578125" style="765" bestFit="1" customWidth="1"/>
    <col min="11268" max="11269" width="10.42578125" style="765" bestFit="1" customWidth="1"/>
    <col min="11270" max="11270" width="9.42578125" style="765" bestFit="1" customWidth="1"/>
    <col min="11271" max="11272" width="10.42578125" style="765" bestFit="1" customWidth="1"/>
    <col min="11273" max="11273" width="0" style="765" hidden="1" customWidth="1"/>
    <col min="11274" max="11274" width="9.140625" style="765"/>
    <col min="11275" max="11275" width="4.140625" style="765" customWidth="1"/>
    <col min="11276" max="11520" width="9.140625" style="765"/>
    <col min="11521" max="11521" width="2.7109375" style="765" bestFit="1" customWidth="1"/>
    <col min="11522" max="11522" width="41.140625" style="765" customWidth="1"/>
    <col min="11523" max="11523" width="9.42578125" style="765" bestFit="1" customWidth="1"/>
    <col min="11524" max="11525" width="10.42578125" style="765" bestFit="1" customWidth="1"/>
    <col min="11526" max="11526" width="9.42578125" style="765" bestFit="1" customWidth="1"/>
    <col min="11527" max="11528" width="10.42578125" style="765" bestFit="1" customWidth="1"/>
    <col min="11529" max="11529" width="0" style="765" hidden="1" customWidth="1"/>
    <col min="11530" max="11530" width="9.140625" style="765"/>
    <col min="11531" max="11531" width="4.140625" style="765" customWidth="1"/>
    <col min="11532" max="11776" width="9.140625" style="765"/>
    <col min="11777" max="11777" width="2.7109375" style="765" bestFit="1" customWidth="1"/>
    <col min="11778" max="11778" width="41.140625" style="765" customWidth="1"/>
    <col min="11779" max="11779" width="9.42578125" style="765" bestFit="1" customWidth="1"/>
    <col min="11780" max="11781" width="10.42578125" style="765" bestFit="1" customWidth="1"/>
    <col min="11782" max="11782" width="9.42578125" style="765" bestFit="1" customWidth="1"/>
    <col min="11783" max="11784" width="10.42578125" style="765" bestFit="1" customWidth="1"/>
    <col min="11785" max="11785" width="0" style="765" hidden="1" customWidth="1"/>
    <col min="11786" max="11786" width="9.140625" style="765"/>
    <col min="11787" max="11787" width="4.140625" style="765" customWidth="1"/>
    <col min="11788" max="12032" width="9.140625" style="765"/>
    <col min="12033" max="12033" width="2.7109375" style="765" bestFit="1" customWidth="1"/>
    <col min="12034" max="12034" width="41.140625" style="765" customWidth="1"/>
    <col min="12035" max="12035" width="9.42578125" style="765" bestFit="1" customWidth="1"/>
    <col min="12036" max="12037" width="10.42578125" style="765" bestFit="1" customWidth="1"/>
    <col min="12038" max="12038" width="9.42578125" style="765" bestFit="1" customWidth="1"/>
    <col min="12039" max="12040" width="10.42578125" style="765" bestFit="1" customWidth="1"/>
    <col min="12041" max="12041" width="0" style="765" hidden="1" customWidth="1"/>
    <col min="12042" max="12042" width="9.140625" style="765"/>
    <col min="12043" max="12043" width="4.140625" style="765" customWidth="1"/>
    <col min="12044" max="12288" width="9.140625" style="765"/>
    <col min="12289" max="12289" width="2.7109375" style="765" bestFit="1" customWidth="1"/>
    <col min="12290" max="12290" width="41.140625" style="765" customWidth="1"/>
    <col min="12291" max="12291" width="9.42578125" style="765" bestFit="1" customWidth="1"/>
    <col min="12292" max="12293" width="10.42578125" style="765" bestFit="1" customWidth="1"/>
    <col min="12294" max="12294" width="9.42578125" style="765" bestFit="1" customWidth="1"/>
    <col min="12295" max="12296" width="10.42578125" style="765" bestFit="1" customWidth="1"/>
    <col min="12297" max="12297" width="0" style="765" hidden="1" customWidth="1"/>
    <col min="12298" max="12298" width="9.140625" style="765"/>
    <col min="12299" max="12299" width="4.140625" style="765" customWidth="1"/>
    <col min="12300" max="12544" width="9.140625" style="765"/>
    <col min="12545" max="12545" width="2.7109375" style="765" bestFit="1" customWidth="1"/>
    <col min="12546" max="12546" width="41.140625" style="765" customWidth="1"/>
    <col min="12547" max="12547" width="9.42578125" style="765" bestFit="1" customWidth="1"/>
    <col min="12548" max="12549" width="10.42578125" style="765" bestFit="1" customWidth="1"/>
    <col min="12550" max="12550" width="9.42578125" style="765" bestFit="1" customWidth="1"/>
    <col min="12551" max="12552" width="10.42578125" style="765" bestFit="1" customWidth="1"/>
    <col min="12553" max="12553" width="0" style="765" hidden="1" customWidth="1"/>
    <col min="12554" max="12554" width="9.140625" style="765"/>
    <col min="12555" max="12555" width="4.140625" style="765" customWidth="1"/>
    <col min="12556" max="12800" width="9.140625" style="765"/>
    <col min="12801" max="12801" width="2.7109375" style="765" bestFit="1" customWidth="1"/>
    <col min="12802" max="12802" width="41.140625" style="765" customWidth="1"/>
    <col min="12803" max="12803" width="9.42578125" style="765" bestFit="1" customWidth="1"/>
    <col min="12804" max="12805" width="10.42578125" style="765" bestFit="1" customWidth="1"/>
    <col min="12806" max="12806" width="9.42578125" style="765" bestFit="1" customWidth="1"/>
    <col min="12807" max="12808" width="10.42578125" style="765" bestFit="1" customWidth="1"/>
    <col min="12809" max="12809" width="0" style="765" hidden="1" customWidth="1"/>
    <col min="12810" max="12810" width="9.140625" style="765"/>
    <col min="12811" max="12811" width="4.140625" style="765" customWidth="1"/>
    <col min="12812" max="13056" width="9.140625" style="765"/>
    <col min="13057" max="13057" width="2.7109375" style="765" bestFit="1" customWidth="1"/>
    <col min="13058" max="13058" width="41.140625" style="765" customWidth="1"/>
    <col min="13059" max="13059" width="9.42578125" style="765" bestFit="1" customWidth="1"/>
    <col min="13060" max="13061" width="10.42578125" style="765" bestFit="1" customWidth="1"/>
    <col min="13062" max="13062" width="9.42578125" style="765" bestFit="1" customWidth="1"/>
    <col min="13063" max="13064" width="10.42578125" style="765" bestFit="1" customWidth="1"/>
    <col min="13065" max="13065" width="0" style="765" hidden="1" customWidth="1"/>
    <col min="13066" max="13066" width="9.140625" style="765"/>
    <col min="13067" max="13067" width="4.140625" style="765" customWidth="1"/>
    <col min="13068" max="13312" width="9.140625" style="765"/>
    <col min="13313" max="13313" width="2.7109375" style="765" bestFit="1" customWidth="1"/>
    <col min="13314" max="13314" width="41.140625" style="765" customWidth="1"/>
    <col min="13315" max="13315" width="9.42578125" style="765" bestFit="1" customWidth="1"/>
    <col min="13316" max="13317" width="10.42578125" style="765" bestFit="1" customWidth="1"/>
    <col min="13318" max="13318" width="9.42578125" style="765" bestFit="1" customWidth="1"/>
    <col min="13319" max="13320" width="10.42578125" style="765" bestFit="1" customWidth="1"/>
    <col min="13321" max="13321" width="0" style="765" hidden="1" customWidth="1"/>
    <col min="13322" max="13322" width="9.140625" style="765"/>
    <col min="13323" max="13323" width="4.140625" style="765" customWidth="1"/>
    <col min="13324" max="13568" width="9.140625" style="765"/>
    <col min="13569" max="13569" width="2.7109375" style="765" bestFit="1" customWidth="1"/>
    <col min="13570" max="13570" width="41.140625" style="765" customWidth="1"/>
    <col min="13571" max="13571" width="9.42578125" style="765" bestFit="1" customWidth="1"/>
    <col min="13572" max="13573" width="10.42578125" style="765" bestFit="1" customWidth="1"/>
    <col min="13574" max="13574" width="9.42578125" style="765" bestFit="1" customWidth="1"/>
    <col min="13575" max="13576" width="10.42578125" style="765" bestFit="1" customWidth="1"/>
    <col min="13577" max="13577" width="0" style="765" hidden="1" customWidth="1"/>
    <col min="13578" max="13578" width="9.140625" style="765"/>
    <col min="13579" max="13579" width="4.140625" style="765" customWidth="1"/>
    <col min="13580" max="13824" width="9.140625" style="765"/>
    <col min="13825" max="13825" width="2.7109375" style="765" bestFit="1" customWidth="1"/>
    <col min="13826" max="13826" width="41.140625" style="765" customWidth="1"/>
    <col min="13827" max="13827" width="9.42578125" style="765" bestFit="1" customWidth="1"/>
    <col min="13828" max="13829" width="10.42578125" style="765" bestFit="1" customWidth="1"/>
    <col min="13830" max="13830" width="9.42578125" style="765" bestFit="1" customWidth="1"/>
    <col min="13831" max="13832" width="10.42578125" style="765" bestFit="1" customWidth="1"/>
    <col min="13833" max="13833" width="0" style="765" hidden="1" customWidth="1"/>
    <col min="13834" max="13834" width="9.140625" style="765"/>
    <col min="13835" max="13835" width="4.140625" style="765" customWidth="1"/>
    <col min="13836" max="14080" width="9.140625" style="765"/>
    <col min="14081" max="14081" width="2.7109375" style="765" bestFit="1" customWidth="1"/>
    <col min="14082" max="14082" width="41.140625" style="765" customWidth="1"/>
    <col min="14083" max="14083" width="9.42578125" style="765" bestFit="1" customWidth="1"/>
    <col min="14084" max="14085" width="10.42578125" style="765" bestFit="1" customWidth="1"/>
    <col min="14086" max="14086" width="9.42578125" style="765" bestFit="1" customWidth="1"/>
    <col min="14087" max="14088" width="10.42578125" style="765" bestFit="1" customWidth="1"/>
    <col min="14089" max="14089" width="0" style="765" hidden="1" customWidth="1"/>
    <col min="14090" max="14090" width="9.140625" style="765"/>
    <col min="14091" max="14091" width="4.140625" style="765" customWidth="1"/>
    <col min="14092" max="14336" width="9.140625" style="765"/>
    <col min="14337" max="14337" width="2.7109375" style="765" bestFit="1" customWidth="1"/>
    <col min="14338" max="14338" width="41.140625" style="765" customWidth="1"/>
    <col min="14339" max="14339" width="9.42578125" style="765" bestFit="1" customWidth="1"/>
    <col min="14340" max="14341" width="10.42578125" style="765" bestFit="1" customWidth="1"/>
    <col min="14342" max="14342" width="9.42578125" style="765" bestFit="1" customWidth="1"/>
    <col min="14343" max="14344" width="10.42578125" style="765" bestFit="1" customWidth="1"/>
    <col min="14345" max="14345" width="0" style="765" hidden="1" customWidth="1"/>
    <col min="14346" max="14346" width="9.140625" style="765"/>
    <col min="14347" max="14347" width="4.140625" style="765" customWidth="1"/>
    <col min="14348" max="14592" width="9.140625" style="765"/>
    <col min="14593" max="14593" width="2.7109375" style="765" bestFit="1" customWidth="1"/>
    <col min="14594" max="14594" width="41.140625" style="765" customWidth="1"/>
    <col min="14595" max="14595" width="9.42578125" style="765" bestFit="1" customWidth="1"/>
    <col min="14596" max="14597" width="10.42578125" style="765" bestFit="1" customWidth="1"/>
    <col min="14598" max="14598" width="9.42578125" style="765" bestFit="1" customWidth="1"/>
    <col min="14599" max="14600" width="10.42578125" style="765" bestFit="1" customWidth="1"/>
    <col min="14601" max="14601" width="0" style="765" hidden="1" customWidth="1"/>
    <col min="14602" max="14602" width="9.140625" style="765"/>
    <col min="14603" max="14603" width="4.140625" style="765" customWidth="1"/>
    <col min="14604" max="14848" width="9.140625" style="765"/>
    <col min="14849" max="14849" width="2.7109375" style="765" bestFit="1" customWidth="1"/>
    <col min="14850" max="14850" width="41.140625" style="765" customWidth="1"/>
    <col min="14851" max="14851" width="9.42578125" style="765" bestFit="1" customWidth="1"/>
    <col min="14852" max="14853" width="10.42578125" style="765" bestFit="1" customWidth="1"/>
    <col min="14854" max="14854" width="9.42578125" style="765" bestFit="1" customWidth="1"/>
    <col min="14855" max="14856" width="10.42578125" style="765" bestFit="1" customWidth="1"/>
    <col min="14857" max="14857" width="0" style="765" hidden="1" customWidth="1"/>
    <col min="14858" max="14858" width="9.140625" style="765"/>
    <col min="14859" max="14859" width="4.140625" style="765" customWidth="1"/>
    <col min="14860" max="15104" width="9.140625" style="765"/>
    <col min="15105" max="15105" width="2.7109375" style="765" bestFit="1" customWidth="1"/>
    <col min="15106" max="15106" width="41.140625" style="765" customWidth="1"/>
    <col min="15107" max="15107" width="9.42578125" style="765" bestFit="1" customWidth="1"/>
    <col min="15108" max="15109" width="10.42578125" style="765" bestFit="1" customWidth="1"/>
    <col min="15110" max="15110" width="9.42578125" style="765" bestFit="1" customWidth="1"/>
    <col min="15111" max="15112" width="10.42578125" style="765" bestFit="1" customWidth="1"/>
    <col min="15113" max="15113" width="0" style="765" hidden="1" customWidth="1"/>
    <col min="15114" max="15114" width="9.140625" style="765"/>
    <col min="15115" max="15115" width="4.140625" style="765" customWidth="1"/>
    <col min="15116" max="15360" width="9.140625" style="765"/>
    <col min="15361" max="15361" width="2.7109375" style="765" bestFit="1" customWidth="1"/>
    <col min="15362" max="15362" width="41.140625" style="765" customWidth="1"/>
    <col min="15363" max="15363" width="9.42578125" style="765" bestFit="1" customWidth="1"/>
    <col min="15364" max="15365" width="10.42578125" style="765" bestFit="1" customWidth="1"/>
    <col min="15366" max="15366" width="9.42578125" style="765" bestFit="1" customWidth="1"/>
    <col min="15367" max="15368" width="10.42578125" style="765" bestFit="1" customWidth="1"/>
    <col min="15369" max="15369" width="0" style="765" hidden="1" customWidth="1"/>
    <col min="15370" max="15370" width="9.140625" style="765"/>
    <col min="15371" max="15371" width="4.140625" style="765" customWidth="1"/>
    <col min="15372" max="15616" width="9.140625" style="765"/>
    <col min="15617" max="15617" width="2.7109375" style="765" bestFit="1" customWidth="1"/>
    <col min="15618" max="15618" width="41.140625" style="765" customWidth="1"/>
    <col min="15619" max="15619" width="9.42578125" style="765" bestFit="1" customWidth="1"/>
    <col min="15620" max="15621" width="10.42578125" style="765" bestFit="1" customWidth="1"/>
    <col min="15622" max="15622" width="9.42578125" style="765" bestFit="1" customWidth="1"/>
    <col min="15623" max="15624" width="10.42578125" style="765" bestFit="1" customWidth="1"/>
    <col min="15625" max="15625" width="0" style="765" hidden="1" customWidth="1"/>
    <col min="15626" max="15626" width="9.140625" style="765"/>
    <col min="15627" max="15627" width="4.140625" style="765" customWidth="1"/>
    <col min="15628" max="15872" width="9.140625" style="765"/>
    <col min="15873" max="15873" width="2.7109375" style="765" bestFit="1" customWidth="1"/>
    <col min="15874" max="15874" width="41.140625" style="765" customWidth="1"/>
    <col min="15875" max="15875" width="9.42578125" style="765" bestFit="1" customWidth="1"/>
    <col min="15876" max="15877" width="10.42578125" style="765" bestFit="1" customWidth="1"/>
    <col min="15878" max="15878" width="9.42578125" style="765" bestFit="1" customWidth="1"/>
    <col min="15879" max="15880" width="10.42578125" style="765" bestFit="1" customWidth="1"/>
    <col min="15881" max="15881" width="0" style="765" hidden="1" customWidth="1"/>
    <col min="15882" max="15882" width="9.140625" style="765"/>
    <col min="15883" max="15883" width="4.140625" style="765" customWidth="1"/>
    <col min="15884" max="16128" width="9.140625" style="765"/>
    <col min="16129" max="16129" width="2.7109375" style="765" bestFit="1" customWidth="1"/>
    <col min="16130" max="16130" width="41.140625" style="765" customWidth="1"/>
    <col min="16131" max="16131" width="9.42578125" style="765" bestFit="1" customWidth="1"/>
    <col min="16132" max="16133" width="10.42578125" style="765" bestFit="1" customWidth="1"/>
    <col min="16134" max="16134" width="9.42578125" style="765" bestFit="1" customWidth="1"/>
    <col min="16135" max="16136" width="10.42578125" style="765" bestFit="1" customWidth="1"/>
    <col min="16137" max="16137" width="0" style="765" hidden="1" customWidth="1"/>
    <col min="16138" max="16138" width="9.140625" style="765"/>
    <col min="16139" max="16139" width="4.140625" style="765" customWidth="1"/>
    <col min="16140" max="16384" width="9.140625" style="765"/>
  </cols>
  <sheetData>
    <row r="1" spans="1:57" s="762" customFormat="1" ht="15.75">
      <c r="A1" s="3294" t="s">
        <v>854</v>
      </c>
      <c r="B1" s="3294"/>
      <c r="C1" s="3294"/>
      <c r="D1" s="3294"/>
      <c r="E1" s="3294"/>
      <c r="F1" s="3294"/>
      <c r="G1" s="3294"/>
      <c r="H1" s="3294"/>
      <c r="I1" s="817"/>
      <c r="J1" s="817"/>
      <c r="K1" s="817"/>
      <c r="L1" s="817"/>
      <c r="M1" s="817"/>
      <c r="N1" s="817"/>
      <c r="O1" s="817"/>
      <c r="P1" s="817"/>
      <c r="Q1" s="817"/>
      <c r="R1" s="817"/>
      <c r="S1" s="817"/>
      <c r="T1" s="817"/>
      <c r="U1" s="817"/>
      <c r="V1" s="817"/>
      <c r="W1" s="817"/>
      <c r="X1" s="817"/>
      <c r="Y1" s="817"/>
      <c r="Z1" s="817"/>
      <c r="AA1" s="817"/>
      <c r="AB1" s="817"/>
    </row>
    <row r="2" spans="1:57" s="762" customFormat="1" ht="16.5" thickBot="1">
      <c r="A2" s="866"/>
      <c r="B2" s="866"/>
      <c r="C2" s="866"/>
      <c r="D2" s="866"/>
      <c r="E2" s="867"/>
      <c r="F2" s="867"/>
      <c r="G2" s="867"/>
      <c r="H2" s="867"/>
      <c r="K2" s="817"/>
      <c r="L2" s="817"/>
      <c r="M2" s="817"/>
      <c r="N2" s="817"/>
      <c r="O2" s="817"/>
      <c r="P2" s="817"/>
      <c r="Q2" s="817"/>
      <c r="R2" s="817"/>
      <c r="S2" s="817"/>
      <c r="T2" s="817"/>
      <c r="U2" s="817"/>
      <c r="V2" s="817"/>
      <c r="W2" s="817"/>
      <c r="X2" s="817"/>
      <c r="Y2" s="817"/>
      <c r="Z2" s="817"/>
      <c r="AA2" s="817"/>
      <c r="AB2" s="817"/>
    </row>
    <row r="3" spans="1:57" s="871" customFormat="1" ht="15.75">
      <c r="A3" s="868"/>
      <c r="B3" s="869"/>
      <c r="C3" s="870"/>
      <c r="D3" s="3302" t="s">
        <v>774</v>
      </c>
      <c r="E3" s="3303"/>
      <c r="F3" s="867"/>
      <c r="G3" s="867"/>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row>
    <row r="4" spans="1:57" s="871" customFormat="1" ht="16.5" thickBot="1">
      <c r="A4" s="872"/>
      <c r="B4" s="873"/>
      <c r="C4" s="874"/>
      <c r="D4" s="3304" t="s">
        <v>855</v>
      </c>
      <c r="E4" s="3305"/>
      <c r="F4" s="867"/>
      <c r="G4" s="867"/>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762"/>
      <c r="BA4" s="762"/>
      <c r="BB4" s="762"/>
      <c r="BC4" s="762"/>
      <c r="BD4" s="762"/>
      <c r="BE4" s="762"/>
    </row>
    <row r="5" spans="1:57" s="762" customFormat="1" ht="15.75">
      <c r="A5" s="875">
        <v>1</v>
      </c>
      <c r="B5" s="3306" t="s">
        <v>777</v>
      </c>
      <c r="C5" s="3307"/>
      <c r="D5" s="3327">
        <v>1000</v>
      </c>
      <c r="E5" s="3328"/>
      <c r="F5" s="867"/>
      <c r="G5" s="867"/>
    </row>
    <row r="6" spans="1:57" s="762" customFormat="1" ht="15.75">
      <c r="A6" s="875">
        <v>2</v>
      </c>
      <c r="B6" s="3306" t="s">
        <v>778</v>
      </c>
      <c r="C6" s="3307"/>
      <c r="D6" s="3327">
        <v>1653.7</v>
      </c>
      <c r="E6" s="3328"/>
      <c r="F6" s="867"/>
      <c r="G6" s="867"/>
    </row>
    <row r="7" spans="1:57" s="762" customFormat="1" ht="15.75">
      <c r="A7" s="875">
        <v>3</v>
      </c>
      <c r="B7" s="3306" t="s">
        <v>779</v>
      </c>
      <c r="C7" s="3307"/>
      <c r="D7" s="3327">
        <v>795.7</v>
      </c>
      <c r="E7" s="3328"/>
      <c r="F7" s="867"/>
      <c r="G7" s="867"/>
    </row>
    <row r="8" spans="1:57" s="762" customFormat="1" ht="15.75">
      <c r="A8" s="875">
        <v>4</v>
      </c>
      <c r="B8" s="3306" t="s">
        <v>856</v>
      </c>
      <c r="C8" s="3307"/>
      <c r="D8" s="3312">
        <v>4.0999999999999996</v>
      </c>
      <c r="E8" s="3313"/>
      <c r="F8" s="867"/>
      <c r="G8" s="867"/>
    </row>
    <row r="9" spans="1:57" s="762" customFormat="1" ht="15.75">
      <c r="A9" s="875">
        <v>5</v>
      </c>
      <c r="B9" s="3306" t="s">
        <v>857</v>
      </c>
      <c r="C9" s="3307"/>
      <c r="D9" s="3312">
        <v>2</v>
      </c>
      <c r="E9" s="3313"/>
      <c r="F9" s="867"/>
      <c r="G9" s="867"/>
    </row>
    <row r="10" spans="1:57" s="762" customFormat="1" ht="15.75">
      <c r="A10" s="875">
        <v>6</v>
      </c>
      <c r="B10" s="3306" t="s">
        <v>858</v>
      </c>
      <c r="C10" s="3307"/>
      <c r="D10" s="3312">
        <v>2.85</v>
      </c>
      <c r="E10" s="3313"/>
      <c r="F10" s="867"/>
      <c r="G10" s="867"/>
    </row>
    <row r="11" spans="1:57" s="762" customFormat="1" ht="16.5" thickBot="1">
      <c r="A11" s="876"/>
      <c r="B11" s="877"/>
      <c r="C11" s="874"/>
      <c r="D11" s="3318"/>
      <c r="E11" s="3319"/>
      <c r="F11" s="986"/>
      <c r="G11" s="986"/>
    </row>
    <row r="12" spans="1:57" s="762" customFormat="1" ht="15.75">
      <c r="B12" s="880" t="s">
        <v>859</v>
      </c>
      <c r="C12" s="880"/>
      <c r="D12" s="979"/>
      <c r="F12" s="880"/>
      <c r="G12" s="881"/>
      <c r="H12" s="882"/>
    </row>
    <row r="13" spans="1:57" s="829" customFormat="1">
      <c r="A13" s="829" t="s">
        <v>787</v>
      </c>
    </row>
    <row r="15" spans="1:57" s="762" customFormat="1" ht="20.25" customHeight="1">
      <c r="A15" s="3329"/>
      <c r="B15" s="3329"/>
      <c r="C15" s="3329"/>
      <c r="D15" s="3329"/>
      <c r="E15" s="3329"/>
      <c r="F15" s="3329"/>
      <c r="G15" s="3329"/>
      <c r="H15" s="3329"/>
    </row>
    <row r="16" spans="1:57" s="762" customFormat="1" ht="3.75" customHeight="1">
      <c r="A16" s="981"/>
      <c r="B16" s="981"/>
      <c r="C16" s="981"/>
      <c r="D16" s="981"/>
      <c r="E16" s="981"/>
      <c r="F16" s="883"/>
      <c r="G16" s="883"/>
      <c r="H16" s="883"/>
    </row>
    <row r="17" spans="1:16" s="762" customFormat="1" ht="26.25" customHeight="1">
      <c r="A17" s="3330"/>
      <c r="B17" s="3331"/>
      <c r="C17" s="3332"/>
      <c r="D17" s="3332"/>
      <c r="E17" s="3332"/>
      <c r="F17" s="3332"/>
      <c r="G17" s="3332"/>
      <c r="H17" s="3332"/>
    </row>
    <row r="18" spans="1:16" s="762" customFormat="1" ht="23.25" customHeight="1">
      <c r="A18" s="3331"/>
      <c r="B18" s="3331"/>
      <c r="C18" s="930"/>
      <c r="D18" s="930"/>
      <c r="E18" s="930"/>
      <c r="F18" s="930"/>
      <c r="G18" s="930"/>
      <c r="H18" s="930"/>
    </row>
    <row r="19" spans="1:16" s="762" customFormat="1" ht="21.75" customHeight="1">
      <c r="A19" s="982"/>
      <c r="B19" s="983"/>
      <c r="C19" s="888"/>
      <c r="D19" s="888"/>
      <c r="E19" s="891"/>
      <c r="F19" s="888"/>
      <c r="G19" s="888"/>
      <c r="H19" s="891"/>
    </row>
    <row r="20" spans="1:16" s="762" customFormat="1" ht="21.75" customHeight="1">
      <c r="A20" s="982"/>
      <c r="B20" s="983"/>
      <c r="C20" s="891"/>
      <c r="D20" s="891"/>
      <c r="E20" s="891"/>
      <c r="F20" s="891"/>
      <c r="G20" s="891"/>
      <c r="H20" s="891"/>
    </row>
    <row r="21" spans="1:16" s="762" customFormat="1" ht="21.75" customHeight="1">
      <c r="A21" s="982"/>
      <c r="B21" s="981"/>
      <c r="C21" s="984"/>
      <c r="D21" s="984"/>
      <c r="E21" s="984"/>
      <c r="F21" s="984"/>
      <c r="G21" s="984"/>
      <c r="H21" s="984"/>
    </row>
    <row r="22" spans="1:16" s="762" customFormat="1" ht="21.75" customHeight="1">
      <c r="A22" s="982"/>
      <c r="B22" s="983"/>
      <c r="C22" s="895"/>
      <c r="D22" s="895"/>
      <c r="E22" s="895"/>
      <c r="F22" s="895"/>
      <c r="G22" s="895"/>
      <c r="H22" s="895"/>
    </row>
    <row r="23" spans="1:16" s="762" customFormat="1" ht="21.75" customHeight="1">
      <c r="A23" s="982"/>
      <c r="B23" s="983"/>
      <c r="C23" s="895"/>
      <c r="D23" s="895"/>
      <c r="E23" s="895"/>
      <c r="F23" s="895"/>
      <c r="G23" s="895"/>
      <c r="H23" s="895"/>
    </row>
    <row r="24" spans="1:16" s="762" customFormat="1" ht="21.75" customHeight="1">
      <c r="A24" s="982"/>
      <c r="B24" s="983"/>
      <c r="C24" s="898"/>
      <c r="D24" s="898"/>
      <c r="E24" s="898"/>
      <c r="F24" s="898"/>
      <c r="G24" s="898"/>
      <c r="H24" s="898"/>
    </row>
    <row r="25" spans="1:16" s="762" customFormat="1" ht="8.25" customHeight="1">
      <c r="A25" s="883"/>
      <c r="B25" s="981"/>
      <c r="C25" s="985"/>
      <c r="D25" s="985"/>
      <c r="E25" s="985"/>
      <c r="F25" s="985"/>
      <c r="G25" s="985"/>
      <c r="H25" s="985"/>
    </row>
    <row r="26" spans="1:16" s="779" customFormat="1" ht="4.5" customHeight="1">
      <c r="A26" s="823"/>
      <c r="B26" s="823"/>
      <c r="C26" s="823"/>
      <c r="D26" s="823"/>
      <c r="E26" s="823"/>
      <c r="F26" s="823"/>
      <c r="G26" s="823"/>
      <c r="H26" s="823"/>
    </row>
    <row r="27" spans="1:16" s="906" customFormat="1" ht="12.75" customHeight="1">
      <c r="A27" s="3314"/>
      <c r="B27" s="3315"/>
      <c r="C27" s="3315"/>
      <c r="D27" s="3314"/>
      <c r="E27" s="3314"/>
      <c r="F27" s="3314"/>
      <c r="G27" s="3314"/>
      <c r="H27" s="3314"/>
    </row>
    <row r="28" spans="1:16" s="906" customFormat="1" ht="13.5" customHeight="1">
      <c r="A28" s="3315"/>
      <c r="B28" s="3315"/>
      <c r="C28" s="3315"/>
      <c r="D28" s="3315"/>
      <c r="E28" s="3315"/>
      <c r="F28" s="3315"/>
      <c r="G28" s="3315"/>
      <c r="H28" s="3315"/>
    </row>
    <row r="29" spans="1:16" s="906" customFormat="1" ht="13.5" customHeight="1">
      <c r="A29" s="3315"/>
      <c r="B29" s="3315"/>
      <c r="C29" s="3315"/>
      <c r="D29" s="3315"/>
      <c r="E29" s="3315"/>
      <c r="F29" s="3315"/>
      <c r="G29" s="3315"/>
      <c r="H29" s="3315"/>
    </row>
    <row r="30" spans="1:16" s="906" customFormat="1" ht="13.5" customHeight="1">
      <c r="A30" s="3315"/>
      <c r="B30" s="3315"/>
      <c r="C30" s="3315"/>
      <c r="D30" s="3315"/>
      <c r="E30" s="3315"/>
      <c r="F30" s="3315"/>
      <c r="G30" s="3315"/>
      <c r="H30" s="3315"/>
    </row>
    <row r="31" spans="1:16" s="280" customFormat="1">
      <c r="A31" s="816"/>
      <c r="B31" s="818"/>
      <c r="C31" s="778"/>
      <c r="D31" s="814"/>
      <c r="E31" s="814"/>
      <c r="F31" s="814"/>
      <c r="G31" s="814"/>
      <c r="H31" s="814"/>
      <c r="I31" s="814"/>
      <c r="J31" s="761"/>
      <c r="K31" s="761"/>
      <c r="L31" s="761"/>
      <c r="M31" s="817"/>
      <c r="N31" s="817"/>
      <c r="O31" s="762"/>
      <c r="P31" s="762"/>
    </row>
  </sheetData>
  <mergeCells count="28">
    <mergeCell ref="A30:C30"/>
    <mergeCell ref="D30:H30"/>
    <mergeCell ref="A27:C27"/>
    <mergeCell ref="D27:H27"/>
    <mergeCell ref="A28:C28"/>
    <mergeCell ref="D28:H28"/>
    <mergeCell ref="A29:C29"/>
    <mergeCell ref="D29:H29"/>
    <mergeCell ref="B10:C10"/>
    <mergeCell ref="D10:E10"/>
    <mergeCell ref="D11:E11"/>
    <mergeCell ref="A15:H15"/>
    <mergeCell ref="A17:B18"/>
    <mergeCell ref="C17:E17"/>
    <mergeCell ref="F17:H17"/>
    <mergeCell ref="B7:C7"/>
    <mergeCell ref="D7:E7"/>
    <mergeCell ref="B8:C8"/>
    <mergeCell ref="D8:E8"/>
    <mergeCell ref="B9:C9"/>
    <mergeCell ref="D9:E9"/>
    <mergeCell ref="B6:C6"/>
    <mergeCell ref="D6:E6"/>
    <mergeCell ref="A1:H1"/>
    <mergeCell ref="D3:E3"/>
    <mergeCell ref="D4:E4"/>
    <mergeCell ref="B5:C5"/>
    <mergeCell ref="D5:E5"/>
  </mergeCells>
  <printOptions horizontalCentered="1"/>
  <pageMargins left="0" right="0" top="0.74" bottom="0.2" header="0.26" footer="0"/>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
  <sheetViews>
    <sheetView workbookViewId="0">
      <pane xSplit="3" ySplit="6" topLeftCell="D10" activePane="bottomRight" state="frozen"/>
      <selection pane="topRight" activeCell="C1" sqref="C1"/>
      <selection pane="bottomLeft" activeCell="A7" sqref="A7"/>
      <selection pane="bottomRight" activeCell="F21" sqref="F21"/>
    </sheetView>
  </sheetViews>
  <sheetFormatPr defaultRowHeight="15"/>
  <cols>
    <col min="3" max="3" width="43.140625" customWidth="1"/>
    <col min="259" max="259" width="43.140625" customWidth="1"/>
    <col min="515" max="515" width="43.140625" customWidth="1"/>
    <col min="771" max="771" width="43.140625" customWidth="1"/>
    <col min="1027" max="1027" width="43.140625" customWidth="1"/>
    <col min="1283" max="1283" width="43.140625" customWidth="1"/>
    <col min="1539" max="1539" width="43.140625" customWidth="1"/>
    <col min="1795" max="1795" width="43.140625" customWidth="1"/>
    <col min="2051" max="2051" width="43.140625" customWidth="1"/>
    <col min="2307" max="2307" width="43.140625" customWidth="1"/>
    <col min="2563" max="2563" width="43.140625" customWidth="1"/>
    <col min="2819" max="2819" width="43.140625" customWidth="1"/>
    <col min="3075" max="3075" width="43.140625" customWidth="1"/>
    <col min="3331" max="3331" width="43.140625" customWidth="1"/>
    <col min="3587" max="3587" width="43.140625" customWidth="1"/>
    <col min="3843" max="3843" width="43.140625" customWidth="1"/>
    <col min="4099" max="4099" width="43.140625" customWidth="1"/>
    <col min="4355" max="4355" width="43.140625" customWidth="1"/>
    <col min="4611" max="4611" width="43.140625" customWidth="1"/>
    <col min="4867" max="4867" width="43.140625" customWidth="1"/>
    <col min="5123" max="5123" width="43.140625" customWidth="1"/>
    <col min="5379" max="5379" width="43.140625" customWidth="1"/>
    <col min="5635" max="5635" width="43.140625" customWidth="1"/>
    <col min="5891" max="5891" width="43.140625" customWidth="1"/>
    <col min="6147" max="6147" width="43.140625" customWidth="1"/>
    <col min="6403" max="6403" width="43.140625" customWidth="1"/>
    <col min="6659" max="6659" width="43.140625" customWidth="1"/>
    <col min="6915" max="6915" width="43.140625" customWidth="1"/>
    <col min="7171" max="7171" width="43.140625" customWidth="1"/>
    <col min="7427" max="7427" width="43.140625" customWidth="1"/>
    <col min="7683" max="7683" width="43.140625" customWidth="1"/>
    <col min="7939" max="7939" width="43.140625" customWidth="1"/>
    <col min="8195" max="8195" width="43.140625" customWidth="1"/>
    <col min="8451" max="8451" width="43.140625" customWidth="1"/>
    <col min="8707" max="8707" width="43.140625" customWidth="1"/>
    <col min="8963" max="8963" width="43.140625" customWidth="1"/>
    <col min="9219" max="9219" width="43.140625" customWidth="1"/>
    <col min="9475" max="9475" width="43.140625" customWidth="1"/>
    <col min="9731" max="9731" width="43.140625" customWidth="1"/>
    <col min="9987" max="9987" width="43.140625" customWidth="1"/>
    <col min="10243" max="10243" width="43.140625" customWidth="1"/>
    <col min="10499" max="10499" width="43.140625" customWidth="1"/>
    <col min="10755" max="10755" width="43.140625" customWidth="1"/>
    <col min="11011" max="11011" width="43.140625" customWidth="1"/>
    <col min="11267" max="11267" width="43.140625" customWidth="1"/>
    <col min="11523" max="11523" width="43.140625" customWidth="1"/>
    <col min="11779" max="11779" width="43.140625" customWidth="1"/>
    <col min="12035" max="12035" width="43.140625" customWidth="1"/>
    <col min="12291" max="12291" width="43.140625" customWidth="1"/>
    <col min="12547" max="12547" width="43.140625" customWidth="1"/>
    <col min="12803" max="12803" width="43.140625" customWidth="1"/>
    <col min="13059" max="13059" width="43.140625" customWidth="1"/>
    <col min="13315" max="13315" width="43.140625" customWidth="1"/>
    <col min="13571" max="13571" width="43.140625" customWidth="1"/>
    <col min="13827" max="13827" width="43.140625" customWidth="1"/>
    <col min="14083" max="14083" width="43.140625" customWidth="1"/>
    <col min="14339" max="14339" width="43.140625" customWidth="1"/>
    <col min="14595" max="14595" width="43.140625" customWidth="1"/>
    <col min="14851" max="14851" width="43.140625" customWidth="1"/>
    <col min="15107" max="15107" width="43.140625" customWidth="1"/>
    <col min="15363" max="15363" width="43.140625" customWidth="1"/>
    <col min="15619" max="15619" width="43.140625" customWidth="1"/>
    <col min="15875" max="15875" width="43.140625" customWidth="1"/>
    <col min="16131" max="16131" width="43.140625" customWidth="1"/>
  </cols>
  <sheetData>
    <row r="1" spans="2:17" s="988" customFormat="1" ht="18.75">
      <c r="B1" s="987" t="s">
        <v>860</v>
      </c>
      <c r="D1" s="989"/>
      <c r="E1" s="989"/>
      <c r="F1" s="989"/>
    </row>
    <row r="2" spans="2:17" s="990" customFormat="1" ht="16.5" thickBot="1">
      <c r="C2" s="991"/>
      <c r="D2" s="991"/>
      <c r="E2" s="991"/>
      <c r="F2" s="991"/>
    </row>
    <row r="3" spans="2:17" s="990" customFormat="1" ht="15.75">
      <c r="B3" s="3335" t="s">
        <v>861</v>
      </c>
      <c r="C3" s="3336"/>
      <c r="D3" s="992" t="s">
        <v>862</v>
      </c>
      <c r="E3" s="992" t="s">
        <v>1</v>
      </c>
      <c r="F3" s="993" t="s">
        <v>863</v>
      </c>
    </row>
    <row r="4" spans="2:17" s="990" customFormat="1" ht="16.5" thickBot="1">
      <c r="B4" s="3337"/>
      <c r="C4" s="3338"/>
      <c r="D4" s="994" t="s">
        <v>864</v>
      </c>
      <c r="E4" s="994" t="s">
        <v>865</v>
      </c>
      <c r="F4" s="995" t="s">
        <v>866</v>
      </c>
    </row>
    <row r="5" spans="2:17" s="990" customFormat="1" ht="16.5" hidden="1">
      <c r="B5" s="3339">
        <v>39412</v>
      </c>
      <c r="C5" s="3340"/>
      <c r="D5" s="996">
        <v>550</v>
      </c>
      <c r="E5" s="997">
        <v>14</v>
      </c>
      <c r="F5" s="998">
        <v>8</v>
      </c>
    </row>
    <row r="6" spans="2:17" s="990" customFormat="1" ht="15.75" hidden="1">
      <c r="B6" s="3341">
        <v>39499</v>
      </c>
      <c r="C6" s="3342"/>
      <c r="D6" s="999">
        <v>1000</v>
      </c>
      <c r="E6" s="1000">
        <v>14</v>
      </c>
      <c r="F6" s="1001">
        <v>7.75</v>
      </c>
    </row>
    <row r="7" spans="2:17" s="990" customFormat="1" ht="15.75">
      <c r="B7" s="3343">
        <v>39510</v>
      </c>
      <c r="C7" s="3344"/>
      <c r="D7" s="999">
        <v>2425</v>
      </c>
      <c r="E7" s="1000">
        <v>14</v>
      </c>
      <c r="F7" s="1001">
        <v>7.75</v>
      </c>
    </row>
    <row r="8" spans="2:17" s="990" customFormat="1" ht="15.75">
      <c r="B8" s="3341">
        <v>39524</v>
      </c>
      <c r="C8" s="3344"/>
      <c r="D8" s="999">
        <v>2500</v>
      </c>
      <c r="E8" s="1000">
        <v>14</v>
      </c>
      <c r="F8" s="1001">
        <v>7.75</v>
      </c>
    </row>
    <row r="9" spans="2:17" s="990" customFormat="1" ht="15.75">
      <c r="B9" s="3341">
        <v>39532</v>
      </c>
      <c r="C9" s="3344"/>
      <c r="D9" s="999">
        <v>2750</v>
      </c>
      <c r="E9" s="1000">
        <v>14</v>
      </c>
      <c r="F9" s="1001">
        <v>7.25</v>
      </c>
    </row>
    <row r="10" spans="2:17" s="990" customFormat="1" ht="15.75">
      <c r="B10" s="3343">
        <v>39546</v>
      </c>
      <c r="C10" s="3344"/>
      <c r="D10" s="999">
        <v>2000</v>
      </c>
      <c r="E10" s="1000">
        <v>21</v>
      </c>
      <c r="F10" s="1002">
        <v>7.5</v>
      </c>
    </row>
    <row r="11" spans="2:17" s="990" customFormat="1" ht="15.75">
      <c r="B11" s="3343">
        <v>40078</v>
      </c>
      <c r="C11" s="3345"/>
      <c r="D11" s="999">
        <v>1185</v>
      </c>
      <c r="E11" s="1000">
        <v>14</v>
      </c>
      <c r="F11" s="1002">
        <v>4.75</v>
      </c>
    </row>
    <row r="12" spans="2:17" s="990" customFormat="1" ht="15.75">
      <c r="B12" s="3341">
        <v>40168</v>
      </c>
      <c r="C12" s="3344"/>
      <c r="D12" s="999">
        <v>1300</v>
      </c>
      <c r="E12" s="1000">
        <v>7</v>
      </c>
      <c r="F12" s="1002">
        <v>4.75</v>
      </c>
    </row>
    <row r="13" spans="2:17" s="990" customFormat="1" ht="15.75">
      <c r="B13" s="3341">
        <v>40262</v>
      </c>
      <c r="C13" s="3344"/>
      <c r="D13" s="999">
        <v>3000</v>
      </c>
      <c r="E13" s="1000" t="s">
        <v>867</v>
      </c>
      <c r="F13" s="1002">
        <v>4.75</v>
      </c>
    </row>
    <row r="14" spans="2:17" s="990" customFormat="1" ht="15.75">
      <c r="B14" s="3341">
        <v>40283</v>
      </c>
      <c r="C14" s="3344"/>
      <c r="D14" s="999">
        <v>1700</v>
      </c>
      <c r="E14" s="1003">
        <v>21</v>
      </c>
      <c r="F14" s="1002">
        <v>4.75</v>
      </c>
    </row>
    <row r="15" spans="2:17" s="990" customFormat="1" ht="16.5" thickBot="1">
      <c r="B15" s="3333">
        <v>40346</v>
      </c>
      <c r="C15" s="3334"/>
      <c r="D15" s="1004">
        <v>2000</v>
      </c>
      <c r="E15" s="1005">
        <v>21</v>
      </c>
      <c r="F15" s="1006">
        <v>4.75</v>
      </c>
    </row>
    <row r="16" spans="2:17">
      <c r="B16" s="1007" t="s">
        <v>787</v>
      </c>
      <c r="C16" s="1008"/>
      <c r="D16" s="990"/>
      <c r="E16" s="1009"/>
      <c r="F16" s="1009"/>
      <c r="G16" s="1009"/>
      <c r="H16" s="1009"/>
      <c r="I16" s="1009"/>
      <c r="J16" s="1009"/>
      <c r="K16" s="1008"/>
      <c r="L16" s="1008"/>
      <c r="M16" s="1008"/>
      <c r="N16" s="1010"/>
      <c r="O16" s="1010"/>
      <c r="P16" s="1011"/>
      <c r="Q16" s="1011"/>
    </row>
    <row r="17" spans="2:17" s="990" customFormat="1"/>
    <row r="18" spans="2:17" ht="18.75">
      <c r="B18" s="1012" t="s">
        <v>868</v>
      </c>
      <c r="C18" s="1013"/>
      <c r="D18" s="1014"/>
      <c r="E18" s="1015"/>
      <c r="F18" s="1015"/>
      <c r="G18" s="1015"/>
      <c r="H18" s="1015"/>
      <c r="I18" s="1015"/>
      <c r="J18" s="1016"/>
      <c r="K18" s="1010"/>
      <c r="L18" s="1008"/>
      <c r="M18" s="1008"/>
      <c r="N18" s="1010"/>
      <c r="O18" s="1010"/>
      <c r="P18" s="1011"/>
      <c r="Q18" s="1011"/>
    </row>
    <row r="19" spans="2:17" ht="19.5" thickBot="1">
      <c r="B19" s="1012"/>
      <c r="C19" s="1013"/>
      <c r="D19" s="1017"/>
      <c r="E19" s="1017"/>
      <c r="F19" s="990"/>
      <c r="G19" s="990"/>
      <c r="H19" s="990"/>
      <c r="I19" s="990"/>
      <c r="J19" s="990"/>
      <c r="K19" s="1018"/>
      <c r="L19" s="1019"/>
      <c r="M19" s="1011"/>
      <c r="N19" s="1011"/>
      <c r="O19" s="1010"/>
      <c r="P19" s="1011"/>
      <c r="Q19" s="1011"/>
    </row>
    <row r="20" spans="2:17">
      <c r="B20" s="1020"/>
      <c r="C20" s="1021"/>
      <c r="D20" s="3353" t="s">
        <v>869</v>
      </c>
      <c r="E20" s="3354"/>
      <c r="F20" s="1022"/>
      <c r="G20" s="1022"/>
      <c r="H20" s="3346"/>
      <c r="I20" s="3346"/>
      <c r="J20" s="1023"/>
      <c r="K20" s="1023"/>
      <c r="L20" s="990"/>
      <c r="M20" s="1010"/>
      <c r="N20" s="1010"/>
      <c r="O20" s="1011"/>
      <c r="P20" s="1011"/>
      <c r="Q20" s="1011"/>
    </row>
    <row r="21" spans="2:17" ht="15.75" thickBot="1">
      <c r="B21" s="1024"/>
      <c r="C21" s="1025"/>
      <c r="D21" s="3347">
        <v>40310</v>
      </c>
      <c r="E21" s="3348"/>
      <c r="F21" s="1026"/>
      <c r="G21" s="1026"/>
      <c r="H21" s="1027"/>
      <c r="I21" s="1027"/>
      <c r="J21" s="1023"/>
      <c r="K21" s="1023"/>
      <c r="L21" s="990"/>
      <c r="M21" s="1028"/>
      <c r="N21" s="1028"/>
      <c r="O21" s="1028"/>
      <c r="P21" s="1028"/>
      <c r="Q21" s="1011"/>
    </row>
    <row r="22" spans="2:17">
      <c r="B22" s="1029"/>
      <c r="C22" s="1030"/>
      <c r="D22" s="1031" t="s">
        <v>148</v>
      </c>
      <c r="E22" s="1032"/>
      <c r="F22" s="1033"/>
      <c r="G22" s="1023"/>
      <c r="H22" s="1023"/>
      <c r="I22" s="1033"/>
      <c r="J22" s="1023"/>
      <c r="K22" s="1023"/>
      <c r="L22" s="990"/>
      <c r="M22" s="1010"/>
      <c r="N22" s="1010"/>
      <c r="O22" s="1011"/>
      <c r="P22" s="1011"/>
      <c r="Q22" s="1011"/>
    </row>
    <row r="23" spans="2:17" s="1042" customFormat="1">
      <c r="B23" s="1034">
        <v>1</v>
      </c>
      <c r="C23" s="1035" t="s">
        <v>870</v>
      </c>
      <c r="D23" s="3349">
        <v>28</v>
      </c>
      <c r="E23" s="3350"/>
      <c r="F23" s="1036"/>
      <c r="G23" s="1036"/>
      <c r="H23" s="1036"/>
      <c r="I23" s="1036"/>
      <c r="J23" s="1037"/>
      <c r="K23" s="1037"/>
      <c r="L23" s="1038"/>
      <c r="M23" s="1039"/>
      <c r="N23" s="1039"/>
      <c r="O23" s="1040"/>
      <c r="P23" s="1040"/>
      <c r="Q23" s="1041"/>
    </row>
    <row r="24" spans="2:17" s="1042" customFormat="1">
      <c r="B24" s="1034">
        <v>2</v>
      </c>
      <c r="C24" s="1035" t="s">
        <v>871</v>
      </c>
      <c r="D24" s="3349" t="s">
        <v>872</v>
      </c>
      <c r="E24" s="3350"/>
      <c r="F24" s="1036"/>
      <c r="G24" s="1036"/>
      <c r="H24" s="1036"/>
      <c r="I24" s="1036"/>
      <c r="J24" s="1037"/>
      <c r="K24" s="1037"/>
      <c r="L24" s="1038"/>
      <c r="M24" s="1039"/>
      <c r="N24" s="1039"/>
      <c r="O24" s="1040"/>
      <c r="P24" s="1040"/>
      <c r="Q24" s="1041"/>
    </row>
    <row r="25" spans="2:17" s="1042" customFormat="1">
      <c r="B25" s="1034">
        <v>3</v>
      </c>
      <c r="C25" s="1035" t="s">
        <v>873</v>
      </c>
      <c r="D25" s="3349">
        <v>2920</v>
      </c>
      <c r="E25" s="3350"/>
      <c r="F25" s="1036"/>
      <c r="G25" s="1036"/>
      <c r="H25" s="1036"/>
      <c r="I25" s="1036"/>
      <c r="J25" s="1037"/>
      <c r="K25" s="1037"/>
      <c r="L25" s="1038"/>
      <c r="M25" s="1039"/>
      <c r="N25" s="1043"/>
      <c r="O25" s="1044"/>
      <c r="P25" s="1040"/>
      <c r="Q25" s="1041"/>
    </row>
    <row r="26" spans="2:17" s="1042" customFormat="1">
      <c r="B26" s="1034">
        <v>4</v>
      </c>
      <c r="C26" s="1035" t="s">
        <v>874</v>
      </c>
      <c r="D26" s="3349" t="s">
        <v>875</v>
      </c>
      <c r="E26" s="3350"/>
      <c r="F26" s="1036"/>
      <c r="G26" s="1036"/>
      <c r="H26" s="1036"/>
      <c r="I26" s="1036"/>
      <c r="J26" s="1037"/>
      <c r="K26" s="1037"/>
      <c r="L26" s="1038"/>
      <c r="M26" s="1039"/>
      <c r="N26" s="1043"/>
      <c r="O26" s="1044"/>
      <c r="P26" s="1040"/>
      <c r="Q26" s="1041"/>
    </row>
    <row r="27" spans="2:17" s="1042" customFormat="1">
      <c r="B27" s="1034">
        <v>5</v>
      </c>
      <c r="C27" s="1045" t="s">
        <v>876</v>
      </c>
      <c r="D27" s="3349">
        <v>700</v>
      </c>
      <c r="E27" s="3350"/>
      <c r="F27" s="1036"/>
      <c r="G27" s="1036"/>
      <c r="H27" s="1036"/>
      <c r="I27" s="1036"/>
      <c r="J27" s="1037"/>
      <c r="K27" s="1037"/>
      <c r="L27" s="1041"/>
      <c r="M27" s="1039"/>
      <c r="N27" s="1043"/>
      <c r="O27" s="1044"/>
      <c r="P27" s="1040"/>
      <c r="Q27" s="1041"/>
    </row>
    <row r="28" spans="2:17" s="1042" customFormat="1">
      <c r="B28" s="1034">
        <v>6</v>
      </c>
      <c r="C28" s="1035" t="s">
        <v>877</v>
      </c>
      <c r="D28" s="3351">
        <v>4.0999999999999996</v>
      </c>
      <c r="E28" s="3352"/>
      <c r="F28" s="1036"/>
      <c r="G28" s="1036"/>
      <c r="H28" s="1026"/>
      <c r="I28" s="1036"/>
      <c r="J28" s="1037"/>
      <c r="K28" s="1037"/>
      <c r="L28" s="1038"/>
      <c r="M28" s="1039"/>
      <c r="N28" s="1039"/>
      <c r="O28" s="1040"/>
      <c r="P28" s="1040"/>
      <c r="Q28" s="1041"/>
    </row>
    <row r="29" spans="2:17" s="1042" customFormat="1">
      <c r="B29" s="1034">
        <v>7</v>
      </c>
      <c r="C29" s="1035" t="s">
        <v>878</v>
      </c>
      <c r="D29" s="3351">
        <v>4.0599999999999996</v>
      </c>
      <c r="E29" s="3352"/>
      <c r="F29" s="1036"/>
      <c r="G29" s="1046"/>
      <c r="H29" s="1046"/>
      <c r="I29" s="1046"/>
      <c r="J29" s="1047"/>
      <c r="K29" s="1037"/>
      <c r="L29" s="1038"/>
      <c r="M29" s="1039"/>
      <c r="N29" s="1038"/>
      <c r="O29" s="1038"/>
      <c r="P29" s="1038"/>
      <c r="Q29" s="1041"/>
    </row>
    <row r="30" spans="2:17" ht="15.75" thickBot="1">
      <c r="B30" s="1048"/>
      <c r="C30" s="1049"/>
      <c r="D30" s="1050"/>
      <c r="E30" s="1051"/>
      <c r="F30" s="1033"/>
      <c r="G30" s="1052"/>
      <c r="H30" s="1052"/>
      <c r="I30" s="1033"/>
      <c r="J30" s="1052"/>
      <c r="K30" s="1052"/>
      <c r="L30" s="990"/>
      <c r="M30" s="1053"/>
      <c r="N30" s="1053"/>
      <c r="O30" s="1054"/>
      <c r="P30" s="1054"/>
      <c r="Q30" s="1011"/>
    </row>
    <row r="31" spans="2:17" hidden="1">
      <c r="B31" s="1055"/>
      <c r="C31" s="1056"/>
      <c r="D31" s="990"/>
      <c r="E31" s="1009"/>
      <c r="F31" s="1009"/>
      <c r="G31" s="1009"/>
      <c r="H31" s="1009"/>
      <c r="I31" s="1009"/>
      <c r="J31" s="1009"/>
      <c r="K31" s="1008"/>
      <c r="L31" s="1008"/>
      <c r="M31" s="1008"/>
      <c r="N31" s="1010"/>
      <c r="O31" s="1010"/>
      <c r="P31" s="1011"/>
      <c r="Q31" s="1011"/>
    </row>
    <row r="32" spans="2:17">
      <c r="B32" s="1007" t="s">
        <v>787</v>
      </c>
      <c r="C32" s="1008"/>
      <c r="D32" s="990"/>
      <c r="E32" s="1009"/>
      <c r="F32" s="1009"/>
      <c r="G32" s="1009"/>
      <c r="H32" s="1009"/>
      <c r="I32" s="1009"/>
      <c r="J32" s="1009"/>
      <c r="K32" s="1008"/>
      <c r="L32" s="1008"/>
      <c r="M32" s="1008"/>
      <c r="N32" s="1010"/>
      <c r="O32" s="1010"/>
      <c r="P32" s="1011"/>
      <c r="Q32" s="1011"/>
    </row>
  </sheetData>
  <mergeCells count="22">
    <mergeCell ref="D26:E26"/>
    <mergeCell ref="D27:E27"/>
    <mergeCell ref="D28:E28"/>
    <mergeCell ref="D29:E29"/>
    <mergeCell ref="D20:E20"/>
    <mergeCell ref="H20:I20"/>
    <mergeCell ref="D21:E21"/>
    <mergeCell ref="D23:E23"/>
    <mergeCell ref="D24:E24"/>
    <mergeCell ref="D25:E25"/>
    <mergeCell ref="B15:C15"/>
    <mergeCell ref="B3:C4"/>
    <mergeCell ref="B5:C5"/>
    <mergeCell ref="B6:C6"/>
    <mergeCell ref="B7:C7"/>
    <mergeCell ref="B8:C8"/>
    <mergeCell ref="B9:C9"/>
    <mergeCell ref="B10:C10"/>
    <mergeCell ref="B11:C11"/>
    <mergeCell ref="B12:C12"/>
    <mergeCell ref="B13:C13"/>
    <mergeCell ref="B14:C14"/>
  </mergeCells>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workbookViewId="0">
      <selection activeCell="I6" sqref="I6"/>
    </sheetView>
  </sheetViews>
  <sheetFormatPr defaultColWidth="5.140625" defaultRowHeight="15"/>
  <cols>
    <col min="1" max="1" width="3.28515625" customWidth="1"/>
    <col min="2" max="2" width="33.85546875" customWidth="1"/>
    <col min="3" max="5" width="8.7109375" customWidth="1"/>
    <col min="6" max="6" width="16.28515625" customWidth="1"/>
    <col min="7" max="9" width="8.7109375" customWidth="1"/>
    <col min="10" max="10" width="8.5703125" customWidth="1"/>
    <col min="11" max="12" width="8.7109375" customWidth="1"/>
    <col min="257" max="257" width="3.28515625" customWidth="1"/>
    <col min="258" max="258" width="33.85546875" customWidth="1"/>
    <col min="259" max="261" width="8.7109375" customWidth="1"/>
    <col min="262" max="262" width="16.28515625" customWidth="1"/>
    <col min="263" max="265" width="8.7109375" customWidth="1"/>
    <col min="266" max="266" width="8.5703125" customWidth="1"/>
    <col min="267" max="268" width="8.7109375" customWidth="1"/>
    <col min="513" max="513" width="3.28515625" customWidth="1"/>
    <col min="514" max="514" width="33.85546875" customWidth="1"/>
    <col min="515" max="517" width="8.7109375" customWidth="1"/>
    <col min="518" max="518" width="16.28515625" customWidth="1"/>
    <col min="519" max="521" width="8.7109375" customWidth="1"/>
    <col min="522" max="522" width="8.5703125" customWidth="1"/>
    <col min="523" max="524" width="8.7109375" customWidth="1"/>
    <col min="769" max="769" width="3.28515625" customWidth="1"/>
    <col min="770" max="770" width="33.85546875" customWidth="1"/>
    <col min="771" max="773" width="8.7109375" customWidth="1"/>
    <col min="774" max="774" width="16.28515625" customWidth="1"/>
    <col min="775" max="777" width="8.7109375" customWidth="1"/>
    <col min="778" max="778" width="8.5703125" customWidth="1"/>
    <col min="779" max="780" width="8.7109375" customWidth="1"/>
    <col min="1025" max="1025" width="3.28515625" customWidth="1"/>
    <col min="1026" max="1026" width="33.85546875" customWidth="1"/>
    <col min="1027" max="1029" width="8.7109375" customWidth="1"/>
    <col min="1030" max="1030" width="16.28515625" customWidth="1"/>
    <col min="1031" max="1033" width="8.7109375" customWidth="1"/>
    <col min="1034" max="1034" width="8.5703125" customWidth="1"/>
    <col min="1035" max="1036" width="8.7109375" customWidth="1"/>
    <col min="1281" max="1281" width="3.28515625" customWidth="1"/>
    <col min="1282" max="1282" width="33.85546875" customWidth="1"/>
    <col min="1283" max="1285" width="8.7109375" customWidth="1"/>
    <col min="1286" max="1286" width="16.28515625" customWidth="1"/>
    <col min="1287" max="1289" width="8.7109375" customWidth="1"/>
    <col min="1290" max="1290" width="8.5703125" customWidth="1"/>
    <col min="1291" max="1292" width="8.7109375" customWidth="1"/>
    <col min="1537" max="1537" width="3.28515625" customWidth="1"/>
    <col min="1538" max="1538" width="33.85546875" customWidth="1"/>
    <col min="1539" max="1541" width="8.7109375" customWidth="1"/>
    <col min="1542" max="1542" width="16.28515625" customWidth="1"/>
    <col min="1543" max="1545" width="8.7109375" customWidth="1"/>
    <col min="1546" max="1546" width="8.5703125" customWidth="1"/>
    <col min="1547" max="1548" width="8.7109375" customWidth="1"/>
    <col min="1793" max="1793" width="3.28515625" customWidth="1"/>
    <col min="1794" max="1794" width="33.85546875" customWidth="1"/>
    <col min="1795" max="1797" width="8.7109375" customWidth="1"/>
    <col min="1798" max="1798" width="16.28515625" customWidth="1"/>
    <col min="1799" max="1801" width="8.7109375" customWidth="1"/>
    <col min="1802" max="1802" width="8.5703125" customWidth="1"/>
    <col min="1803" max="1804" width="8.7109375" customWidth="1"/>
    <col min="2049" max="2049" width="3.28515625" customWidth="1"/>
    <col min="2050" max="2050" width="33.85546875" customWidth="1"/>
    <col min="2051" max="2053" width="8.7109375" customWidth="1"/>
    <col min="2054" max="2054" width="16.28515625" customWidth="1"/>
    <col min="2055" max="2057" width="8.7109375" customWidth="1"/>
    <col min="2058" max="2058" width="8.5703125" customWidth="1"/>
    <col min="2059" max="2060" width="8.7109375" customWidth="1"/>
    <col min="2305" max="2305" width="3.28515625" customWidth="1"/>
    <col min="2306" max="2306" width="33.85546875" customWidth="1"/>
    <col min="2307" max="2309" width="8.7109375" customWidth="1"/>
    <col min="2310" max="2310" width="16.28515625" customWidth="1"/>
    <col min="2311" max="2313" width="8.7109375" customWidth="1"/>
    <col min="2314" max="2314" width="8.5703125" customWidth="1"/>
    <col min="2315" max="2316" width="8.7109375" customWidth="1"/>
    <col min="2561" max="2561" width="3.28515625" customWidth="1"/>
    <col min="2562" max="2562" width="33.85546875" customWidth="1"/>
    <col min="2563" max="2565" width="8.7109375" customWidth="1"/>
    <col min="2566" max="2566" width="16.28515625" customWidth="1"/>
    <col min="2567" max="2569" width="8.7109375" customWidth="1"/>
    <col min="2570" max="2570" width="8.5703125" customWidth="1"/>
    <col min="2571" max="2572" width="8.7109375" customWidth="1"/>
    <col min="2817" max="2817" width="3.28515625" customWidth="1"/>
    <col min="2818" max="2818" width="33.85546875" customWidth="1"/>
    <col min="2819" max="2821" width="8.7109375" customWidth="1"/>
    <col min="2822" max="2822" width="16.28515625" customWidth="1"/>
    <col min="2823" max="2825" width="8.7109375" customWidth="1"/>
    <col min="2826" max="2826" width="8.5703125" customWidth="1"/>
    <col min="2827" max="2828" width="8.7109375" customWidth="1"/>
    <col min="3073" max="3073" width="3.28515625" customWidth="1"/>
    <col min="3074" max="3074" width="33.85546875" customWidth="1"/>
    <col min="3075" max="3077" width="8.7109375" customWidth="1"/>
    <col min="3078" max="3078" width="16.28515625" customWidth="1"/>
    <col min="3079" max="3081" width="8.7109375" customWidth="1"/>
    <col min="3082" max="3082" width="8.5703125" customWidth="1"/>
    <col min="3083" max="3084" width="8.7109375" customWidth="1"/>
    <col min="3329" max="3329" width="3.28515625" customWidth="1"/>
    <col min="3330" max="3330" width="33.85546875" customWidth="1"/>
    <col min="3331" max="3333" width="8.7109375" customWidth="1"/>
    <col min="3334" max="3334" width="16.28515625" customWidth="1"/>
    <col min="3335" max="3337" width="8.7109375" customWidth="1"/>
    <col min="3338" max="3338" width="8.5703125" customWidth="1"/>
    <col min="3339" max="3340" width="8.7109375" customWidth="1"/>
    <col min="3585" max="3585" width="3.28515625" customWidth="1"/>
    <col min="3586" max="3586" width="33.85546875" customWidth="1"/>
    <col min="3587" max="3589" width="8.7109375" customWidth="1"/>
    <col min="3590" max="3590" width="16.28515625" customWidth="1"/>
    <col min="3591" max="3593" width="8.7109375" customWidth="1"/>
    <col min="3594" max="3594" width="8.5703125" customWidth="1"/>
    <col min="3595" max="3596" width="8.7109375" customWidth="1"/>
    <col min="3841" max="3841" width="3.28515625" customWidth="1"/>
    <col min="3842" max="3842" width="33.85546875" customWidth="1"/>
    <col min="3843" max="3845" width="8.7109375" customWidth="1"/>
    <col min="3846" max="3846" width="16.28515625" customWidth="1"/>
    <col min="3847" max="3849" width="8.7109375" customWidth="1"/>
    <col min="3850" max="3850" width="8.5703125" customWidth="1"/>
    <col min="3851" max="3852" width="8.7109375" customWidth="1"/>
    <col min="4097" max="4097" width="3.28515625" customWidth="1"/>
    <col min="4098" max="4098" width="33.85546875" customWidth="1"/>
    <col min="4099" max="4101" width="8.7109375" customWidth="1"/>
    <col min="4102" max="4102" width="16.28515625" customWidth="1"/>
    <col min="4103" max="4105" width="8.7109375" customWidth="1"/>
    <col min="4106" max="4106" width="8.5703125" customWidth="1"/>
    <col min="4107" max="4108" width="8.7109375" customWidth="1"/>
    <col min="4353" max="4353" width="3.28515625" customWidth="1"/>
    <col min="4354" max="4354" width="33.85546875" customWidth="1"/>
    <col min="4355" max="4357" width="8.7109375" customWidth="1"/>
    <col min="4358" max="4358" width="16.28515625" customWidth="1"/>
    <col min="4359" max="4361" width="8.7109375" customWidth="1"/>
    <col min="4362" max="4362" width="8.5703125" customWidth="1"/>
    <col min="4363" max="4364" width="8.7109375" customWidth="1"/>
    <col min="4609" max="4609" width="3.28515625" customWidth="1"/>
    <col min="4610" max="4610" width="33.85546875" customWidth="1"/>
    <col min="4611" max="4613" width="8.7109375" customWidth="1"/>
    <col min="4614" max="4614" width="16.28515625" customWidth="1"/>
    <col min="4615" max="4617" width="8.7109375" customWidth="1"/>
    <col min="4618" max="4618" width="8.5703125" customWidth="1"/>
    <col min="4619" max="4620" width="8.7109375" customWidth="1"/>
    <col min="4865" max="4865" width="3.28515625" customWidth="1"/>
    <col min="4866" max="4866" width="33.85546875" customWidth="1"/>
    <col min="4867" max="4869" width="8.7109375" customWidth="1"/>
    <col min="4870" max="4870" width="16.28515625" customWidth="1"/>
    <col min="4871" max="4873" width="8.7109375" customWidth="1"/>
    <col min="4874" max="4874" width="8.5703125" customWidth="1"/>
    <col min="4875" max="4876" width="8.7109375" customWidth="1"/>
    <col min="5121" max="5121" width="3.28515625" customWidth="1"/>
    <col min="5122" max="5122" width="33.85546875" customWidth="1"/>
    <col min="5123" max="5125" width="8.7109375" customWidth="1"/>
    <col min="5126" max="5126" width="16.28515625" customWidth="1"/>
    <col min="5127" max="5129" width="8.7109375" customWidth="1"/>
    <col min="5130" max="5130" width="8.5703125" customWidth="1"/>
    <col min="5131" max="5132" width="8.7109375" customWidth="1"/>
    <col min="5377" max="5377" width="3.28515625" customWidth="1"/>
    <col min="5378" max="5378" width="33.85546875" customWidth="1"/>
    <col min="5379" max="5381" width="8.7109375" customWidth="1"/>
    <col min="5382" max="5382" width="16.28515625" customWidth="1"/>
    <col min="5383" max="5385" width="8.7109375" customWidth="1"/>
    <col min="5386" max="5386" width="8.5703125" customWidth="1"/>
    <col min="5387" max="5388" width="8.7109375" customWidth="1"/>
    <col min="5633" max="5633" width="3.28515625" customWidth="1"/>
    <col min="5634" max="5634" width="33.85546875" customWidth="1"/>
    <col min="5635" max="5637" width="8.7109375" customWidth="1"/>
    <col min="5638" max="5638" width="16.28515625" customWidth="1"/>
    <col min="5639" max="5641" width="8.7109375" customWidth="1"/>
    <col min="5642" max="5642" width="8.5703125" customWidth="1"/>
    <col min="5643" max="5644" width="8.7109375" customWidth="1"/>
    <col min="5889" max="5889" width="3.28515625" customWidth="1"/>
    <col min="5890" max="5890" width="33.85546875" customWidth="1"/>
    <col min="5891" max="5893" width="8.7109375" customWidth="1"/>
    <col min="5894" max="5894" width="16.28515625" customWidth="1"/>
    <col min="5895" max="5897" width="8.7109375" customWidth="1"/>
    <col min="5898" max="5898" width="8.5703125" customWidth="1"/>
    <col min="5899" max="5900" width="8.7109375" customWidth="1"/>
    <col min="6145" max="6145" width="3.28515625" customWidth="1"/>
    <col min="6146" max="6146" width="33.85546875" customWidth="1"/>
    <col min="6147" max="6149" width="8.7109375" customWidth="1"/>
    <col min="6150" max="6150" width="16.28515625" customWidth="1"/>
    <col min="6151" max="6153" width="8.7109375" customWidth="1"/>
    <col min="6154" max="6154" width="8.5703125" customWidth="1"/>
    <col min="6155" max="6156" width="8.7109375" customWidth="1"/>
    <col min="6401" max="6401" width="3.28515625" customWidth="1"/>
    <col min="6402" max="6402" width="33.85546875" customWidth="1"/>
    <col min="6403" max="6405" width="8.7109375" customWidth="1"/>
    <col min="6406" max="6406" width="16.28515625" customWidth="1"/>
    <col min="6407" max="6409" width="8.7109375" customWidth="1"/>
    <col min="6410" max="6410" width="8.5703125" customWidth="1"/>
    <col min="6411" max="6412" width="8.7109375" customWidth="1"/>
    <col min="6657" max="6657" width="3.28515625" customWidth="1"/>
    <col min="6658" max="6658" width="33.85546875" customWidth="1"/>
    <col min="6659" max="6661" width="8.7109375" customWidth="1"/>
    <col min="6662" max="6662" width="16.28515625" customWidth="1"/>
    <col min="6663" max="6665" width="8.7109375" customWidth="1"/>
    <col min="6666" max="6666" width="8.5703125" customWidth="1"/>
    <col min="6667" max="6668" width="8.7109375" customWidth="1"/>
    <col min="6913" max="6913" width="3.28515625" customWidth="1"/>
    <col min="6914" max="6914" width="33.85546875" customWidth="1"/>
    <col min="6915" max="6917" width="8.7109375" customWidth="1"/>
    <col min="6918" max="6918" width="16.28515625" customWidth="1"/>
    <col min="6919" max="6921" width="8.7109375" customWidth="1"/>
    <col min="6922" max="6922" width="8.5703125" customWidth="1"/>
    <col min="6923" max="6924" width="8.7109375" customWidth="1"/>
    <col min="7169" max="7169" width="3.28515625" customWidth="1"/>
    <col min="7170" max="7170" width="33.85546875" customWidth="1"/>
    <col min="7171" max="7173" width="8.7109375" customWidth="1"/>
    <col min="7174" max="7174" width="16.28515625" customWidth="1"/>
    <col min="7175" max="7177" width="8.7109375" customWidth="1"/>
    <col min="7178" max="7178" width="8.5703125" customWidth="1"/>
    <col min="7179" max="7180" width="8.7109375" customWidth="1"/>
    <col min="7425" max="7425" width="3.28515625" customWidth="1"/>
    <col min="7426" max="7426" width="33.85546875" customWidth="1"/>
    <col min="7427" max="7429" width="8.7109375" customWidth="1"/>
    <col min="7430" max="7430" width="16.28515625" customWidth="1"/>
    <col min="7431" max="7433" width="8.7109375" customWidth="1"/>
    <col min="7434" max="7434" width="8.5703125" customWidth="1"/>
    <col min="7435" max="7436" width="8.7109375" customWidth="1"/>
    <col min="7681" max="7681" width="3.28515625" customWidth="1"/>
    <col min="7682" max="7682" width="33.85546875" customWidth="1"/>
    <col min="7683" max="7685" width="8.7109375" customWidth="1"/>
    <col min="7686" max="7686" width="16.28515625" customWidth="1"/>
    <col min="7687" max="7689" width="8.7109375" customWidth="1"/>
    <col min="7690" max="7690" width="8.5703125" customWidth="1"/>
    <col min="7691" max="7692" width="8.7109375" customWidth="1"/>
    <col min="7937" max="7937" width="3.28515625" customWidth="1"/>
    <col min="7938" max="7938" width="33.85546875" customWidth="1"/>
    <col min="7939" max="7941" width="8.7109375" customWidth="1"/>
    <col min="7942" max="7942" width="16.28515625" customWidth="1"/>
    <col min="7943" max="7945" width="8.7109375" customWidth="1"/>
    <col min="7946" max="7946" width="8.5703125" customWidth="1"/>
    <col min="7947" max="7948" width="8.7109375" customWidth="1"/>
    <col min="8193" max="8193" width="3.28515625" customWidth="1"/>
    <col min="8194" max="8194" width="33.85546875" customWidth="1"/>
    <col min="8195" max="8197" width="8.7109375" customWidth="1"/>
    <col min="8198" max="8198" width="16.28515625" customWidth="1"/>
    <col min="8199" max="8201" width="8.7109375" customWidth="1"/>
    <col min="8202" max="8202" width="8.5703125" customWidth="1"/>
    <col min="8203" max="8204" width="8.7109375" customWidth="1"/>
    <col min="8449" max="8449" width="3.28515625" customWidth="1"/>
    <col min="8450" max="8450" width="33.85546875" customWidth="1"/>
    <col min="8451" max="8453" width="8.7109375" customWidth="1"/>
    <col min="8454" max="8454" width="16.28515625" customWidth="1"/>
    <col min="8455" max="8457" width="8.7109375" customWidth="1"/>
    <col min="8458" max="8458" width="8.5703125" customWidth="1"/>
    <col min="8459" max="8460" width="8.7109375" customWidth="1"/>
    <col min="8705" max="8705" width="3.28515625" customWidth="1"/>
    <col min="8706" max="8706" width="33.85546875" customWidth="1"/>
    <col min="8707" max="8709" width="8.7109375" customWidth="1"/>
    <col min="8710" max="8710" width="16.28515625" customWidth="1"/>
    <col min="8711" max="8713" width="8.7109375" customWidth="1"/>
    <col min="8714" max="8714" width="8.5703125" customWidth="1"/>
    <col min="8715" max="8716" width="8.7109375" customWidth="1"/>
    <col min="8961" max="8961" width="3.28515625" customWidth="1"/>
    <col min="8962" max="8962" width="33.85546875" customWidth="1"/>
    <col min="8963" max="8965" width="8.7109375" customWidth="1"/>
    <col min="8966" max="8966" width="16.28515625" customWidth="1"/>
    <col min="8967" max="8969" width="8.7109375" customWidth="1"/>
    <col min="8970" max="8970" width="8.5703125" customWidth="1"/>
    <col min="8971" max="8972" width="8.7109375" customWidth="1"/>
    <col min="9217" max="9217" width="3.28515625" customWidth="1"/>
    <col min="9218" max="9218" width="33.85546875" customWidth="1"/>
    <col min="9219" max="9221" width="8.7109375" customWidth="1"/>
    <col min="9222" max="9222" width="16.28515625" customWidth="1"/>
    <col min="9223" max="9225" width="8.7109375" customWidth="1"/>
    <col min="9226" max="9226" width="8.5703125" customWidth="1"/>
    <col min="9227" max="9228" width="8.7109375" customWidth="1"/>
    <col min="9473" max="9473" width="3.28515625" customWidth="1"/>
    <col min="9474" max="9474" width="33.85546875" customWidth="1"/>
    <col min="9475" max="9477" width="8.7109375" customWidth="1"/>
    <col min="9478" max="9478" width="16.28515625" customWidth="1"/>
    <col min="9479" max="9481" width="8.7109375" customWidth="1"/>
    <col min="9482" max="9482" width="8.5703125" customWidth="1"/>
    <col min="9483" max="9484" width="8.7109375" customWidth="1"/>
    <col min="9729" max="9729" width="3.28515625" customWidth="1"/>
    <col min="9730" max="9730" width="33.85546875" customWidth="1"/>
    <col min="9731" max="9733" width="8.7109375" customWidth="1"/>
    <col min="9734" max="9734" width="16.28515625" customWidth="1"/>
    <col min="9735" max="9737" width="8.7109375" customWidth="1"/>
    <col min="9738" max="9738" width="8.5703125" customWidth="1"/>
    <col min="9739" max="9740" width="8.7109375" customWidth="1"/>
    <col min="9985" max="9985" width="3.28515625" customWidth="1"/>
    <col min="9986" max="9986" width="33.85546875" customWidth="1"/>
    <col min="9987" max="9989" width="8.7109375" customWidth="1"/>
    <col min="9990" max="9990" width="16.28515625" customWidth="1"/>
    <col min="9991" max="9993" width="8.7109375" customWidth="1"/>
    <col min="9994" max="9994" width="8.5703125" customWidth="1"/>
    <col min="9995" max="9996" width="8.7109375" customWidth="1"/>
    <col min="10241" max="10241" width="3.28515625" customWidth="1"/>
    <col min="10242" max="10242" width="33.85546875" customWidth="1"/>
    <col min="10243" max="10245" width="8.7109375" customWidth="1"/>
    <col min="10246" max="10246" width="16.28515625" customWidth="1"/>
    <col min="10247" max="10249" width="8.7109375" customWidth="1"/>
    <col min="10250" max="10250" width="8.5703125" customWidth="1"/>
    <col min="10251" max="10252" width="8.7109375" customWidth="1"/>
    <col min="10497" max="10497" width="3.28515625" customWidth="1"/>
    <col min="10498" max="10498" width="33.85546875" customWidth="1"/>
    <col min="10499" max="10501" width="8.7109375" customWidth="1"/>
    <col min="10502" max="10502" width="16.28515625" customWidth="1"/>
    <col min="10503" max="10505" width="8.7109375" customWidth="1"/>
    <col min="10506" max="10506" width="8.5703125" customWidth="1"/>
    <col min="10507" max="10508" width="8.7109375" customWidth="1"/>
    <col min="10753" max="10753" width="3.28515625" customWidth="1"/>
    <col min="10754" max="10754" width="33.85546875" customWidth="1"/>
    <col min="10755" max="10757" width="8.7109375" customWidth="1"/>
    <col min="10758" max="10758" width="16.28515625" customWidth="1"/>
    <col min="10759" max="10761" width="8.7109375" customWidth="1"/>
    <col min="10762" max="10762" width="8.5703125" customWidth="1"/>
    <col min="10763" max="10764" width="8.7109375" customWidth="1"/>
    <col min="11009" max="11009" width="3.28515625" customWidth="1"/>
    <col min="11010" max="11010" width="33.85546875" customWidth="1"/>
    <col min="11011" max="11013" width="8.7109375" customWidth="1"/>
    <col min="11014" max="11014" width="16.28515625" customWidth="1"/>
    <col min="11015" max="11017" width="8.7109375" customWidth="1"/>
    <col min="11018" max="11018" width="8.5703125" customWidth="1"/>
    <col min="11019" max="11020" width="8.7109375" customWidth="1"/>
    <col min="11265" max="11265" width="3.28515625" customWidth="1"/>
    <col min="11266" max="11266" width="33.85546875" customWidth="1"/>
    <col min="11267" max="11269" width="8.7109375" customWidth="1"/>
    <col min="11270" max="11270" width="16.28515625" customWidth="1"/>
    <col min="11271" max="11273" width="8.7109375" customWidth="1"/>
    <col min="11274" max="11274" width="8.5703125" customWidth="1"/>
    <col min="11275" max="11276" width="8.7109375" customWidth="1"/>
    <col min="11521" max="11521" width="3.28515625" customWidth="1"/>
    <col min="11522" max="11522" width="33.85546875" customWidth="1"/>
    <col min="11523" max="11525" width="8.7109375" customWidth="1"/>
    <col min="11526" max="11526" width="16.28515625" customWidth="1"/>
    <col min="11527" max="11529" width="8.7109375" customWidth="1"/>
    <col min="11530" max="11530" width="8.5703125" customWidth="1"/>
    <col min="11531" max="11532" width="8.7109375" customWidth="1"/>
    <col min="11777" max="11777" width="3.28515625" customWidth="1"/>
    <col min="11778" max="11778" width="33.85546875" customWidth="1"/>
    <col min="11779" max="11781" width="8.7109375" customWidth="1"/>
    <col min="11782" max="11782" width="16.28515625" customWidth="1"/>
    <col min="11783" max="11785" width="8.7109375" customWidth="1"/>
    <col min="11786" max="11786" width="8.5703125" customWidth="1"/>
    <col min="11787" max="11788" width="8.7109375" customWidth="1"/>
    <col min="12033" max="12033" width="3.28515625" customWidth="1"/>
    <col min="12034" max="12034" width="33.85546875" customWidth="1"/>
    <col min="12035" max="12037" width="8.7109375" customWidth="1"/>
    <col min="12038" max="12038" width="16.28515625" customWidth="1"/>
    <col min="12039" max="12041" width="8.7109375" customWidth="1"/>
    <col min="12042" max="12042" width="8.5703125" customWidth="1"/>
    <col min="12043" max="12044" width="8.7109375" customWidth="1"/>
    <col min="12289" max="12289" width="3.28515625" customWidth="1"/>
    <col min="12290" max="12290" width="33.85546875" customWidth="1"/>
    <col min="12291" max="12293" width="8.7109375" customWidth="1"/>
    <col min="12294" max="12294" width="16.28515625" customWidth="1"/>
    <col min="12295" max="12297" width="8.7109375" customWidth="1"/>
    <col min="12298" max="12298" width="8.5703125" customWidth="1"/>
    <col min="12299" max="12300" width="8.7109375" customWidth="1"/>
    <col min="12545" max="12545" width="3.28515625" customWidth="1"/>
    <col min="12546" max="12546" width="33.85546875" customWidth="1"/>
    <col min="12547" max="12549" width="8.7109375" customWidth="1"/>
    <col min="12550" max="12550" width="16.28515625" customWidth="1"/>
    <col min="12551" max="12553" width="8.7109375" customWidth="1"/>
    <col min="12554" max="12554" width="8.5703125" customWidth="1"/>
    <col min="12555" max="12556" width="8.7109375" customWidth="1"/>
    <col min="12801" max="12801" width="3.28515625" customWidth="1"/>
    <col min="12802" max="12802" width="33.85546875" customWidth="1"/>
    <col min="12803" max="12805" width="8.7109375" customWidth="1"/>
    <col min="12806" max="12806" width="16.28515625" customWidth="1"/>
    <col min="12807" max="12809" width="8.7109375" customWidth="1"/>
    <col min="12810" max="12810" width="8.5703125" customWidth="1"/>
    <col min="12811" max="12812" width="8.7109375" customWidth="1"/>
    <col min="13057" max="13057" width="3.28515625" customWidth="1"/>
    <col min="13058" max="13058" width="33.85546875" customWidth="1"/>
    <col min="13059" max="13061" width="8.7109375" customWidth="1"/>
    <col min="13062" max="13062" width="16.28515625" customWidth="1"/>
    <col min="13063" max="13065" width="8.7109375" customWidth="1"/>
    <col min="13066" max="13066" width="8.5703125" customWidth="1"/>
    <col min="13067" max="13068" width="8.7109375" customWidth="1"/>
    <col min="13313" max="13313" width="3.28515625" customWidth="1"/>
    <col min="13314" max="13314" width="33.85546875" customWidth="1"/>
    <col min="13315" max="13317" width="8.7109375" customWidth="1"/>
    <col min="13318" max="13318" width="16.28515625" customWidth="1"/>
    <col min="13319" max="13321" width="8.7109375" customWidth="1"/>
    <col min="13322" max="13322" width="8.5703125" customWidth="1"/>
    <col min="13323" max="13324" width="8.7109375" customWidth="1"/>
    <col min="13569" max="13569" width="3.28515625" customWidth="1"/>
    <col min="13570" max="13570" width="33.85546875" customWidth="1"/>
    <col min="13571" max="13573" width="8.7109375" customWidth="1"/>
    <col min="13574" max="13574" width="16.28515625" customWidth="1"/>
    <col min="13575" max="13577" width="8.7109375" customWidth="1"/>
    <col min="13578" max="13578" width="8.5703125" customWidth="1"/>
    <col min="13579" max="13580" width="8.7109375" customWidth="1"/>
    <col min="13825" max="13825" width="3.28515625" customWidth="1"/>
    <col min="13826" max="13826" width="33.85546875" customWidth="1"/>
    <col min="13827" max="13829" width="8.7109375" customWidth="1"/>
    <col min="13830" max="13830" width="16.28515625" customWidth="1"/>
    <col min="13831" max="13833" width="8.7109375" customWidth="1"/>
    <col min="13834" max="13834" width="8.5703125" customWidth="1"/>
    <col min="13835" max="13836" width="8.7109375" customWidth="1"/>
    <col min="14081" max="14081" width="3.28515625" customWidth="1"/>
    <col min="14082" max="14082" width="33.85546875" customWidth="1"/>
    <col min="14083" max="14085" width="8.7109375" customWidth="1"/>
    <col min="14086" max="14086" width="16.28515625" customWidth="1"/>
    <col min="14087" max="14089" width="8.7109375" customWidth="1"/>
    <col min="14090" max="14090" width="8.5703125" customWidth="1"/>
    <col min="14091" max="14092" width="8.7109375" customWidth="1"/>
    <col min="14337" max="14337" width="3.28515625" customWidth="1"/>
    <col min="14338" max="14338" width="33.85546875" customWidth="1"/>
    <col min="14339" max="14341" width="8.7109375" customWidth="1"/>
    <col min="14342" max="14342" width="16.28515625" customWidth="1"/>
    <col min="14343" max="14345" width="8.7109375" customWidth="1"/>
    <col min="14346" max="14346" width="8.5703125" customWidth="1"/>
    <col min="14347" max="14348" width="8.7109375" customWidth="1"/>
    <col min="14593" max="14593" width="3.28515625" customWidth="1"/>
    <col min="14594" max="14594" width="33.85546875" customWidth="1"/>
    <col min="14595" max="14597" width="8.7109375" customWidth="1"/>
    <col min="14598" max="14598" width="16.28515625" customWidth="1"/>
    <col min="14599" max="14601" width="8.7109375" customWidth="1"/>
    <col min="14602" max="14602" width="8.5703125" customWidth="1"/>
    <col min="14603" max="14604" width="8.7109375" customWidth="1"/>
    <col min="14849" max="14849" width="3.28515625" customWidth="1"/>
    <col min="14850" max="14850" width="33.85546875" customWidth="1"/>
    <col min="14851" max="14853" width="8.7109375" customWidth="1"/>
    <col min="14854" max="14854" width="16.28515625" customWidth="1"/>
    <col min="14855" max="14857" width="8.7109375" customWidth="1"/>
    <col min="14858" max="14858" width="8.5703125" customWidth="1"/>
    <col min="14859" max="14860" width="8.7109375" customWidth="1"/>
    <col min="15105" max="15105" width="3.28515625" customWidth="1"/>
    <col min="15106" max="15106" width="33.85546875" customWidth="1"/>
    <col min="15107" max="15109" width="8.7109375" customWidth="1"/>
    <col min="15110" max="15110" width="16.28515625" customWidth="1"/>
    <col min="15111" max="15113" width="8.7109375" customWidth="1"/>
    <col min="15114" max="15114" width="8.5703125" customWidth="1"/>
    <col min="15115" max="15116" width="8.7109375" customWidth="1"/>
    <col min="15361" max="15361" width="3.28515625" customWidth="1"/>
    <col min="15362" max="15362" width="33.85546875" customWidth="1"/>
    <col min="15363" max="15365" width="8.7109375" customWidth="1"/>
    <col min="15366" max="15366" width="16.28515625" customWidth="1"/>
    <col min="15367" max="15369" width="8.7109375" customWidth="1"/>
    <col min="15370" max="15370" width="8.5703125" customWidth="1"/>
    <col min="15371" max="15372" width="8.7109375" customWidth="1"/>
    <col min="15617" max="15617" width="3.28515625" customWidth="1"/>
    <col min="15618" max="15618" width="33.85546875" customWidth="1"/>
    <col min="15619" max="15621" width="8.7109375" customWidth="1"/>
    <col min="15622" max="15622" width="16.28515625" customWidth="1"/>
    <col min="15623" max="15625" width="8.7109375" customWidth="1"/>
    <col min="15626" max="15626" width="8.5703125" customWidth="1"/>
    <col min="15627" max="15628" width="8.7109375" customWidth="1"/>
    <col min="15873" max="15873" width="3.28515625" customWidth="1"/>
    <col min="15874" max="15874" width="33.85546875" customWidth="1"/>
    <col min="15875" max="15877" width="8.7109375" customWidth="1"/>
    <col min="15878" max="15878" width="16.28515625" customWidth="1"/>
    <col min="15879" max="15881" width="8.7109375" customWidth="1"/>
    <col min="15882" max="15882" width="8.5703125" customWidth="1"/>
    <col min="15883" max="15884" width="8.7109375" customWidth="1"/>
    <col min="16129" max="16129" width="3.28515625" customWidth="1"/>
    <col min="16130" max="16130" width="33.85546875" customWidth="1"/>
    <col min="16131" max="16133" width="8.7109375" customWidth="1"/>
    <col min="16134" max="16134" width="16.28515625" customWidth="1"/>
    <col min="16135" max="16137" width="8.7109375" customWidth="1"/>
    <col min="16138" max="16138" width="8.5703125" customWidth="1"/>
    <col min="16139" max="16140" width="8.7109375" customWidth="1"/>
  </cols>
  <sheetData>
    <row r="1" spans="1:10" ht="15.75">
      <c r="A1" s="1013" t="s">
        <v>3717</v>
      </c>
      <c r="B1" s="1013"/>
    </row>
    <row r="2" spans="1:10" ht="19.5" thickBot="1">
      <c r="A2" s="1012"/>
      <c r="B2" s="1013"/>
    </row>
    <row r="3" spans="1:10" ht="26.25" customHeight="1" thickBot="1">
      <c r="A3" s="3118"/>
      <c r="B3" s="3119"/>
      <c r="C3" s="3355">
        <v>41275</v>
      </c>
      <c r="D3" s="3356"/>
      <c r="E3" s="3356"/>
      <c r="F3" s="3357"/>
      <c r="G3" s="3355">
        <v>41306</v>
      </c>
      <c r="H3" s="3356"/>
      <c r="I3" s="3356"/>
      <c r="J3" s="3357"/>
    </row>
    <row r="4" spans="1:10" ht="15.75" thickBot="1">
      <c r="A4" s="3120"/>
      <c r="B4" s="3121"/>
      <c r="C4" s="3122" t="s">
        <v>3718</v>
      </c>
      <c r="D4" s="3123" t="s">
        <v>3719</v>
      </c>
      <c r="E4" s="3124" t="s">
        <v>3720</v>
      </c>
      <c r="F4" s="3123" t="s">
        <v>3721</v>
      </c>
      <c r="G4" s="3125" t="s">
        <v>3718</v>
      </c>
      <c r="H4" s="3123" t="s">
        <v>3719</v>
      </c>
      <c r="I4" s="3124" t="s">
        <v>3720</v>
      </c>
      <c r="J4" s="3124" t="s">
        <v>3721</v>
      </c>
    </row>
    <row r="5" spans="1:10">
      <c r="A5" s="1034">
        <v>1</v>
      </c>
      <c r="B5" s="3126" t="s">
        <v>3722</v>
      </c>
      <c r="C5" s="3127" t="s">
        <v>770</v>
      </c>
      <c r="D5" s="3128">
        <v>375</v>
      </c>
      <c r="E5" s="3128">
        <v>350</v>
      </c>
      <c r="F5" s="3129">
        <v>2263.8000000000002</v>
      </c>
      <c r="G5" s="3127" t="s">
        <v>770</v>
      </c>
      <c r="H5" s="3128">
        <v>1145</v>
      </c>
      <c r="I5" s="3128">
        <v>155</v>
      </c>
      <c r="J5" s="3129" t="s">
        <v>770</v>
      </c>
    </row>
    <row r="6" spans="1:10">
      <c r="A6" s="1034">
        <v>2</v>
      </c>
      <c r="B6" s="3126" t="s">
        <v>3723</v>
      </c>
      <c r="C6" s="3130" t="s">
        <v>770</v>
      </c>
      <c r="D6" s="3131">
        <v>2.72</v>
      </c>
      <c r="E6" s="3131">
        <v>2.88</v>
      </c>
      <c r="F6" s="3132" t="s">
        <v>3724</v>
      </c>
      <c r="G6" s="3130" t="s">
        <v>770</v>
      </c>
      <c r="H6" s="3131">
        <v>2.62</v>
      </c>
      <c r="I6" s="3131">
        <v>2.74</v>
      </c>
      <c r="J6" s="3132" t="s">
        <v>770</v>
      </c>
    </row>
    <row r="7" spans="1:10">
      <c r="A7" s="1034">
        <v>3</v>
      </c>
      <c r="B7" s="3126" t="s">
        <v>3725</v>
      </c>
      <c r="C7" s="3133" t="s">
        <v>770</v>
      </c>
      <c r="D7" s="3134" t="s">
        <v>3726</v>
      </c>
      <c r="E7" s="3134" t="s">
        <v>3727</v>
      </c>
      <c r="F7" s="3135" t="s">
        <v>3728</v>
      </c>
      <c r="G7" s="3133" t="s">
        <v>770</v>
      </c>
      <c r="H7" s="3134" t="s">
        <v>3729</v>
      </c>
      <c r="I7" s="3134" t="s">
        <v>3730</v>
      </c>
      <c r="J7" s="3135" t="s">
        <v>770</v>
      </c>
    </row>
    <row r="8" spans="1:10" ht="15.75" thickBot="1">
      <c r="A8" s="3136"/>
      <c r="B8" s="3137"/>
      <c r="C8" s="3138"/>
      <c r="D8" s="3139"/>
      <c r="E8" s="3139"/>
      <c r="F8" s="3140"/>
      <c r="G8" s="3141"/>
      <c r="H8" s="3140"/>
      <c r="I8" s="3139"/>
      <c r="J8" s="3139"/>
    </row>
    <row r="9" spans="1:10">
      <c r="A9" s="3142"/>
      <c r="B9" s="3142"/>
    </row>
    <row r="10" spans="1:10">
      <c r="A10" s="1007" t="s">
        <v>787</v>
      </c>
      <c r="B10" s="3143"/>
    </row>
    <row r="11" spans="1:10">
      <c r="A11" s="3143"/>
      <c r="B11" s="3143"/>
    </row>
    <row r="12" spans="1:10">
      <c r="A12" s="3143"/>
      <c r="B12" s="3143"/>
    </row>
    <row r="13" spans="1:10">
      <c r="A13" s="3143"/>
      <c r="B13" s="3143"/>
    </row>
  </sheetData>
  <mergeCells count="2">
    <mergeCell ref="C3:F3"/>
    <mergeCell ref="G3:J3"/>
  </mergeCells>
  <printOptions horizontalCentered="1"/>
  <pageMargins left="0" right="0" top="0.74803149606299213" bottom="0.74803149606299213" header="0.31496062992125984" footer="0.31496062992125984"/>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selection activeCell="B19" sqref="B19"/>
    </sheetView>
  </sheetViews>
  <sheetFormatPr defaultRowHeight="15"/>
  <cols>
    <col min="2" max="2" width="40.28515625" customWidth="1"/>
    <col min="3" max="6" width="14.42578125" customWidth="1"/>
    <col min="7" max="7" width="16" customWidth="1"/>
    <col min="258" max="258" width="40.28515625" customWidth="1"/>
    <col min="259" max="262" width="14.42578125" customWidth="1"/>
    <col min="263" max="263" width="16" customWidth="1"/>
    <col min="514" max="514" width="40.28515625" customWidth="1"/>
    <col min="515" max="518" width="14.42578125" customWidth="1"/>
    <col min="519" max="519" width="16" customWidth="1"/>
    <col min="770" max="770" width="40.28515625" customWidth="1"/>
    <col min="771" max="774" width="14.42578125" customWidth="1"/>
    <col min="775" max="775" width="16" customWidth="1"/>
    <col min="1026" max="1026" width="40.28515625" customWidth="1"/>
    <col min="1027" max="1030" width="14.42578125" customWidth="1"/>
    <col min="1031" max="1031" width="16" customWidth="1"/>
    <col min="1282" max="1282" width="40.28515625" customWidth="1"/>
    <col min="1283" max="1286" width="14.42578125" customWidth="1"/>
    <col min="1287" max="1287" width="16" customWidth="1"/>
    <col min="1538" max="1538" width="40.28515625" customWidth="1"/>
    <col min="1539" max="1542" width="14.42578125" customWidth="1"/>
    <col min="1543" max="1543" width="16" customWidth="1"/>
    <col min="1794" max="1794" width="40.28515625" customWidth="1"/>
    <col min="1795" max="1798" width="14.42578125" customWidth="1"/>
    <col min="1799" max="1799" width="16" customWidth="1"/>
    <col min="2050" max="2050" width="40.28515625" customWidth="1"/>
    <col min="2051" max="2054" width="14.42578125" customWidth="1"/>
    <col min="2055" max="2055" width="16" customWidth="1"/>
    <col min="2306" max="2306" width="40.28515625" customWidth="1"/>
    <col min="2307" max="2310" width="14.42578125" customWidth="1"/>
    <col min="2311" max="2311" width="16" customWidth="1"/>
    <col min="2562" max="2562" width="40.28515625" customWidth="1"/>
    <col min="2563" max="2566" width="14.42578125" customWidth="1"/>
    <col min="2567" max="2567" width="16" customWidth="1"/>
    <col min="2818" max="2818" width="40.28515625" customWidth="1"/>
    <col min="2819" max="2822" width="14.42578125" customWidth="1"/>
    <col min="2823" max="2823" width="16" customWidth="1"/>
    <col min="3074" max="3074" width="40.28515625" customWidth="1"/>
    <col min="3075" max="3078" width="14.42578125" customWidth="1"/>
    <col min="3079" max="3079" width="16" customWidth="1"/>
    <col min="3330" max="3330" width="40.28515625" customWidth="1"/>
    <col min="3331" max="3334" width="14.42578125" customWidth="1"/>
    <col min="3335" max="3335" width="16" customWidth="1"/>
    <col min="3586" max="3586" width="40.28515625" customWidth="1"/>
    <col min="3587" max="3590" width="14.42578125" customWidth="1"/>
    <col min="3591" max="3591" width="16" customWidth="1"/>
    <col min="3842" max="3842" width="40.28515625" customWidth="1"/>
    <col min="3843" max="3846" width="14.42578125" customWidth="1"/>
    <col min="3847" max="3847" width="16" customWidth="1"/>
    <col min="4098" max="4098" width="40.28515625" customWidth="1"/>
    <col min="4099" max="4102" width="14.42578125" customWidth="1"/>
    <col min="4103" max="4103" width="16" customWidth="1"/>
    <col min="4354" max="4354" width="40.28515625" customWidth="1"/>
    <col min="4355" max="4358" width="14.42578125" customWidth="1"/>
    <col min="4359" max="4359" width="16" customWidth="1"/>
    <col min="4610" max="4610" width="40.28515625" customWidth="1"/>
    <col min="4611" max="4614" width="14.42578125" customWidth="1"/>
    <col min="4615" max="4615" width="16" customWidth="1"/>
    <col min="4866" max="4866" width="40.28515625" customWidth="1"/>
    <col min="4867" max="4870" width="14.42578125" customWidth="1"/>
    <col min="4871" max="4871" width="16" customWidth="1"/>
    <col min="5122" max="5122" width="40.28515625" customWidth="1"/>
    <col min="5123" max="5126" width="14.42578125" customWidth="1"/>
    <col min="5127" max="5127" width="16" customWidth="1"/>
    <col min="5378" max="5378" width="40.28515625" customWidth="1"/>
    <col min="5379" max="5382" width="14.42578125" customWidth="1"/>
    <col min="5383" max="5383" width="16" customWidth="1"/>
    <col min="5634" max="5634" width="40.28515625" customWidth="1"/>
    <col min="5635" max="5638" width="14.42578125" customWidth="1"/>
    <col min="5639" max="5639" width="16" customWidth="1"/>
    <col min="5890" max="5890" width="40.28515625" customWidth="1"/>
    <col min="5891" max="5894" width="14.42578125" customWidth="1"/>
    <col min="5895" max="5895" width="16" customWidth="1"/>
    <col min="6146" max="6146" width="40.28515625" customWidth="1"/>
    <col min="6147" max="6150" width="14.42578125" customWidth="1"/>
    <col min="6151" max="6151" width="16" customWidth="1"/>
    <col min="6402" max="6402" width="40.28515625" customWidth="1"/>
    <col min="6403" max="6406" width="14.42578125" customWidth="1"/>
    <col min="6407" max="6407" width="16" customWidth="1"/>
    <col min="6658" max="6658" width="40.28515625" customWidth="1"/>
    <col min="6659" max="6662" width="14.42578125" customWidth="1"/>
    <col min="6663" max="6663" width="16" customWidth="1"/>
    <col min="6914" max="6914" width="40.28515625" customWidth="1"/>
    <col min="6915" max="6918" width="14.42578125" customWidth="1"/>
    <col min="6919" max="6919" width="16" customWidth="1"/>
    <col min="7170" max="7170" width="40.28515625" customWidth="1"/>
    <col min="7171" max="7174" width="14.42578125" customWidth="1"/>
    <col min="7175" max="7175" width="16" customWidth="1"/>
    <col min="7426" max="7426" width="40.28515625" customWidth="1"/>
    <col min="7427" max="7430" width="14.42578125" customWidth="1"/>
    <col min="7431" max="7431" width="16" customWidth="1"/>
    <col min="7682" max="7682" width="40.28515625" customWidth="1"/>
    <col min="7683" max="7686" width="14.42578125" customWidth="1"/>
    <col min="7687" max="7687" width="16" customWidth="1"/>
    <col min="7938" max="7938" width="40.28515625" customWidth="1"/>
    <col min="7939" max="7942" width="14.42578125" customWidth="1"/>
    <col min="7943" max="7943" width="16" customWidth="1"/>
    <col min="8194" max="8194" width="40.28515625" customWidth="1"/>
    <col min="8195" max="8198" width="14.42578125" customWidth="1"/>
    <col min="8199" max="8199" width="16" customWidth="1"/>
    <col min="8450" max="8450" width="40.28515625" customWidth="1"/>
    <col min="8451" max="8454" width="14.42578125" customWidth="1"/>
    <col min="8455" max="8455" width="16" customWidth="1"/>
    <col min="8706" max="8706" width="40.28515625" customWidth="1"/>
    <col min="8707" max="8710" width="14.42578125" customWidth="1"/>
    <col min="8711" max="8711" width="16" customWidth="1"/>
    <col min="8962" max="8962" width="40.28515625" customWidth="1"/>
    <col min="8963" max="8966" width="14.42578125" customWidth="1"/>
    <col min="8967" max="8967" width="16" customWidth="1"/>
    <col min="9218" max="9218" width="40.28515625" customWidth="1"/>
    <col min="9219" max="9222" width="14.42578125" customWidth="1"/>
    <col min="9223" max="9223" width="16" customWidth="1"/>
    <col min="9474" max="9474" width="40.28515625" customWidth="1"/>
    <col min="9475" max="9478" width="14.42578125" customWidth="1"/>
    <col min="9479" max="9479" width="16" customWidth="1"/>
    <col min="9730" max="9730" width="40.28515625" customWidth="1"/>
    <col min="9731" max="9734" width="14.42578125" customWidth="1"/>
    <col min="9735" max="9735" width="16" customWidth="1"/>
    <col min="9986" max="9986" width="40.28515625" customWidth="1"/>
    <col min="9987" max="9990" width="14.42578125" customWidth="1"/>
    <col min="9991" max="9991" width="16" customWidth="1"/>
    <col min="10242" max="10242" width="40.28515625" customWidth="1"/>
    <col min="10243" max="10246" width="14.42578125" customWidth="1"/>
    <col min="10247" max="10247" width="16" customWidth="1"/>
    <col min="10498" max="10498" width="40.28515625" customWidth="1"/>
    <col min="10499" max="10502" width="14.42578125" customWidth="1"/>
    <col min="10503" max="10503" width="16" customWidth="1"/>
    <col min="10754" max="10754" width="40.28515625" customWidth="1"/>
    <col min="10755" max="10758" width="14.42578125" customWidth="1"/>
    <col min="10759" max="10759" width="16" customWidth="1"/>
    <col min="11010" max="11010" width="40.28515625" customWidth="1"/>
    <col min="11011" max="11014" width="14.42578125" customWidth="1"/>
    <col min="11015" max="11015" width="16" customWidth="1"/>
    <col min="11266" max="11266" width="40.28515625" customWidth="1"/>
    <col min="11267" max="11270" width="14.42578125" customWidth="1"/>
    <col min="11271" max="11271" width="16" customWidth="1"/>
    <col min="11522" max="11522" width="40.28515625" customWidth="1"/>
    <col min="11523" max="11526" width="14.42578125" customWidth="1"/>
    <col min="11527" max="11527" width="16" customWidth="1"/>
    <col min="11778" max="11778" width="40.28515625" customWidth="1"/>
    <col min="11779" max="11782" width="14.42578125" customWidth="1"/>
    <col min="11783" max="11783" width="16" customWidth="1"/>
    <col min="12034" max="12034" width="40.28515625" customWidth="1"/>
    <col min="12035" max="12038" width="14.42578125" customWidth="1"/>
    <col min="12039" max="12039" width="16" customWidth="1"/>
    <col min="12290" max="12290" width="40.28515625" customWidth="1"/>
    <col min="12291" max="12294" width="14.42578125" customWidth="1"/>
    <col min="12295" max="12295" width="16" customWidth="1"/>
    <col min="12546" max="12546" width="40.28515625" customWidth="1"/>
    <col min="12547" max="12550" width="14.42578125" customWidth="1"/>
    <col min="12551" max="12551" width="16" customWidth="1"/>
    <col min="12802" max="12802" width="40.28515625" customWidth="1"/>
    <col min="12803" max="12806" width="14.42578125" customWidth="1"/>
    <col min="12807" max="12807" width="16" customWidth="1"/>
    <col min="13058" max="13058" width="40.28515625" customWidth="1"/>
    <col min="13059" max="13062" width="14.42578125" customWidth="1"/>
    <col min="13063" max="13063" width="16" customWidth="1"/>
    <col min="13314" max="13314" width="40.28515625" customWidth="1"/>
    <col min="13315" max="13318" width="14.42578125" customWidth="1"/>
    <col min="13319" max="13319" width="16" customWidth="1"/>
    <col min="13570" max="13570" width="40.28515625" customWidth="1"/>
    <col min="13571" max="13574" width="14.42578125" customWidth="1"/>
    <col min="13575" max="13575" width="16" customWidth="1"/>
    <col min="13826" max="13826" width="40.28515625" customWidth="1"/>
    <col min="13827" max="13830" width="14.42578125" customWidth="1"/>
    <col min="13831" max="13831" width="16" customWidth="1"/>
    <col min="14082" max="14082" width="40.28515625" customWidth="1"/>
    <col min="14083" max="14086" width="14.42578125" customWidth="1"/>
    <col min="14087" max="14087" width="16" customWidth="1"/>
    <col min="14338" max="14338" width="40.28515625" customWidth="1"/>
    <col min="14339" max="14342" width="14.42578125" customWidth="1"/>
    <col min="14343" max="14343" width="16" customWidth="1"/>
    <col min="14594" max="14594" width="40.28515625" customWidth="1"/>
    <col min="14595" max="14598" width="14.42578125" customWidth="1"/>
    <col min="14599" max="14599" width="16" customWidth="1"/>
    <col min="14850" max="14850" width="40.28515625" customWidth="1"/>
    <col min="14851" max="14854" width="14.42578125" customWidth="1"/>
    <col min="14855" max="14855" width="16" customWidth="1"/>
    <col min="15106" max="15106" width="40.28515625" customWidth="1"/>
    <col min="15107" max="15110" width="14.42578125" customWidth="1"/>
    <col min="15111" max="15111" width="16" customWidth="1"/>
    <col min="15362" max="15362" width="40.28515625" customWidth="1"/>
    <col min="15363" max="15366" width="14.42578125" customWidth="1"/>
    <col min="15367" max="15367" width="16" customWidth="1"/>
    <col min="15618" max="15618" width="40.28515625" customWidth="1"/>
    <col min="15619" max="15622" width="14.42578125" customWidth="1"/>
    <col min="15623" max="15623" width="16" customWidth="1"/>
    <col min="15874" max="15874" width="40.28515625" customWidth="1"/>
    <col min="15875" max="15878" width="14.42578125" customWidth="1"/>
    <col min="15879" max="15879" width="16" customWidth="1"/>
    <col min="16130" max="16130" width="40.28515625" customWidth="1"/>
    <col min="16131" max="16134" width="14.42578125" customWidth="1"/>
    <col min="16135" max="16135" width="16" customWidth="1"/>
  </cols>
  <sheetData>
    <row r="1" spans="1:12" ht="18.75">
      <c r="A1" s="1012" t="s">
        <v>3731</v>
      </c>
      <c r="B1" s="1013"/>
      <c r="C1" s="1015"/>
      <c r="D1" s="1015"/>
      <c r="E1" s="1015"/>
      <c r="F1" s="1016"/>
      <c r="G1" s="1010"/>
      <c r="H1" s="1008"/>
      <c r="I1" s="1010"/>
      <c r="J1" s="1010"/>
      <c r="K1" s="1011"/>
      <c r="L1" s="1011"/>
    </row>
    <row r="2" spans="1:12" ht="19.5" thickBot="1">
      <c r="A2" s="1012"/>
      <c r="B2" s="1013"/>
      <c r="C2" s="1015"/>
      <c r="D2" s="1015"/>
      <c r="E2" s="1015"/>
      <c r="F2" s="1016"/>
      <c r="G2" s="1010"/>
      <c r="H2" s="1008"/>
      <c r="I2" s="1010"/>
      <c r="J2" s="1010"/>
      <c r="K2" s="1011"/>
      <c r="L2" s="1011"/>
    </row>
    <row r="3" spans="1:12" ht="26.25" customHeight="1" thickBot="1">
      <c r="A3" s="3118"/>
      <c r="B3" s="3144"/>
      <c r="C3" s="3363" t="s">
        <v>3732</v>
      </c>
      <c r="D3" s="3364"/>
      <c r="E3" s="3365"/>
      <c r="F3" s="3366" t="s">
        <v>3733</v>
      </c>
      <c r="G3" s="3367"/>
      <c r="H3" s="1011"/>
      <c r="I3" s="1011"/>
      <c r="J3" s="1010"/>
      <c r="K3" s="1011"/>
      <c r="L3" s="1011"/>
    </row>
    <row r="4" spans="1:12" ht="15.75" thickBot="1">
      <c r="A4" s="3120"/>
      <c r="B4" s="3121"/>
      <c r="C4" s="3145" t="s">
        <v>3734</v>
      </c>
      <c r="D4" s="3145" t="s">
        <v>3735</v>
      </c>
      <c r="E4" s="3146" t="s">
        <v>3736</v>
      </c>
      <c r="F4" s="3368" t="s">
        <v>3735</v>
      </c>
      <c r="G4" s="3369"/>
      <c r="H4" s="1008"/>
      <c r="I4" s="1010"/>
      <c r="J4" s="1010"/>
      <c r="K4" s="1011"/>
      <c r="L4" s="1011"/>
    </row>
    <row r="5" spans="1:12">
      <c r="A5" s="1034">
        <v>1</v>
      </c>
      <c r="B5" s="3126" t="s">
        <v>825</v>
      </c>
      <c r="C5" s="3147">
        <v>665</v>
      </c>
      <c r="D5" s="3147">
        <v>270</v>
      </c>
      <c r="E5" s="3148" t="s">
        <v>770</v>
      </c>
      <c r="F5" s="3370">
        <v>100</v>
      </c>
      <c r="G5" s="3371"/>
      <c r="H5" s="1008"/>
      <c r="I5" s="1010"/>
      <c r="J5" s="1010"/>
      <c r="K5" s="1011"/>
      <c r="L5" s="1011"/>
    </row>
    <row r="6" spans="1:12">
      <c r="A6" s="1034">
        <v>2</v>
      </c>
      <c r="B6" s="3149" t="s">
        <v>826</v>
      </c>
      <c r="C6" s="3150">
        <v>5.25</v>
      </c>
      <c r="D6" s="3151">
        <v>5.5</v>
      </c>
      <c r="E6" s="3150" t="s">
        <v>770</v>
      </c>
      <c r="F6" s="3372">
        <v>5.5</v>
      </c>
      <c r="G6" s="3373"/>
      <c r="H6" s="1008"/>
      <c r="I6" s="1010"/>
      <c r="J6" s="1010"/>
      <c r="K6" s="1011"/>
      <c r="L6" s="1011"/>
    </row>
    <row r="7" spans="1:12">
      <c r="A7" s="1034">
        <v>3</v>
      </c>
      <c r="B7" s="3126" t="s">
        <v>3737</v>
      </c>
      <c r="C7" s="3131">
        <v>5.25</v>
      </c>
      <c r="D7" s="3131">
        <v>5.63</v>
      </c>
      <c r="E7" s="3132" t="s">
        <v>770</v>
      </c>
      <c r="F7" s="3374">
        <v>4.7300000000000004</v>
      </c>
      <c r="G7" s="3375"/>
    </row>
    <row r="8" spans="1:12">
      <c r="A8" s="1034">
        <v>4</v>
      </c>
      <c r="B8" s="3126" t="s">
        <v>3738</v>
      </c>
      <c r="C8" s="3134" t="s">
        <v>3739</v>
      </c>
      <c r="D8" s="3134" t="s">
        <v>3740</v>
      </c>
      <c r="E8" s="3135" t="s">
        <v>770</v>
      </c>
      <c r="F8" s="3358">
        <v>101.58</v>
      </c>
      <c r="G8" s="3359"/>
    </row>
    <row r="9" spans="1:12" ht="15.75" thickBot="1">
      <c r="A9" s="3136"/>
      <c r="B9" s="3152"/>
      <c r="C9" s="3153"/>
      <c r="D9" s="3153"/>
      <c r="E9" s="3153"/>
      <c r="F9" s="3360"/>
      <c r="G9" s="3361"/>
    </row>
    <row r="10" spans="1:12">
      <c r="A10" s="3142" t="s">
        <v>3741</v>
      </c>
      <c r="B10" s="3142"/>
      <c r="D10" s="3362" t="s">
        <v>3742</v>
      </c>
      <c r="E10" s="3362"/>
      <c r="F10" s="3362"/>
    </row>
    <row r="11" spans="1:12">
      <c r="A11" s="3143" t="s">
        <v>3743</v>
      </c>
      <c r="B11" s="3143"/>
      <c r="C11" s="3154"/>
      <c r="D11" s="3143" t="s">
        <v>3744</v>
      </c>
      <c r="E11" s="3143"/>
      <c r="F11" s="3154"/>
    </row>
    <row r="12" spans="1:12">
      <c r="A12" s="3143" t="s">
        <v>3745</v>
      </c>
      <c r="B12" s="3143"/>
      <c r="C12" s="3154"/>
      <c r="D12" s="3143"/>
      <c r="E12" s="3143"/>
      <c r="F12" s="3154"/>
    </row>
    <row r="13" spans="1:12">
      <c r="A13" s="3143"/>
      <c r="B13" s="3143"/>
      <c r="C13" s="3154"/>
      <c r="D13" s="3143"/>
      <c r="E13" s="3143"/>
      <c r="F13" s="3154"/>
    </row>
    <row r="14" spans="1:12">
      <c r="A14" s="3143" t="s">
        <v>787</v>
      </c>
      <c r="B14" s="3143"/>
      <c r="C14" s="3143"/>
    </row>
  </sheetData>
  <mergeCells count="9">
    <mergeCell ref="F8:G8"/>
    <mergeCell ref="F9:G9"/>
    <mergeCell ref="D10:F10"/>
    <mergeCell ref="C3:E3"/>
    <mergeCell ref="F3:G3"/>
    <mergeCell ref="F4:G4"/>
    <mergeCell ref="F5:G5"/>
    <mergeCell ref="F6:G6"/>
    <mergeCell ref="F7:G7"/>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opLeftCell="A33" zoomScaleNormal="100" workbookViewId="0">
      <selection activeCell="K32" sqref="K32"/>
    </sheetView>
  </sheetViews>
  <sheetFormatPr defaultRowHeight="12.75"/>
  <cols>
    <col min="1" max="1" width="15.7109375" style="1059" customWidth="1"/>
    <col min="2" max="6" width="15.7109375" style="765" customWidth="1"/>
    <col min="7" max="7" width="5" style="765" customWidth="1"/>
    <col min="8" max="8" width="6.28515625" style="765" customWidth="1"/>
    <col min="9" max="256" width="9.140625" style="765"/>
    <col min="257" max="262" width="15.7109375" style="765" customWidth="1"/>
    <col min="263" max="263" width="5" style="765" customWidth="1"/>
    <col min="264" max="264" width="6.28515625" style="765" customWidth="1"/>
    <col min="265" max="512" width="9.140625" style="765"/>
    <col min="513" max="518" width="15.7109375" style="765" customWidth="1"/>
    <col min="519" max="519" width="5" style="765" customWidth="1"/>
    <col min="520" max="520" width="6.28515625" style="765" customWidth="1"/>
    <col min="521" max="768" width="9.140625" style="765"/>
    <col min="769" max="774" width="15.7109375" style="765" customWidth="1"/>
    <col min="775" max="775" width="5" style="765" customWidth="1"/>
    <col min="776" max="776" width="6.28515625" style="765" customWidth="1"/>
    <col min="777" max="1024" width="9.140625" style="765"/>
    <col min="1025" max="1030" width="15.7109375" style="765" customWidth="1"/>
    <col min="1031" max="1031" width="5" style="765" customWidth="1"/>
    <col min="1032" max="1032" width="6.28515625" style="765" customWidth="1"/>
    <col min="1033" max="1280" width="9.140625" style="765"/>
    <col min="1281" max="1286" width="15.7109375" style="765" customWidth="1"/>
    <col min="1287" max="1287" width="5" style="765" customWidth="1"/>
    <col min="1288" max="1288" width="6.28515625" style="765" customWidth="1"/>
    <col min="1289" max="1536" width="9.140625" style="765"/>
    <col min="1537" max="1542" width="15.7109375" style="765" customWidth="1"/>
    <col min="1543" max="1543" width="5" style="765" customWidth="1"/>
    <col min="1544" max="1544" width="6.28515625" style="765" customWidth="1"/>
    <col min="1545" max="1792" width="9.140625" style="765"/>
    <col min="1793" max="1798" width="15.7109375" style="765" customWidth="1"/>
    <col min="1799" max="1799" width="5" style="765" customWidth="1"/>
    <col min="1800" max="1800" width="6.28515625" style="765" customWidth="1"/>
    <col min="1801" max="2048" width="9.140625" style="765"/>
    <col min="2049" max="2054" width="15.7109375" style="765" customWidth="1"/>
    <col min="2055" max="2055" width="5" style="765" customWidth="1"/>
    <col min="2056" max="2056" width="6.28515625" style="765" customWidth="1"/>
    <col min="2057" max="2304" width="9.140625" style="765"/>
    <col min="2305" max="2310" width="15.7109375" style="765" customWidth="1"/>
    <col min="2311" max="2311" width="5" style="765" customWidth="1"/>
    <col min="2312" max="2312" width="6.28515625" style="765" customWidth="1"/>
    <col min="2313" max="2560" width="9.140625" style="765"/>
    <col min="2561" max="2566" width="15.7109375" style="765" customWidth="1"/>
    <col min="2567" max="2567" width="5" style="765" customWidth="1"/>
    <col min="2568" max="2568" width="6.28515625" style="765" customWidth="1"/>
    <col min="2569" max="2816" width="9.140625" style="765"/>
    <col min="2817" max="2822" width="15.7109375" style="765" customWidth="1"/>
    <col min="2823" max="2823" width="5" style="765" customWidth="1"/>
    <col min="2824" max="2824" width="6.28515625" style="765" customWidth="1"/>
    <col min="2825" max="3072" width="9.140625" style="765"/>
    <col min="3073" max="3078" width="15.7109375" style="765" customWidth="1"/>
    <col min="3079" max="3079" width="5" style="765" customWidth="1"/>
    <col min="3080" max="3080" width="6.28515625" style="765" customWidth="1"/>
    <col min="3081" max="3328" width="9.140625" style="765"/>
    <col min="3329" max="3334" width="15.7109375" style="765" customWidth="1"/>
    <col min="3335" max="3335" width="5" style="765" customWidth="1"/>
    <col min="3336" max="3336" width="6.28515625" style="765" customWidth="1"/>
    <col min="3337" max="3584" width="9.140625" style="765"/>
    <col min="3585" max="3590" width="15.7109375" style="765" customWidth="1"/>
    <col min="3591" max="3591" width="5" style="765" customWidth="1"/>
    <col min="3592" max="3592" width="6.28515625" style="765" customWidth="1"/>
    <col min="3593" max="3840" width="9.140625" style="765"/>
    <col min="3841" max="3846" width="15.7109375" style="765" customWidth="1"/>
    <col min="3847" max="3847" width="5" style="765" customWidth="1"/>
    <col min="3848" max="3848" width="6.28515625" style="765" customWidth="1"/>
    <col min="3849" max="4096" width="9.140625" style="765"/>
    <col min="4097" max="4102" width="15.7109375" style="765" customWidth="1"/>
    <col min="4103" max="4103" width="5" style="765" customWidth="1"/>
    <col min="4104" max="4104" width="6.28515625" style="765" customWidth="1"/>
    <col min="4105" max="4352" width="9.140625" style="765"/>
    <col min="4353" max="4358" width="15.7109375" style="765" customWidth="1"/>
    <col min="4359" max="4359" width="5" style="765" customWidth="1"/>
    <col min="4360" max="4360" width="6.28515625" style="765" customWidth="1"/>
    <col min="4361" max="4608" width="9.140625" style="765"/>
    <col min="4609" max="4614" width="15.7109375" style="765" customWidth="1"/>
    <col min="4615" max="4615" width="5" style="765" customWidth="1"/>
    <col min="4616" max="4616" width="6.28515625" style="765" customWidth="1"/>
    <col min="4617" max="4864" width="9.140625" style="765"/>
    <col min="4865" max="4870" width="15.7109375" style="765" customWidth="1"/>
    <col min="4871" max="4871" width="5" style="765" customWidth="1"/>
    <col min="4872" max="4872" width="6.28515625" style="765" customWidth="1"/>
    <col min="4873" max="5120" width="9.140625" style="765"/>
    <col min="5121" max="5126" width="15.7109375" style="765" customWidth="1"/>
    <col min="5127" max="5127" width="5" style="765" customWidth="1"/>
    <col min="5128" max="5128" width="6.28515625" style="765" customWidth="1"/>
    <col min="5129" max="5376" width="9.140625" style="765"/>
    <col min="5377" max="5382" width="15.7109375" style="765" customWidth="1"/>
    <col min="5383" max="5383" width="5" style="765" customWidth="1"/>
    <col min="5384" max="5384" width="6.28515625" style="765" customWidth="1"/>
    <col min="5385" max="5632" width="9.140625" style="765"/>
    <col min="5633" max="5638" width="15.7109375" style="765" customWidth="1"/>
    <col min="5639" max="5639" width="5" style="765" customWidth="1"/>
    <col min="5640" max="5640" width="6.28515625" style="765" customWidth="1"/>
    <col min="5641" max="5888" width="9.140625" style="765"/>
    <col min="5889" max="5894" width="15.7109375" style="765" customWidth="1"/>
    <col min="5895" max="5895" width="5" style="765" customWidth="1"/>
    <col min="5896" max="5896" width="6.28515625" style="765" customWidth="1"/>
    <col min="5897" max="6144" width="9.140625" style="765"/>
    <col min="6145" max="6150" width="15.7109375" style="765" customWidth="1"/>
    <col min="6151" max="6151" width="5" style="765" customWidth="1"/>
    <col min="6152" max="6152" width="6.28515625" style="765" customWidth="1"/>
    <col min="6153" max="6400" width="9.140625" style="765"/>
    <col min="6401" max="6406" width="15.7109375" style="765" customWidth="1"/>
    <col min="6407" max="6407" width="5" style="765" customWidth="1"/>
    <col min="6408" max="6408" width="6.28515625" style="765" customWidth="1"/>
    <col min="6409" max="6656" width="9.140625" style="765"/>
    <col min="6657" max="6662" width="15.7109375" style="765" customWidth="1"/>
    <col min="6663" max="6663" width="5" style="765" customWidth="1"/>
    <col min="6664" max="6664" width="6.28515625" style="765" customWidth="1"/>
    <col min="6665" max="6912" width="9.140625" style="765"/>
    <col min="6913" max="6918" width="15.7109375" style="765" customWidth="1"/>
    <col min="6919" max="6919" width="5" style="765" customWidth="1"/>
    <col min="6920" max="6920" width="6.28515625" style="765" customWidth="1"/>
    <col min="6921" max="7168" width="9.140625" style="765"/>
    <col min="7169" max="7174" width="15.7109375" style="765" customWidth="1"/>
    <col min="7175" max="7175" width="5" style="765" customWidth="1"/>
    <col min="7176" max="7176" width="6.28515625" style="765" customWidth="1"/>
    <col min="7177" max="7424" width="9.140625" style="765"/>
    <col min="7425" max="7430" width="15.7109375" style="765" customWidth="1"/>
    <col min="7431" max="7431" width="5" style="765" customWidth="1"/>
    <col min="7432" max="7432" width="6.28515625" style="765" customWidth="1"/>
    <col min="7433" max="7680" width="9.140625" style="765"/>
    <col min="7681" max="7686" width="15.7109375" style="765" customWidth="1"/>
    <col min="7687" max="7687" width="5" style="765" customWidth="1"/>
    <col min="7688" max="7688" width="6.28515625" style="765" customWidth="1"/>
    <col min="7689" max="7936" width="9.140625" style="765"/>
    <col min="7937" max="7942" width="15.7109375" style="765" customWidth="1"/>
    <col min="7943" max="7943" width="5" style="765" customWidth="1"/>
    <col min="7944" max="7944" width="6.28515625" style="765" customWidth="1"/>
    <col min="7945" max="8192" width="9.140625" style="765"/>
    <col min="8193" max="8198" width="15.7109375" style="765" customWidth="1"/>
    <col min="8199" max="8199" width="5" style="765" customWidth="1"/>
    <col min="8200" max="8200" width="6.28515625" style="765" customWidth="1"/>
    <col min="8201" max="8448" width="9.140625" style="765"/>
    <col min="8449" max="8454" width="15.7109375" style="765" customWidth="1"/>
    <col min="8455" max="8455" width="5" style="765" customWidth="1"/>
    <col min="8456" max="8456" width="6.28515625" style="765" customWidth="1"/>
    <col min="8457" max="8704" width="9.140625" style="765"/>
    <col min="8705" max="8710" width="15.7109375" style="765" customWidth="1"/>
    <col min="8711" max="8711" width="5" style="765" customWidth="1"/>
    <col min="8712" max="8712" width="6.28515625" style="765" customWidth="1"/>
    <col min="8713" max="8960" width="9.140625" style="765"/>
    <col min="8961" max="8966" width="15.7109375" style="765" customWidth="1"/>
    <col min="8967" max="8967" width="5" style="765" customWidth="1"/>
    <col min="8968" max="8968" width="6.28515625" style="765" customWidth="1"/>
    <col min="8969" max="9216" width="9.140625" style="765"/>
    <col min="9217" max="9222" width="15.7109375" style="765" customWidth="1"/>
    <col min="9223" max="9223" width="5" style="765" customWidth="1"/>
    <col min="9224" max="9224" width="6.28515625" style="765" customWidth="1"/>
    <col min="9225" max="9472" width="9.140625" style="765"/>
    <col min="9473" max="9478" width="15.7109375" style="765" customWidth="1"/>
    <col min="9479" max="9479" width="5" style="765" customWidth="1"/>
    <col min="9480" max="9480" width="6.28515625" style="765" customWidth="1"/>
    <col min="9481" max="9728" width="9.140625" style="765"/>
    <col min="9729" max="9734" width="15.7109375" style="765" customWidth="1"/>
    <col min="9735" max="9735" width="5" style="765" customWidth="1"/>
    <col min="9736" max="9736" width="6.28515625" style="765" customWidth="1"/>
    <col min="9737" max="9984" width="9.140625" style="765"/>
    <col min="9985" max="9990" width="15.7109375" style="765" customWidth="1"/>
    <col min="9991" max="9991" width="5" style="765" customWidth="1"/>
    <col min="9992" max="9992" width="6.28515625" style="765" customWidth="1"/>
    <col min="9993" max="10240" width="9.140625" style="765"/>
    <col min="10241" max="10246" width="15.7109375" style="765" customWidth="1"/>
    <col min="10247" max="10247" width="5" style="765" customWidth="1"/>
    <col min="10248" max="10248" width="6.28515625" style="765" customWidth="1"/>
    <col min="10249" max="10496" width="9.140625" style="765"/>
    <col min="10497" max="10502" width="15.7109375" style="765" customWidth="1"/>
    <col min="10503" max="10503" width="5" style="765" customWidth="1"/>
    <col min="10504" max="10504" width="6.28515625" style="765" customWidth="1"/>
    <col min="10505" max="10752" width="9.140625" style="765"/>
    <col min="10753" max="10758" width="15.7109375" style="765" customWidth="1"/>
    <col min="10759" max="10759" width="5" style="765" customWidth="1"/>
    <col min="10760" max="10760" width="6.28515625" style="765" customWidth="1"/>
    <col min="10761" max="11008" width="9.140625" style="765"/>
    <col min="11009" max="11014" width="15.7109375" style="765" customWidth="1"/>
    <col min="11015" max="11015" width="5" style="765" customWidth="1"/>
    <col min="11016" max="11016" width="6.28515625" style="765" customWidth="1"/>
    <col min="11017" max="11264" width="9.140625" style="765"/>
    <col min="11265" max="11270" width="15.7109375" style="765" customWidth="1"/>
    <col min="11271" max="11271" width="5" style="765" customWidth="1"/>
    <col min="11272" max="11272" width="6.28515625" style="765" customWidth="1"/>
    <col min="11273" max="11520" width="9.140625" style="765"/>
    <col min="11521" max="11526" width="15.7109375" style="765" customWidth="1"/>
    <col min="11527" max="11527" width="5" style="765" customWidth="1"/>
    <col min="11528" max="11528" width="6.28515625" style="765" customWidth="1"/>
    <col min="11529" max="11776" width="9.140625" style="765"/>
    <col min="11777" max="11782" width="15.7109375" style="765" customWidth="1"/>
    <col min="11783" max="11783" width="5" style="765" customWidth="1"/>
    <col min="11784" max="11784" width="6.28515625" style="765" customWidth="1"/>
    <col min="11785" max="12032" width="9.140625" style="765"/>
    <col min="12033" max="12038" width="15.7109375" style="765" customWidth="1"/>
    <col min="12039" max="12039" width="5" style="765" customWidth="1"/>
    <col min="12040" max="12040" width="6.28515625" style="765" customWidth="1"/>
    <col min="12041" max="12288" width="9.140625" style="765"/>
    <col min="12289" max="12294" width="15.7109375" style="765" customWidth="1"/>
    <col min="12295" max="12295" width="5" style="765" customWidth="1"/>
    <col min="12296" max="12296" width="6.28515625" style="765" customWidth="1"/>
    <col min="12297" max="12544" width="9.140625" style="765"/>
    <col min="12545" max="12550" width="15.7109375" style="765" customWidth="1"/>
    <col min="12551" max="12551" width="5" style="765" customWidth="1"/>
    <col min="12552" max="12552" width="6.28515625" style="765" customWidth="1"/>
    <col min="12553" max="12800" width="9.140625" style="765"/>
    <col min="12801" max="12806" width="15.7109375" style="765" customWidth="1"/>
    <col min="12807" max="12807" width="5" style="765" customWidth="1"/>
    <col min="12808" max="12808" width="6.28515625" style="765" customWidth="1"/>
    <col min="12809" max="13056" width="9.140625" style="765"/>
    <col min="13057" max="13062" width="15.7109375" style="765" customWidth="1"/>
    <col min="13063" max="13063" width="5" style="765" customWidth="1"/>
    <col min="13064" max="13064" width="6.28515625" style="765" customWidth="1"/>
    <col min="13065" max="13312" width="9.140625" style="765"/>
    <col min="13313" max="13318" width="15.7109375" style="765" customWidth="1"/>
    <col min="13319" max="13319" width="5" style="765" customWidth="1"/>
    <col min="13320" max="13320" width="6.28515625" style="765" customWidth="1"/>
    <col min="13321" max="13568" width="9.140625" style="765"/>
    <col min="13569" max="13574" width="15.7109375" style="765" customWidth="1"/>
    <col min="13575" max="13575" width="5" style="765" customWidth="1"/>
    <col min="13576" max="13576" width="6.28515625" style="765" customWidth="1"/>
    <col min="13577" max="13824" width="9.140625" style="765"/>
    <col min="13825" max="13830" width="15.7109375" style="765" customWidth="1"/>
    <col min="13831" max="13831" width="5" style="765" customWidth="1"/>
    <col min="13832" max="13832" width="6.28515625" style="765" customWidth="1"/>
    <col min="13833" max="14080" width="9.140625" style="765"/>
    <col min="14081" max="14086" width="15.7109375" style="765" customWidth="1"/>
    <col min="14087" max="14087" width="5" style="765" customWidth="1"/>
    <col min="14088" max="14088" width="6.28515625" style="765" customWidth="1"/>
    <col min="14089" max="14336" width="9.140625" style="765"/>
    <col min="14337" max="14342" width="15.7109375" style="765" customWidth="1"/>
    <col min="14343" max="14343" width="5" style="765" customWidth="1"/>
    <col min="14344" max="14344" width="6.28515625" style="765" customWidth="1"/>
    <col min="14345" max="14592" width="9.140625" style="765"/>
    <col min="14593" max="14598" width="15.7109375" style="765" customWidth="1"/>
    <col min="14599" max="14599" width="5" style="765" customWidth="1"/>
    <col min="14600" max="14600" width="6.28515625" style="765" customWidth="1"/>
    <col min="14601" max="14848" width="9.140625" style="765"/>
    <col min="14849" max="14854" width="15.7109375" style="765" customWidth="1"/>
    <col min="14855" max="14855" width="5" style="765" customWidth="1"/>
    <col min="14856" max="14856" width="6.28515625" style="765" customWidth="1"/>
    <col min="14857" max="15104" width="9.140625" style="765"/>
    <col min="15105" max="15110" width="15.7109375" style="765" customWidth="1"/>
    <col min="15111" max="15111" width="5" style="765" customWidth="1"/>
    <col min="15112" max="15112" width="6.28515625" style="765" customWidth="1"/>
    <col min="15113" max="15360" width="9.140625" style="765"/>
    <col min="15361" max="15366" width="15.7109375" style="765" customWidth="1"/>
    <col min="15367" max="15367" width="5" style="765" customWidth="1"/>
    <col min="15368" max="15368" width="6.28515625" style="765" customWidth="1"/>
    <col min="15369" max="15616" width="9.140625" style="765"/>
    <col min="15617" max="15622" width="15.7109375" style="765" customWidth="1"/>
    <col min="15623" max="15623" width="5" style="765" customWidth="1"/>
    <col min="15624" max="15624" width="6.28515625" style="765" customWidth="1"/>
    <col min="15625" max="15872" width="9.140625" style="765"/>
    <col min="15873" max="15878" width="15.7109375" style="765" customWidth="1"/>
    <col min="15879" max="15879" width="5" style="765" customWidth="1"/>
    <col min="15880" max="15880" width="6.28515625" style="765" customWidth="1"/>
    <col min="15881" max="16128" width="9.140625" style="765"/>
    <col min="16129" max="16134" width="15.7109375" style="765" customWidth="1"/>
    <col min="16135" max="16135" width="5" style="765" customWidth="1"/>
    <col min="16136" max="16136" width="6.28515625" style="765" customWidth="1"/>
    <col min="16137" max="16384" width="9.140625" style="765"/>
  </cols>
  <sheetData>
    <row r="1" spans="1:6" s="1058" customFormat="1" ht="23.25" customHeight="1">
      <c r="A1" s="1057" t="s">
        <v>879</v>
      </c>
    </row>
    <row r="2" spans="1:6" ht="16.5" customHeight="1" thickBot="1">
      <c r="F2" s="1060" t="s">
        <v>12</v>
      </c>
    </row>
    <row r="3" spans="1:6" s="1064" customFormat="1" ht="30" customHeight="1" thickBot="1">
      <c r="A3" s="1061"/>
      <c r="B3" s="1062" t="s">
        <v>880</v>
      </c>
      <c r="C3" s="1062" t="s">
        <v>881</v>
      </c>
      <c r="D3" s="1062" t="s">
        <v>882</v>
      </c>
      <c r="E3" s="1062" t="s">
        <v>883</v>
      </c>
      <c r="F3" s="1063" t="s">
        <v>369</v>
      </c>
    </row>
    <row r="4" spans="1:6" ht="16.5" hidden="1" customHeight="1">
      <c r="A4" s="1065">
        <v>40339</v>
      </c>
      <c r="B4" s="1066">
        <v>37988</v>
      </c>
      <c r="C4" s="1066">
        <v>40075</v>
      </c>
      <c r="D4" s="1066">
        <v>21911</v>
      </c>
      <c r="E4" s="1066">
        <v>24220</v>
      </c>
      <c r="F4" s="1067">
        <f>SUM(B4:D4)</f>
        <v>99974</v>
      </c>
    </row>
    <row r="5" spans="1:6" ht="16.5" hidden="1" customHeight="1">
      <c r="A5" s="1068">
        <v>40360</v>
      </c>
      <c r="B5" s="1066">
        <v>33816</v>
      </c>
      <c r="C5" s="1066">
        <v>40483</v>
      </c>
      <c r="D5" s="1066">
        <v>21911</v>
      </c>
      <c r="E5" s="1066">
        <v>26220</v>
      </c>
      <c r="F5" s="1067">
        <f>SUM(B5:D5)</f>
        <v>96210</v>
      </c>
    </row>
    <row r="6" spans="1:6" ht="20.100000000000001" hidden="1" customHeight="1">
      <c r="A6" s="1068">
        <v>40391</v>
      </c>
      <c r="B6" s="1066">
        <v>32161</v>
      </c>
      <c r="C6" s="1066">
        <v>41031</v>
      </c>
      <c r="D6" s="1066">
        <v>21411</v>
      </c>
      <c r="E6" s="1066">
        <v>29112</v>
      </c>
      <c r="F6" s="1067">
        <f t="shared" ref="F6:F19" si="0">SUM(B6:E6)</f>
        <v>123715</v>
      </c>
    </row>
    <row r="7" spans="1:6" ht="20.100000000000001" hidden="1" customHeight="1">
      <c r="A7" s="1068">
        <v>40431</v>
      </c>
      <c r="B7" s="1066">
        <v>29436</v>
      </c>
      <c r="C7" s="1066">
        <v>42137</v>
      </c>
      <c r="D7" s="1066">
        <v>21411</v>
      </c>
      <c r="E7" s="1066">
        <v>29112</v>
      </c>
      <c r="F7" s="1067">
        <f t="shared" si="0"/>
        <v>122096</v>
      </c>
    </row>
    <row r="8" spans="1:6" ht="20.100000000000001" hidden="1" customHeight="1">
      <c r="A8" s="1068">
        <v>40480</v>
      </c>
      <c r="B8" s="1066">
        <v>28731</v>
      </c>
      <c r="C8" s="1066">
        <v>43055</v>
      </c>
      <c r="D8" s="1066">
        <v>21411</v>
      </c>
      <c r="E8" s="1066">
        <v>29112</v>
      </c>
      <c r="F8" s="1067">
        <f t="shared" si="0"/>
        <v>122309</v>
      </c>
    </row>
    <row r="9" spans="1:6" ht="20.100000000000001" hidden="1" customHeight="1">
      <c r="A9" s="1068">
        <v>40483</v>
      </c>
      <c r="B9" s="1066">
        <v>30334</v>
      </c>
      <c r="C9" s="1066">
        <v>43372</v>
      </c>
      <c r="D9" s="1066">
        <v>21306</v>
      </c>
      <c r="E9" s="1066">
        <v>28388</v>
      </c>
      <c r="F9" s="1067">
        <f t="shared" si="0"/>
        <v>123400</v>
      </c>
    </row>
    <row r="10" spans="1:6" ht="20.100000000000001" hidden="1" customHeight="1">
      <c r="A10" s="1068">
        <v>40513</v>
      </c>
      <c r="B10" s="1066">
        <v>31915</v>
      </c>
      <c r="C10" s="1066">
        <v>44023</v>
      </c>
      <c r="D10" s="1066">
        <v>20967</v>
      </c>
      <c r="E10" s="1066">
        <v>29631</v>
      </c>
      <c r="F10" s="1067">
        <f t="shared" si="0"/>
        <v>126536</v>
      </c>
    </row>
    <row r="11" spans="1:6" ht="20.100000000000001" hidden="1" customHeight="1">
      <c r="A11" s="1068">
        <v>40544</v>
      </c>
      <c r="B11" s="1066">
        <v>30273</v>
      </c>
      <c r="C11" s="1066">
        <v>42782</v>
      </c>
      <c r="D11" s="1066">
        <v>20967</v>
      </c>
      <c r="E11" s="1066">
        <v>29631</v>
      </c>
      <c r="F11" s="1067">
        <f t="shared" si="0"/>
        <v>123653</v>
      </c>
    </row>
    <row r="12" spans="1:6" ht="20.100000000000001" hidden="1" customHeight="1">
      <c r="A12" s="1068">
        <v>40585</v>
      </c>
      <c r="B12" s="1066">
        <v>30559</v>
      </c>
      <c r="C12" s="1066">
        <v>42268</v>
      </c>
      <c r="D12" s="1066">
        <v>22086</v>
      </c>
      <c r="E12" s="1066">
        <v>29631</v>
      </c>
      <c r="F12" s="1067">
        <f t="shared" si="0"/>
        <v>124544</v>
      </c>
    </row>
    <row r="13" spans="1:6" ht="20.100000000000001" hidden="1" customHeight="1">
      <c r="A13" s="1068">
        <v>40603</v>
      </c>
      <c r="B13" s="1066">
        <v>30627</v>
      </c>
      <c r="C13" s="1066">
        <v>42336</v>
      </c>
      <c r="D13" s="1066">
        <v>22086</v>
      </c>
      <c r="E13" s="1066">
        <v>29794</v>
      </c>
      <c r="F13" s="1067">
        <f t="shared" si="0"/>
        <v>124843</v>
      </c>
    </row>
    <row r="14" spans="1:6" ht="20.100000000000001" hidden="1" customHeight="1">
      <c r="A14" s="1068">
        <v>40634</v>
      </c>
      <c r="B14" s="1066">
        <v>30545</v>
      </c>
      <c r="C14" s="1066">
        <v>42358</v>
      </c>
      <c r="D14" s="1066">
        <v>23088</v>
      </c>
      <c r="E14" s="1066">
        <v>29794</v>
      </c>
      <c r="F14" s="1067">
        <f t="shared" si="0"/>
        <v>125785</v>
      </c>
    </row>
    <row r="15" spans="1:6" ht="20.100000000000001" hidden="1" customHeight="1">
      <c r="A15" s="1068">
        <v>40664</v>
      </c>
      <c r="B15" s="1066">
        <v>31528</v>
      </c>
      <c r="C15" s="1066">
        <v>42041</v>
      </c>
      <c r="D15" s="1066">
        <v>23088</v>
      </c>
      <c r="E15" s="1066">
        <v>31342</v>
      </c>
      <c r="F15" s="1067">
        <f t="shared" si="0"/>
        <v>127999</v>
      </c>
    </row>
    <row r="16" spans="1:6" ht="20.100000000000001" hidden="1" customHeight="1">
      <c r="A16" s="1068">
        <v>40725</v>
      </c>
      <c r="B16" s="1066">
        <v>32583</v>
      </c>
      <c r="C16" s="1066">
        <v>42511</v>
      </c>
      <c r="D16" s="1066">
        <v>22740</v>
      </c>
      <c r="E16" s="1066">
        <v>31342</v>
      </c>
      <c r="F16" s="1067">
        <f t="shared" si="0"/>
        <v>129176</v>
      </c>
    </row>
    <row r="17" spans="1:6" ht="20.100000000000001" hidden="1" customHeight="1">
      <c r="A17" s="1068">
        <v>40756</v>
      </c>
      <c r="B17" s="1066">
        <v>30710</v>
      </c>
      <c r="C17" s="1066">
        <v>42993</v>
      </c>
      <c r="D17" s="1066">
        <v>23154</v>
      </c>
      <c r="E17" s="1066">
        <v>31342</v>
      </c>
      <c r="F17" s="1067">
        <f t="shared" si="0"/>
        <v>128199</v>
      </c>
    </row>
    <row r="18" spans="1:6" ht="20.100000000000001" hidden="1" customHeight="1">
      <c r="A18" s="1068">
        <v>40787</v>
      </c>
      <c r="B18" s="1066">
        <v>29756</v>
      </c>
      <c r="C18" s="1066">
        <v>43058</v>
      </c>
      <c r="D18" s="1066">
        <v>23154</v>
      </c>
      <c r="E18" s="1066">
        <v>32630</v>
      </c>
      <c r="F18" s="1067">
        <f t="shared" si="0"/>
        <v>128598</v>
      </c>
    </row>
    <row r="19" spans="1:6" ht="20.100000000000001" hidden="1" customHeight="1">
      <c r="A19" s="1068">
        <v>40817</v>
      </c>
      <c r="B19" s="1066">
        <v>31534</v>
      </c>
      <c r="C19" s="1066">
        <v>43610</v>
      </c>
      <c r="D19" s="1066">
        <v>24454</v>
      </c>
      <c r="E19" s="1066">
        <v>32630</v>
      </c>
      <c r="F19" s="1067">
        <f t="shared" si="0"/>
        <v>132228</v>
      </c>
    </row>
    <row r="20" spans="1:6" ht="20.100000000000001" hidden="1" customHeight="1">
      <c r="A20" s="1068">
        <v>40848</v>
      </c>
      <c r="B20" s="1066">
        <v>31506</v>
      </c>
      <c r="C20" s="1066">
        <v>43374</v>
      </c>
      <c r="D20" s="1066">
        <v>24454</v>
      </c>
      <c r="E20" s="1066">
        <v>33971</v>
      </c>
      <c r="F20" s="1069">
        <f t="shared" ref="F20:F34" si="1">SUM(B20:E20)</f>
        <v>133305</v>
      </c>
    </row>
    <row r="21" spans="1:6" ht="20.100000000000001" hidden="1" customHeight="1">
      <c r="A21" s="1068">
        <v>40878</v>
      </c>
      <c r="B21" s="1066">
        <v>32093</v>
      </c>
      <c r="C21" s="1066">
        <v>42611</v>
      </c>
      <c r="D21" s="1066">
        <v>23954</v>
      </c>
      <c r="E21" s="1066">
        <v>34575</v>
      </c>
      <c r="F21" s="1069">
        <f t="shared" si="1"/>
        <v>133233</v>
      </c>
    </row>
    <row r="22" spans="1:6" ht="20.100000000000001" hidden="1" customHeight="1">
      <c r="A22" s="1068">
        <v>40909</v>
      </c>
      <c r="B22" s="1066">
        <v>33125</v>
      </c>
      <c r="C22" s="1066">
        <v>43150</v>
      </c>
      <c r="D22" s="1066">
        <v>23954</v>
      </c>
      <c r="E22" s="1066">
        <v>35152</v>
      </c>
      <c r="F22" s="1069">
        <f t="shared" si="1"/>
        <v>135381</v>
      </c>
    </row>
    <row r="23" spans="1:6" ht="20.100000000000001" customHeight="1">
      <c r="A23" s="1068">
        <v>40968</v>
      </c>
      <c r="B23" s="1066">
        <v>32651</v>
      </c>
      <c r="C23" s="1066">
        <v>43632</v>
      </c>
      <c r="D23" s="1066">
        <v>24474</v>
      </c>
      <c r="E23" s="1066">
        <v>35152</v>
      </c>
      <c r="F23" s="1069">
        <f t="shared" si="1"/>
        <v>135909</v>
      </c>
    </row>
    <row r="24" spans="1:6" ht="20.100000000000001" customHeight="1">
      <c r="A24" s="1068">
        <v>40999</v>
      </c>
      <c r="B24" s="1066">
        <v>32664</v>
      </c>
      <c r="C24" s="1066">
        <v>44305</v>
      </c>
      <c r="D24" s="1066">
        <v>25474</v>
      </c>
      <c r="E24" s="1066">
        <v>35152</v>
      </c>
      <c r="F24" s="1069">
        <f t="shared" si="1"/>
        <v>137595</v>
      </c>
    </row>
    <row r="25" spans="1:6" ht="20.100000000000001" customHeight="1">
      <c r="A25" s="1068">
        <v>41000</v>
      </c>
      <c r="B25" s="1066">
        <v>31999</v>
      </c>
      <c r="C25" s="1066">
        <v>44822</v>
      </c>
      <c r="D25" s="1066">
        <v>26374</v>
      </c>
      <c r="E25" s="1066">
        <v>35152</v>
      </c>
      <c r="F25" s="1069">
        <f t="shared" si="1"/>
        <v>138347</v>
      </c>
    </row>
    <row r="26" spans="1:6" ht="20.100000000000001" customHeight="1">
      <c r="A26" s="1068">
        <v>41060</v>
      </c>
      <c r="B26" s="1066">
        <v>32814</v>
      </c>
      <c r="C26" s="1066">
        <v>45306</v>
      </c>
      <c r="D26" s="1066">
        <v>26374</v>
      </c>
      <c r="E26" s="1066">
        <v>35152</v>
      </c>
      <c r="F26" s="1069">
        <f t="shared" si="1"/>
        <v>139646</v>
      </c>
    </row>
    <row r="27" spans="1:6" ht="20.100000000000001" customHeight="1">
      <c r="A27" s="1068">
        <v>41061</v>
      </c>
      <c r="B27" s="1066">
        <v>32654</v>
      </c>
      <c r="C27" s="1066">
        <v>43616</v>
      </c>
      <c r="D27" s="1066">
        <v>27686</v>
      </c>
      <c r="E27" s="1066">
        <v>36603</v>
      </c>
      <c r="F27" s="1069">
        <f t="shared" si="1"/>
        <v>140559</v>
      </c>
    </row>
    <row r="28" spans="1:6" ht="20.100000000000001" customHeight="1">
      <c r="A28" s="1068">
        <v>41121</v>
      </c>
      <c r="B28" s="1066">
        <v>30361</v>
      </c>
      <c r="C28" s="1066">
        <v>43409</v>
      </c>
      <c r="D28" s="1066">
        <v>27686</v>
      </c>
      <c r="E28" s="1066">
        <v>36603</v>
      </c>
      <c r="F28" s="1069">
        <f t="shared" si="1"/>
        <v>138059</v>
      </c>
    </row>
    <row r="29" spans="1:6" ht="20.100000000000001" customHeight="1">
      <c r="A29" s="1068">
        <v>41152</v>
      </c>
      <c r="B29" s="1066">
        <v>30012</v>
      </c>
      <c r="C29" s="1066">
        <v>43947</v>
      </c>
      <c r="D29" s="1066">
        <v>28546</v>
      </c>
      <c r="E29" s="1066">
        <v>37231</v>
      </c>
      <c r="F29" s="1069">
        <f t="shared" si="1"/>
        <v>139736</v>
      </c>
    </row>
    <row r="30" spans="1:6" ht="20.100000000000001" customHeight="1">
      <c r="A30" s="1068">
        <v>41182</v>
      </c>
      <c r="B30" s="1066">
        <v>28711</v>
      </c>
      <c r="C30" s="1066">
        <v>43964</v>
      </c>
      <c r="D30" s="1066">
        <v>28546</v>
      </c>
      <c r="E30" s="1066">
        <v>39030</v>
      </c>
      <c r="F30" s="1069">
        <f t="shared" si="1"/>
        <v>140251</v>
      </c>
    </row>
    <row r="31" spans="1:6" ht="20.100000000000001" customHeight="1">
      <c r="A31" s="1068">
        <v>41213</v>
      </c>
      <c r="B31" s="1066">
        <v>28881</v>
      </c>
      <c r="C31" s="1066">
        <v>42966</v>
      </c>
      <c r="D31" s="1066">
        <v>29009</v>
      </c>
      <c r="E31" s="1066">
        <v>38533</v>
      </c>
      <c r="F31" s="1069">
        <f t="shared" si="1"/>
        <v>139389</v>
      </c>
    </row>
    <row r="32" spans="1:6" ht="20.100000000000001" customHeight="1">
      <c r="A32" s="1068">
        <v>41243</v>
      </c>
      <c r="B32" s="1066">
        <v>29393</v>
      </c>
      <c r="C32" s="1066">
        <v>41632</v>
      </c>
      <c r="D32" s="1066">
        <v>29009</v>
      </c>
      <c r="E32" s="1066">
        <v>40328</v>
      </c>
      <c r="F32" s="1069">
        <f t="shared" si="1"/>
        <v>140362</v>
      </c>
    </row>
    <row r="33" spans="1:6" ht="20.100000000000001" customHeight="1">
      <c r="A33" s="1068">
        <v>41273</v>
      </c>
      <c r="B33" s="1066">
        <v>29702</v>
      </c>
      <c r="C33" s="1066">
        <v>40157</v>
      </c>
      <c r="D33" s="1066">
        <v>29659</v>
      </c>
      <c r="E33" s="1066">
        <v>39904</v>
      </c>
      <c r="F33" s="1069">
        <f t="shared" si="1"/>
        <v>139422</v>
      </c>
    </row>
    <row r="34" spans="1:6" ht="20.100000000000001" customHeight="1">
      <c r="A34" s="1068">
        <v>41305</v>
      </c>
      <c r="B34" s="1066">
        <v>30004</v>
      </c>
      <c r="C34" s="1066">
        <v>39966</v>
      </c>
      <c r="D34" s="1066">
        <v>29659</v>
      </c>
      <c r="E34" s="1066">
        <v>41300</v>
      </c>
      <c r="F34" s="1069">
        <f t="shared" si="1"/>
        <v>140929</v>
      </c>
    </row>
    <row r="35" spans="1:6" ht="20.100000000000001" customHeight="1" thickBot="1">
      <c r="A35" s="1070">
        <v>41333</v>
      </c>
      <c r="B35" s="1071">
        <v>29663</v>
      </c>
      <c r="C35" s="1071">
        <v>39742</v>
      </c>
      <c r="D35" s="1071">
        <v>30109</v>
      </c>
      <c r="E35" s="1071">
        <v>41300</v>
      </c>
      <c r="F35" s="1072">
        <f>SUM(B35:E35)</f>
        <v>140814</v>
      </c>
    </row>
    <row r="36" spans="1:6">
      <c r="A36" s="1073" t="s">
        <v>884</v>
      </c>
      <c r="F36" s="1059"/>
    </row>
    <row r="37" spans="1:6">
      <c r="A37" s="1073" t="s">
        <v>885</v>
      </c>
      <c r="F37" s="1059"/>
    </row>
    <row r="38" spans="1:6" ht="30" customHeight="1"/>
    <row r="39" spans="1:6" s="1074" customFormat="1" ht="15.75">
      <c r="A39" s="1057" t="s">
        <v>886</v>
      </c>
    </row>
    <row r="40" spans="1:6" ht="13.5" thickBot="1">
      <c r="E40" s="1060"/>
      <c r="F40" s="1060" t="s">
        <v>12</v>
      </c>
    </row>
    <row r="41" spans="1:6" ht="26.25" thickBot="1">
      <c r="A41" s="1075"/>
      <c r="B41" s="1076" t="s">
        <v>880</v>
      </c>
      <c r="C41" s="1062" t="s">
        <v>881</v>
      </c>
      <c r="D41" s="1062" t="s">
        <v>887</v>
      </c>
      <c r="E41" s="1062" t="s">
        <v>888</v>
      </c>
      <c r="F41" s="1063" t="s">
        <v>369</v>
      </c>
    </row>
    <row r="42" spans="1:6" ht="20.100000000000001" customHeight="1">
      <c r="A42" s="1077" t="s">
        <v>889</v>
      </c>
      <c r="B42" s="1066">
        <v>11915</v>
      </c>
      <c r="C42" s="1066">
        <v>4252</v>
      </c>
      <c r="D42" s="1066">
        <v>1500</v>
      </c>
      <c r="E42" s="1066" t="s">
        <v>770</v>
      </c>
      <c r="F42" s="1066">
        <f>SUM(B42:E42)</f>
        <v>17667</v>
      </c>
    </row>
    <row r="43" spans="1:6" ht="20.100000000000001" customHeight="1">
      <c r="A43" s="1077" t="s">
        <v>890</v>
      </c>
      <c r="B43" s="1078">
        <v>17748</v>
      </c>
      <c r="C43" s="1066">
        <v>7733</v>
      </c>
      <c r="D43" s="1066">
        <v>6000</v>
      </c>
      <c r="E43" s="1066">
        <v>2328</v>
      </c>
      <c r="F43" s="1066">
        <f t="shared" ref="F43:F59" si="2">SUM(B43:E43)</f>
        <v>33809</v>
      </c>
    </row>
    <row r="44" spans="1:6" ht="20.100000000000001" customHeight="1">
      <c r="A44" s="1077" t="s">
        <v>891</v>
      </c>
      <c r="B44" s="1078" t="s">
        <v>770</v>
      </c>
      <c r="C44" s="1066">
        <v>18299</v>
      </c>
      <c r="D44" s="1066">
        <v>9500</v>
      </c>
      <c r="E44" s="1066">
        <v>3038</v>
      </c>
      <c r="F44" s="1066">
        <f t="shared" si="2"/>
        <v>30837</v>
      </c>
    </row>
    <row r="45" spans="1:6" ht="20.100000000000001" customHeight="1">
      <c r="A45" s="1077" t="s">
        <v>892</v>
      </c>
      <c r="B45" s="1078" t="s">
        <v>770</v>
      </c>
      <c r="C45" s="1066">
        <v>9458</v>
      </c>
      <c r="D45" s="1066" t="s">
        <v>770</v>
      </c>
      <c r="E45" s="1066">
        <v>3611</v>
      </c>
      <c r="F45" s="1066">
        <f t="shared" si="2"/>
        <v>13069</v>
      </c>
    </row>
    <row r="46" spans="1:6" ht="20.100000000000001" customHeight="1">
      <c r="A46" s="1077" t="s">
        <v>893</v>
      </c>
      <c r="B46" s="1078" t="s">
        <v>770</v>
      </c>
      <c r="C46" s="1078" t="s">
        <v>770</v>
      </c>
      <c r="D46" s="1066">
        <v>9544</v>
      </c>
      <c r="E46" s="1066">
        <v>1363</v>
      </c>
      <c r="F46" s="1066">
        <f t="shared" si="2"/>
        <v>10907</v>
      </c>
    </row>
    <row r="47" spans="1:6" ht="20.100000000000001" customHeight="1">
      <c r="A47" s="1077" t="s">
        <v>894</v>
      </c>
      <c r="B47" s="1078" t="s">
        <v>770</v>
      </c>
      <c r="C47" s="1079" t="s">
        <v>770</v>
      </c>
      <c r="D47" s="1066">
        <v>3565</v>
      </c>
      <c r="E47" s="1066">
        <v>369</v>
      </c>
      <c r="F47" s="1066">
        <f t="shared" si="2"/>
        <v>3934</v>
      </c>
    </row>
    <row r="48" spans="1:6" ht="20.100000000000001" customHeight="1">
      <c r="A48" s="1077" t="s">
        <v>895</v>
      </c>
      <c r="B48" s="1078" t="s">
        <v>770</v>
      </c>
      <c r="C48" s="1079" t="s">
        <v>770</v>
      </c>
      <c r="D48" s="1066" t="s">
        <v>770</v>
      </c>
      <c r="E48" s="1066">
        <v>1610</v>
      </c>
      <c r="F48" s="1066">
        <f t="shared" si="2"/>
        <v>1610</v>
      </c>
    </row>
    <row r="49" spans="1:6" ht="20.100000000000001" customHeight="1">
      <c r="A49" s="1077" t="s">
        <v>896</v>
      </c>
      <c r="B49" s="1078" t="s">
        <v>770</v>
      </c>
      <c r="C49" s="1079" t="s">
        <v>770</v>
      </c>
      <c r="D49" s="1066" t="s">
        <v>770</v>
      </c>
      <c r="E49" s="1066">
        <v>1826</v>
      </c>
      <c r="F49" s="1066">
        <f t="shared" si="2"/>
        <v>1826</v>
      </c>
    </row>
    <row r="50" spans="1:6" ht="20.100000000000001" customHeight="1">
      <c r="A50" s="1077" t="s">
        <v>897</v>
      </c>
      <c r="B50" s="1078" t="s">
        <v>770</v>
      </c>
      <c r="C50" s="1079" t="s">
        <v>770</v>
      </c>
      <c r="D50" s="1066" t="s">
        <v>770</v>
      </c>
      <c r="E50" s="1066">
        <v>4349</v>
      </c>
      <c r="F50" s="1066">
        <f t="shared" si="2"/>
        <v>4349</v>
      </c>
    </row>
    <row r="51" spans="1:6" ht="20.100000000000001" customHeight="1">
      <c r="A51" s="1077" t="s">
        <v>898</v>
      </c>
      <c r="B51" s="1078" t="s">
        <v>770</v>
      </c>
      <c r="C51" s="1079" t="s">
        <v>770</v>
      </c>
      <c r="D51" s="1066" t="s">
        <v>770</v>
      </c>
      <c r="E51" s="1066">
        <v>4931</v>
      </c>
      <c r="F51" s="1066">
        <f t="shared" si="2"/>
        <v>4931</v>
      </c>
    </row>
    <row r="52" spans="1:6" ht="20.100000000000001" customHeight="1">
      <c r="A52" s="1077" t="s">
        <v>899</v>
      </c>
      <c r="B52" s="1078" t="s">
        <v>770</v>
      </c>
      <c r="C52" s="1079" t="s">
        <v>770</v>
      </c>
      <c r="D52" s="1066" t="s">
        <v>770</v>
      </c>
      <c r="E52" s="1066">
        <v>2631</v>
      </c>
      <c r="F52" s="1066">
        <f t="shared" si="2"/>
        <v>2631</v>
      </c>
    </row>
    <row r="53" spans="1:6" ht="20.100000000000001" customHeight="1">
      <c r="A53" s="1077" t="s">
        <v>900</v>
      </c>
      <c r="B53" s="1078" t="s">
        <v>770</v>
      </c>
      <c r="C53" s="1079" t="s">
        <v>770</v>
      </c>
      <c r="D53" s="1078" t="s">
        <v>770</v>
      </c>
      <c r="E53" s="1078" t="s">
        <v>770</v>
      </c>
      <c r="F53" s="1066" t="s">
        <v>770</v>
      </c>
    </row>
    <row r="54" spans="1:6" ht="20.100000000000001" customHeight="1">
      <c r="A54" s="1077" t="s">
        <v>901</v>
      </c>
      <c r="B54" s="1078" t="s">
        <v>770</v>
      </c>
      <c r="C54" s="1079" t="s">
        <v>770</v>
      </c>
      <c r="D54" s="1078" t="s">
        <v>770</v>
      </c>
      <c r="E54" s="1078" t="s">
        <v>770</v>
      </c>
      <c r="F54" s="1066" t="s">
        <v>770</v>
      </c>
    </row>
    <row r="55" spans="1:6" ht="20.100000000000001" customHeight="1">
      <c r="A55" s="1077" t="s">
        <v>902</v>
      </c>
      <c r="B55" s="1078" t="s">
        <v>770</v>
      </c>
      <c r="C55" s="1079" t="s">
        <v>770</v>
      </c>
      <c r="D55" s="1066" t="s">
        <v>770</v>
      </c>
      <c r="E55" s="1066">
        <v>5061</v>
      </c>
      <c r="F55" s="1066">
        <f t="shared" si="2"/>
        <v>5061</v>
      </c>
    </row>
    <row r="56" spans="1:6" ht="20.100000000000001" customHeight="1">
      <c r="A56" s="1077" t="s">
        <v>903</v>
      </c>
      <c r="B56" s="1078" t="s">
        <v>770</v>
      </c>
      <c r="C56" s="1079" t="s">
        <v>770</v>
      </c>
      <c r="D56" s="1066" t="s">
        <v>770</v>
      </c>
      <c r="E56" s="1066">
        <v>3493</v>
      </c>
      <c r="F56" s="1066">
        <f t="shared" si="2"/>
        <v>3493</v>
      </c>
    </row>
    <row r="57" spans="1:6" ht="20.100000000000001" customHeight="1">
      <c r="A57" s="1077" t="s">
        <v>904</v>
      </c>
      <c r="B57" s="1078" t="s">
        <v>770</v>
      </c>
      <c r="C57" s="1079" t="s">
        <v>770</v>
      </c>
      <c r="D57" s="1066" t="s">
        <v>770</v>
      </c>
      <c r="E57" s="1066">
        <v>5123</v>
      </c>
      <c r="F57" s="1066">
        <f t="shared" si="2"/>
        <v>5123</v>
      </c>
    </row>
    <row r="58" spans="1:6" ht="20.100000000000001" customHeight="1">
      <c r="A58" s="1077" t="s">
        <v>905</v>
      </c>
      <c r="B58" s="1078" t="s">
        <v>770</v>
      </c>
      <c r="C58" s="1079" t="s">
        <v>770</v>
      </c>
      <c r="D58" s="1066" t="s">
        <v>770</v>
      </c>
      <c r="E58" s="1066">
        <v>988</v>
      </c>
      <c r="F58" s="1066">
        <f t="shared" si="2"/>
        <v>988</v>
      </c>
    </row>
    <row r="59" spans="1:6" ht="20.100000000000001" customHeight="1" thickBot="1">
      <c r="A59" s="1077" t="s">
        <v>906</v>
      </c>
      <c r="B59" s="1078" t="s">
        <v>770</v>
      </c>
      <c r="C59" s="1079" t="s">
        <v>770</v>
      </c>
      <c r="D59" s="1066" t="s">
        <v>770</v>
      </c>
      <c r="E59" s="1066">
        <v>579</v>
      </c>
      <c r="F59" s="1066">
        <f t="shared" si="2"/>
        <v>579</v>
      </c>
    </row>
    <row r="60" spans="1:6" s="1059" customFormat="1" ht="20.100000000000001" customHeight="1" thickBot="1">
      <c r="A60" s="1080" t="s">
        <v>369</v>
      </c>
      <c r="B60" s="1081">
        <f>SUM(B42:B59)</f>
        <v>29663</v>
      </c>
      <c r="C60" s="1081">
        <f>SUM(C42:C59)</f>
        <v>39742</v>
      </c>
      <c r="D60" s="1082">
        <f>SUM(D42:D59)</f>
        <v>30109</v>
      </c>
      <c r="E60" s="1082">
        <f>SUM(E42:E59)</f>
        <v>41300</v>
      </c>
      <c r="F60" s="1082">
        <f>SUM(F42:F59)</f>
        <v>140814</v>
      </c>
    </row>
    <row r="61" spans="1:6" ht="13.5" customHeight="1">
      <c r="A61" s="1073" t="s">
        <v>907</v>
      </c>
      <c r="C61" s="1073"/>
      <c r="D61" s="1073"/>
    </row>
    <row r="62" spans="1:6">
      <c r="A62" s="1073" t="s">
        <v>884</v>
      </c>
      <c r="D62" s="1073"/>
      <c r="F62" s="1059"/>
    </row>
    <row r="63" spans="1:6">
      <c r="A63" s="1073" t="s">
        <v>885</v>
      </c>
    </row>
  </sheetData>
  <printOptions horizontalCentered="1"/>
  <pageMargins left="0.39370078740157483" right="0.39370078740157483" top="0.74803149606299213" bottom="0.74803149606299213" header="0" footer="0"/>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2"/>
  <sheetViews>
    <sheetView zoomScaleNormal="100" workbookViewId="0">
      <selection activeCell="D17" sqref="D17"/>
    </sheetView>
  </sheetViews>
  <sheetFormatPr defaultRowHeight="12.75"/>
  <cols>
    <col min="1" max="2" width="15.7109375" style="1085" customWidth="1"/>
    <col min="3" max="3" width="12.140625" style="1085" bestFit="1" customWidth="1"/>
    <col min="4" max="4" width="20" style="1085" bestFit="1" customWidth="1"/>
    <col min="5" max="5" width="28.28515625" style="1085" customWidth="1"/>
    <col min="6" max="6" width="8.5703125" style="1085" customWidth="1"/>
    <col min="7" max="7" width="12.140625" style="1085" customWidth="1"/>
    <col min="8" max="8" width="12.28515625" style="1085" bestFit="1" customWidth="1"/>
    <col min="9" max="9" width="9.7109375" style="1085" bestFit="1" customWidth="1"/>
    <col min="10" max="10" width="9.5703125" style="1085" bestFit="1" customWidth="1"/>
    <col min="11" max="12" width="9.140625" style="1085"/>
    <col min="13" max="13" width="9.5703125" style="1085" bestFit="1" customWidth="1"/>
    <col min="14" max="256" width="9.140625" style="1085"/>
    <col min="257" max="258" width="15.7109375" style="1085" customWidth="1"/>
    <col min="259" max="259" width="12.140625" style="1085" bestFit="1" customWidth="1"/>
    <col min="260" max="260" width="20" style="1085" bestFit="1" customWidth="1"/>
    <col min="261" max="261" width="28.28515625" style="1085" customWidth="1"/>
    <col min="262" max="262" width="8.5703125" style="1085" customWidth="1"/>
    <col min="263" max="263" width="12.140625" style="1085" customWidth="1"/>
    <col min="264" max="264" width="12.28515625" style="1085" bestFit="1" customWidth="1"/>
    <col min="265" max="265" width="9.7109375" style="1085" bestFit="1" customWidth="1"/>
    <col min="266" max="266" width="9.5703125" style="1085" bestFit="1" customWidth="1"/>
    <col min="267" max="268" width="9.140625" style="1085"/>
    <col min="269" max="269" width="9.5703125" style="1085" bestFit="1" customWidth="1"/>
    <col min="270" max="512" width="9.140625" style="1085"/>
    <col min="513" max="514" width="15.7109375" style="1085" customWidth="1"/>
    <col min="515" max="515" width="12.140625" style="1085" bestFit="1" customWidth="1"/>
    <col min="516" max="516" width="20" style="1085" bestFit="1" customWidth="1"/>
    <col min="517" max="517" width="28.28515625" style="1085" customWidth="1"/>
    <col min="518" max="518" width="8.5703125" style="1085" customWidth="1"/>
    <col min="519" max="519" width="12.140625" style="1085" customWidth="1"/>
    <col min="520" max="520" width="12.28515625" style="1085" bestFit="1" customWidth="1"/>
    <col min="521" max="521" width="9.7109375" style="1085" bestFit="1" customWidth="1"/>
    <col min="522" max="522" width="9.5703125" style="1085" bestFit="1" customWidth="1"/>
    <col min="523" max="524" width="9.140625" style="1085"/>
    <col min="525" max="525" width="9.5703125" style="1085" bestFit="1" customWidth="1"/>
    <col min="526" max="768" width="9.140625" style="1085"/>
    <col min="769" max="770" width="15.7109375" style="1085" customWidth="1"/>
    <col min="771" max="771" width="12.140625" style="1085" bestFit="1" customWidth="1"/>
    <col min="772" max="772" width="20" style="1085" bestFit="1" customWidth="1"/>
    <col min="773" max="773" width="28.28515625" style="1085" customWidth="1"/>
    <col min="774" max="774" width="8.5703125" style="1085" customWidth="1"/>
    <col min="775" max="775" width="12.140625" style="1085" customWidth="1"/>
    <col min="776" max="776" width="12.28515625" style="1085" bestFit="1" customWidth="1"/>
    <col min="777" max="777" width="9.7109375" style="1085" bestFit="1" customWidth="1"/>
    <col min="778" max="778" width="9.5703125" style="1085" bestFit="1" customWidth="1"/>
    <col min="779" max="780" width="9.140625" style="1085"/>
    <col min="781" max="781" width="9.5703125" style="1085" bestFit="1" customWidth="1"/>
    <col min="782" max="1024" width="9.140625" style="1085"/>
    <col min="1025" max="1026" width="15.7109375" style="1085" customWidth="1"/>
    <col min="1027" max="1027" width="12.140625" style="1085" bestFit="1" customWidth="1"/>
    <col min="1028" max="1028" width="20" style="1085" bestFit="1" customWidth="1"/>
    <col min="1029" max="1029" width="28.28515625" style="1085" customWidth="1"/>
    <col min="1030" max="1030" width="8.5703125" style="1085" customWidth="1"/>
    <col min="1031" max="1031" width="12.140625" style="1085" customWidth="1"/>
    <col min="1032" max="1032" width="12.28515625" style="1085" bestFit="1" customWidth="1"/>
    <col min="1033" max="1033" width="9.7109375" style="1085" bestFit="1" customWidth="1"/>
    <col min="1034" max="1034" width="9.5703125" style="1085" bestFit="1" customWidth="1"/>
    <col min="1035" max="1036" width="9.140625" style="1085"/>
    <col min="1037" max="1037" width="9.5703125" style="1085" bestFit="1" customWidth="1"/>
    <col min="1038" max="1280" width="9.140625" style="1085"/>
    <col min="1281" max="1282" width="15.7109375" style="1085" customWidth="1"/>
    <col min="1283" max="1283" width="12.140625" style="1085" bestFit="1" customWidth="1"/>
    <col min="1284" max="1284" width="20" style="1085" bestFit="1" customWidth="1"/>
    <col min="1285" max="1285" width="28.28515625" style="1085" customWidth="1"/>
    <col min="1286" max="1286" width="8.5703125" style="1085" customWidth="1"/>
    <col min="1287" max="1287" width="12.140625" style="1085" customWidth="1"/>
    <col min="1288" max="1288" width="12.28515625" style="1085" bestFit="1" customWidth="1"/>
    <col min="1289" max="1289" width="9.7109375" style="1085" bestFit="1" customWidth="1"/>
    <col min="1290" max="1290" width="9.5703125" style="1085" bestFit="1" customWidth="1"/>
    <col min="1291" max="1292" width="9.140625" style="1085"/>
    <col min="1293" max="1293" width="9.5703125" style="1085" bestFit="1" customWidth="1"/>
    <col min="1294" max="1536" width="9.140625" style="1085"/>
    <col min="1537" max="1538" width="15.7109375" style="1085" customWidth="1"/>
    <col min="1539" max="1539" width="12.140625" style="1085" bestFit="1" customWidth="1"/>
    <col min="1540" max="1540" width="20" style="1085" bestFit="1" customWidth="1"/>
    <col min="1541" max="1541" width="28.28515625" style="1085" customWidth="1"/>
    <col min="1542" max="1542" width="8.5703125" style="1085" customWidth="1"/>
    <col min="1543" max="1543" width="12.140625" style="1085" customWidth="1"/>
    <col min="1544" max="1544" width="12.28515625" style="1085" bestFit="1" customWidth="1"/>
    <col min="1545" max="1545" width="9.7109375" style="1085" bestFit="1" customWidth="1"/>
    <col min="1546" max="1546" width="9.5703125" style="1085" bestFit="1" customWidth="1"/>
    <col min="1547" max="1548" width="9.140625" style="1085"/>
    <col min="1549" max="1549" width="9.5703125" style="1085" bestFit="1" customWidth="1"/>
    <col min="1550" max="1792" width="9.140625" style="1085"/>
    <col min="1793" max="1794" width="15.7109375" style="1085" customWidth="1"/>
    <col min="1795" max="1795" width="12.140625" style="1085" bestFit="1" customWidth="1"/>
    <col min="1796" max="1796" width="20" style="1085" bestFit="1" customWidth="1"/>
    <col min="1797" max="1797" width="28.28515625" style="1085" customWidth="1"/>
    <col min="1798" max="1798" width="8.5703125" style="1085" customWidth="1"/>
    <col min="1799" max="1799" width="12.140625" style="1085" customWidth="1"/>
    <col min="1800" max="1800" width="12.28515625" style="1085" bestFit="1" customWidth="1"/>
    <col min="1801" max="1801" width="9.7109375" style="1085" bestFit="1" customWidth="1"/>
    <col min="1802" max="1802" width="9.5703125" style="1085" bestFit="1" customWidth="1"/>
    <col min="1803" max="1804" width="9.140625" style="1085"/>
    <col min="1805" max="1805" width="9.5703125" style="1085" bestFit="1" customWidth="1"/>
    <col min="1806" max="2048" width="9.140625" style="1085"/>
    <col min="2049" max="2050" width="15.7109375" style="1085" customWidth="1"/>
    <col min="2051" max="2051" width="12.140625" style="1085" bestFit="1" customWidth="1"/>
    <col min="2052" max="2052" width="20" style="1085" bestFit="1" customWidth="1"/>
    <col min="2053" max="2053" width="28.28515625" style="1085" customWidth="1"/>
    <col min="2054" max="2054" width="8.5703125" style="1085" customWidth="1"/>
    <col min="2055" max="2055" width="12.140625" style="1085" customWidth="1"/>
    <col min="2056" max="2056" width="12.28515625" style="1085" bestFit="1" customWidth="1"/>
    <col min="2057" max="2057" width="9.7109375" style="1085" bestFit="1" customWidth="1"/>
    <col min="2058" max="2058" width="9.5703125" style="1085" bestFit="1" customWidth="1"/>
    <col min="2059" max="2060" width="9.140625" style="1085"/>
    <col min="2061" max="2061" width="9.5703125" style="1085" bestFit="1" customWidth="1"/>
    <col min="2062" max="2304" width="9.140625" style="1085"/>
    <col min="2305" max="2306" width="15.7109375" style="1085" customWidth="1"/>
    <col min="2307" max="2307" width="12.140625" style="1085" bestFit="1" customWidth="1"/>
    <col min="2308" max="2308" width="20" style="1085" bestFit="1" customWidth="1"/>
    <col min="2309" max="2309" width="28.28515625" style="1085" customWidth="1"/>
    <col min="2310" max="2310" width="8.5703125" style="1085" customWidth="1"/>
    <col min="2311" max="2311" width="12.140625" style="1085" customWidth="1"/>
    <col min="2312" max="2312" width="12.28515625" style="1085" bestFit="1" customWidth="1"/>
    <col min="2313" max="2313" width="9.7109375" style="1085" bestFit="1" customWidth="1"/>
    <col min="2314" max="2314" width="9.5703125" style="1085" bestFit="1" customWidth="1"/>
    <col min="2315" max="2316" width="9.140625" style="1085"/>
    <col min="2317" max="2317" width="9.5703125" style="1085" bestFit="1" customWidth="1"/>
    <col min="2318" max="2560" width="9.140625" style="1085"/>
    <col min="2561" max="2562" width="15.7109375" style="1085" customWidth="1"/>
    <col min="2563" max="2563" width="12.140625" style="1085" bestFit="1" customWidth="1"/>
    <col min="2564" max="2564" width="20" style="1085" bestFit="1" customWidth="1"/>
    <col min="2565" max="2565" width="28.28515625" style="1085" customWidth="1"/>
    <col min="2566" max="2566" width="8.5703125" style="1085" customWidth="1"/>
    <col min="2567" max="2567" width="12.140625" style="1085" customWidth="1"/>
    <col min="2568" max="2568" width="12.28515625" style="1085" bestFit="1" customWidth="1"/>
    <col min="2569" max="2569" width="9.7109375" style="1085" bestFit="1" customWidth="1"/>
    <col min="2570" max="2570" width="9.5703125" style="1085" bestFit="1" customWidth="1"/>
    <col min="2571" max="2572" width="9.140625" style="1085"/>
    <col min="2573" max="2573" width="9.5703125" style="1085" bestFit="1" customWidth="1"/>
    <col min="2574" max="2816" width="9.140625" style="1085"/>
    <col min="2817" max="2818" width="15.7109375" style="1085" customWidth="1"/>
    <col min="2819" max="2819" width="12.140625" style="1085" bestFit="1" customWidth="1"/>
    <col min="2820" max="2820" width="20" style="1085" bestFit="1" customWidth="1"/>
    <col min="2821" max="2821" width="28.28515625" style="1085" customWidth="1"/>
    <col min="2822" max="2822" width="8.5703125" style="1085" customWidth="1"/>
    <col min="2823" max="2823" width="12.140625" style="1085" customWidth="1"/>
    <col min="2824" max="2824" width="12.28515625" style="1085" bestFit="1" customWidth="1"/>
    <col min="2825" max="2825" width="9.7109375" style="1085" bestFit="1" customWidth="1"/>
    <col min="2826" max="2826" width="9.5703125" style="1085" bestFit="1" customWidth="1"/>
    <col min="2827" max="2828" width="9.140625" style="1085"/>
    <col min="2829" max="2829" width="9.5703125" style="1085" bestFit="1" customWidth="1"/>
    <col min="2830" max="3072" width="9.140625" style="1085"/>
    <col min="3073" max="3074" width="15.7109375" style="1085" customWidth="1"/>
    <col min="3075" max="3075" width="12.140625" style="1085" bestFit="1" customWidth="1"/>
    <col min="3076" max="3076" width="20" style="1085" bestFit="1" customWidth="1"/>
    <col min="3077" max="3077" width="28.28515625" style="1085" customWidth="1"/>
    <col min="3078" max="3078" width="8.5703125" style="1085" customWidth="1"/>
    <col min="3079" max="3079" width="12.140625" style="1085" customWidth="1"/>
    <col min="3080" max="3080" width="12.28515625" style="1085" bestFit="1" customWidth="1"/>
    <col min="3081" max="3081" width="9.7109375" style="1085" bestFit="1" customWidth="1"/>
    <col min="3082" max="3082" width="9.5703125" style="1085" bestFit="1" customWidth="1"/>
    <col min="3083" max="3084" width="9.140625" style="1085"/>
    <col min="3085" max="3085" width="9.5703125" style="1085" bestFit="1" customWidth="1"/>
    <col min="3086" max="3328" width="9.140625" style="1085"/>
    <col min="3329" max="3330" width="15.7109375" style="1085" customWidth="1"/>
    <col min="3331" max="3331" width="12.140625" style="1085" bestFit="1" customWidth="1"/>
    <col min="3332" max="3332" width="20" style="1085" bestFit="1" customWidth="1"/>
    <col min="3333" max="3333" width="28.28515625" style="1085" customWidth="1"/>
    <col min="3334" max="3334" width="8.5703125" style="1085" customWidth="1"/>
    <col min="3335" max="3335" width="12.140625" style="1085" customWidth="1"/>
    <col min="3336" max="3336" width="12.28515625" style="1085" bestFit="1" customWidth="1"/>
    <col min="3337" max="3337" width="9.7109375" style="1085" bestFit="1" customWidth="1"/>
    <col min="3338" max="3338" width="9.5703125" style="1085" bestFit="1" customWidth="1"/>
    <col min="3339" max="3340" width="9.140625" style="1085"/>
    <col min="3341" max="3341" width="9.5703125" style="1085" bestFit="1" customWidth="1"/>
    <col min="3342" max="3584" width="9.140625" style="1085"/>
    <col min="3585" max="3586" width="15.7109375" style="1085" customWidth="1"/>
    <col min="3587" max="3587" width="12.140625" style="1085" bestFit="1" customWidth="1"/>
    <col min="3588" max="3588" width="20" style="1085" bestFit="1" customWidth="1"/>
    <col min="3589" max="3589" width="28.28515625" style="1085" customWidth="1"/>
    <col min="3590" max="3590" width="8.5703125" style="1085" customWidth="1"/>
    <col min="3591" max="3591" width="12.140625" style="1085" customWidth="1"/>
    <col min="3592" max="3592" width="12.28515625" style="1085" bestFit="1" customWidth="1"/>
    <col min="3593" max="3593" width="9.7109375" style="1085" bestFit="1" customWidth="1"/>
    <col min="3594" max="3594" width="9.5703125" style="1085" bestFit="1" customWidth="1"/>
    <col min="3595" max="3596" width="9.140625" style="1085"/>
    <col min="3597" max="3597" width="9.5703125" style="1085" bestFit="1" customWidth="1"/>
    <col min="3598" max="3840" width="9.140625" style="1085"/>
    <col min="3841" max="3842" width="15.7109375" style="1085" customWidth="1"/>
    <col min="3843" max="3843" width="12.140625" style="1085" bestFit="1" customWidth="1"/>
    <col min="3844" max="3844" width="20" style="1085" bestFit="1" customWidth="1"/>
    <col min="3845" max="3845" width="28.28515625" style="1085" customWidth="1"/>
    <col min="3846" max="3846" width="8.5703125" style="1085" customWidth="1"/>
    <col min="3847" max="3847" width="12.140625" style="1085" customWidth="1"/>
    <col min="3848" max="3848" width="12.28515625" style="1085" bestFit="1" customWidth="1"/>
    <col min="3849" max="3849" width="9.7109375" style="1085" bestFit="1" customWidth="1"/>
    <col min="3850" max="3850" width="9.5703125" style="1085" bestFit="1" customWidth="1"/>
    <col min="3851" max="3852" width="9.140625" style="1085"/>
    <col min="3853" max="3853" width="9.5703125" style="1085" bestFit="1" customWidth="1"/>
    <col min="3854" max="4096" width="9.140625" style="1085"/>
    <col min="4097" max="4098" width="15.7109375" style="1085" customWidth="1"/>
    <col min="4099" max="4099" width="12.140625" style="1085" bestFit="1" customWidth="1"/>
    <col min="4100" max="4100" width="20" style="1085" bestFit="1" customWidth="1"/>
    <col min="4101" max="4101" width="28.28515625" style="1085" customWidth="1"/>
    <col min="4102" max="4102" width="8.5703125" style="1085" customWidth="1"/>
    <col min="4103" max="4103" width="12.140625" style="1085" customWidth="1"/>
    <col min="4104" max="4104" width="12.28515625" style="1085" bestFit="1" customWidth="1"/>
    <col min="4105" max="4105" width="9.7109375" style="1085" bestFit="1" customWidth="1"/>
    <col min="4106" max="4106" width="9.5703125" style="1085" bestFit="1" customWidth="1"/>
    <col min="4107" max="4108" width="9.140625" style="1085"/>
    <col min="4109" max="4109" width="9.5703125" style="1085" bestFit="1" customWidth="1"/>
    <col min="4110" max="4352" width="9.140625" style="1085"/>
    <col min="4353" max="4354" width="15.7109375" style="1085" customWidth="1"/>
    <col min="4355" max="4355" width="12.140625" style="1085" bestFit="1" customWidth="1"/>
    <col min="4356" max="4356" width="20" style="1085" bestFit="1" customWidth="1"/>
    <col min="4357" max="4357" width="28.28515625" style="1085" customWidth="1"/>
    <col min="4358" max="4358" width="8.5703125" style="1085" customWidth="1"/>
    <col min="4359" max="4359" width="12.140625" style="1085" customWidth="1"/>
    <col min="4360" max="4360" width="12.28515625" style="1085" bestFit="1" customWidth="1"/>
    <col min="4361" max="4361" width="9.7109375" style="1085" bestFit="1" customWidth="1"/>
    <col min="4362" max="4362" width="9.5703125" style="1085" bestFit="1" customWidth="1"/>
    <col min="4363" max="4364" width="9.140625" style="1085"/>
    <col min="4365" max="4365" width="9.5703125" style="1085" bestFit="1" customWidth="1"/>
    <col min="4366" max="4608" width="9.140625" style="1085"/>
    <col min="4609" max="4610" width="15.7109375" style="1085" customWidth="1"/>
    <col min="4611" max="4611" width="12.140625" style="1085" bestFit="1" customWidth="1"/>
    <col min="4612" max="4612" width="20" style="1085" bestFit="1" customWidth="1"/>
    <col min="4613" max="4613" width="28.28515625" style="1085" customWidth="1"/>
    <col min="4614" max="4614" width="8.5703125" style="1085" customWidth="1"/>
    <col min="4615" max="4615" width="12.140625" style="1085" customWidth="1"/>
    <col min="4616" max="4616" width="12.28515625" style="1085" bestFit="1" customWidth="1"/>
    <col min="4617" max="4617" width="9.7109375" style="1085" bestFit="1" customWidth="1"/>
    <col min="4618" max="4618" width="9.5703125" style="1085" bestFit="1" customWidth="1"/>
    <col min="4619" max="4620" width="9.140625" style="1085"/>
    <col min="4621" max="4621" width="9.5703125" style="1085" bestFit="1" customWidth="1"/>
    <col min="4622" max="4864" width="9.140625" style="1085"/>
    <col min="4865" max="4866" width="15.7109375" style="1085" customWidth="1"/>
    <col min="4867" max="4867" width="12.140625" style="1085" bestFit="1" customWidth="1"/>
    <col min="4868" max="4868" width="20" style="1085" bestFit="1" customWidth="1"/>
    <col min="4869" max="4869" width="28.28515625" style="1085" customWidth="1"/>
    <col min="4870" max="4870" width="8.5703125" style="1085" customWidth="1"/>
    <col min="4871" max="4871" width="12.140625" style="1085" customWidth="1"/>
    <col min="4872" max="4872" width="12.28515625" style="1085" bestFit="1" customWidth="1"/>
    <col min="4873" max="4873" width="9.7109375" style="1085" bestFit="1" customWidth="1"/>
    <col min="4874" max="4874" width="9.5703125" style="1085" bestFit="1" customWidth="1"/>
    <col min="4875" max="4876" width="9.140625" style="1085"/>
    <col min="4877" max="4877" width="9.5703125" style="1085" bestFit="1" customWidth="1"/>
    <col min="4878" max="5120" width="9.140625" style="1085"/>
    <col min="5121" max="5122" width="15.7109375" style="1085" customWidth="1"/>
    <col min="5123" max="5123" width="12.140625" style="1085" bestFit="1" customWidth="1"/>
    <col min="5124" max="5124" width="20" style="1085" bestFit="1" customWidth="1"/>
    <col min="5125" max="5125" width="28.28515625" style="1085" customWidth="1"/>
    <col min="5126" max="5126" width="8.5703125" style="1085" customWidth="1"/>
    <col min="5127" max="5127" width="12.140625" style="1085" customWidth="1"/>
    <col min="5128" max="5128" width="12.28515625" style="1085" bestFit="1" customWidth="1"/>
    <col min="5129" max="5129" width="9.7109375" style="1085" bestFit="1" customWidth="1"/>
    <col min="5130" max="5130" width="9.5703125" style="1085" bestFit="1" customWidth="1"/>
    <col min="5131" max="5132" width="9.140625" style="1085"/>
    <col min="5133" max="5133" width="9.5703125" style="1085" bestFit="1" customWidth="1"/>
    <col min="5134" max="5376" width="9.140625" style="1085"/>
    <col min="5377" max="5378" width="15.7109375" style="1085" customWidth="1"/>
    <col min="5379" max="5379" width="12.140625" style="1085" bestFit="1" customWidth="1"/>
    <col min="5380" max="5380" width="20" style="1085" bestFit="1" customWidth="1"/>
    <col min="5381" max="5381" width="28.28515625" style="1085" customWidth="1"/>
    <col min="5382" max="5382" width="8.5703125" style="1085" customWidth="1"/>
    <col min="5383" max="5383" width="12.140625" style="1085" customWidth="1"/>
    <col min="5384" max="5384" width="12.28515625" style="1085" bestFit="1" customWidth="1"/>
    <col min="5385" max="5385" width="9.7109375" style="1085" bestFit="1" customWidth="1"/>
    <col min="5386" max="5386" width="9.5703125" style="1085" bestFit="1" customWidth="1"/>
    <col min="5387" max="5388" width="9.140625" style="1085"/>
    <col min="5389" max="5389" width="9.5703125" style="1085" bestFit="1" customWidth="1"/>
    <col min="5390" max="5632" width="9.140625" style="1085"/>
    <col min="5633" max="5634" width="15.7109375" style="1085" customWidth="1"/>
    <col min="5635" max="5635" width="12.140625" style="1085" bestFit="1" customWidth="1"/>
    <col min="5636" max="5636" width="20" style="1085" bestFit="1" customWidth="1"/>
    <col min="5637" max="5637" width="28.28515625" style="1085" customWidth="1"/>
    <col min="5638" max="5638" width="8.5703125" style="1085" customWidth="1"/>
    <col min="5639" max="5639" width="12.140625" style="1085" customWidth="1"/>
    <col min="5640" max="5640" width="12.28515625" style="1085" bestFit="1" customWidth="1"/>
    <col min="5641" max="5641" width="9.7109375" style="1085" bestFit="1" customWidth="1"/>
    <col min="5642" max="5642" width="9.5703125" style="1085" bestFit="1" customWidth="1"/>
    <col min="5643" max="5644" width="9.140625" style="1085"/>
    <col min="5645" max="5645" width="9.5703125" style="1085" bestFit="1" customWidth="1"/>
    <col min="5646" max="5888" width="9.140625" style="1085"/>
    <col min="5889" max="5890" width="15.7109375" style="1085" customWidth="1"/>
    <col min="5891" max="5891" width="12.140625" style="1085" bestFit="1" customWidth="1"/>
    <col min="5892" max="5892" width="20" style="1085" bestFit="1" customWidth="1"/>
    <col min="5893" max="5893" width="28.28515625" style="1085" customWidth="1"/>
    <col min="5894" max="5894" width="8.5703125" style="1085" customWidth="1"/>
    <col min="5895" max="5895" width="12.140625" style="1085" customWidth="1"/>
    <col min="5896" max="5896" width="12.28515625" style="1085" bestFit="1" customWidth="1"/>
    <col min="5897" max="5897" width="9.7109375" style="1085" bestFit="1" customWidth="1"/>
    <col min="5898" max="5898" width="9.5703125" style="1085" bestFit="1" customWidth="1"/>
    <col min="5899" max="5900" width="9.140625" style="1085"/>
    <col min="5901" max="5901" width="9.5703125" style="1085" bestFit="1" customWidth="1"/>
    <col min="5902" max="6144" width="9.140625" style="1085"/>
    <col min="6145" max="6146" width="15.7109375" style="1085" customWidth="1"/>
    <col min="6147" max="6147" width="12.140625" style="1085" bestFit="1" customWidth="1"/>
    <col min="6148" max="6148" width="20" style="1085" bestFit="1" customWidth="1"/>
    <col min="6149" max="6149" width="28.28515625" style="1085" customWidth="1"/>
    <col min="6150" max="6150" width="8.5703125" style="1085" customWidth="1"/>
    <col min="6151" max="6151" width="12.140625" style="1085" customWidth="1"/>
    <col min="6152" max="6152" width="12.28515625" style="1085" bestFit="1" customWidth="1"/>
    <col min="6153" max="6153" width="9.7109375" style="1085" bestFit="1" customWidth="1"/>
    <col min="6154" max="6154" width="9.5703125" style="1085" bestFit="1" customWidth="1"/>
    <col min="6155" max="6156" width="9.140625" style="1085"/>
    <col min="6157" max="6157" width="9.5703125" style="1085" bestFit="1" customWidth="1"/>
    <col min="6158" max="6400" width="9.140625" style="1085"/>
    <col min="6401" max="6402" width="15.7109375" style="1085" customWidth="1"/>
    <col min="6403" max="6403" width="12.140625" style="1085" bestFit="1" customWidth="1"/>
    <col min="6404" max="6404" width="20" style="1085" bestFit="1" customWidth="1"/>
    <col min="6405" max="6405" width="28.28515625" style="1085" customWidth="1"/>
    <col min="6406" max="6406" width="8.5703125" style="1085" customWidth="1"/>
    <col min="6407" max="6407" width="12.140625" style="1085" customWidth="1"/>
    <col min="6408" max="6408" width="12.28515625" style="1085" bestFit="1" customWidth="1"/>
    <col min="6409" max="6409" width="9.7109375" style="1085" bestFit="1" customWidth="1"/>
    <col min="6410" max="6410" width="9.5703125" style="1085" bestFit="1" customWidth="1"/>
    <col min="6411" max="6412" width="9.140625" style="1085"/>
    <col min="6413" max="6413" width="9.5703125" style="1085" bestFit="1" customWidth="1"/>
    <col min="6414" max="6656" width="9.140625" style="1085"/>
    <col min="6657" max="6658" width="15.7109375" style="1085" customWidth="1"/>
    <col min="6659" max="6659" width="12.140625" style="1085" bestFit="1" customWidth="1"/>
    <col min="6660" max="6660" width="20" style="1085" bestFit="1" customWidth="1"/>
    <col min="6661" max="6661" width="28.28515625" style="1085" customWidth="1"/>
    <col min="6662" max="6662" width="8.5703125" style="1085" customWidth="1"/>
    <col min="6663" max="6663" width="12.140625" style="1085" customWidth="1"/>
    <col min="6664" max="6664" width="12.28515625" style="1085" bestFit="1" customWidth="1"/>
    <col min="6665" max="6665" width="9.7109375" style="1085" bestFit="1" customWidth="1"/>
    <col min="6666" max="6666" width="9.5703125" style="1085" bestFit="1" customWidth="1"/>
    <col min="6667" max="6668" width="9.140625" style="1085"/>
    <col min="6669" max="6669" width="9.5703125" style="1085" bestFit="1" customWidth="1"/>
    <col min="6670" max="6912" width="9.140625" style="1085"/>
    <col min="6913" max="6914" width="15.7109375" style="1085" customWidth="1"/>
    <col min="6915" max="6915" width="12.140625" style="1085" bestFit="1" customWidth="1"/>
    <col min="6916" max="6916" width="20" style="1085" bestFit="1" customWidth="1"/>
    <col min="6917" max="6917" width="28.28515625" style="1085" customWidth="1"/>
    <col min="6918" max="6918" width="8.5703125" style="1085" customWidth="1"/>
    <col min="6919" max="6919" width="12.140625" style="1085" customWidth="1"/>
    <col min="6920" max="6920" width="12.28515625" style="1085" bestFit="1" customWidth="1"/>
    <col min="6921" max="6921" width="9.7109375" style="1085" bestFit="1" customWidth="1"/>
    <col min="6922" max="6922" width="9.5703125" style="1085" bestFit="1" customWidth="1"/>
    <col min="6923" max="6924" width="9.140625" style="1085"/>
    <col min="6925" max="6925" width="9.5703125" style="1085" bestFit="1" customWidth="1"/>
    <col min="6926" max="7168" width="9.140625" style="1085"/>
    <col min="7169" max="7170" width="15.7109375" style="1085" customWidth="1"/>
    <col min="7171" max="7171" width="12.140625" style="1085" bestFit="1" customWidth="1"/>
    <col min="7172" max="7172" width="20" style="1085" bestFit="1" customWidth="1"/>
    <col min="7173" max="7173" width="28.28515625" style="1085" customWidth="1"/>
    <col min="7174" max="7174" width="8.5703125" style="1085" customWidth="1"/>
    <col min="7175" max="7175" width="12.140625" style="1085" customWidth="1"/>
    <col min="7176" max="7176" width="12.28515625" style="1085" bestFit="1" customWidth="1"/>
    <col min="7177" max="7177" width="9.7109375" style="1085" bestFit="1" customWidth="1"/>
    <col min="7178" max="7178" width="9.5703125" style="1085" bestFit="1" customWidth="1"/>
    <col min="7179" max="7180" width="9.140625" style="1085"/>
    <col min="7181" max="7181" width="9.5703125" style="1085" bestFit="1" customWidth="1"/>
    <col min="7182" max="7424" width="9.140625" style="1085"/>
    <col min="7425" max="7426" width="15.7109375" style="1085" customWidth="1"/>
    <col min="7427" max="7427" width="12.140625" style="1085" bestFit="1" customWidth="1"/>
    <col min="7428" max="7428" width="20" style="1085" bestFit="1" customWidth="1"/>
    <col min="7429" max="7429" width="28.28515625" style="1085" customWidth="1"/>
    <col min="7430" max="7430" width="8.5703125" style="1085" customWidth="1"/>
    <col min="7431" max="7431" width="12.140625" style="1085" customWidth="1"/>
    <col min="7432" max="7432" width="12.28515625" style="1085" bestFit="1" customWidth="1"/>
    <col min="7433" max="7433" width="9.7109375" style="1085" bestFit="1" customWidth="1"/>
    <col min="7434" max="7434" width="9.5703125" style="1085" bestFit="1" customWidth="1"/>
    <col min="7435" max="7436" width="9.140625" style="1085"/>
    <col min="7437" max="7437" width="9.5703125" style="1085" bestFit="1" customWidth="1"/>
    <col min="7438" max="7680" width="9.140625" style="1085"/>
    <col min="7681" max="7682" width="15.7109375" style="1085" customWidth="1"/>
    <col min="7683" max="7683" width="12.140625" style="1085" bestFit="1" customWidth="1"/>
    <col min="7684" max="7684" width="20" style="1085" bestFit="1" customWidth="1"/>
    <col min="7685" max="7685" width="28.28515625" style="1085" customWidth="1"/>
    <col min="7686" max="7686" width="8.5703125" style="1085" customWidth="1"/>
    <col min="7687" max="7687" width="12.140625" style="1085" customWidth="1"/>
    <col min="7688" max="7688" width="12.28515625" style="1085" bestFit="1" customWidth="1"/>
    <col min="7689" max="7689" width="9.7109375" style="1085" bestFit="1" customWidth="1"/>
    <col min="7690" max="7690" width="9.5703125" style="1085" bestFit="1" customWidth="1"/>
    <col min="7691" max="7692" width="9.140625" style="1085"/>
    <col min="7693" max="7693" width="9.5703125" style="1085" bestFit="1" customWidth="1"/>
    <col min="7694" max="7936" width="9.140625" style="1085"/>
    <col min="7937" max="7938" width="15.7109375" style="1085" customWidth="1"/>
    <col min="7939" max="7939" width="12.140625" style="1085" bestFit="1" customWidth="1"/>
    <col min="7940" max="7940" width="20" style="1085" bestFit="1" customWidth="1"/>
    <col min="7941" max="7941" width="28.28515625" style="1085" customWidth="1"/>
    <col min="7942" max="7942" width="8.5703125" style="1085" customWidth="1"/>
    <col min="7943" max="7943" width="12.140625" style="1085" customWidth="1"/>
    <col min="7944" max="7944" width="12.28515625" style="1085" bestFit="1" customWidth="1"/>
    <col min="7945" max="7945" width="9.7109375" style="1085" bestFit="1" customWidth="1"/>
    <col min="7946" max="7946" width="9.5703125" style="1085" bestFit="1" customWidth="1"/>
    <col min="7947" max="7948" width="9.140625" style="1085"/>
    <col min="7949" max="7949" width="9.5703125" style="1085" bestFit="1" customWidth="1"/>
    <col min="7950" max="8192" width="9.140625" style="1085"/>
    <col min="8193" max="8194" width="15.7109375" style="1085" customWidth="1"/>
    <col min="8195" max="8195" width="12.140625" style="1085" bestFit="1" customWidth="1"/>
    <col min="8196" max="8196" width="20" style="1085" bestFit="1" customWidth="1"/>
    <col min="8197" max="8197" width="28.28515625" style="1085" customWidth="1"/>
    <col min="8198" max="8198" width="8.5703125" style="1085" customWidth="1"/>
    <col min="8199" max="8199" width="12.140625" style="1085" customWidth="1"/>
    <col min="8200" max="8200" width="12.28515625" style="1085" bestFit="1" customWidth="1"/>
    <col min="8201" max="8201" width="9.7109375" style="1085" bestFit="1" customWidth="1"/>
    <col min="8202" max="8202" width="9.5703125" style="1085" bestFit="1" customWidth="1"/>
    <col min="8203" max="8204" width="9.140625" style="1085"/>
    <col min="8205" max="8205" width="9.5703125" style="1085" bestFit="1" customWidth="1"/>
    <col min="8206" max="8448" width="9.140625" style="1085"/>
    <col min="8449" max="8450" width="15.7109375" style="1085" customWidth="1"/>
    <col min="8451" max="8451" width="12.140625" style="1085" bestFit="1" customWidth="1"/>
    <col min="8452" max="8452" width="20" style="1085" bestFit="1" customWidth="1"/>
    <col min="8453" max="8453" width="28.28515625" style="1085" customWidth="1"/>
    <col min="8454" max="8454" width="8.5703125" style="1085" customWidth="1"/>
    <col min="8455" max="8455" width="12.140625" style="1085" customWidth="1"/>
    <col min="8456" max="8456" width="12.28515625" style="1085" bestFit="1" customWidth="1"/>
    <col min="8457" max="8457" width="9.7109375" style="1085" bestFit="1" customWidth="1"/>
    <col min="8458" max="8458" width="9.5703125" style="1085" bestFit="1" customWidth="1"/>
    <col min="8459" max="8460" width="9.140625" style="1085"/>
    <col min="8461" max="8461" width="9.5703125" style="1085" bestFit="1" customWidth="1"/>
    <col min="8462" max="8704" width="9.140625" style="1085"/>
    <col min="8705" max="8706" width="15.7109375" style="1085" customWidth="1"/>
    <col min="8707" max="8707" width="12.140625" style="1085" bestFit="1" customWidth="1"/>
    <col min="8708" max="8708" width="20" style="1085" bestFit="1" customWidth="1"/>
    <col min="8709" max="8709" width="28.28515625" style="1085" customWidth="1"/>
    <col min="8710" max="8710" width="8.5703125" style="1085" customWidth="1"/>
    <col min="8711" max="8711" width="12.140625" style="1085" customWidth="1"/>
    <col min="8712" max="8712" width="12.28515625" style="1085" bestFit="1" customWidth="1"/>
    <col min="8713" max="8713" width="9.7109375" style="1085" bestFit="1" customWidth="1"/>
    <col min="8714" max="8714" width="9.5703125" style="1085" bestFit="1" customWidth="1"/>
    <col min="8715" max="8716" width="9.140625" style="1085"/>
    <col min="8717" max="8717" width="9.5703125" style="1085" bestFit="1" customWidth="1"/>
    <col min="8718" max="8960" width="9.140625" style="1085"/>
    <col min="8961" max="8962" width="15.7109375" style="1085" customWidth="1"/>
    <col min="8963" max="8963" width="12.140625" style="1085" bestFit="1" customWidth="1"/>
    <col min="8964" max="8964" width="20" style="1085" bestFit="1" customWidth="1"/>
    <col min="8965" max="8965" width="28.28515625" style="1085" customWidth="1"/>
    <col min="8966" max="8966" width="8.5703125" style="1085" customWidth="1"/>
    <col min="8967" max="8967" width="12.140625" style="1085" customWidth="1"/>
    <col min="8968" max="8968" width="12.28515625" style="1085" bestFit="1" customWidth="1"/>
    <col min="8969" max="8969" width="9.7109375" style="1085" bestFit="1" customWidth="1"/>
    <col min="8970" max="8970" width="9.5703125" style="1085" bestFit="1" customWidth="1"/>
    <col min="8971" max="8972" width="9.140625" style="1085"/>
    <col min="8973" max="8973" width="9.5703125" style="1085" bestFit="1" customWidth="1"/>
    <col min="8974" max="9216" width="9.140625" style="1085"/>
    <col min="9217" max="9218" width="15.7109375" style="1085" customWidth="1"/>
    <col min="9219" max="9219" width="12.140625" style="1085" bestFit="1" customWidth="1"/>
    <col min="9220" max="9220" width="20" style="1085" bestFit="1" customWidth="1"/>
    <col min="9221" max="9221" width="28.28515625" style="1085" customWidth="1"/>
    <col min="9222" max="9222" width="8.5703125" style="1085" customWidth="1"/>
    <col min="9223" max="9223" width="12.140625" style="1085" customWidth="1"/>
    <col min="9224" max="9224" width="12.28515625" style="1085" bestFit="1" customWidth="1"/>
    <col min="9225" max="9225" width="9.7109375" style="1085" bestFit="1" customWidth="1"/>
    <col min="9226" max="9226" width="9.5703125" style="1085" bestFit="1" customWidth="1"/>
    <col min="9227" max="9228" width="9.140625" style="1085"/>
    <col min="9229" max="9229" width="9.5703125" style="1085" bestFit="1" customWidth="1"/>
    <col min="9230" max="9472" width="9.140625" style="1085"/>
    <col min="9473" max="9474" width="15.7109375" style="1085" customWidth="1"/>
    <col min="9475" max="9475" width="12.140625" style="1085" bestFit="1" customWidth="1"/>
    <col min="9476" max="9476" width="20" style="1085" bestFit="1" customWidth="1"/>
    <col min="9477" max="9477" width="28.28515625" style="1085" customWidth="1"/>
    <col min="9478" max="9478" width="8.5703125" style="1085" customWidth="1"/>
    <col min="9479" max="9479" width="12.140625" style="1085" customWidth="1"/>
    <col min="9480" max="9480" width="12.28515625" style="1085" bestFit="1" customWidth="1"/>
    <col min="9481" max="9481" width="9.7109375" style="1085" bestFit="1" customWidth="1"/>
    <col min="9482" max="9482" width="9.5703125" style="1085" bestFit="1" customWidth="1"/>
    <col min="9483" max="9484" width="9.140625" style="1085"/>
    <col min="9485" max="9485" width="9.5703125" style="1085" bestFit="1" customWidth="1"/>
    <col min="9486" max="9728" width="9.140625" style="1085"/>
    <col min="9729" max="9730" width="15.7109375" style="1085" customWidth="1"/>
    <col min="9731" max="9731" width="12.140625" style="1085" bestFit="1" customWidth="1"/>
    <col min="9732" max="9732" width="20" style="1085" bestFit="1" customWidth="1"/>
    <col min="9733" max="9733" width="28.28515625" style="1085" customWidth="1"/>
    <col min="9734" max="9734" width="8.5703125" style="1085" customWidth="1"/>
    <col min="9735" max="9735" width="12.140625" style="1085" customWidth="1"/>
    <col min="9736" max="9736" width="12.28515625" style="1085" bestFit="1" customWidth="1"/>
    <col min="9737" max="9737" width="9.7109375" style="1085" bestFit="1" customWidth="1"/>
    <col min="9738" max="9738" width="9.5703125" style="1085" bestFit="1" customWidth="1"/>
    <col min="9739" max="9740" width="9.140625" style="1085"/>
    <col min="9741" max="9741" width="9.5703125" style="1085" bestFit="1" customWidth="1"/>
    <col min="9742" max="9984" width="9.140625" style="1085"/>
    <col min="9985" max="9986" width="15.7109375" style="1085" customWidth="1"/>
    <col min="9987" max="9987" width="12.140625" style="1085" bestFit="1" customWidth="1"/>
    <col min="9988" max="9988" width="20" style="1085" bestFit="1" customWidth="1"/>
    <col min="9989" max="9989" width="28.28515625" style="1085" customWidth="1"/>
    <col min="9990" max="9990" width="8.5703125" style="1085" customWidth="1"/>
    <col min="9991" max="9991" width="12.140625" style="1085" customWidth="1"/>
    <col min="9992" max="9992" width="12.28515625" style="1085" bestFit="1" customWidth="1"/>
    <col min="9993" max="9993" width="9.7109375" style="1085" bestFit="1" customWidth="1"/>
    <col min="9994" max="9994" width="9.5703125" style="1085" bestFit="1" customWidth="1"/>
    <col min="9995" max="9996" width="9.140625" style="1085"/>
    <col min="9997" max="9997" width="9.5703125" style="1085" bestFit="1" customWidth="1"/>
    <col min="9998" max="10240" width="9.140625" style="1085"/>
    <col min="10241" max="10242" width="15.7109375" style="1085" customWidth="1"/>
    <col min="10243" max="10243" width="12.140625" style="1085" bestFit="1" customWidth="1"/>
    <col min="10244" max="10244" width="20" style="1085" bestFit="1" customWidth="1"/>
    <col min="10245" max="10245" width="28.28515625" style="1085" customWidth="1"/>
    <col min="10246" max="10246" width="8.5703125" style="1085" customWidth="1"/>
    <col min="10247" max="10247" width="12.140625" style="1085" customWidth="1"/>
    <col min="10248" max="10248" width="12.28515625" style="1085" bestFit="1" customWidth="1"/>
    <col min="10249" max="10249" width="9.7109375" style="1085" bestFit="1" customWidth="1"/>
    <col min="10250" max="10250" width="9.5703125" style="1085" bestFit="1" customWidth="1"/>
    <col min="10251" max="10252" width="9.140625" style="1085"/>
    <col min="10253" max="10253" width="9.5703125" style="1085" bestFit="1" customWidth="1"/>
    <col min="10254" max="10496" width="9.140625" style="1085"/>
    <col min="10497" max="10498" width="15.7109375" style="1085" customWidth="1"/>
    <col min="10499" max="10499" width="12.140625" style="1085" bestFit="1" customWidth="1"/>
    <col min="10500" max="10500" width="20" style="1085" bestFit="1" customWidth="1"/>
    <col min="10501" max="10501" width="28.28515625" style="1085" customWidth="1"/>
    <col min="10502" max="10502" width="8.5703125" style="1085" customWidth="1"/>
    <col min="10503" max="10503" width="12.140625" style="1085" customWidth="1"/>
    <col min="10504" max="10504" width="12.28515625" style="1085" bestFit="1" customWidth="1"/>
    <col min="10505" max="10505" width="9.7109375" style="1085" bestFit="1" customWidth="1"/>
    <col min="10506" max="10506" width="9.5703125" style="1085" bestFit="1" customWidth="1"/>
    <col min="10507" max="10508" width="9.140625" style="1085"/>
    <col min="10509" max="10509" width="9.5703125" style="1085" bestFit="1" customWidth="1"/>
    <col min="10510" max="10752" width="9.140625" style="1085"/>
    <col min="10753" max="10754" width="15.7109375" style="1085" customWidth="1"/>
    <col min="10755" max="10755" width="12.140625" style="1085" bestFit="1" customWidth="1"/>
    <col min="10756" max="10756" width="20" style="1085" bestFit="1" customWidth="1"/>
    <col min="10757" max="10757" width="28.28515625" style="1085" customWidth="1"/>
    <col min="10758" max="10758" width="8.5703125" style="1085" customWidth="1"/>
    <col min="10759" max="10759" width="12.140625" style="1085" customWidth="1"/>
    <col min="10760" max="10760" width="12.28515625" style="1085" bestFit="1" customWidth="1"/>
    <col min="10761" max="10761" width="9.7109375" style="1085" bestFit="1" customWidth="1"/>
    <col min="10762" max="10762" width="9.5703125" style="1085" bestFit="1" customWidth="1"/>
    <col min="10763" max="10764" width="9.140625" style="1085"/>
    <col min="10765" max="10765" width="9.5703125" style="1085" bestFit="1" customWidth="1"/>
    <col min="10766" max="11008" width="9.140625" style="1085"/>
    <col min="11009" max="11010" width="15.7109375" style="1085" customWidth="1"/>
    <col min="11011" max="11011" width="12.140625" style="1085" bestFit="1" customWidth="1"/>
    <col min="11012" max="11012" width="20" style="1085" bestFit="1" customWidth="1"/>
    <col min="11013" max="11013" width="28.28515625" style="1085" customWidth="1"/>
    <col min="11014" max="11014" width="8.5703125" style="1085" customWidth="1"/>
    <col min="11015" max="11015" width="12.140625" style="1085" customWidth="1"/>
    <col min="11016" max="11016" width="12.28515625" style="1085" bestFit="1" customWidth="1"/>
    <col min="11017" max="11017" width="9.7109375" style="1085" bestFit="1" customWidth="1"/>
    <col min="11018" max="11018" width="9.5703125" style="1085" bestFit="1" customWidth="1"/>
    <col min="11019" max="11020" width="9.140625" style="1085"/>
    <col min="11021" max="11021" width="9.5703125" style="1085" bestFit="1" customWidth="1"/>
    <col min="11022" max="11264" width="9.140625" style="1085"/>
    <col min="11265" max="11266" width="15.7109375" style="1085" customWidth="1"/>
    <col min="11267" max="11267" width="12.140625" style="1085" bestFit="1" customWidth="1"/>
    <col min="11268" max="11268" width="20" style="1085" bestFit="1" customWidth="1"/>
    <col min="11269" max="11269" width="28.28515625" style="1085" customWidth="1"/>
    <col min="11270" max="11270" width="8.5703125" style="1085" customWidth="1"/>
    <col min="11271" max="11271" width="12.140625" style="1085" customWidth="1"/>
    <col min="11272" max="11272" width="12.28515625" style="1085" bestFit="1" customWidth="1"/>
    <col min="11273" max="11273" width="9.7109375" style="1085" bestFit="1" customWidth="1"/>
    <col min="11274" max="11274" width="9.5703125" style="1085" bestFit="1" customWidth="1"/>
    <col min="11275" max="11276" width="9.140625" style="1085"/>
    <col min="11277" max="11277" width="9.5703125" style="1085" bestFit="1" customWidth="1"/>
    <col min="11278" max="11520" width="9.140625" style="1085"/>
    <col min="11521" max="11522" width="15.7109375" style="1085" customWidth="1"/>
    <col min="11523" max="11523" width="12.140625" style="1085" bestFit="1" customWidth="1"/>
    <col min="11524" max="11524" width="20" style="1085" bestFit="1" customWidth="1"/>
    <col min="11525" max="11525" width="28.28515625" style="1085" customWidth="1"/>
    <col min="11526" max="11526" width="8.5703125" style="1085" customWidth="1"/>
    <col min="11527" max="11527" width="12.140625" style="1085" customWidth="1"/>
    <col min="11528" max="11528" width="12.28515625" style="1085" bestFit="1" customWidth="1"/>
    <col min="11529" max="11529" width="9.7109375" style="1085" bestFit="1" customWidth="1"/>
    <col min="11530" max="11530" width="9.5703125" style="1085" bestFit="1" customWidth="1"/>
    <col min="11531" max="11532" width="9.140625" style="1085"/>
    <col min="11533" max="11533" width="9.5703125" style="1085" bestFit="1" customWidth="1"/>
    <col min="11534" max="11776" width="9.140625" style="1085"/>
    <col min="11777" max="11778" width="15.7109375" style="1085" customWidth="1"/>
    <col min="11779" max="11779" width="12.140625" style="1085" bestFit="1" customWidth="1"/>
    <col min="11780" max="11780" width="20" style="1085" bestFit="1" customWidth="1"/>
    <col min="11781" max="11781" width="28.28515625" style="1085" customWidth="1"/>
    <col min="11782" max="11782" width="8.5703125" style="1085" customWidth="1"/>
    <col min="11783" max="11783" width="12.140625" style="1085" customWidth="1"/>
    <col min="11784" max="11784" width="12.28515625" style="1085" bestFit="1" customWidth="1"/>
    <col min="11785" max="11785" width="9.7109375" style="1085" bestFit="1" customWidth="1"/>
    <col min="11786" max="11786" width="9.5703125" style="1085" bestFit="1" customWidth="1"/>
    <col min="11787" max="11788" width="9.140625" style="1085"/>
    <col min="11789" max="11789" width="9.5703125" style="1085" bestFit="1" customWidth="1"/>
    <col min="11790" max="12032" width="9.140625" style="1085"/>
    <col min="12033" max="12034" width="15.7109375" style="1085" customWidth="1"/>
    <col min="12035" max="12035" width="12.140625" style="1085" bestFit="1" customWidth="1"/>
    <col min="12036" max="12036" width="20" style="1085" bestFit="1" customWidth="1"/>
    <col min="12037" max="12037" width="28.28515625" style="1085" customWidth="1"/>
    <col min="12038" max="12038" width="8.5703125" style="1085" customWidth="1"/>
    <col min="12039" max="12039" width="12.140625" style="1085" customWidth="1"/>
    <col min="12040" max="12040" width="12.28515625" style="1085" bestFit="1" customWidth="1"/>
    <col min="12041" max="12041" width="9.7109375" style="1085" bestFit="1" customWidth="1"/>
    <col min="12042" max="12042" width="9.5703125" style="1085" bestFit="1" customWidth="1"/>
    <col min="12043" max="12044" width="9.140625" style="1085"/>
    <col min="12045" max="12045" width="9.5703125" style="1085" bestFit="1" customWidth="1"/>
    <col min="12046" max="12288" width="9.140625" style="1085"/>
    <col min="12289" max="12290" width="15.7109375" style="1085" customWidth="1"/>
    <col min="12291" max="12291" width="12.140625" style="1085" bestFit="1" customWidth="1"/>
    <col min="12292" max="12292" width="20" style="1085" bestFit="1" customWidth="1"/>
    <col min="12293" max="12293" width="28.28515625" style="1085" customWidth="1"/>
    <col min="12294" max="12294" width="8.5703125" style="1085" customWidth="1"/>
    <col min="12295" max="12295" width="12.140625" style="1085" customWidth="1"/>
    <col min="12296" max="12296" width="12.28515625" style="1085" bestFit="1" customWidth="1"/>
    <col min="12297" max="12297" width="9.7109375" style="1085" bestFit="1" customWidth="1"/>
    <col min="12298" max="12298" width="9.5703125" style="1085" bestFit="1" customWidth="1"/>
    <col min="12299" max="12300" width="9.140625" style="1085"/>
    <col min="12301" max="12301" width="9.5703125" style="1085" bestFit="1" customWidth="1"/>
    <col min="12302" max="12544" width="9.140625" style="1085"/>
    <col min="12545" max="12546" width="15.7109375" style="1085" customWidth="1"/>
    <col min="12547" max="12547" width="12.140625" style="1085" bestFit="1" customWidth="1"/>
    <col min="12548" max="12548" width="20" style="1085" bestFit="1" customWidth="1"/>
    <col min="12549" max="12549" width="28.28515625" style="1085" customWidth="1"/>
    <col min="12550" max="12550" width="8.5703125" style="1085" customWidth="1"/>
    <col min="12551" max="12551" width="12.140625" style="1085" customWidth="1"/>
    <col min="12552" max="12552" width="12.28515625" style="1085" bestFit="1" customWidth="1"/>
    <col min="12553" max="12553" width="9.7109375" style="1085" bestFit="1" customWidth="1"/>
    <col min="12554" max="12554" width="9.5703125" style="1085" bestFit="1" customWidth="1"/>
    <col min="12555" max="12556" width="9.140625" style="1085"/>
    <col min="12557" max="12557" width="9.5703125" style="1085" bestFit="1" customWidth="1"/>
    <col min="12558" max="12800" width="9.140625" style="1085"/>
    <col min="12801" max="12802" width="15.7109375" style="1085" customWidth="1"/>
    <col min="12803" max="12803" width="12.140625" style="1085" bestFit="1" customWidth="1"/>
    <col min="12804" max="12804" width="20" style="1085" bestFit="1" customWidth="1"/>
    <col min="12805" max="12805" width="28.28515625" style="1085" customWidth="1"/>
    <col min="12806" max="12806" width="8.5703125" style="1085" customWidth="1"/>
    <col min="12807" max="12807" width="12.140625" style="1085" customWidth="1"/>
    <col min="12808" max="12808" width="12.28515625" style="1085" bestFit="1" customWidth="1"/>
    <col min="12809" max="12809" width="9.7109375" style="1085" bestFit="1" customWidth="1"/>
    <col min="12810" max="12810" width="9.5703125" style="1085" bestFit="1" customWidth="1"/>
    <col min="12811" max="12812" width="9.140625" style="1085"/>
    <col min="12813" max="12813" width="9.5703125" style="1085" bestFit="1" customWidth="1"/>
    <col min="12814" max="13056" width="9.140625" style="1085"/>
    <col min="13057" max="13058" width="15.7109375" style="1085" customWidth="1"/>
    <col min="13059" max="13059" width="12.140625" style="1085" bestFit="1" customWidth="1"/>
    <col min="13060" max="13060" width="20" style="1085" bestFit="1" customWidth="1"/>
    <col min="13061" max="13061" width="28.28515625" style="1085" customWidth="1"/>
    <col min="13062" max="13062" width="8.5703125" style="1085" customWidth="1"/>
    <col min="13063" max="13063" width="12.140625" style="1085" customWidth="1"/>
    <col min="13064" max="13064" width="12.28515625" style="1085" bestFit="1" customWidth="1"/>
    <col min="13065" max="13065" width="9.7109375" style="1085" bestFit="1" customWidth="1"/>
    <col min="13066" max="13066" width="9.5703125" style="1085" bestFit="1" customWidth="1"/>
    <col min="13067" max="13068" width="9.140625" style="1085"/>
    <col min="13069" max="13069" width="9.5703125" style="1085" bestFit="1" customWidth="1"/>
    <col min="13070" max="13312" width="9.140625" style="1085"/>
    <col min="13313" max="13314" width="15.7109375" style="1085" customWidth="1"/>
    <col min="13315" max="13315" width="12.140625" style="1085" bestFit="1" customWidth="1"/>
    <col min="13316" max="13316" width="20" style="1085" bestFit="1" customWidth="1"/>
    <col min="13317" max="13317" width="28.28515625" style="1085" customWidth="1"/>
    <col min="13318" max="13318" width="8.5703125" style="1085" customWidth="1"/>
    <col min="13319" max="13319" width="12.140625" style="1085" customWidth="1"/>
    <col min="13320" max="13320" width="12.28515625" style="1085" bestFit="1" customWidth="1"/>
    <col min="13321" max="13321" width="9.7109375" style="1085" bestFit="1" customWidth="1"/>
    <col min="13322" max="13322" width="9.5703125" style="1085" bestFit="1" customWidth="1"/>
    <col min="13323" max="13324" width="9.140625" style="1085"/>
    <col min="13325" max="13325" width="9.5703125" style="1085" bestFit="1" customWidth="1"/>
    <col min="13326" max="13568" width="9.140625" style="1085"/>
    <col min="13569" max="13570" width="15.7109375" style="1085" customWidth="1"/>
    <col min="13571" max="13571" width="12.140625" style="1085" bestFit="1" customWidth="1"/>
    <col min="13572" max="13572" width="20" style="1085" bestFit="1" customWidth="1"/>
    <col min="13573" max="13573" width="28.28515625" style="1085" customWidth="1"/>
    <col min="13574" max="13574" width="8.5703125" style="1085" customWidth="1"/>
    <col min="13575" max="13575" width="12.140625" style="1085" customWidth="1"/>
    <col min="13576" max="13576" width="12.28515625" style="1085" bestFit="1" customWidth="1"/>
    <col min="13577" max="13577" width="9.7109375" style="1085" bestFit="1" customWidth="1"/>
    <col min="13578" max="13578" width="9.5703125" style="1085" bestFit="1" customWidth="1"/>
    <col min="13579" max="13580" width="9.140625" style="1085"/>
    <col min="13581" max="13581" width="9.5703125" style="1085" bestFit="1" customWidth="1"/>
    <col min="13582" max="13824" width="9.140625" style="1085"/>
    <col min="13825" max="13826" width="15.7109375" style="1085" customWidth="1"/>
    <col min="13827" max="13827" width="12.140625" style="1085" bestFit="1" customWidth="1"/>
    <col min="13828" max="13828" width="20" style="1085" bestFit="1" customWidth="1"/>
    <col min="13829" max="13829" width="28.28515625" style="1085" customWidth="1"/>
    <col min="13830" max="13830" width="8.5703125" style="1085" customWidth="1"/>
    <col min="13831" max="13831" width="12.140625" style="1085" customWidth="1"/>
    <col min="13832" max="13832" width="12.28515625" style="1085" bestFit="1" customWidth="1"/>
    <col min="13833" max="13833" width="9.7109375" style="1085" bestFit="1" customWidth="1"/>
    <col min="13834" max="13834" width="9.5703125" style="1085" bestFit="1" customWidth="1"/>
    <col min="13835" max="13836" width="9.140625" style="1085"/>
    <col min="13837" max="13837" width="9.5703125" style="1085" bestFit="1" customWidth="1"/>
    <col min="13838" max="14080" width="9.140625" style="1085"/>
    <col min="14081" max="14082" width="15.7109375" style="1085" customWidth="1"/>
    <col min="14083" max="14083" width="12.140625" style="1085" bestFit="1" customWidth="1"/>
    <col min="14084" max="14084" width="20" style="1085" bestFit="1" customWidth="1"/>
    <col min="14085" max="14085" width="28.28515625" style="1085" customWidth="1"/>
    <col min="14086" max="14086" width="8.5703125" style="1085" customWidth="1"/>
    <col min="14087" max="14087" width="12.140625" style="1085" customWidth="1"/>
    <col min="14088" max="14088" width="12.28515625" style="1085" bestFit="1" customWidth="1"/>
    <col min="14089" max="14089" width="9.7109375" style="1085" bestFit="1" customWidth="1"/>
    <col min="14090" max="14090" width="9.5703125" style="1085" bestFit="1" customWidth="1"/>
    <col min="14091" max="14092" width="9.140625" style="1085"/>
    <col min="14093" max="14093" width="9.5703125" style="1085" bestFit="1" customWidth="1"/>
    <col min="14094" max="14336" width="9.140625" style="1085"/>
    <col min="14337" max="14338" width="15.7109375" style="1085" customWidth="1"/>
    <col min="14339" max="14339" width="12.140625" style="1085" bestFit="1" customWidth="1"/>
    <col min="14340" max="14340" width="20" style="1085" bestFit="1" customWidth="1"/>
    <col min="14341" max="14341" width="28.28515625" style="1085" customWidth="1"/>
    <col min="14342" max="14342" width="8.5703125" style="1085" customWidth="1"/>
    <col min="14343" max="14343" width="12.140625" style="1085" customWidth="1"/>
    <col min="14344" max="14344" width="12.28515625" style="1085" bestFit="1" customWidth="1"/>
    <col min="14345" max="14345" width="9.7109375" style="1085" bestFit="1" customWidth="1"/>
    <col min="14346" max="14346" width="9.5703125" style="1085" bestFit="1" customWidth="1"/>
    <col min="14347" max="14348" width="9.140625" style="1085"/>
    <col min="14349" max="14349" width="9.5703125" style="1085" bestFit="1" customWidth="1"/>
    <col min="14350" max="14592" width="9.140625" style="1085"/>
    <col min="14593" max="14594" width="15.7109375" style="1085" customWidth="1"/>
    <col min="14595" max="14595" width="12.140625" style="1085" bestFit="1" customWidth="1"/>
    <col min="14596" max="14596" width="20" style="1085" bestFit="1" customWidth="1"/>
    <col min="14597" max="14597" width="28.28515625" style="1085" customWidth="1"/>
    <col min="14598" max="14598" width="8.5703125" style="1085" customWidth="1"/>
    <col min="14599" max="14599" width="12.140625" style="1085" customWidth="1"/>
    <col min="14600" max="14600" width="12.28515625" style="1085" bestFit="1" customWidth="1"/>
    <col min="14601" max="14601" width="9.7109375" style="1085" bestFit="1" customWidth="1"/>
    <col min="14602" max="14602" width="9.5703125" style="1085" bestFit="1" customWidth="1"/>
    <col min="14603" max="14604" width="9.140625" style="1085"/>
    <col min="14605" max="14605" width="9.5703125" style="1085" bestFit="1" customWidth="1"/>
    <col min="14606" max="14848" width="9.140625" style="1085"/>
    <col min="14849" max="14850" width="15.7109375" style="1085" customWidth="1"/>
    <col min="14851" max="14851" width="12.140625" style="1085" bestFit="1" customWidth="1"/>
    <col min="14852" max="14852" width="20" style="1085" bestFit="1" customWidth="1"/>
    <col min="14853" max="14853" width="28.28515625" style="1085" customWidth="1"/>
    <col min="14854" max="14854" width="8.5703125" style="1085" customWidth="1"/>
    <col min="14855" max="14855" width="12.140625" style="1085" customWidth="1"/>
    <col min="14856" max="14856" width="12.28515625" style="1085" bestFit="1" customWidth="1"/>
    <col min="14857" max="14857" width="9.7109375" style="1085" bestFit="1" customWidth="1"/>
    <col min="14858" max="14858" width="9.5703125" style="1085" bestFit="1" customWidth="1"/>
    <col min="14859" max="14860" width="9.140625" style="1085"/>
    <col min="14861" max="14861" width="9.5703125" style="1085" bestFit="1" customWidth="1"/>
    <col min="14862" max="15104" width="9.140625" style="1085"/>
    <col min="15105" max="15106" width="15.7109375" style="1085" customWidth="1"/>
    <col min="15107" max="15107" width="12.140625" style="1085" bestFit="1" customWidth="1"/>
    <col min="15108" max="15108" width="20" style="1085" bestFit="1" customWidth="1"/>
    <col min="15109" max="15109" width="28.28515625" style="1085" customWidth="1"/>
    <col min="15110" max="15110" width="8.5703125" style="1085" customWidth="1"/>
    <col min="15111" max="15111" width="12.140625" style="1085" customWidth="1"/>
    <col min="15112" max="15112" width="12.28515625" style="1085" bestFit="1" customWidth="1"/>
    <col min="15113" max="15113" width="9.7109375" style="1085" bestFit="1" customWidth="1"/>
    <col min="15114" max="15114" width="9.5703125" style="1085" bestFit="1" customWidth="1"/>
    <col min="15115" max="15116" width="9.140625" style="1085"/>
    <col min="15117" max="15117" width="9.5703125" style="1085" bestFit="1" customWidth="1"/>
    <col min="15118" max="15360" width="9.140625" style="1085"/>
    <col min="15361" max="15362" width="15.7109375" style="1085" customWidth="1"/>
    <col min="15363" max="15363" width="12.140625" style="1085" bestFit="1" customWidth="1"/>
    <col min="15364" max="15364" width="20" style="1085" bestFit="1" customWidth="1"/>
    <col min="15365" max="15365" width="28.28515625" style="1085" customWidth="1"/>
    <col min="15366" max="15366" width="8.5703125" style="1085" customWidth="1"/>
    <col min="15367" max="15367" width="12.140625" style="1085" customWidth="1"/>
    <col min="15368" max="15368" width="12.28515625" style="1085" bestFit="1" customWidth="1"/>
    <col min="15369" max="15369" width="9.7109375" style="1085" bestFit="1" customWidth="1"/>
    <col min="15370" max="15370" width="9.5703125" style="1085" bestFit="1" customWidth="1"/>
    <col min="15371" max="15372" width="9.140625" style="1085"/>
    <col min="15373" max="15373" width="9.5703125" style="1085" bestFit="1" customWidth="1"/>
    <col min="15374" max="15616" width="9.140625" style="1085"/>
    <col min="15617" max="15618" width="15.7109375" style="1085" customWidth="1"/>
    <col min="15619" max="15619" width="12.140625" style="1085" bestFit="1" customWidth="1"/>
    <col min="15620" max="15620" width="20" style="1085" bestFit="1" customWidth="1"/>
    <col min="15621" max="15621" width="28.28515625" style="1085" customWidth="1"/>
    <col min="15622" max="15622" width="8.5703125" style="1085" customWidth="1"/>
    <col min="15623" max="15623" width="12.140625" style="1085" customWidth="1"/>
    <col min="15624" max="15624" width="12.28515625" style="1085" bestFit="1" customWidth="1"/>
    <col min="15625" max="15625" width="9.7109375" style="1085" bestFit="1" customWidth="1"/>
    <col min="15626" max="15626" width="9.5703125" style="1085" bestFit="1" customWidth="1"/>
    <col min="15627" max="15628" width="9.140625" style="1085"/>
    <col min="15629" max="15629" width="9.5703125" style="1085" bestFit="1" customWidth="1"/>
    <col min="15630" max="15872" width="9.140625" style="1085"/>
    <col min="15873" max="15874" width="15.7109375" style="1085" customWidth="1"/>
    <col min="15875" max="15875" width="12.140625" style="1085" bestFit="1" customWidth="1"/>
    <col min="15876" max="15876" width="20" style="1085" bestFit="1" customWidth="1"/>
    <col min="15877" max="15877" width="28.28515625" style="1085" customWidth="1"/>
    <col min="15878" max="15878" width="8.5703125" style="1085" customWidth="1"/>
    <col min="15879" max="15879" width="12.140625" style="1085" customWidth="1"/>
    <col min="15880" max="15880" width="12.28515625" style="1085" bestFit="1" customWidth="1"/>
    <col min="15881" max="15881" width="9.7109375" style="1085" bestFit="1" customWidth="1"/>
    <col min="15882" max="15882" width="9.5703125" style="1085" bestFit="1" customWidth="1"/>
    <col min="15883" max="15884" width="9.140625" style="1085"/>
    <col min="15885" max="15885" width="9.5703125" style="1085" bestFit="1" customWidth="1"/>
    <col min="15886" max="16128" width="9.140625" style="1085"/>
    <col min="16129" max="16130" width="15.7109375" style="1085" customWidth="1"/>
    <col min="16131" max="16131" width="12.140625" style="1085" bestFit="1" customWidth="1"/>
    <col min="16132" max="16132" width="20" style="1085" bestFit="1" customWidth="1"/>
    <col min="16133" max="16133" width="28.28515625" style="1085" customWidth="1"/>
    <col min="16134" max="16134" width="8.5703125" style="1085" customWidth="1"/>
    <col min="16135" max="16135" width="12.140625" style="1085" customWidth="1"/>
    <col min="16136" max="16136" width="12.28515625" style="1085" bestFit="1" customWidth="1"/>
    <col min="16137" max="16137" width="9.7109375" style="1085" bestFit="1" customWidth="1"/>
    <col min="16138" max="16138" width="9.5703125" style="1085" bestFit="1" customWidth="1"/>
    <col min="16139" max="16140" width="9.140625" style="1085"/>
    <col min="16141" max="16141" width="9.5703125" style="1085" bestFit="1" customWidth="1"/>
    <col min="16142" max="16384" width="9.140625" style="1085"/>
  </cols>
  <sheetData>
    <row r="1" spans="1:12" ht="18.75">
      <c r="A1" s="1083" t="s">
        <v>908</v>
      </c>
      <c r="B1" s="1084"/>
      <c r="C1" s="1084"/>
      <c r="D1" s="1084"/>
      <c r="E1" s="1084"/>
      <c r="G1" s="1086"/>
      <c r="H1" s="1087"/>
    </row>
    <row r="2" spans="1:12" ht="5.25" customHeight="1" thickBot="1">
      <c r="A2" s="1088"/>
      <c r="B2" s="1084"/>
      <c r="C2" s="1084"/>
      <c r="D2" s="1084"/>
      <c r="E2" s="1084"/>
      <c r="G2" s="1086"/>
      <c r="H2" s="1089"/>
    </row>
    <row r="3" spans="1:12" ht="20.25" customHeight="1">
      <c r="A3" s="1090" t="s">
        <v>909</v>
      </c>
      <c r="B3" s="1090" t="s">
        <v>910</v>
      </c>
      <c r="C3" s="1090" t="s">
        <v>911</v>
      </c>
      <c r="D3" s="1090" t="s">
        <v>912</v>
      </c>
      <c r="E3" s="1090" t="s">
        <v>913</v>
      </c>
      <c r="G3" s="1086"/>
      <c r="H3" s="1089"/>
    </row>
    <row r="4" spans="1:12" ht="21.75" customHeight="1" thickBot="1">
      <c r="A4" s="1091"/>
      <c r="B4" s="1091" t="s">
        <v>914</v>
      </c>
      <c r="C4" s="1091" t="s">
        <v>915</v>
      </c>
      <c r="D4" s="1092" t="s">
        <v>12</v>
      </c>
      <c r="E4" s="1092" t="s">
        <v>810</v>
      </c>
      <c r="G4" s="1086"/>
      <c r="H4" s="1089"/>
    </row>
    <row r="5" spans="1:12" ht="15">
      <c r="A5" s="1093">
        <v>1</v>
      </c>
      <c r="B5" s="1093" t="s">
        <v>916</v>
      </c>
      <c r="C5" s="1094" t="s">
        <v>770</v>
      </c>
      <c r="D5" s="1095" t="s">
        <v>770</v>
      </c>
      <c r="E5" s="1096" t="s">
        <v>770</v>
      </c>
      <c r="G5" s="1086"/>
      <c r="H5" s="1097"/>
    </row>
    <row r="6" spans="1:12" ht="15">
      <c r="A6" s="1093">
        <v>2</v>
      </c>
      <c r="B6" s="1093" t="s">
        <v>917</v>
      </c>
      <c r="C6" s="1094" t="s">
        <v>770</v>
      </c>
      <c r="D6" s="1095" t="s">
        <v>770</v>
      </c>
      <c r="E6" s="1098" t="s">
        <v>770</v>
      </c>
      <c r="G6" s="1086"/>
      <c r="H6" s="1099"/>
    </row>
    <row r="7" spans="1:12" ht="15">
      <c r="A7" s="1093">
        <v>3</v>
      </c>
      <c r="B7" s="1093" t="s">
        <v>918</v>
      </c>
      <c r="C7" s="1094">
        <v>3</v>
      </c>
      <c r="D7" s="1095">
        <v>200</v>
      </c>
      <c r="E7" s="1100" t="s">
        <v>919</v>
      </c>
      <c r="G7" s="1086"/>
      <c r="H7" s="1101"/>
    </row>
    <row r="8" spans="1:12" ht="15">
      <c r="A8" s="1093">
        <v>4</v>
      </c>
      <c r="B8" s="1093" t="s">
        <v>920</v>
      </c>
      <c r="C8" s="1094">
        <v>4</v>
      </c>
      <c r="D8" s="1095">
        <v>80</v>
      </c>
      <c r="E8" s="1100" t="s">
        <v>921</v>
      </c>
      <c r="G8" s="1086"/>
      <c r="H8" s="1101"/>
    </row>
    <row r="9" spans="1:12" ht="15">
      <c r="A9" s="1093">
        <v>5</v>
      </c>
      <c r="B9" s="1093" t="s">
        <v>922</v>
      </c>
      <c r="C9" s="1094">
        <v>5</v>
      </c>
      <c r="D9" s="1095">
        <v>350</v>
      </c>
      <c r="E9" s="1100" t="s">
        <v>923</v>
      </c>
      <c r="G9" s="1086"/>
      <c r="H9" s="1101"/>
      <c r="L9" s="1102"/>
    </row>
    <row r="10" spans="1:12" ht="15">
      <c r="A10" s="1093">
        <v>6</v>
      </c>
      <c r="B10" s="1093" t="s">
        <v>924</v>
      </c>
      <c r="C10" s="1094">
        <v>2</v>
      </c>
      <c r="D10" s="1095">
        <v>60</v>
      </c>
      <c r="E10" s="1100" t="s">
        <v>925</v>
      </c>
      <c r="G10" s="1086"/>
      <c r="H10" s="1101"/>
      <c r="L10" s="1102"/>
    </row>
    <row r="11" spans="1:12" ht="15">
      <c r="A11" s="1093">
        <v>7</v>
      </c>
      <c r="B11" s="1093" t="s">
        <v>926</v>
      </c>
      <c r="C11" s="1094">
        <v>6</v>
      </c>
      <c r="D11" s="1095">
        <v>165</v>
      </c>
      <c r="E11" s="1100">
        <v>2.6</v>
      </c>
      <c r="G11" s="1086"/>
      <c r="H11" s="1101"/>
      <c r="L11" s="1102"/>
    </row>
    <row r="12" spans="1:12" ht="15">
      <c r="A12" s="1093">
        <v>8</v>
      </c>
      <c r="B12" s="1093" t="s">
        <v>927</v>
      </c>
      <c r="C12" s="1094">
        <v>2</v>
      </c>
      <c r="D12" s="1095">
        <v>60</v>
      </c>
      <c r="E12" s="1100">
        <v>2.76</v>
      </c>
      <c r="G12" s="1086"/>
      <c r="H12" s="1101"/>
      <c r="L12" s="1102"/>
    </row>
    <row r="13" spans="1:12" ht="21" hidden="1" customHeight="1">
      <c r="A13" s="1093">
        <v>9</v>
      </c>
      <c r="B13" s="1093" t="s">
        <v>928</v>
      </c>
      <c r="C13" s="1094"/>
      <c r="D13" s="1095"/>
      <c r="E13" s="1100"/>
      <c r="G13" s="1086"/>
      <c r="H13" s="1101"/>
      <c r="L13" s="1102"/>
    </row>
    <row r="14" spans="1:12" ht="21" hidden="1" customHeight="1">
      <c r="A14" s="1093">
        <v>10</v>
      </c>
      <c r="B14" s="1093" t="s">
        <v>929</v>
      </c>
      <c r="C14" s="1094"/>
      <c r="D14" s="1095"/>
      <c r="E14" s="1100"/>
      <c r="G14" s="1086"/>
      <c r="H14" s="1101"/>
      <c r="L14" s="1102"/>
    </row>
    <row r="15" spans="1:12" ht="21" hidden="1" customHeight="1">
      <c r="A15" s="1093">
        <v>11</v>
      </c>
      <c r="B15" s="1093" t="s">
        <v>930</v>
      </c>
      <c r="C15" s="1094"/>
      <c r="D15" s="1095"/>
      <c r="E15" s="1100"/>
      <c r="G15" s="1086"/>
      <c r="H15" s="1101"/>
      <c r="L15" s="1102"/>
    </row>
    <row r="16" spans="1:12" ht="0.75" customHeight="1" thickBot="1">
      <c r="A16" s="1103"/>
      <c r="B16" s="1103"/>
      <c r="C16" s="1104"/>
      <c r="D16" s="1105"/>
      <c r="E16" s="1104" t="s">
        <v>931</v>
      </c>
      <c r="G16" s="1086"/>
      <c r="H16" s="1101"/>
      <c r="L16" s="1102"/>
    </row>
    <row r="17" spans="1:12" ht="24" customHeight="1" thickBot="1">
      <c r="A17" s="3376" t="s">
        <v>319</v>
      </c>
      <c r="B17" s="3376"/>
      <c r="C17" s="1106">
        <f>SUM(C5:C12)</f>
        <v>22</v>
      </c>
      <c r="D17" s="1107">
        <f>SUM(D5:D12)</f>
        <v>915</v>
      </c>
      <c r="E17" s="1108" t="s">
        <v>932</v>
      </c>
      <c r="F17" s="1109"/>
      <c r="G17" s="1086"/>
      <c r="H17" s="1110"/>
      <c r="L17" s="1102"/>
    </row>
    <row r="18" spans="1:12" ht="15" customHeight="1">
      <c r="A18" s="1111" t="s">
        <v>756</v>
      </c>
      <c r="D18" s="1087"/>
      <c r="E18" s="1112"/>
      <c r="F18" s="1113"/>
      <c r="G18" s="1110"/>
      <c r="H18" s="1110"/>
    </row>
    <row r="19" spans="1:12" ht="18" customHeight="1">
      <c r="A19" s="1111"/>
      <c r="C19" s="1114"/>
      <c r="D19" s="1114"/>
      <c r="E19" s="1112"/>
      <c r="F19" s="1113"/>
      <c r="G19" s="1086"/>
      <c r="H19" s="1110"/>
      <c r="I19" s="1115"/>
    </row>
    <row r="20" spans="1:12" ht="18" hidden="1" customHeight="1">
      <c r="C20" s="1116"/>
      <c r="D20" s="1114"/>
      <c r="E20" s="1112"/>
      <c r="F20" s="1110"/>
      <c r="G20" s="1110"/>
      <c r="H20" s="1110"/>
      <c r="I20" s="1115"/>
    </row>
    <row r="21" spans="1:12" ht="18" hidden="1" customHeight="1">
      <c r="E21" s="1112"/>
      <c r="F21" s="1110"/>
      <c r="G21" s="1110"/>
      <c r="H21" s="1110"/>
      <c r="I21" s="1115"/>
    </row>
    <row r="22" spans="1:12" ht="18.75">
      <c r="A22" s="1083" t="s">
        <v>933</v>
      </c>
      <c r="B22" s="1084"/>
      <c r="C22" s="1084"/>
      <c r="D22" s="1084"/>
      <c r="E22" s="1084"/>
      <c r="G22" s="1086"/>
      <c r="H22" s="1087"/>
    </row>
    <row r="23" spans="1:12" ht="10.5" customHeight="1" thickBot="1">
      <c r="E23" s="1112"/>
      <c r="F23" s="1110"/>
      <c r="G23" s="1110"/>
      <c r="H23" s="1110"/>
      <c r="I23" s="1115"/>
    </row>
    <row r="24" spans="1:12" ht="18" customHeight="1" thickTop="1">
      <c r="A24" s="1117" t="s">
        <v>1</v>
      </c>
      <c r="B24" s="1118" t="s">
        <v>911</v>
      </c>
      <c r="C24" s="1119" t="s">
        <v>912</v>
      </c>
      <c r="D24" s="1120" t="s">
        <v>913</v>
      </c>
      <c r="E24" s="1112"/>
      <c r="F24" s="1110"/>
      <c r="G24" s="1110"/>
      <c r="H24" s="1110"/>
      <c r="I24" s="1115"/>
    </row>
    <row r="25" spans="1:12" ht="18" customHeight="1" thickBot="1">
      <c r="A25" s="1121"/>
      <c r="B25" s="1122" t="s">
        <v>915</v>
      </c>
      <c r="C25" s="1092" t="s">
        <v>12</v>
      </c>
      <c r="D25" s="1123" t="s">
        <v>810</v>
      </c>
      <c r="E25" s="1112"/>
      <c r="F25" s="1110"/>
      <c r="G25" s="1110"/>
      <c r="H25" s="1110"/>
      <c r="I25" s="1115"/>
    </row>
    <row r="26" spans="1:12" ht="15">
      <c r="A26" s="1124">
        <v>41306</v>
      </c>
      <c r="B26" s="1094"/>
      <c r="C26" s="1095"/>
      <c r="D26" s="1125"/>
      <c r="E26" s="1112"/>
      <c r="F26" s="1110"/>
      <c r="G26" s="1110"/>
      <c r="H26" s="1110"/>
      <c r="I26" s="1115"/>
    </row>
    <row r="27" spans="1:12" ht="15">
      <c r="A27" s="1126" t="s">
        <v>934</v>
      </c>
      <c r="B27" s="1094">
        <v>6</v>
      </c>
      <c r="C27" s="1127">
        <v>140</v>
      </c>
      <c r="D27" s="1128" t="s">
        <v>935</v>
      </c>
      <c r="E27" s="1129"/>
      <c r="F27" s="1110"/>
      <c r="G27" s="1110"/>
      <c r="H27" s="1110"/>
      <c r="I27" s="1115"/>
    </row>
    <row r="28" spans="1:12" ht="15">
      <c r="A28" s="1126" t="s">
        <v>936</v>
      </c>
      <c r="B28" s="1094">
        <v>10</v>
      </c>
      <c r="C28" s="1127">
        <v>385</v>
      </c>
      <c r="D28" s="1128" t="s">
        <v>932</v>
      </c>
      <c r="E28" s="1112"/>
      <c r="F28" s="1110"/>
      <c r="G28" s="1110"/>
      <c r="H28" s="1110"/>
      <c r="I28" s="1115"/>
    </row>
    <row r="29" spans="1:12" ht="15">
      <c r="A29" s="1126" t="s">
        <v>937</v>
      </c>
      <c r="B29" s="1094">
        <v>2</v>
      </c>
      <c r="C29" s="1127">
        <v>30</v>
      </c>
      <c r="D29" s="1128" t="s">
        <v>921</v>
      </c>
      <c r="E29" s="1112"/>
      <c r="F29" s="1110"/>
      <c r="G29" s="1110"/>
      <c r="H29" s="1110"/>
      <c r="I29" s="1115"/>
    </row>
    <row r="30" spans="1:12" ht="15">
      <c r="A30" s="1126" t="s">
        <v>938</v>
      </c>
      <c r="B30" s="1094">
        <v>4</v>
      </c>
      <c r="C30" s="1127">
        <v>360</v>
      </c>
      <c r="D30" s="1128" t="s">
        <v>939</v>
      </c>
      <c r="E30" s="1112"/>
      <c r="F30" s="1110"/>
      <c r="G30" s="1110"/>
      <c r="H30" s="1110"/>
      <c r="I30" s="1115"/>
    </row>
    <row r="31" spans="1:12" ht="6" customHeight="1" thickBot="1">
      <c r="A31" s="1130"/>
      <c r="B31" s="1131" t="s">
        <v>770</v>
      </c>
      <c r="C31" s="1132"/>
      <c r="D31" s="1133"/>
      <c r="E31" s="1112"/>
      <c r="F31" s="1112"/>
      <c r="G31" s="1110"/>
      <c r="H31" s="1110"/>
      <c r="I31" s="1115"/>
    </row>
    <row r="32" spans="1:12" ht="24" hidden="1" customHeight="1" thickTop="1">
      <c r="A32" s="1134">
        <v>37347</v>
      </c>
      <c r="B32" s="1094">
        <v>29</v>
      </c>
      <c r="C32" s="1095">
        <v>187.3</v>
      </c>
      <c r="D32" s="1135" t="s">
        <v>940</v>
      </c>
      <c r="E32" s="1112"/>
      <c r="F32" s="1110"/>
      <c r="G32" s="1110"/>
      <c r="H32" s="1110"/>
      <c r="I32" s="1115"/>
    </row>
    <row r="33" spans="1:9" ht="18" hidden="1" customHeight="1">
      <c r="A33" s="1134">
        <v>37377</v>
      </c>
      <c r="B33" s="1094">
        <v>25</v>
      </c>
      <c r="C33" s="1095">
        <v>73.3</v>
      </c>
      <c r="D33" s="1135" t="s">
        <v>941</v>
      </c>
      <c r="E33" s="1112"/>
      <c r="F33" s="1110"/>
      <c r="G33" s="1110"/>
      <c r="H33" s="1110"/>
      <c r="I33" s="1115"/>
    </row>
    <row r="34" spans="1:9" ht="18" hidden="1" customHeight="1">
      <c r="A34" s="1134">
        <v>37408</v>
      </c>
      <c r="B34" s="1094">
        <v>22</v>
      </c>
      <c r="C34" s="1095">
        <v>628.5</v>
      </c>
      <c r="D34" s="1135" t="s">
        <v>942</v>
      </c>
      <c r="E34" s="1112"/>
      <c r="F34" s="1110"/>
      <c r="G34" s="1110"/>
      <c r="H34" s="1110"/>
      <c r="I34" s="1115"/>
    </row>
    <row r="35" spans="1:9" ht="18" hidden="1" customHeight="1">
      <c r="A35" s="1134">
        <v>37438</v>
      </c>
      <c r="B35" s="1094">
        <v>35</v>
      </c>
      <c r="C35" s="1095">
        <v>137</v>
      </c>
      <c r="D35" s="1135" t="s">
        <v>943</v>
      </c>
      <c r="E35" s="1112"/>
      <c r="F35" s="1110"/>
      <c r="G35" s="1110"/>
      <c r="H35" s="1110"/>
      <c r="I35" s="1115"/>
    </row>
    <row r="36" spans="1:9" ht="18" hidden="1" customHeight="1">
      <c r="A36" s="1134">
        <v>37469</v>
      </c>
      <c r="B36" s="1094">
        <v>35</v>
      </c>
      <c r="C36" s="1095">
        <v>436.1</v>
      </c>
      <c r="D36" s="1135" t="s">
        <v>944</v>
      </c>
      <c r="E36" s="1112"/>
      <c r="F36" s="1110"/>
      <c r="G36" s="1110"/>
      <c r="H36" s="1110"/>
      <c r="I36" s="1115"/>
    </row>
    <row r="37" spans="1:9" ht="18" hidden="1" customHeight="1">
      <c r="A37" s="1134">
        <v>37500</v>
      </c>
      <c r="B37" s="1094">
        <v>13</v>
      </c>
      <c r="C37" s="1095">
        <v>201.7</v>
      </c>
      <c r="D37" s="1136" t="s">
        <v>945</v>
      </c>
      <c r="E37" s="1112"/>
      <c r="F37" s="1110"/>
      <c r="G37" s="1110"/>
      <c r="H37" s="1110"/>
      <c r="I37" s="1115"/>
    </row>
    <row r="38" spans="1:9" ht="18" hidden="1" customHeight="1">
      <c r="A38" s="1134">
        <v>37530</v>
      </c>
      <c r="B38" s="1137">
        <v>101</v>
      </c>
      <c r="C38" s="1095">
        <v>859.5</v>
      </c>
      <c r="D38" s="1136" t="s">
        <v>946</v>
      </c>
      <c r="E38" s="1112"/>
      <c r="F38" s="1110"/>
      <c r="G38" s="1110"/>
      <c r="H38" s="1110"/>
      <c r="I38" s="1115"/>
    </row>
    <row r="39" spans="1:9" ht="18" hidden="1" customHeight="1">
      <c r="A39" s="1134">
        <v>37561</v>
      </c>
      <c r="B39" s="1137">
        <v>116</v>
      </c>
      <c r="C39" s="1095">
        <v>716</v>
      </c>
      <c r="D39" s="1136" t="s">
        <v>947</v>
      </c>
      <c r="E39" s="1112"/>
      <c r="F39" s="1110"/>
      <c r="G39" s="1110"/>
      <c r="H39" s="1110"/>
      <c r="I39" s="1115"/>
    </row>
    <row r="40" spans="1:9" ht="18" hidden="1" customHeight="1">
      <c r="A40" s="1134">
        <v>37591</v>
      </c>
      <c r="B40" s="1137">
        <v>196</v>
      </c>
      <c r="C40" s="1095">
        <v>1139.9000000000001</v>
      </c>
      <c r="D40" s="1136" t="s">
        <v>948</v>
      </c>
      <c r="E40" s="1112"/>
      <c r="F40" s="1110"/>
      <c r="G40" s="1110"/>
      <c r="H40" s="1110"/>
      <c r="I40" s="1115"/>
    </row>
    <row r="41" spans="1:9" ht="18" hidden="1" customHeight="1">
      <c r="A41" s="1134">
        <v>37622</v>
      </c>
      <c r="B41" s="1137">
        <v>251</v>
      </c>
      <c r="C41" s="1095">
        <v>1278.4000000000001</v>
      </c>
      <c r="D41" s="1136" t="s">
        <v>949</v>
      </c>
      <c r="E41" s="1112"/>
      <c r="F41" s="1110"/>
      <c r="G41" s="1110"/>
      <c r="H41" s="1110"/>
      <c r="I41" s="1115"/>
    </row>
    <row r="42" spans="1:9" ht="18" hidden="1" customHeight="1">
      <c r="A42" s="1134">
        <v>37653</v>
      </c>
      <c r="B42" s="1137">
        <v>191</v>
      </c>
      <c r="C42" s="1095">
        <v>956.7</v>
      </c>
      <c r="D42" s="1136" t="s">
        <v>950</v>
      </c>
      <c r="E42" s="1112"/>
      <c r="F42" s="1110"/>
      <c r="G42" s="1110"/>
      <c r="H42" s="1110"/>
      <c r="I42" s="1115"/>
    </row>
    <row r="43" spans="1:9" ht="18" hidden="1" customHeight="1">
      <c r="A43" s="1134">
        <v>37681</v>
      </c>
      <c r="B43" s="1137">
        <v>235</v>
      </c>
      <c r="C43" s="1095">
        <v>2219.4</v>
      </c>
      <c r="D43" s="1136" t="s">
        <v>951</v>
      </c>
      <c r="E43" s="1112"/>
      <c r="F43" s="1110"/>
      <c r="G43" s="1110"/>
      <c r="H43" s="1110"/>
      <c r="I43" s="1115"/>
    </row>
    <row r="44" spans="1:9" ht="18" hidden="1" customHeight="1">
      <c r="A44" s="1134">
        <v>37712</v>
      </c>
      <c r="B44" s="1137">
        <v>223</v>
      </c>
      <c r="C44" s="1095">
        <v>1211.5999999999999</v>
      </c>
      <c r="D44" s="1136" t="s">
        <v>952</v>
      </c>
      <c r="E44" s="1112"/>
      <c r="F44" s="1110"/>
      <c r="G44" s="1110"/>
      <c r="H44" s="1110"/>
      <c r="I44" s="1115"/>
    </row>
    <row r="45" spans="1:9" ht="18" hidden="1" customHeight="1">
      <c r="A45" s="1134">
        <v>37742</v>
      </c>
      <c r="B45" s="1137">
        <v>234</v>
      </c>
      <c r="C45" s="1095">
        <v>906.8</v>
      </c>
      <c r="D45" s="1136" t="s">
        <v>953</v>
      </c>
      <c r="E45" s="1112"/>
      <c r="F45" s="1110"/>
      <c r="G45" s="1110"/>
      <c r="H45" s="1110"/>
      <c r="I45" s="1115"/>
    </row>
    <row r="46" spans="1:9" ht="18" hidden="1" customHeight="1">
      <c r="A46" s="1134">
        <v>37773</v>
      </c>
      <c r="B46" s="1137">
        <v>203</v>
      </c>
      <c r="C46" s="1095">
        <v>1531.7</v>
      </c>
      <c r="D46" s="1136" t="s">
        <v>954</v>
      </c>
      <c r="E46" s="1112"/>
      <c r="F46" s="1110"/>
      <c r="G46" s="1110"/>
      <c r="H46" s="1110"/>
      <c r="I46" s="1115"/>
    </row>
    <row r="47" spans="1:9" ht="18" hidden="1" customHeight="1">
      <c r="A47" s="1134">
        <v>37803</v>
      </c>
      <c r="B47" s="1137">
        <v>202</v>
      </c>
      <c r="C47" s="1095">
        <v>1136.3</v>
      </c>
      <c r="D47" s="1136" t="s">
        <v>955</v>
      </c>
      <c r="E47" s="1112"/>
      <c r="F47" s="1110"/>
      <c r="G47" s="1110"/>
      <c r="H47" s="1110"/>
      <c r="I47" s="1115"/>
    </row>
    <row r="48" spans="1:9" ht="18" hidden="1" customHeight="1">
      <c r="A48" s="1134">
        <v>37834</v>
      </c>
      <c r="B48" s="1137">
        <v>196</v>
      </c>
      <c r="C48" s="1095">
        <v>921.4</v>
      </c>
      <c r="D48" s="1136" t="s">
        <v>956</v>
      </c>
      <c r="E48" s="1112"/>
      <c r="F48" s="1110"/>
      <c r="G48" s="1110"/>
      <c r="H48" s="1110"/>
      <c r="I48" s="1115"/>
    </row>
    <row r="49" spans="1:9" ht="18" hidden="1" customHeight="1">
      <c r="A49" s="1134">
        <v>37865</v>
      </c>
      <c r="B49" s="1137">
        <v>184</v>
      </c>
      <c r="C49" s="1095">
        <v>1119.0999999999999</v>
      </c>
      <c r="D49" s="1136" t="s">
        <v>957</v>
      </c>
      <c r="E49" s="1112"/>
      <c r="F49" s="1110"/>
      <c r="G49" s="1110"/>
      <c r="H49" s="1110"/>
      <c r="I49" s="1115"/>
    </row>
    <row r="50" spans="1:9" ht="18" hidden="1" customHeight="1">
      <c r="A50" s="1134">
        <v>37895</v>
      </c>
      <c r="B50" s="1137">
        <v>246</v>
      </c>
      <c r="C50" s="1095">
        <v>1514.7</v>
      </c>
      <c r="D50" s="1136" t="s">
        <v>958</v>
      </c>
      <c r="E50" s="1112"/>
      <c r="F50" s="1110"/>
      <c r="G50" s="1110"/>
      <c r="H50" s="1110"/>
      <c r="I50" s="1115"/>
    </row>
    <row r="51" spans="1:9" ht="18" hidden="1" customHeight="1">
      <c r="A51" s="1134">
        <v>37926</v>
      </c>
      <c r="B51" s="1137">
        <v>183</v>
      </c>
      <c r="C51" s="1095">
        <v>833.9</v>
      </c>
      <c r="D51" s="1136" t="s">
        <v>959</v>
      </c>
      <c r="E51" s="1112"/>
      <c r="F51" s="1110"/>
      <c r="G51" s="1110"/>
      <c r="H51" s="1110"/>
      <c r="I51" s="1115"/>
    </row>
    <row r="52" spans="1:9" ht="18" hidden="1" customHeight="1">
      <c r="A52" s="1134">
        <v>37956</v>
      </c>
      <c r="B52" s="1137">
        <v>240</v>
      </c>
      <c r="C52" s="1095">
        <v>1636.4</v>
      </c>
      <c r="D52" s="1136" t="s">
        <v>960</v>
      </c>
      <c r="E52" s="1112"/>
      <c r="F52" s="1110"/>
      <c r="G52" s="1110"/>
      <c r="H52" s="1110"/>
      <c r="I52" s="1115"/>
    </row>
    <row r="53" spans="1:9" ht="18" hidden="1" customHeight="1">
      <c r="A53" s="1134">
        <v>37987</v>
      </c>
      <c r="B53" s="1137">
        <v>226</v>
      </c>
      <c r="C53" s="1095">
        <v>1834.9</v>
      </c>
      <c r="D53" s="1136" t="s">
        <v>961</v>
      </c>
      <c r="E53" s="1112"/>
      <c r="F53" s="1110"/>
      <c r="G53" s="1110"/>
      <c r="H53" s="1110"/>
      <c r="I53" s="1115"/>
    </row>
    <row r="54" spans="1:9" ht="18" hidden="1" customHeight="1">
      <c r="A54" s="1134">
        <v>38018</v>
      </c>
      <c r="B54" s="1137">
        <v>140</v>
      </c>
      <c r="C54" s="1095">
        <v>1196.0999999999999</v>
      </c>
      <c r="D54" s="1136" t="s">
        <v>962</v>
      </c>
      <c r="E54" s="1112"/>
      <c r="F54" s="1110"/>
      <c r="G54" s="1110"/>
      <c r="H54" s="1110"/>
      <c r="I54" s="1115"/>
    </row>
    <row r="55" spans="1:9" ht="18" hidden="1" customHeight="1">
      <c r="A55" s="1134">
        <v>38047</v>
      </c>
      <c r="B55" s="1137">
        <v>113</v>
      </c>
      <c r="C55" s="1095">
        <v>1247.7</v>
      </c>
      <c r="D55" s="1136" t="s">
        <v>963</v>
      </c>
      <c r="E55" s="1112"/>
      <c r="F55" s="1110"/>
      <c r="G55" s="1110"/>
      <c r="H55" s="1110"/>
      <c r="I55" s="1115"/>
    </row>
    <row r="56" spans="1:9" ht="18" hidden="1" customHeight="1">
      <c r="A56" s="1134">
        <v>38078</v>
      </c>
      <c r="B56" s="1137">
        <v>82</v>
      </c>
      <c r="C56" s="1095">
        <v>1185.5999999999999</v>
      </c>
      <c r="D56" s="1136" t="s">
        <v>964</v>
      </c>
      <c r="E56" s="1112"/>
      <c r="F56" s="1110"/>
      <c r="G56" s="1110"/>
      <c r="H56" s="1110"/>
      <c r="I56" s="1115"/>
    </row>
    <row r="57" spans="1:9" ht="18" hidden="1" customHeight="1">
      <c r="A57" s="1134">
        <v>38108</v>
      </c>
      <c r="B57" s="1137">
        <v>32</v>
      </c>
      <c r="C57" s="1095">
        <v>421.9</v>
      </c>
      <c r="D57" s="1136" t="s">
        <v>965</v>
      </c>
      <c r="E57" s="1112"/>
      <c r="F57" s="1110"/>
      <c r="G57" s="1110"/>
      <c r="H57" s="1110"/>
      <c r="I57" s="1115"/>
    </row>
    <row r="58" spans="1:9" ht="18" hidden="1" customHeight="1">
      <c r="A58" s="1134">
        <v>38139</v>
      </c>
      <c r="B58" s="1137">
        <v>95</v>
      </c>
      <c r="C58" s="1095">
        <v>1510.9</v>
      </c>
      <c r="D58" s="1136" t="s">
        <v>966</v>
      </c>
      <c r="E58" s="1112"/>
      <c r="F58" s="1110"/>
      <c r="G58" s="1110"/>
      <c r="H58" s="1110"/>
      <c r="I58" s="1115"/>
    </row>
    <row r="59" spans="1:9" ht="18" hidden="1" customHeight="1">
      <c r="A59" s="1134">
        <v>38169</v>
      </c>
      <c r="B59" s="1137">
        <v>87</v>
      </c>
      <c r="C59" s="1095">
        <v>687</v>
      </c>
      <c r="D59" s="1136" t="s">
        <v>967</v>
      </c>
      <c r="E59" s="1112"/>
      <c r="F59" s="1110"/>
      <c r="G59" s="1110"/>
      <c r="H59" s="1110"/>
      <c r="I59" s="1115"/>
    </row>
    <row r="60" spans="1:9" ht="18" hidden="1" customHeight="1">
      <c r="A60" s="1134">
        <v>38200</v>
      </c>
      <c r="B60" s="1137">
        <v>120</v>
      </c>
      <c r="C60" s="1095">
        <v>692.9</v>
      </c>
      <c r="D60" s="1136" t="s">
        <v>968</v>
      </c>
      <c r="E60" s="1112"/>
      <c r="F60" s="1110"/>
      <c r="G60" s="1110"/>
      <c r="H60" s="1110"/>
      <c r="I60" s="1115"/>
    </row>
    <row r="61" spans="1:9" ht="18" hidden="1" customHeight="1">
      <c r="A61" s="1134">
        <v>38231</v>
      </c>
      <c r="B61" s="1137">
        <v>124</v>
      </c>
      <c r="C61" s="1095">
        <v>906</v>
      </c>
      <c r="D61" s="1136" t="s">
        <v>969</v>
      </c>
      <c r="E61" s="1112"/>
      <c r="F61" s="1110"/>
      <c r="G61" s="1110"/>
      <c r="H61" s="1110"/>
      <c r="I61" s="1115"/>
    </row>
    <row r="62" spans="1:9" ht="18" hidden="1" customHeight="1">
      <c r="A62" s="1134">
        <v>38261</v>
      </c>
      <c r="B62" s="1137">
        <v>78</v>
      </c>
      <c r="C62" s="1095">
        <v>574.5</v>
      </c>
      <c r="D62" s="1136" t="s">
        <v>970</v>
      </c>
      <c r="E62" s="1112"/>
      <c r="F62" s="1110"/>
      <c r="G62" s="1110"/>
      <c r="H62" s="1110"/>
      <c r="I62" s="1115"/>
    </row>
    <row r="63" spans="1:9" ht="18" hidden="1" customHeight="1">
      <c r="A63" s="1134">
        <v>38292</v>
      </c>
      <c r="B63" s="1137">
        <v>65</v>
      </c>
      <c r="C63" s="1095">
        <v>273.3</v>
      </c>
      <c r="D63" s="1136" t="s">
        <v>971</v>
      </c>
      <c r="E63" s="1112"/>
      <c r="F63" s="1110"/>
      <c r="G63" s="1110"/>
      <c r="H63" s="1110"/>
      <c r="I63" s="1115"/>
    </row>
    <row r="64" spans="1:9" ht="18" hidden="1" customHeight="1">
      <c r="A64" s="1134">
        <v>38322</v>
      </c>
      <c r="B64" s="1137">
        <v>87</v>
      </c>
      <c r="C64" s="1095">
        <v>968.8</v>
      </c>
      <c r="D64" s="1136" t="s">
        <v>972</v>
      </c>
      <c r="E64" s="1112"/>
      <c r="F64" s="1110"/>
      <c r="G64" s="1110"/>
      <c r="H64" s="1110"/>
      <c r="I64" s="1115"/>
    </row>
    <row r="65" spans="1:9" ht="18" hidden="1" customHeight="1">
      <c r="A65" s="1134">
        <v>38353</v>
      </c>
      <c r="B65" s="1137">
        <v>108</v>
      </c>
      <c r="C65" s="1095">
        <v>636.9</v>
      </c>
      <c r="D65" s="1136" t="s">
        <v>973</v>
      </c>
      <c r="E65" s="1112"/>
      <c r="F65" s="1110"/>
      <c r="G65" s="1110"/>
      <c r="H65" s="1110"/>
      <c r="I65" s="1115"/>
    </row>
    <row r="66" spans="1:9" ht="18" hidden="1" customHeight="1">
      <c r="A66" s="1134">
        <v>38384</v>
      </c>
      <c r="B66" s="1137">
        <v>75</v>
      </c>
      <c r="C66" s="1095">
        <v>309.5</v>
      </c>
      <c r="D66" s="1136" t="s">
        <v>974</v>
      </c>
      <c r="E66" s="1112"/>
      <c r="F66" s="1110"/>
      <c r="G66" s="1110"/>
      <c r="H66" s="1110"/>
      <c r="I66" s="1115"/>
    </row>
    <row r="67" spans="1:9" ht="18" hidden="1" customHeight="1">
      <c r="A67" s="1134">
        <v>38412</v>
      </c>
      <c r="B67" s="1137">
        <v>104</v>
      </c>
      <c r="C67" s="1095">
        <v>1111.2</v>
      </c>
      <c r="D67" s="1136" t="s">
        <v>975</v>
      </c>
      <c r="E67" s="1112"/>
      <c r="F67" s="1110"/>
      <c r="G67" s="1110"/>
      <c r="H67" s="1110"/>
      <c r="I67" s="1115"/>
    </row>
    <row r="68" spans="1:9" ht="18" hidden="1" customHeight="1">
      <c r="A68" s="1134">
        <v>38443</v>
      </c>
      <c r="B68" s="1137">
        <v>139</v>
      </c>
      <c r="C68" s="1095">
        <v>1118.2</v>
      </c>
      <c r="D68" s="1136" t="s">
        <v>976</v>
      </c>
      <c r="E68" s="1112"/>
      <c r="F68" s="1110"/>
      <c r="G68" s="1110"/>
      <c r="H68" s="1110"/>
      <c r="I68" s="1115"/>
    </row>
    <row r="69" spans="1:9" ht="18" hidden="1" customHeight="1">
      <c r="A69" s="1134">
        <v>38473</v>
      </c>
      <c r="B69" s="1137">
        <v>93</v>
      </c>
      <c r="C69" s="1095">
        <v>595.6</v>
      </c>
      <c r="D69" s="1136" t="s">
        <v>977</v>
      </c>
      <c r="E69" s="1112"/>
      <c r="F69" s="1110"/>
      <c r="G69" s="1110"/>
      <c r="H69" s="1110"/>
      <c r="I69" s="1115"/>
    </row>
    <row r="70" spans="1:9" ht="18" hidden="1" customHeight="1">
      <c r="A70" s="1134">
        <v>38504</v>
      </c>
      <c r="B70" s="1137">
        <v>90</v>
      </c>
      <c r="C70" s="1095">
        <v>939.6</v>
      </c>
      <c r="D70" s="1136" t="s">
        <v>978</v>
      </c>
      <c r="E70" s="1112"/>
      <c r="F70" s="1110"/>
      <c r="G70" s="1110"/>
      <c r="H70" s="1110"/>
      <c r="I70" s="1115"/>
    </row>
    <row r="71" spans="1:9" ht="18" hidden="1" customHeight="1">
      <c r="A71" s="1134">
        <v>38534</v>
      </c>
      <c r="B71" s="1137">
        <v>59</v>
      </c>
      <c r="C71" s="1095">
        <v>360</v>
      </c>
      <c r="D71" s="1136" t="s">
        <v>979</v>
      </c>
      <c r="E71" s="1112"/>
      <c r="F71" s="1110"/>
      <c r="G71" s="1110"/>
      <c r="H71" s="1110"/>
      <c r="I71" s="1115"/>
    </row>
    <row r="72" spans="1:9" ht="18" hidden="1" customHeight="1">
      <c r="A72" s="1134">
        <v>38565</v>
      </c>
      <c r="B72" s="1137">
        <v>80</v>
      </c>
      <c r="C72" s="1095">
        <v>682.7</v>
      </c>
      <c r="D72" s="1136" t="s">
        <v>980</v>
      </c>
      <c r="E72" s="1112"/>
      <c r="F72" s="1110"/>
      <c r="G72" s="1110"/>
      <c r="H72" s="1110"/>
      <c r="I72" s="1115"/>
    </row>
    <row r="73" spans="1:9" ht="18" hidden="1" customHeight="1">
      <c r="A73" s="1134">
        <v>38626</v>
      </c>
      <c r="B73" s="1137">
        <v>73</v>
      </c>
      <c r="C73" s="1095">
        <v>354.3</v>
      </c>
      <c r="D73" s="1136" t="s">
        <v>981</v>
      </c>
      <c r="E73" s="1112"/>
      <c r="F73" s="1110"/>
      <c r="G73" s="1110"/>
      <c r="H73" s="1110"/>
      <c r="I73" s="1115"/>
    </row>
    <row r="74" spans="1:9" ht="18" hidden="1" customHeight="1">
      <c r="A74" s="1134">
        <v>38657</v>
      </c>
      <c r="B74" s="1137">
        <v>57</v>
      </c>
      <c r="C74" s="1095">
        <v>444.8</v>
      </c>
      <c r="D74" s="1136" t="s">
        <v>982</v>
      </c>
      <c r="E74" s="1112"/>
      <c r="F74" s="1110"/>
      <c r="G74" s="1110"/>
      <c r="H74" s="1110"/>
      <c r="I74" s="1115"/>
    </row>
    <row r="75" spans="1:9" ht="18" hidden="1" customHeight="1">
      <c r="A75" s="1134">
        <v>38687</v>
      </c>
      <c r="B75" s="1137">
        <v>97</v>
      </c>
      <c r="C75" s="1095">
        <v>1001.7</v>
      </c>
      <c r="D75" s="1136" t="s">
        <v>983</v>
      </c>
      <c r="E75" s="1112"/>
      <c r="F75" s="1110"/>
      <c r="G75" s="1110"/>
      <c r="H75" s="1110"/>
      <c r="I75" s="1115"/>
    </row>
    <row r="76" spans="1:9" ht="18" hidden="1" customHeight="1">
      <c r="A76" s="1134">
        <v>38718</v>
      </c>
      <c r="B76" s="1137">
        <v>115</v>
      </c>
      <c r="C76" s="1095">
        <v>1182.5</v>
      </c>
      <c r="D76" s="1136" t="s">
        <v>984</v>
      </c>
      <c r="E76" s="1112"/>
      <c r="F76" s="1110"/>
      <c r="G76" s="1110"/>
      <c r="H76" s="1110"/>
      <c r="I76" s="1115"/>
    </row>
    <row r="77" spans="1:9" ht="18" hidden="1" customHeight="1">
      <c r="A77" s="1134">
        <v>38749</v>
      </c>
      <c r="B77" s="1137">
        <v>84</v>
      </c>
      <c r="C77" s="1095">
        <v>658.4</v>
      </c>
      <c r="D77" s="1136" t="s">
        <v>985</v>
      </c>
      <c r="E77" s="1112"/>
      <c r="F77" s="1110"/>
      <c r="G77" s="1110"/>
      <c r="H77" s="1110"/>
      <c r="I77" s="1115"/>
    </row>
    <row r="78" spans="1:9" ht="15.75" hidden="1" thickTop="1">
      <c r="A78" s="1134">
        <v>38777</v>
      </c>
      <c r="B78" s="1137">
        <v>98</v>
      </c>
      <c r="C78" s="1095">
        <v>724.6</v>
      </c>
      <c r="D78" s="1136" t="s">
        <v>986</v>
      </c>
      <c r="E78" s="1112"/>
      <c r="F78" s="1110"/>
      <c r="G78" s="1110"/>
      <c r="H78" s="1110"/>
      <c r="I78" s="1115"/>
    </row>
    <row r="79" spans="1:9" ht="15.75" hidden="1" thickTop="1">
      <c r="A79" s="1134">
        <v>38808</v>
      </c>
      <c r="B79" s="1137">
        <v>70</v>
      </c>
      <c r="C79" s="1095">
        <v>417.4</v>
      </c>
      <c r="D79" s="1136" t="s">
        <v>987</v>
      </c>
      <c r="E79" s="1112"/>
      <c r="F79" s="1110"/>
      <c r="G79" s="1110"/>
      <c r="H79" s="1110"/>
      <c r="I79" s="1115"/>
    </row>
    <row r="80" spans="1:9" ht="15.75" hidden="1" thickTop="1">
      <c r="A80" s="1134">
        <v>38838</v>
      </c>
      <c r="B80" s="1137">
        <v>53</v>
      </c>
      <c r="C80" s="1095">
        <v>558.20000000000005</v>
      </c>
      <c r="D80" s="1136" t="s">
        <v>988</v>
      </c>
      <c r="E80" s="1112"/>
      <c r="F80" s="1110"/>
      <c r="G80" s="1110"/>
      <c r="H80" s="1110"/>
      <c r="I80" s="1115"/>
    </row>
    <row r="81" spans="1:9" ht="15.75" hidden="1" thickTop="1">
      <c r="A81" s="1134">
        <v>38869</v>
      </c>
      <c r="B81" s="1137">
        <v>45</v>
      </c>
      <c r="C81" s="1095">
        <v>510.8</v>
      </c>
      <c r="D81" s="1136" t="s">
        <v>989</v>
      </c>
      <c r="E81" s="1112"/>
      <c r="F81" s="1110"/>
      <c r="G81" s="1110"/>
      <c r="H81" s="1110"/>
      <c r="I81" s="1115"/>
    </row>
    <row r="82" spans="1:9" ht="15.75" hidden="1" thickTop="1">
      <c r="A82" s="1134">
        <v>38899</v>
      </c>
      <c r="B82" s="1137">
        <v>47</v>
      </c>
      <c r="C82" s="1095">
        <v>575.79999999999995</v>
      </c>
      <c r="D82" s="1136" t="s">
        <v>990</v>
      </c>
      <c r="E82" s="1112"/>
      <c r="F82" s="1110"/>
      <c r="G82" s="1110"/>
      <c r="H82" s="1110"/>
      <c r="I82" s="1115"/>
    </row>
    <row r="83" spans="1:9" ht="15.75" hidden="1" thickTop="1">
      <c r="A83" s="1134">
        <v>38930</v>
      </c>
      <c r="B83" s="1137">
        <v>26</v>
      </c>
      <c r="C83" s="1095">
        <v>228.7</v>
      </c>
      <c r="D83" s="1136" t="s">
        <v>991</v>
      </c>
      <c r="E83" s="1112"/>
      <c r="F83" s="1110"/>
      <c r="G83" s="1110"/>
      <c r="H83" s="1110"/>
      <c r="I83" s="1115"/>
    </row>
    <row r="84" spans="1:9" ht="15.75" hidden="1" thickTop="1">
      <c r="A84" s="1134">
        <v>38961</v>
      </c>
      <c r="B84" s="1137">
        <v>84</v>
      </c>
      <c r="C84" s="1095">
        <v>853.5</v>
      </c>
      <c r="D84" s="1136" t="s">
        <v>992</v>
      </c>
      <c r="E84" s="1112"/>
      <c r="F84" s="1110"/>
      <c r="G84" s="1110"/>
      <c r="H84" s="1110"/>
      <c r="I84" s="1115"/>
    </row>
    <row r="85" spans="1:9" ht="15.75" hidden="1" thickTop="1">
      <c r="A85" s="1134">
        <v>38991</v>
      </c>
      <c r="B85" s="1137">
        <v>93</v>
      </c>
      <c r="C85" s="1095">
        <v>835.6</v>
      </c>
      <c r="D85" s="1136" t="s">
        <v>993</v>
      </c>
      <c r="E85" s="1112"/>
      <c r="F85" s="1110"/>
      <c r="G85" s="1110"/>
      <c r="H85" s="1110"/>
      <c r="I85" s="1115"/>
    </row>
    <row r="86" spans="1:9" ht="15.75" hidden="1" thickTop="1">
      <c r="A86" s="1134">
        <v>39022</v>
      </c>
      <c r="B86" s="1137">
        <v>58</v>
      </c>
      <c r="C86" s="1095">
        <v>1222.0999999999999</v>
      </c>
      <c r="D86" s="1136" t="s">
        <v>994</v>
      </c>
      <c r="E86" s="1112"/>
      <c r="F86" s="1110"/>
      <c r="G86" s="1110"/>
      <c r="H86" s="1110"/>
      <c r="I86" s="1115"/>
    </row>
    <row r="87" spans="1:9" ht="15.75" hidden="1" thickTop="1">
      <c r="A87" s="1134">
        <v>39052</v>
      </c>
      <c r="B87" s="1137">
        <v>153</v>
      </c>
      <c r="C87" s="1095">
        <v>1513.7</v>
      </c>
      <c r="D87" s="1136" t="s">
        <v>995</v>
      </c>
      <c r="E87" s="1112"/>
      <c r="F87" s="1110"/>
      <c r="G87" s="1110"/>
      <c r="H87" s="1110"/>
      <c r="I87" s="1115"/>
    </row>
    <row r="88" spans="1:9" ht="15.75" hidden="1" thickTop="1">
      <c r="A88" s="1134">
        <v>39083</v>
      </c>
      <c r="B88" s="1137">
        <v>151</v>
      </c>
      <c r="C88" s="1095">
        <v>1325.1</v>
      </c>
      <c r="D88" s="1136" t="s">
        <v>996</v>
      </c>
      <c r="E88" s="1112"/>
      <c r="F88" s="1110"/>
      <c r="G88" s="1110"/>
      <c r="H88" s="1110"/>
      <c r="I88" s="1115"/>
    </row>
    <row r="89" spans="1:9" ht="15.75" hidden="1" thickTop="1">
      <c r="A89" s="1134">
        <v>39114</v>
      </c>
      <c r="B89" s="1137">
        <v>141</v>
      </c>
      <c r="C89" s="1095">
        <v>844.4</v>
      </c>
      <c r="D89" s="1136" t="s">
        <v>997</v>
      </c>
      <c r="E89" s="1112"/>
      <c r="F89" s="1110"/>
      <c r="G89" s="1110"/>
      <c r="H89" s="1110"/>
      <c r="I89" s="1115"/>
    </row>
    <row r="90" spans="1:9" ht="15.75" hidden="1" thickTop="1">
      <c r="A90" s="1134">
        <v>39142</v>
      </c>
      <c r="B90" s="1137">
        <v>195</v>
      </c>
      <c r="C90" s="1095">
        <v>1708</v>
      </c>
      <c r="D90" s="1136" t="s">
        <v>998</v>
      </c>
      <c r="E90" s="1112"/>
      <c r="F90" s="1110"/>
      <c r="G90" s="1110"/>
      <c r="H90" s="1110"/>
      <c r="I90" s="1115"/>
    </row>
    <row r="91" spans="1:9" ht="15.75" hidden="1" thickTop="1">
      <c r="A91" s="1134">
        <v>39173</v>
      </c>
      <c r="B91" s="1137">
        <v>159</v>
      </c>
      <c r="C91" s="1095">
        <v>1569.5</v>
      </c>
      <c r="D91" s="1136" t="s">
        <v>999</v>
      </c>
      <c r="E91" s="1112"/>
      <c r="F91" s="1110"/>
      <c r="G91" s="1110"/>
      <c r="H91" s="1110"/>
      <c r="I91" s="1115"/>
    </row>
    <row r="92" spans="1:9" ht="15.75" hidden="1" thickTop="1">
      <c r="A92" s="1134">
        <v>39203</v>
      </c>
      <c r="B92" s="1137">
        <v>95</v>
      </c>
      <c r="C92" s="1095">
        <v>990.2</v>
      </c>
      <c r="D92" s="1136" t="s">
        <v>1000</v>
      </c>
      <c r="E92" s="1112"/>
      <c r="F92" s="1110"/>
      <c r="G92" s="1110"/>
      <c r="H92" s="1110"/>
      <c r="I92" s="1115"/>
    </row>
    <row r="93" spans="1:9" ht="15.75" hidden="1" thickTop="1">
      <c r="A93" s="1134">
        <v>39234</v>
      </c>
      <c r="B93" s="1137">
        <v>133</v>
      </c>
      <c r="C93" s="1095">
        <v>1782.3</v>
      </c>
      <c r="D93" s="1136" t="s">
        <v>1001</v>
      </c>
      <c r="E93" s="1112"/>
      <c r="F93" s="1110"/>
      <c r="G93" s="1110"/>
      <c r="H93" s="1110"/>
      <c r="I93" s="1115"/>
    </row>
    <row r="94" spans="1:9" ht="15.75" hidden="1" thickTop="1">
      <c r="A94" s="1134">
        <v>39264</v>
      </c>
      <c r="B94" s="1137">
        <v>110</v>
      </c>
      <c r="C94" s="1095">
        <v>3606.2</v>
      </c>
      <c r="D94" s="1136" t="s">
        <v>1002</v>
      </c>
      <c r="E94" s="1112"/>
      <c r="F94" s="1110"/>
      <c r="G94" s="1110"/>
      <c r="H94" s="1110"/>
      <c r="I94" s="1115"/>
    </row>
    <row r="95" spans="1:9" ht="15.75" hidden="1" thickTop="1">
      <c r="A95" s="1134">
        <v>39295</v>
      </c>
      <c r="B95" s="1137">
        <v>66</v>
      </c>
      <c r="C95" s="1095">
        <v>1370.5</v>
      </c>
      <c r="D95" s="1136" t="s">
        <v>1003</v>
      </c>
      <c r="E95" s="1112"/>
      <c r="F95" s="1110"/>
      <c r="G95" s="1110"/>
      <c r="H95" s="1110"/>
      <c r="I95" s="1115"/>
    </row>
    <row r="96" spans="1:9" ht="15.75" hidden="1" thickTop="1">
      <c r="A96" s="1134">
        <v>39326</v>
      </c>
      <c r="B96" s="1137">
        <v>55</v>
      </c>
      <c r="C96" s="1095">
        <v>999.5</v>
      </c>
      <c r="D96" s="1136" t="s">
        <v>1004</v>
      </c>
      <c r="E96" s="1112"/>
      <c r="F96" s="1110"/>
      <c r="G96" s="1110"/>
      <c r="H96" s="1110"/>
      <c r="I96" s="1115"/>
    </row>
    <row r="97" spans="1:9" ht="15.75" hidden="1" thickTop="1">
      <c r="A97" s="1134">
        <v>39356</v>
      </c>
      <c r="B97" s="1137">
        <v>26</v>
      </c>
      <c r="C97" s="1095">
        <v>92.6</v>
      </c>
      <c r="D97" s="1136" t="s">
        <v>1005</v>
      </c>
      <c r="E97" s="1112"/>
      <c r="F97" s="1110"/>
      <c r="G97" s="1110"/>
      <c r="H97" s="1110"/>
      <c r="I97" s="1115"/>
    </row>
    <row r="98" spans="1:9" ht="15.75" hidden="1" thickTop="1">
      <c r="A98" s="1134">
        <v>39387</v>
      </c>
      <c r="B98" s="1137">
        <v>20</v>
      </c>
      <c r="C98" s="1095">
        <v>91.8</v>
      </c>
      <c r="D98" s="1136" t="s">
        <v>1006</v>
      </c>
      <c r="E98" s="1112"/>
      <c r="F98" s="1110"/>
      <c r="G98" s="1110"/>
      <c r="H98" s="1110"/>
      <c r="I98" s="1115"/>
    </row>
    <row r="99" spans="1:9" ht="15.75" hidden="1" thickTop="1">
      <c r="A99" s="1134">
        <v>39417</v>
      </c>
      <c r="B99" s="1137">
        <v>37</v>
      </c>
      <c r="C99" s="1095">
        <v>299.39999999999998</v>
      </c>
      <c r="D99" s="1138" t="s">
        <v>1007</v>
      </c>
      <c r="E99" s="1112"/>
      <c r="F99" s="1110" t="s">
        <v>148</v>
      </c>
      <c r="G99" s="1110"/>
      <c r="H99" s="1110"/>
      <c r="I99" s="1115"/>
    </row>
    <row r="100" spans="1:9" ht="15.75" hidden="1" thickTop="1">
      <c r="A100" s="1134">
        <v>39448</v>
      </c>
      <c r="B100" s="1137">
        <v>34</v>
      </c>
      <c r="C100" s="1095">
        <v>223.6</v>
      </c>
      <c r="D100" s="1138" t="s">
        <v>1008</v>
      </c>
      <c r="E100" s="1112"/>
      <c r="F100" s="1110"/>
      <c r="G100" s="1110"/>
      <c r="H100" s="1110"/>
      <c r="I100" s="1115"/>
    </row>
    <row r="101" spans="1:9" ht="15.75" hidden="1" thickTop="1">
      <c r="A101" s="1134">
        <v>39479</v>
      </c>
      <c r="B101" s="1137">
        <v>27</v>
      </c>
      <c r="C101" s="1095">
        <v>149.30000000000001</v>
      </c>
      <c r="D101" s="1138" t="s">
        <v>1009</v>
      </c>
      <c r="E101" s="1112"/>
      <c r="F101" s="1110"/>
      <c r="G101" s="1110"/>
      <c r="H101" s="1110"/>
      <c r="I101" s="1115"/>
    </row>
    <row r="102" spans="1:9" ht="15.75" hidden="1" thickTop="1">
      <c r="A102" s="1134">
        <v>39508</v>
      </c>
      <c r="B102" s="1137">
        <v>8</v>
      </c>
      <c r="C102" s="1095">
        <v>23.3</v>
      </c>
      <c r="D102" s="1138" t="s">
        <v>1010</v>
      </c>
      <c r="E102" s="1112"/>
      <c r="F102" s="1110"/>
      <c r="G102" s="1110"/>
      <c r="H102" s="1110"/>
      <c r="I102" s="1115"/>
    </row>
    <row r="103" spans="1:9" ht="15.75" hidden="1" thickTop="1">
      <c r="A103" s="1134">
        <v>39539</v>
      </c>
      <c r="B103" s="1137">
        <v>15</v>
      </c>
      <c r="C103" s="1095">
        <v>185.8</v>
      </c>
      <c r="D103" s="1138" t="s">
        <v>1011</v>
      </c>
      <c r="E103" s="1112"/>
      <c r="F103" s="1110"/>
      <c r="G103" s="1110"/>
      <c r="H103" s="1110"/>
      <c r="I103" s="1115"/>
    </row>
    <row r="104" spans="1:9" ht="15.75" hidden="1" thickTop="1">
      <c r="A104" s="1134">
        <v>39569</v>
      </c>
      <c r="B104" s="1137">
        <v>27</v>
      </c>
      <c r="C104" s="1095">
        <v>402.1</v>
      </c>
      <c r="D104" s="1138" t="s">
        <v>1012</v>
      </c>
      <c r="E104" s="1112"/>
      <c r="F104" s="1110"/>
      <c r="G104" s="1110"/>
      <c r="H104" s="1110"/>
      <c r="I104" s="1115"/>
    </row>
    <row r="105" spans="1:9" ht="15.75" hidden="1" thickTop="1">
      <c r="A105" s="1134">
        <v>39600</v>
      </c>
      <c r="B105" s="1139">
        <v>11</v>
      </c>
      <c r="C105" s="1140">
        <v>187.5</v>
      </c>
      <c r="D105" s="1138" t="s">
        <v>1013</v>
      </c>
      <c r="E105" s="1112"/>
      <c r="F105" s="1110"/>
      <c r="G105" s="1110"/>
      <c r="H105" s="1110"/>
      <c r="I105" s="1115"/>
    </row>
    <row r="106" spans="1:9" ht="15.75" hidden="1" thickTop="1">
      <c r="A106" s="1134">
        <v>39630</v>
      </c>
      <c r="B106" s="1139">
        <v>17</v>
      </c>
      <c r="C106" s="1140">
        <v>169</v>
      </c>
      <c r="D106" s="1138" t="s">
        <v>1014</v>
      </c>
      <c r="E106" s="1112"/>
      <c r="F106" s="1110"/>
      <c r="G106" s="1110"/>
      <c r="H106" s="1110"/>
      <c r="I106" s="1115"/>
    </row>
    <row r="107" spans="1:9" ht="15.75" hidden="1" thickTop="1">
      <c r="A107" s="1134">
        <v>39661</v>
      </c>
      <c r="B107" s="1139">
        <v>16</v>
      </c>
      <c r="C107" s="1140">
        <v>410.2</v>
      </c>
      <c r="D107" s="1138" t="s">
        <v>1015</v>
      </c>
      <c r="E107" s="1112"/>
      <c r="F107" s="1110"/>
      <c r="G107" s="1110"/>
      <c r="H107" s="1110"/>
      <c r="I107" s="1115"/>
    </row>
    <row r="108" spans="1:9" ht="15.75" hidden="1" thickTop="1">
      <c r="A108" s="1134">
        <v>39692</v>
      </c>
      <c r="B108" s="1139">
        <v>73</v>
      </c>
      <c r="C108" s="1140">
        <v>674.3</v>
      </c>
      <c r="D108" s="1138" t="s">
        <v>1016</v>
      </c>
      <c r="E108" s="1112"/>
      <c r="F108" s="1110"/>
      <c r="G108" s="1110"/>
      <c r="H108" s="1110"/>
      <c r="I108" s="1115"/>
    </row>
    <row r="109" spans="1:9" ht="15.75" hidden="1" thickTop="1">
      <c r="A109" s="1134">
        <v>39722</v>
      </c>
      <c r="B109" s="1139">
        <v>67</v>
      </c>
      <c r="C109" s="1140">
        <v>728.8</v>
      </c>
      <c r="D109" s="1138" t="s">
        <v>1017</v>
      </c>
      <c r="E109" s="1112"/>
      <c r="F109" s="1110"/>
      <c r="G109" s="1110"/>
      <c r="H109" s="1110"/>
      <c r="I109" s="1115"/>
    </row>
    <row r="110" spans="1:9" ht="15.75" hidden="1" thickTop="1">
      <c r="A110" s="1134">
        <v>39753</v>
      </c>
      <c r="B110" s="1139">
        <v>65</v>
      </c>
      <c r="C110" s="1140">
        <v>519</v>
      </c>
      <c r="D110" s="1138" t="s">
        <v>1018</v>
      </c>
      <c r="E110" s="1112"/>
      <c r="F110" s="1110"/>
      <c r="G110" s="1110"/>
      <c r="H110" s="1110"/>
      <c r="I110" s="1115"/>
    </row>
    <row r="111" spans="1:9" ht="15.75" hidden="1" thickTop="1">
      <c r="A111" s="1134">
        <v>39783</v>
      </c>
      <c r="B111" s="1139">
        <v>60</v>
      </c>
      <c r="C111" s="1140">
        <v>342.3</v>
      </c>
      <c r="D111" s="1138" t="s">
        <v>1019</v>
      </c>
      <c r="E111" s="1112"/>
      <c r="F111" s="1110"/>
      <c r="G111" s="1110"/>
      <c r="H111" s="1110"/>
      <c r="I111" s="1115"/>
    </row>
    <row r="112" spans="1:9" ht="15.75" hidden="1" thickTop="1">
      <c r="A112" s="1134">
        <v>39814</v>
      </c>
      <c r="B112" s="1139">
        <v>76</v>
      </c>
      <c r="C112" s="1140">
        <v>562.9</v>
      </c>
      <c r="D112" s="1138" t="s">
        <v>1020</v>
      </c>
      <c r="E112" s="1112"/>
      <c r="F112" s="1110"/>
      <c r="G112" s="1110"/>
      <c r="H112" s="1110"/>
      <c r="I112" s="1115"/>
    </row>
    <row r="113" spans="1:9" ht="15.75" hidden="1" thickTop="1">
      <c r="A113" s="1134">
        <v>39845</v>
      </c>
      <c r="B113" s="1139">
        <v>26</v>
      </c>
      <c r="C113" s="1140">
        <v>334</v>
      </c>
      <c r="D113" s="1138" t="s">
        <v>1021</v>
      </c>
      <c r="E113" s="1112"/>
      <c r="F113" s="1110"/>
      <c r="G113" s="1110"/>
      <c r="H113" s="1110"/>
      <c r="I113" s="1115"/>
    </row>
    <row r="114" spans="1:9" ht="15.75" hidden="1" thickTop="1">
      <c r="A114" s="1134">
        <v>39873</v>
      </c>
      <c r="B114" s="1139">
        <v>12</v>
      </c>
      <c r="C114" s="1140">
        <v>87.1</v>
      </c>
      <c r="D114" s="1138" t="s">
        <v>1022</v>
      </c>
      <c r="E114" s="1112"/>
      <c r="F114" s="1110"/>
      <c r="G114" s="1110"/>
      <c r="H114" s="1110"/>
      <c r="I114" s="1115"/>
    </row>
    <row r="115" spans="1:9" ht="15.75" hidden="1" thickTop="1">
      <c r="A115" s="1134">
        <v>39904</v>
      </c>
      <c r="B115" s="1139">
        <v>12</v>
      </c>
      <c r="C115" s="1140">
        <v>79.2</v>
      </c>
      <c r="D115" s="1138" t="s">
        <v>1023</v>
      </c>
      <c r="E115" s="1112"/>
      <c r="F115" s="1110"/>
      <c r="G115" s="1110"/>
      <c r="H115" s="1110"/>
      <c r="I115" s="1115"/>
    </row>
    <row r="116" spans="1:9" ht="15.75" hidden="1" thickTop="1">
      <c r="A116" s="1134">
        <v>39934</v>
      </c>
      <c r="B116" s="1139">
        <v>7</v>
      </c>
      <c r="C116" s="1140">
        <v>10.3</v>
      </c>
      <c r="D116" s="1138" t="s">
        <v>1024</v>
      </c>
      <c r="E116" s="1112"/>
      <c r="F116" s="1110"/>
      <c r="G116" s="1110"/>
      <c r="H116" s="1110"/>
      <c r="I116" s="1115"/>
    </row>
    <row r="117" spans="1:9" ht="15.75" hidden="1" thickTop="1">
      <c r="A117" s="1134">
        <v>39965</v>
      </c>
      <c r="B117" s="1139">
        <v>3</v>
      </c>
      <c r="C117" s="1140">
        <v>42.5</v>
      </c>
      <c r="D117" s="1138" t="s">
        <v>1025</v>
      </c>
      <c r="E117" s="1112"/>
      <c r="F117" s="1110"/>
      <c r="G117" s="1110"/>
      <c r="H117" s="1110"/>
      <c r="I117" s="1115"/>
    </row>
    <row r="118" spans="1:9" ht="15.75" hidden="1" thickTop="1">
      <c r="A118" s="1134">
        <v>39995</v>
      </c>
      <c r="B118" s="1139">
        <v>13</v>
      </c>
      <c r="C118" s="1140">
        <v>208.6</v>
      </c>
      <c r="D118" s="1138" t="s">
        <v>1026</v>
      </c>
      <c r="E118" s="1112"/>
      <c r="F118" s="1110"/>
      <c r="G118" s="1110"/>
      <c r="H118" s="1110"/>
      <c r="I118" s="1115"/>
    </row>
    <row r="119" spans="1:9" ht="15.75" hidden="1" thickTop="1">
      <c r="A119" s="1134">
        <v>40026</v>
      </c>
      <c r="B119" s="1139">
        <v>12</v>
      </c>
      <c r="C119" s="1140">
        <v>333.9</v>
      </c>
      <c r="D119" s="1138" t="s">
        <v>1027</v>
      </c>
      <c r="E119" s="1112"/>
      <c r="F119" s="1110"/>
      <c r="G119" s="1110"/>
      <c r="H119" s="1110"/>
      <c r="I119" s="1115"/>
    </row>
    <row r="120" spans="1:9" ht="15.75" hidden="1" thickTop="1">
      <c r="A120" s="1134">
        <v>40057</v>
      </c>
      <c r="B120" s="1139">
        <v>14</v>
      </c>
      <c r="C120" s="1140">
        <v>120.8</v>
      </c>
      <c r="D120" s="1138" t="s">
        <v>1028</v>
      </c>
      <c r="E120" s="1112"/>
      <c r="F120" s="1110"/>
      <c r="G120" s="1110"/>
      <c r="H120" s="1110"/>
      <c r="I120" s="1115"/>
    </row>
    <row r="121" spans="1:9" ht="15.75" hidden="1" thickTop="1">
      <c r="A121" s="1134">
        <v>40087</v>
      </c>
      <c r="B121" s="1139">
        <v>18</v>
      </c>
      <c r="C121" s="1140">
        <v>91.7</v>
      </c>
      <c r="D121" s="1138" t="s">
        <v>1029</v>
      </c>
      <c r="E121" s="1112"/>
      <c r="F121" s="1110"/>
      <c r="G121" s="1110"/>
      <c r="H121" s="1110"/>
      <c r="I121" s="1115"/>
    </row>
    <row r="122" spans="1:9" ht="15.75" hidden="1" thickTop="1">
      <c r="A122" s="1134">
        <v>40118</v>
      </c>
      <c r="B122" s="1139">
        <v>16</v>
      </c>
      <c r="C122" s="1140">
        <v>256.5</v>
      </c>
      <c r="D122" s="1138" t="s">
        <v>1030</v>
      </c>
      <c r="E122" s="1112"/>
      <c r="F122" s="1110"/>
      <c r="G122" s="1110"/>
      <c r="H122" s="1110"/>
      <c r="I122" s="1115"/>
    </row>
    <row r="123" spans="1:9" ht="15.75" hidden="1" thickTop="1">
      <c r="A123" s="1134">
        <v>40148</v>
      </c>
      <c r="B123" s="1139">
        <v>23</v>
      </c>
      <c r="C123" s="1140">
        <v>117.8</v>
      </c>
      <c r="D123" s="1138" t="s">
        <v>1031</v>
      </c>
      <c r="E123" s="1112"/>
      <c r="F123" s="1110"/>
      <c r="G123" s="1110"/>
      <c r="H123" s="1110"/>
      <c r="I123" s="1115"/>
    </row>
    <row r="124" spans="1:9" ht="15.75" hidden="1" thickTop="1">
      <c r="A124" s="1134">
        <v>40179</v>
      </c>
      <c r="B124" s="1139">
        <v>16</v>
      </c>
      <c r="C124" s="1140">
        <v>69.900000000000006</v>
      </c>
      <c r="D124" s="1138" t="s">
        <v>1032</v>
      </c>
      <c r="E124" s="1112"/>
      <c r="F124" s="1110"/>
      <c r="G124" s="1110"/>
      <c r="H124" s="1110"/>
      <c r="I124" s="1115"/>
    </row>
    <row r="125" spans="1:9" ht="15.75" hidden="1" thickTop="1">
      <c r="A125" s="1134">
        <v>40210</v>
      </c>
      <c r="B125" s="1139">
        <v>9</v>
      </c>
      <c r="C125" s="1140">
        <v>171.9</v>
      </c>
      <c r="D125" s="1138" t="s">
        <v>1033</v>
      </c>
      <c r="E125" s="1112"/>
      <c r="F125" s="1110"/>
      <c r="G125" s="1110"/>
      <c r="H125" s="1110"/>
      <c r="I125" s="1115"/>
    </row>
    <row r="126" spans="1:9" ht="15.75" hidden="1" thickTop="1">
      <c r="A126" s="1134">
        <v>40238</v>
      </c>
      <c r="B126" s="1139">
        <v>10</v>
      </c>
      <c r="C126" s="1140">
        <v>142.6</v>
      </c>
      <c r="D126" s="1138" t="s">
        <v>1034</v>
      </c>
      <c r="E126" s="1112"/>
      <c r="F126" s="1110"/>
      <c r="G126" s="1110"/>
      <c r="H126" s="1110"/>
      <c r="I126" s="1115"/>
    </row>
    <row r="127" spans="1:9" ht="15.75" hidden="1" thickTop="1">
      <c r="A127" s="1134">
        <v>40269</v>
      </c>
      <c r="B127" s="1139">
        <v>8</v>
      </c>
      <c r="C127" s="1127">
        <v>721</v>
      </c>
      <c r="D127" s="1138" t="s">
        <v>1035</v>
      </c>
      <c r="E127" s="1112"/>
      <c r="F127" s="1110"/>
      <c r="G127" s="1110"/>
      <c r="H127" s="1110"/>
      <c r="I127" s="1115"/>
    </row>
    <row r="128" spans="1:9" ht="15.75" hidden="1" thickTop="1">
      <c r="A128" s="1134">
        <v>40299</v>
      </c>
      <c r="B128" s="1139">
        <v>6</v>
      </c>
      <c r="C128" s="1127">
        <v>356.9</v>
      </c>
      <c r="D128" s="1138" t="s">
        <v>1036</v>
      </c>
      <c r="E128" s="1112"/>
      <c r="F128" s="1110"/>
      <c r="G128" s="1110"/>
      <c r="H128" s="1110"/>
      <c r="I128" s="1115"/>
    </row>
    <row r="129" spans="1:9" ht="15.75" hidden="1" thickTop="1">
      <c r="A129" s="1134">
        <v>40330</v>
      </c>
      <c r="B129" s="1139">
        <v>13</v>
      </c>
      <c r="C129" s="1127">
        <v>277.5</v>
      </c>
      <c r="D129" s="1138" t="s">
        <v>1037</v>
      </c>
      <c r="E129" s="1112"/>
      <c r="F129" s="1110"/>
      <c r="G129" s="1110"/>
      <c r="H129" s="1110"/>
      <c r="I129" s="1115"/>
    </row>
    <row r="130" spans="1:9" ht="15.75" hidden="1" thickTop="1">
      <c r="A130" s="1134">
        <v>40360</v>
      </c>
      <c r="B130" s="1139">
        <v>11</v>
      </c>
      <c r="C130" s="1127">
        <v>199.6</v>
      </c>
      <c r="D130" s="1138" t="s">
        <v>1038</v>
      </c>
      <c r="E130" s="1112"/>
      <c r="F130" s="1110"/>
      <c r="G130" s="1110"/>
      <c r="H130" s="1110"/>
      <c r="I130" s="1115"/>
    </row>
    <row r="131" spans="1:9" ht="15.75" hidden="1" thickTop="1">
      <c r="A131" s="1134">
        <v>40391</v>
      </c>
      <c r="B131" s="1139">
        <v>4</v>
      </c>
      <c r="C131" s="1127">
        <v>2.2000000000000002</v>
      </c>
      <c r="D131" s="1138" t="s">
        <v>1039</v>
      </c>
      <c r="E131" s="1112"/>
      <c r="F131" s="1110"/>
      <c r="G131" s="1110"/>
      <c r="H131" s="1110"/>
      <c r="I131" s="1115"/>
    </row>
    <row r="132" spans="1:9" ht="15.75" hidden="1" thickTop="1">
      <c r="A132" s="1134">
        <v>40422</v>
      </c>
      <c r="B132" s="1139">
        <v>6</v>
      </c>
      <c r="C132" s="1127">
        <v>174</v>
      </c>
      <c r="D132" s="1138" t="s">
        <v>1040</v>
      </c>
      <c r="E132" s="1112"/>
      <c r="F132" s="1110"/>
      <c r="G132" s="1110"/>
      <c r="H132" s="1110"/>
      <c r="I132" s="1115"/>
    </row>
    <row r="133" spans="1:9" ht="15.75" hidden="1" thickTop="1">
      <c r="A133" s="1134">
        <v>40452</v>
      </c>
      <c r="B133" s="1139">
        <v>16</v>
      </c>
      <c r="C133" s="1127">
        <v>264.60000000000002</v>
      </c>
      <c r="D133" s="1138" t="s">
        <v>1041</v>
      </c>
      <c r="E133" s="1112"/>
      <c r="F133" s="1110"/>
      <c r="G133" s="1110"/>
      <c r="H133" s="1110"/>
      <c r="I133" s="1115"/>
    </row>
    <row r="134" spans="1:9" ht="15.75" hidden="1" thickTop="1">
      <c r="A134" s="1134">
        <v>40483</v>
      </c>
      <c r="B134" s="1139">
        <v>9</v>
      </c>
      <c r="C134" s="1127">
        <v>384.4</v>
      </c>
      <c r="D134" s="1138" t="s">
        <v>1042</v>
      </c>
      <c r="E134" s="1112"/>
      <c r="F134" s="1110"/>
      <c r="G134" s="1110"/>
      <c r="H134" s="1110"/>
      <c r="I134" s="1115"/>
    </row>
    <row r="135" spans="1:9" ht="15.75" hidden="1" thickTop="1">
      <c r="A135" s="1134">
        <v>40513</v>
      </c>
      <c r="B135" s="1139">
        <v>10</v>
      </c>
      <c r="C135" s="1127">
        <v>276.60000000000002</v>
      </c>
      <c r="D135" s="1138" t="s">
        <v>1043</v>
      </c>
      <c r="E135" s="1112"/>
      <c r="F135" s="1110"/>
      <c r="G135" s="1110"/>
      <c r="H135" s="1110"/>
      <c r="I135" s="1115"/>
    </row>
    <row r="136" spans="1:9" ht="15.75" hidden="1" thickTop="1">
      <c r="A136" s="1134">
        <v>40544</v>
      </c>
      <c r="B136" s="1139">
        <v>7</v>
      </c>
      <c r="C136" s="1127">
        <v>299.2</v>
      </c>
      <c r="D136" s="1138" t="s">
        <v>1044</v>
      </c>
      <c r="E136" s="1112"/>
      <c r="F136" s="1110"/>
      <c r="G136" s="1110"/>
      <c r="H136" s="1110"/>
      <c r="I136" s="1115"/>
    </row>
    <row r="137" spans="1:9" ht="15.75" hidden="1" thickTop="1">
      <c r="A137" s="1134">
        <v>40575</v>
      </c>
      <c r="B137" s="1139">
        <v>4</v>
      </c>
      <c r="C137" s="1127">
        <v>148</v>
      </c>
      <c r="D137" s="1138" t="s">
        <v>1045</v>
      </c>
      <c r="E137" s="1112"/>
      <c r="F137" s="1110"/>
      <c r="G137" s="1110"/>
      <c r="H137" s="1110"/>
      <c r="I137" s="1115"/>
    </row>
    <row r="138" spans="1:9" ht="15.75" hidden="1" thickTop="1">
      <c r="A138" s="1134">
        <v>40603</v>
      </c>
      <c r="B138" s="1139" t="s">
        <v>770</v>
      </c>
      <c r="C138" s="1127" t="s">
        <v>770</v>
      </c>
      <c r="D138" s="1138" t="s">
        <v>770</v>
      </c>
      <c r="E138" s="1112"/>
      <c r="F138" s="1110"/>
      <c r="G138" s="1110"/>
      <c r="H138" s="1110"/>
      <c r="I138" s="1115"/>
    </row>
    <row r="139" spans="1:9" ht="15.75" hidden="1" thickTop="1">
      <c r="A139" s="1134">
        <v>40634</v>
      </c>
      <c r="B139" s="1139">
        <v>5</v>
      </c>
      <c r="C139" s="1127">
        <v>75.5</v>
      </c>
      <c r="D139" s="1138" t="s">
        <v>1046</v>
      </c>
      <c r="E139" s="1112"/>
      <c r="F139" s="1110"/>
      <c r="G139" s="1110"/>
      <c r="H139" s="1110"/>
      <c r="I139" s="1115"/>
    </row>
    <row r="140" spans="1:9" ht="15.75" hidden="1" thickTop="1">
      <c r="A140" s="1134">
        <v>40664</v>
      </c>
      <c r="B140" s="1139">
        <v>6</v>
      </c>
      <c r="C140" s="1127">
        <v>331.6</v>
      </c>
      <c r="D140" s="1138" t="s">
        <v>1047</v>
      </c>
      <c r="E140" s="1112"/>
      <c r="F140" s="1110"/>
      <c r="G140" s="1110"/>
      <c r="H140" s="1110"/>
      <c r="I140" s="1115"/>
    </row>
    <row r="141" spans="1:9" ht="15.75" hidden="1" thickTop="1">
      <c r="A141" s="1134">
        <v>40695</v>
      </c>
      <c r="B141" s="1139">
        <v>21</v>
      </c>
      <c r="C141" s="1127">
        <v>160.9</v>
      </c>
      <c r="D141" s="1138" t="s">
        <v>1048</v>
      </c>
      <c r="E141" s="1112"/>
      <c r="F141" s="1110"/>
      <c r="G141" s="1110"/>
      <c r="H141" s="1110"/>
      <c r="I141" s="1115"/>
    </row>
    <row r="142" spans="1:9" ht="15.75" hidden="1" thickTop="1">
      <c r="A142" s="1134">
        <v>40725</v>
      </c>
      <c r="B142" s="1139">
        <v>18</v>
      </c>
      <c r="C142" s="1127">
        <v>464.1</v>
      </c>
      <c r="D142" s="1138" t="s">
        <v>1049</v>
      </c>
      <c r="E142" s="1112"/>
      <c r="F142" s="1110"/>
      <c r="G142" s="1110"/>
      <c r="H142" s="1110"/>
      <c r="I142" s="1115"/>
    </row>
    <row r="143" spans="1:9" ht="15.75" hidden="1" thickTop="1">
      <c r="A143" s="1134">
        <v>40756</v>
      </c>
      <c r="B143" s="1139">
        <v>6</v>
      </c>
      <c r="C143" s="1127">
        <v>102.4</v>
      </c>
      <c r="D143" s="1138" t="s">
        <v>1050</v>
      </c>
      <c r="E143" s="1112"/>
      <c r="F143" s="1110"/>
      <c r="G143" s="1110"/>
      <c r="H143" s="1110"/>
      <c r="I143" s="1115"/>
    </row>
    <row r="144" spans="1:9" ht="15.75" hidden="1" thickTop="1">
      <c r="A144" s="1134">
        <v>40787</v>
      </c>
      <c r="B144" s="1139">
        <v>10</v>
      </c>
      <c r="C144" s="1127">
        <v>175.9</v>
      </c>
      <c r="D144" s="1138" t="s">
        <v>1051</v>
      </c>
      <c r="E144" s="1112"/>
      <c r="F144" s="1110"/>
      <c r="G144" s="1110"/>
      <c r="H144" s="1110"/>
      <c r="I144" s="1115"/>
    </row>
    <row r="145" spans="1:9" ht="15.75" hidden="1" thickTop="1">
      <c r="A145" s="1134">
        <v>40817</v>
      </c>
      <c r="B145" s="1139">
        <v>20</v>
      </c>
      <c r="C145" s="1127">
        <v>407.8</v>
      </c>
      <c r="D145" s="1138" t="s">
        <v>1052</v>
      </c>
      <c r="E145" s="1112"/>
      <c r="F145" s="1110"/>
      <c r="G145" s="1110"/>
      <c r="H145" s="1110"/>
      <c r="I145" s="1115"/>
    </row>
    <row r="146" spans="1:9" ht="15.75" hidden="1" thickTop="1">
      <c r="A146" s="1134">
        <v>40848</v>
      </c>
      <c r="B146" s="1139">
        <v>17</v>
      </c>
      <c r="C146" s="1127">
        <v>126.3</v>
      </c>
      <c r="D146" s="1138" t="s">
        <v>1053</v>
      </c>
      <c r="E146" s="1112"/>
      <c r="F146" s="1110"/>
      <c r="G146" s="1110"/>
      <c r="H146" s="1110"/>
      <c r="I146" s="1115"/>
    </row>
    <row r="147" spans="1:9" ht="15.75" hidden="1" thickTop="1">
      <c r="A147" s="1134">
        <v>40878</v>
      </c>
      <c r="B147" s="1139">
        <v>11</v>
      </c>
      <c r="C147" s="1127">
        <v>228.6</v>
      </c>
      <c r="D147" s="1138" t="s">
        <v>1054</v>
      </c>
      <c r="E147" s="1112"/>
      <c r="F147" s="1110"/>
      <c r="G147" s="1110"/>
      <c r="H147" s="1110"/>
      <c r="I147" s="1115"/>
    </row>
    <row r="148" spans="1:9" ht="15.75" hidden="1" thickTop="1">
      <c r="A148" s="1134">
        <v>40909</v>
      </c>
      <c r="B148" s="1139">
        <v>10</v>
      </c>
      <c r="C148" s="1127">
        <v>163</v>
      </c>
      <c r="D148" s="1138" t="s">
        <v>1055</v>
      </c>
      <c r="E148" s="1112"/>
      <c r="F148" s="1110"/>
      <c r="G148" s="1110"/>
      <c r="H148" s="1110"/>
      <c r="I148" s="1115"/>
    </row>
    <row r="149" spans="1:9" ht="15.75" thickTop="1">
      <c r="A149" s="1134">
        <v>40940</v>
      </c>
      <c r="B149" s="1139">
        <v>7</v>
      </c>
      <c r="C149" s="1127">
        <v>84.4</v>
      </c>
      <c r="D149" s="1138" t="s">
        <v>1056</v>
      </c>
      <c r="E149" s="1112"/>
      <c r="F149" s="1110"/>
      <c r="G149" s="1110"/>
      <c r="H149" s="1110"/>
      <c r="I149" s="1115"/>
    </row>
    <row r="150" spans="1:9" ht="15">
      <c r="A150" s="1134">
        <v>40969</v>
      </c>
      <c r="B150" s="1139">
        <v>25</v>
      </c>
      <c r="C150" s="1127">
        <v>318.39999999999998</v>
      </c>
      <c r="D150" s="1138" t="s">
        <v>1057</v>
      </c>
      <c r="E150" s="1112"/>
      <c r="F150" s="1110"/>
      <c r="G150" s="1110"/>
      <c r="H150" s="1110"/>
      <c r="I150" s="1115"/>
    </row>
    <row r="151" spans="1:9" ht="15">
      <c r="A151" s="1134">
        <v>41000</v>
      </c>
      <c r="B151" s="1139">
        <v>31</v>
      </c>
      <c r="C151" s="1095">
        <v>1063.3</v>
      </c>
      <c r="D151" s="1138" t="s">
        <v>1058</v>
      </c>
      <c r="E151" s="1112"/>
      <c r="F151" s="1110"/>
      <c r="G151" s="1110"/>
      <c r="H151" s="1110"/>
      <c r="I151" s="1115"/>
    </row>
    <row r="152" spans="1:9" ht="15">
      <c r="A152" s="1134">
        <v>41030</v>
      </c>
      <c r="B152" s="1139">
        <v>13</v>
      </c>
      <c r="C152" s="1095">
        <v>394.8</v>
      </c>
      <c r="D152" s="1138" t="s">
        <v>1059</v>
      </c>
      <c r="E152" s="1112"/>
      <c r="F152" s="1110"/>
      <c r="G152" s="1110"/>
      <c r="H152" s="1110"/>
      <c r="I152" s="1115"/>
    </row>
    <row r="153" spans="1:9" ht="15">
      <c r="A153" s="1134">
        <v>41061</v>
      </c>
      <c r="B153" s="1139">
        <v>25</v>
      </c>
      <c r="C153" s="1095">
        <v>891.5</v>
      </c>
      <c r="D153" s="1138" t="s">
        <v>1060</v>
      </c>
      <c r="E153" s="1112"/>
      <c r="F153" s="1110"/>
      <c r="G153" s="1110"/>
      <c r="H153" s="1110"/>
      <c r="I153" s="1115"/>
    </row>
    <row r="154" spans="1:9" ht="15">
      <c r="A154" s="1134">
        <v>41091</v>
      </c>
      <c r="B154" s="1139">
        <v>30</v>
      </c>
      <c r="C154" s="1095">
        <v>424.3</v>
      </c>
      <c r="D154" s="1138" t="s">
        <v>1061</v>
      </c>
      <c r="E154" s="1112"/>
      <c r="F154" s="1110"/>
      <c r="G154" s="1110"/>
      <c r="H154" s="1110"/>
      <c r="I154" s="1115"/>
    </row>
    <row r="155" spans="1:9" ht="15">
      <c r="A155" s="1134">
        <v>41122</v>
      </c>
      <c r="B155" s="1139">
        <v>6</v>
      </c>
      <c r="C155" s="1095">
        <v>103.2</v>
      </c>
      <c r="D155" s="1138" t="s">
        <v>1062</v>
      </c>
      <c r="E155" s="1112"/>
      <c r="F155" s="1110"/>
      <c r="G155" s="1110"/>
      <c r="H155" s="1110"/>
      <c r="I155" s="1115"/>
    </row>
    <row r="156" spans="1:9" ht="15">
      <c r="A156" s="1134">
        <v>41153</v>
      </c>
      <c r="B156" s="1139">
        <v>20</v>
      </c>
      <c r="C156" s="1095">
        <v>184.6</v>
      </c>
      <c r="D156" s="1138" t="s">
        <v>1063</v>
      </c>
      <c r="E156" s="1112"/>
      <c r="F156" s="1110"/>
      <c r="G156" s="1110"/>
      <c r="H156" s="1110"/>
      <c r="I156" s="1115"/>
    </row>
    <row r="157" spans="1:9" ht="15">
      <c r="A157" s="1134">
        <v>41183</v>
      </c>
      <c r="B157" s="1139">
        <v>15</v>
      </c>
      <c r="C157" s="1095">
        <v>217.4</v>
      </c>
      <c r="D157" s="1138" t="s">
        <v>1064</v>
      </c>
      <c r="E157" s="1112"/>
      <c r="F157" s="1110"/>
      <c r="G157" s="1110"/>
      <c r="H157" s="1110"/>
      <c r="I157" s="1115"/>
    </row>
    <row r="158" spans="1:9" ht="15">
      <c r="A158" s="1134">
        <v>41214</v>
      </c>
      <c r="B158" s="1139">
        <v>11</v>
      </c>
      <c r="C158" s="1095">
        <v>62.4</v>
      </c>
      <c r="D158" s="1138" t="s">
        <v>1065</v>
      </c>
      <c r="E158" s="1112"/>
      <c r="F158" s="1110"/>
      <c r="G158" s="1110"/>
      <c r="H158" s="1110"/>
      <c r="I158" s="1115"/>
    </row>
    <row r="159" spans="1:9" ht="15">
      <c r="A159" s="1134">
        <v>41244</v>
      </c>
      <c r="B159" s="1139">
        <v>22</v>
      </c>
      <c r="C159" s="1095">
        <v>406.7</v>
      </c>
      <c r="D159" s="1138" t="s">
        <v>1066</v>
      </c>
      <c r="E159" s="1112"/>
      <c r="F159" s="1110"/>
      <c r="G159" s="1110"/>
      <c r="H159" s="1110"/>
      <c r="I159" s="1115"/>
    </row>
    <row r="160" spans="1:9" ht="15">
      <c r="A160" s="1134">
        <v>41275</v>
      </c>
      <c r="B160" s="1139">
        <v>40</v>
      </c>
      <c r="C160" s="1095">
        <v>1828.7</v>
      </c>
      <c r="D160" s="1138" t="s">
        <v>1067</v>
      </c>
      <c r="E160" s="1112"/>
      <c r="F160" s="1110"/>
      <c r="G160" s="1110"/>
      <c r="H160" s="1110"/>
      <c r="I160" s="1115"/>
    </row>
    <row r="161" spans="1:9" ht="15.75" customHeight="1" thickBot="1">
      <c r="A161" s="1141">
        <v>41306</v>
      </c>
      <c r="B161" s="1142">
        <v>22</v>
      </c>
      <c r="C161" s="1143">
        <v>915</v>
      </c>
      <c r="D161" s="1144" t="s">
        <v>932</v>
      </c>
      <c r="E161" s="1112"/>
      <c r="F161" s="1110"/>
      <c r="G161" s="1110"/>
      <c r="H161" s="1110"/>
      <c r="I161" s="1115"/>
    </row>
    <row r="162" spans="1:9" ht="15" hidden="1" customHeight="1" thickTop="1">
      <c r="A162" s="1145">
        <v>40087</v>
      </c>
      <c r="D162" s="1087"/>
      <c r="E162" s="1112"/>
      <c r="F162" s="1113"/>
      <c r="G162" s="1110"/>
      <c r="H162" s="1110"/>
    </row>
    <row r="163" spans="1:9" ht="15" hidden="1" customHeight="1">
      <c r="A163" s="1145">
        <v>40118</v>
      </c>
      <c r="D163" s="1087"/>
      <c r="E163" s="1112"/>
      <c r="F163" s="1113"/>
      <c r="G163" s="1110"/>
      <c r="H163" s="1110"/>
    </row>
    <row r="164" spans="1:9" ht="15" hidden="1" customHeight="1">
      <c r="A164" s="1145">
        <v>40148</v>
      </c>
      <c r="D164" s="1087"/>
      <c r="E164" s="1112"/>
      <c r="F164" s="1113"/>
      <c r="G164" s="1110"/>
      <c r="H164" s="1110"/>
    </row>
    <row r="165" spans="1:9" ht="15" customHeight="1">
      <c r="A165" s="1111"/>
      <c r="D165" s="1087"/>
      <c r="E165" s="1112"/>
      <c r="F165" s="1113"/>
      <c r="G165" s="1110"/>
      <c r="H165" s="1110"/>
    </row>
    <row r="166" spans="1:9" ht="15" customHeight="1">
      <c r="A166" s="1111" t="s">
        <v>756</v>
      </c>
      <c r="D166" s="1087"/>
      <c r="E166" s="1112"/>
      <c r="F166" s="1113"/>
      <c r="G166" s="1110"/>
      <c r="H166" s="1110"/>
    </row>
    <row r="167" spans="1:9" ht="18" customHeight="1">
      <c r="F167" s="1146" t="s">
        <v>148</v>
      </c>
      <c r="G167" s="1087"/>
      <c r="H167" s="1147"/>
    </row>
    <row r="168" spans="1:9">
      <c r="E168" s="1146"/>
      <c r="F168" s="1146"/>
      <c r="G168" s="1146"/>
      <c r="H168" s="1146"/>
    </row>
    <row r="171" spans="1:9">
      <c r="B171" s="1146"/>
      <c r="C171" s="1146"/>
      <c r="D171" s="1148"/>
      <c r="E171" s="1149"/>
      <c r="F171" s="1148"/>
      <c r="G171" s="1148"/>
      <c r="H171" s="1148"/>
    </row>
    <row r="172" spans="1:9">
      <c r="D172" s="1102"/>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E7" sqref="E7"/>
    </sheetView>
  </sheetViews>
  <sheetFormatPr defaultColWidth="11.42578125" defaultRowHeight="12.75"/>
  <cols>
    <col min="1" max="1" width="14.85546875" style="1159" customWidth="1"/>
    <col min="2" max="3" width="12.5703125" style="1159" customWidth="1"/>
    <col min="4" max="4" width="12.140625" style="1159" customWidth="1"/>
    <col min="5" max="5" width="14" style="1159" bestFit="1" customWidth="1"/>
    <col min="6" max="6" width="13.5703125" style="1159" bestFit="1" customWidth="1"/>
    <col min="7" max="7" width="10.5703125" style="1159" bestFit="1" customWidth="1"/>
    <col min="8" max="8" width="11.85546875" style="1159" bestFit="1" customWidth="1"/>
    <col min="9" max="9" width="5.7109375" style="1159" customWidth="1"/>
    <col min="10" max="10" width="11.42578125" style="1159" customWidth="1"/>
    <col min="11" max="20" width="11.42578125" style="1152" customWidth="1"/>
    <col min="21" max="256" width="11.42578125" style="1159"/>
    <col min="257" max="257" width="14.85546875" style="1159" customWidth="1"/>
    <col min="258" max="259" width="12.5703125" style="1159" customWidth="1"/>
    <col min="260" max="260" width="12.140625" style="1159" customWidth="1"/>
    <col min="261" max="261" width="14" style="1159" bestFit="1" customWidth="1"/>
    <col min="262" max="262" width="13.5703125" style="1159" bestFit="1" customWidth="1"/>
    <col min="263" max="263" width="10.5703125" style="1159" bestFit="1" customWidth="1"/>
    <col min="264" max="264" width="11.85546875" style="1159" bestFit="1" customWidth="1"/>
    <col min="265" max="265" width="5.7109375" style="1159" customWidth="1"/>
    <col min="266" max="276" width="11.42578125" style="1159" customWidth="1"/>
    <col min="277" max="512" width="11.42578125" style="1159"/>
    <col min="513" max="513" width="14.85546875" style="1159" customWidth="1"/>
    <col min="514" max="515" width="12.5703125" style="1159" customWidth="1"/>
    <col min="516" max="516" width="12.140625" style="1159" customWidth="1"/>
    <col min="517" max="517" width="14" style="1159" bestFit="1" customWidth="1"/>
    <col min="518" max="518" width="13.5703125" style="1159" bestFit="1" customWidth="1"/>
    <col min="519" max="519" width="10.5703125" style="1159" bestFit="1" customWidth="1"/>
    <col min="520" max="520" width="11.85546875" style="1159" bestFit="1" customWidth="1"/>
    <col min="521" max="521" width="5.7109375" style="1159" customWidth="1"/>
    <col min="522" max="532" width="11.42578125" style="1159" customWidth="1"/>
    <col min="533" max="768" width="11.42578125" style="1159"/>
    <col min="769" max="769" width="14.85546875" style="1159" customWidth="1"/>
    <col min="770" max="771" width="12.5703125" style="1159" customWidth="1"/>
    <col min="772" max="772" width="12.140625" style="1159" customWidth="1"/>
    <col min="773" max="773" width="14" style="1159" bestFit="1" customWidth="1"/>
    <col min="774" max="774" width="13.5703125" style="1159" bestFit="1" customWidth="1"/>
    <col min="775" max="775" width="10.5703125" style="1159" bestFit="1" customWidth="1"/>
    <col min="776" max="776" width="11.85546875" style="1159" bestFit="1" customWidth="1"/>
    <col min="777" max="777" width="5.7109375" style="1159" customWidth="1"/>
    <col min="778" max="788" width="11.42578125" style="1159" customWidth="1"/>
    <col min="789" max="1024" width="11.42578125" style="1159"/>
    <col min="1025" max="1025" width="14.85546875" style="1159" customWidth="1"/>
    <col min="1026" max="1027" width="12.5703125" style="1159" customWidth="1"/>
    <col min="1028" max="1028" width="12.140625" style="1159" customWidth="1"/>
    <col min="1029" max="1029" width="14" style="1159" bestFit="1" customWidth="1"/>
    <col min="1030" max="1030" width="13.5703125" style="1159" bestFit="1" customWidth="1"/>
    <col min="1031" max="1031" width="10.5703125" style="1159" bestFit="1" customWidth="1"/>
    <col min="1032" max="1032" width="11.85546875" style="1159" bestFit="1" customWidth="1"/>
    <col min="1033" max="1033" width="5.7109375" style="1159" customWidth="1"/>
    <col min="1034" max="1044" width="11.42578125" style="1159" customWidth="1"/>
    <col min="1045" max="1280" width="11.42578125" style="1159"/>
    <col min="1281" max="1281" width="14.85546875" style="1159" customWidth="1"/>
    <col min="1282" max="1283" width="12.5703125" style="1159" customWidth="1"/>
    <col min="1284" max="1284" width="12.140625" style="1159" customWidth="1"/>
    <col min="1285" max="1285" width="14" style="1159" bestFit="1" customWidth="1"/>
    <col min="1286" max="1286" width="13.5703125" style="1159" bestFit="1" customWidth="1"/>
    <col min="1287" max="1287" width="10.5703125" style="1159" bestFit="1" customWidth="1"/>
    <col min="1288" max="1288" width="11.85546875" style="1159" bestFit="1" customWidth="1"/>
    <col min="1289" max="1289" width="5.7109375" style="1159" customWidth="1"/>
    <col min="1290" max="1300" width="11.42578125" style="1159" customWidth="1"/>
    <col min="1301" max="1536" width="11.42578125" style="1159"/>
    <col min="1537" max="1537" width="14.85546875" style="1159" customWidth="1"/>
    <col min="1538" max="1539" width="12.5703125" style="1159" customWidth="1"/>
    <col min="1540" max="1540" width="12.140625" style="1159" customWidth="1"/>
    <col min="1541" max="1541" width="14" style="1159" bestFit="1" customWidth="1"/>
    <col min="1542" max="1542" width="13.5703125" style="1159" bestFit="1" customWidth="1"/>
    <col min="1543" max="1543" width="10.5703125" style="1159" bestFit="1" customWidth="1"/>
    <col min="1544" max="1544" width="11.85546875" style="1159" bestFit="1" customWidth="1"/>
    <col min="1545" max="1545" width="5.7109375" style="1159" customWidth="1"/>
    <col min="1546" max="1556" width="11.42578125" style="1159" customWidth="1"/>
    <col min="1557" max="1792" width="11.42578125" style="1159"/>
    <col min="1793" max="1793" width="14.85546875" style="1159" customWidth="1"/>
    <col min="1794" max="1795" width="12.5703125" style="1159" customWidth="1"/>
    <col min="1796" max="1796" width="12.140625" style="1159" customWidth="1"/>
    <col min="1797" max="1797" width="14" style="1159" bestFit="1" customWidth="1"/>
    <col min="1798" max="1798" width="13.5703125" style="1159" bestFit="1" customWidth="1"/>
    <col min="1799" max="1799" width="10.5703125" style="1159" bestFit="1" customWidth="1"/>
    <col min="1800" max="1800" width="11.85546875" style="1159" bestFit="1" customWidth="1"/>
    <col min="1801" max="1801" width="5.7109375" style="1159" customWidth="1"/>
    <col min="1802" max="1812" width="11.42578125" style="1159" customWidth="1"/>
    <col min="1813" max="2048" width="11.42578125" style="1159"/>
    <col min="2049" max="2049" width="14.85546875" style="1159" customWidth="1"/>
    <col min="2050" max="2051" width="12.5703125" style="1159" customWidth="1"/>
    <col min="2052" max="2052" width="12.140625" style="1159" customWidth="1"/>
    <col min="2053" max="2053" width="14" style="1159" bestFit="1" customWidth="1"/>
    <col min="2054" max="2054" width="13.5703125" style="1159" bestFit="1" customWidth="1"/>
    <col min="2055" max="2055" width="10.5703125" style="1159" bestFit="1" customWidth="1"/>
    <col min="2056" max="2056" width="11.85546875" style="1159" bestFit="1" customWidth="1"/>
    <col min="2057" max="2057" width="5.7109375" style="1159" customWidth="1"/>
    <col min="2058" max="2068" width="11.42578125" style="1159" customWidth="1"/>
    <col min="2069" max="2304" width="11.42578125" style="1159"/>
    <col min="2305" max="2305" width="14.85546875" style="1159" customWidth="1"/>
    <col min="2306" max="2307" width="12.5703125" style="1159" customWidth="1"/>
    <col min="2308" max="2308" width="12.140625" style="1159" customWidth="1"/>
    <col min="2309" max="2309" width="14" style="1159" bestFit="1" customWidth="1"/>
    <col min="2310" max="2310" width="13.5703125" style="1159" bestFit="1" customWidth="1"/>
    <col min="2311" max="2311" width="10.5703125" style="1159" bestFit="1" customWidth="1"/>
    <col min="2312" max="2312" width="11.85546875" style="1159" bestFit="1" customWidth="1"/>
    <col min="2313" max="2313" width="5.7109375" style="1159" customWidth="1"/>
    <col min="2314" max="2324" width="11.42578125" style="1159" customWidth="1"/>
    <col min="2325" max="2560" width="11.42578125" style="1159"/>
    <col min="2561" max="2561" width="14.85546875" style="1159" customWidth="1"/>
    <col min="2562" max="2563" width="12.5703125" style="1159" customWidth="1"/>
    <col min="2564" max="2564" width="12.140625" style="1159" customWidth="1"/>
    <col min="2565" max="2565" width="14" style="1159" bestFit="1" customWidth="1"/>
    <col min="2566" max="2566" width="13.5703125" style="1159" bestFit="1" customWidth="1"/>
    <col min="2567" max="2567" width="10.5703125" style="1159" bestFit="1" customWidth="1"/>
    <col min="2568" max="2568" width="11.85546875" style="1159" bestFit="1" customWidth="1"/>
    <col min="2569" max="2569" width="5.7109375" style="1159" customWidth="1"/>
    <col min="2570" max="2580" width="11.42578125" style="1159" customWidth="1"/>
    <col min="2581" max="2816" width="11.42578125" style="1159"/>
    <col min="2817" max="2817" width="14.85546875" style="1159" customWidth="1"/>
    <col min="2818" max="2819" width="12.5703125" style="1159" customWidth="1"/>
    <col min="2820" max="2820" width="12.140625" style="1159" customWidth="1"/>
    <col min="2821" max="2821" width="14" style="1159" bestFit="1" customWidth="1"/>
    <col min="2822" max="2822" width="13.5703125" style="1159" bestFit="1" customWidth="1"/>
    <col min="2823" max="2823" width="10.5703125" style="1159" bestFit="1" customWidth="1"/>
    <col min="2824" max="2824" width="11.85546875" style="1159" bestFit="1" customWidth="1"/>
    <col min="2825" max="2825" width="5.7109375" style="1159" customWidth="1"/>
    <col min="2826" max="2836" width="11.42578125" style="1159" customWidth="1"/>
    <col min="2837" max="3072" width="11.42578125" style="1159"/>
    <col min="3073" max="3073" width="14.85546875" style="1159" customWidth="1"/>
    <col min="3074" max="3075" width="12.5703125" style="1159" customWidth="1"/>
    <col min="3076" max="3076" width="12.140625" style="1159" customWidth="1"/>
    <col min="3077" max="3077" width="14" style="1159" bestFit="1" customWidth="1"/>
    <col min="3078" max="3078" width="13.5703125" style="1159" bestFit="1" customWidth="1"/>
    <col min="3079" max="3079" width="10.5703125" style="1159" bestFit="1" customWidth="1"/>
    <col min="3080" max="3080" width="11.85546875" style="1159" bestFit="1" customWidth="1"/>
    <col min="3081" max="3081" width="5.7109375" style="1159" customWidth="1"/>
    <col min="3082" max="3092" width="11.42578125" style="1159" customWidth="1"/>
    <col min="3093" max="3328" width="11.42578125" style="1159"/>
    <col min="3329" max="3329" width="14.85546875" style="1159" customWidth="1"/>
    <col min="3330" max="3331" width="12.5703125" style="1159" customWidth="1"/>
    <col min="3332" max="3332" width="12.140625" style="1159" customWidth="1"/>
    <col min="3333" max="3333" width="14" style="1159" bestFit="1" customWidth="1"/>
    <col min="3334" max="3334" width="13.5703125" style="1159" bestFit="1" customWidth="1"/>
    <col min="3335" max="3335" width="10.5703125" style="1159" bestFit="1" customWidth="1"/>
    <col min="3336" max="3336" width="11.85546875" style="1159" bestFit="1" customWidth="1"/>
    <col min="3337" max="3337" width="5.7109375" style="1159" customWidth="1"/>
    <col min="3338" max="3348" width="11.42578125" style="1159" customWidth="1"/>
    <col min="3349" max="3584" width="11.42578125" style="1159"/>
    <col min="3585" max="3585" width="14.85546875" style="1159" customWidth="1"/>
    <col min="3586" max="3587" width="12.5703125" style="1159" customWidth="1"/>
    <col min="3588" max="3588" width="12.140625" style="1159" customWidth="1"/>
    <col min="3589" max="3589" width="14" style="1159" bestFit="1" customWidth="1"/>
    <col min="3590" max="3590" width="13.5703125" style="1159" bestFit="1" customWidth="1"/>
    <col min="3591" max="3591" width="10.5703125" style="1159" bestFit="1" customWidth="1"/>
    <col min="3592" max="3592" width="11.85546875" style="1159" bestFit="1" customWidth="1"/>
    <col min="3593" max="3593" width="5.7109375" style="1159" customWidth="1"/>
    <col min="3594" max="3604" width="11.42578125" style="1159" customWidth="1"/>
    <col min="3605" max="3840" width="11.42578125" style="1159"/>
    <col min="3841" max="3841" width="14.85546875" style="1159" customWidth="1"/>
    <col min="3842" max="3843" width="12.5703125" style="1159" customWidth="1"/>
    <col min="3844" max="3844" width="12.140625" style="1159" customWidth="1"/>
    <col min="3845" max="3845" width="14" style="1159" bestFit="1" customWidth="1"/>
    <col min="3846" max="3846" width="13.5703125" style="1159" bestFit="1" customWidth="1"/>
    <col min="3847" max="3847" width="10.5703125" style="1159" bestFit="1" customWidth="1"/>
    <col min="3848" max="3848" width="11.85546875" style="1159" bestFit="1" customWidth="1"/>
    <col min="3849" max="3849" width="5.7109375" style="1159" customWidth="1"/>
    <col min="3850" max="3860" width="11.42578125" style="1159" customWidth="1"/>
    <col min="3861" max="4096" width="11.42578125" style="1159"/>
    <col min="4097" max="4097" width="14.85546875" style="1159" customWidth="1"/>
    <col min="4098" max="4099" width="12.5703125" style="1159" customWidth="1"/>
    <col min="4100" max="4100" width="12.140625" style="1159" customWidth="1"/>
    <col min="4101" max="4101" width="14" style="1159" bestFit="1" customWidth="1"/>
    <col min="4102" max="4102" width="13.5703125" style="1159" bestFit="1" customWidth="1"/>
    <col min="4103" max="4103" width="10.5703125" style="1159" bestFit="1" customWidth="1"/>
    <col min="4104" max="4104" width="11.85546875" style="1159" bestFit="1" customWidth="1"/>
    <col min="4105" max="4105" width="5.7109375" style="1159" customWidth="1"/>
    <col min="4106" max="4116" width="11.42578125" style="1159" customWidth="1"/>
    <col min="4117" max="4352" width="11.42578125" style="1159"/>
    <col min="4353" max="4353" width="14.85546875" style="1159" customWidth="1"/>
    <col min="4354" max="4355" width="12.5703125" style="1159" customWidth="1"/>
    <col min="4356" max="4356" width="12.140625" style="1159" customWidth="1"/>
    <col min="4357" max="4357" width="14" style="1159" bestFit="1" customWidth="1"/>
    <col min="4358" max="4358" width="13.5703125" style="1159" bestFit="1" customWidth="1"/>
    <col min="4359" max="4359" width="10.5703125" style="1159" bestFit="1" customWidth="1"/>
    <col min="4360" max="4360" width="11.85546875" style="1159" bestFit="1" customWidth="1"/>
    <col min="4361" max="4361" width="5.7109375" style="1159" customWidth="1"/>
    <col min="4362" max="4372" width="11.42578125" style="1159" customWidth="1"/>
    <col min="4373" max="4608" width="11.42578125" style="1159"/>
    <col min="4609" max="4609" width="14.85546875" style="1159" customWidth="1"/>
    <col min="4610" max="4611" width="12.5703125" style="1159" customWidth="1"/>
    <col min="4612" max="4612" width="12.140625" style="1159" customWidth="1"/>
    <col min="4613" max="4613" width="14" style="1159" bestFit="1" customWidth="1"/>
    <col min="4614" max="4614" width="13.5703125" style="1159" bestFit="1" customWidth="1"/>
    <col min="4615" max="4615" width="10.5703125" style="1159" bestFit="1" customWidth="1"/>
    <col min="4616" max="4616" width="11.85546875" style="1159" bestFit="1" customWidth="1"/>
    <col min="4617" max="4617" width="5.7109375" style="1159" customWidth="1"/>
    <col min="4618" max="4628" width="11.42578125" style="1159" customWidth="1"/>
    <col min="4629" max="4864" width="11.42578125" style="1159"/>
    <col min="4865" max="4865" width="14.85546875" style="1159" customWidth="1"/>
    <col min="4866" max="4867" width="12.5703125" style="1159" customWidth="1"/>
    <col min="4868" max="4868" width="12.140625" style="1159" customWidth="1"/>
    <col min="4869" max="4869" width="14" style="1159" bestFit="1" customWidth="1"/>
    <col min="4870" max="4870" width="13.5703125" style="1159" bestFit="1" customWidth="1"/>
    <col min="4871" max="4871" width="10.5703125" style="1159" bestFit="1" customWidth="1"/>
    <col min="4872" max="4872" width="11.85546875" style="1159" bestFit="1" customWidth="1"/>
    <col min="4873" max="4873" width="5.7109375" style="1159" customWidth="1"/>
    <col min="4874" max="4884" width="11.42578125" style="1159" customWidth="1"/>
    <col min="4885" max="5120" width="11.42578125" style="1159"/>
    <col min="5121" max="5121" width="14.85546875" style="1159" customWidth="1"/>
    <col min="5122" max="5123" width="12.5703125" style="1159" customWidth="1"/>
    <col min="5124" max="5124" width="12.140625" style="1159" customWidth="1"/>
    <col min="5125" max="5125" width="14" style="1159" bestFit="1" customWidth="1"/>
    <col min="5126" max="5126" width="13.5703125" style="1159" bestFit="1" customWidth="1"/>
    <col min="5127" max="5127" width="10.5703125" style="1159" bestFit="1" customWidth="1"/>
    <col min="5128" max="5128" width="11.85546875" style="1159" bestFit="1" customWidth="1"/>
    <col min="5129" max="5129" width="5.7109375" style="1159" customWidth="1"/>
    <col min="5130" max="5140" width="11.42578125" style="1159" customWidth="1"/>
    <col min="5141" max="5376" width="11.42578125" style="1159"/>
    <col min="5377" max="5377" width="14.85546875" style="1159" customWidth="1"/>
    <col min="5378" max="5379" width="12.5703125" style="1159" customWidth="1"/>
    <col min="5380" max="5380" width="12.140625" style="1159" customWidth="1"/>
    <col min="5381" max="5381" width="14" style="1159" bestFit="1" customWidth="1"/>
    <col min="5382" max="5382" width="13.5703125" style="1159" bestFit="1" customWidth="1"/>
    <col min="5383" max="5383" width="10.5703125" style="1159" bestFit="1" customWidth="1"/>
    <col min="5384" max="5384" width="11.85546875" style="1159" bestFit="1" customWidth="1"/>
    <col min="5385" max="5385" width="5.7109375" style="1159" customWidth="1"/>
    <col min="5386" max="5396" width="11.42578125" style="1159" customWidth="1"/>
    <col min="5397" max="5632" width="11.42578125" style="1159"/>
    <col min="5633" max="5633" width="14.85546875" style="1159" customWidth="1"/>
    <col min="5634" max="5635" width="12.5703125" style="1159" customWidth="1"/>
    <col min="5636" max="5636" width="12.140625" style="1159" customWidth="1"/>
    <col min="5637" max="5637" width="14" style="1159" bestFit="1" customWidth="1"/>
    <col min="5638" max="5638" width="13.5703125" style="1159" bestFit="1" customWidth="1"/>
    <col min="5639" max="5639" width="10.5703125" style="1159" bestFit="1" customWidth="1"/>
    <col min="5640" max="5640" width="11.85546875" style="1159" bestFit="1" customWidth="1"/>
    <col min="5641" max="5641" width="5.7109375" style="1159" customWidth="1"/>
    <col min="5642" max="5652" width="11.42578125" style="1159" customWidth="1"/>
    <col min="5653" max="5888" width="11.42578125" style="1159"/>
    <col min="5889" max="5889" width="14.85546875" style="1159" customWidth="1"/>
    <col min="5890" max="5891" width="12.5703125" style="1159" customWidth="1"/>
    <col min="5892" max="5892" width="12.140625" style="1159" customWidth="1"/>
    <col min="5893" max="5893" width="14" style="1159" bestFit="1" customWidth="1"/>
    <col min="5894" max="5894" width="13.5703125" style="1159" bestFit="1" customWidth="1"/>
    <col min="5895" max="5895" width="10.5703125" style="1159" bestFit="1" customWidth="1"/>
    <col min="5896" max="5896" width="11.85546875" style="1159" bestFit="1" customWidth="1"/>
    <col min="5897" max="5897" width="5.7109375" style="1159" customWidth="1"/>
    <col min="5898" max="5908" width="11.42578125" style="1159" customWidth="1"/>
    <col min="5909" max="6144" width="11.42578125" style="1159"/>
    <col min="6145" max="6145" width="14.85546875" style="1159" customWidth="1"/>
    <col min="6146" max="6147" width="12.5703125" style="1159" customWidth="1"/>
    <col min="6148" max="6148" width="12.140625" style="1159" customWidth="1"/>
    <col min="6149" max="6149" width="14" style="1159" bestFit="1" customWidth="1"/>
    <col min="6150" max="6150" width="13.5703125" style="1159" bestFit="1" customWidth="1"/>
    <col min="6151" max="6151" width="10.5703125" style="1159" bestFit="1" customWidth="1"/>
    <col min="6152" max="6152" width="11.85546875" style="1159" bestFit="1" customWidth="1"/>
    <col min="6153" max="6153" width="5.7109375" style="1159" customWidth="1"/>
    <col min="6154" max="6164" width="11.42578125" style="1159" customWidth="1"/>
    <col min="6165" max="6400" width="11.42578125" style="1159"/>
    <col min="6401" max="6401" width="14.85546875" style="1159" customWidth="1"/>
    <col min="6402" max="6403" width="12.5703125" style="1159" customWidth="1"/>
    <col min="6404" max="6404" width="12.140625" style="1159" customWidth="1"/>
    <col min="6405" max="6405" width="14" style="1159" bestFit="1" customWidth="1"/>
    <col min="6406" max="6406" width="13.5703125" style="1159" bestFit="1" customWidth="1"/>
    <col min="6407" max="6407" width="10.5703125" style="1159" bestFit="1" customWidth="1"/>
    <col min="6408" max="6408" width="11.85546875" style="1159" bestFit="1" customWidth="1"/>
    <col min="6409" max="6409" width="5.7109375" style="1159" customWidth="1"/>
    <col min="6410" max="6420" width="11.42578125" style="1159" customWidth="1"/>
    <col min="6421" max="6656" width="11.42578125" style="1159"/>
    <col min="6657" max="6657" width="14.85546875" style="1159" customWidth="1"/>
    <col min="6658" max="6659" width="12.5703125" style="1159" customWidth="1"/>
    <col min="6660" max="6660" width="12.140625" style="1159" customWidth="1"/>
    <col min="6661" max="6661" width="14" style="1159" bestFit="1" customWidth="1"/>
    <col min="6662" max="6662" width="13.5703125" style="1159" bestFit="1" customWidth="1"/>
    <col min="6663" max="6663" width="10.5703125" style="1159" bestFit="1" customWidth="1"/>
    <col min="6664" max="6664" width="11.85546875" style="1159" bestFit="1" customWidth="1"/>
    <col min="6665" max="6665" width="5.7109375" style="1159" customWidth="1"/>
    <col min="6666" max="6676" width="11.42578125" style="1159" customWidth="1"/>
    <col min="6677" max="6912" width="11.42578125" style="1159"/>
    <col min="6913" max="6913" width="14.85546875" style="1159" customWidth="1"/>
    <col min="6914" max="6915" width="12.5703125" style="1159" customWidth="1"/>
    <col min="6916" max="6916" width="12.140625" style="1159" customWidth="1"/>
    <col min="6917" max="6917" width="14" style="1159" bestFit="1" customWidth="1"/>
    <col min="6918" max="6918" width="13.5703125" style="1159" bestFit="1" customWidth="1"/>
    <col min="6919" max="6919" width="10.5703125" style="1159" bestFit="1" customWidth="1"/>
    <col min="6920" max="6920" width="11.85546875" style="1159" bestFit="1" customWidth="1"/>
    <col min="6921" max="6921" width="5.7109375" style="1159" customWidth="1"/>
    <col min="6922" max="6932" width="11.42578125" style="1159" customWidth="1"/>
    <col min="6933" max="7168" width="11.42578125" style="1159"/>
    <col min="7169" max="7169" width="14.85546875" style="1159" customWidth="1"/>
    <col min="7170" max="7171" width="12.5703125" style="1159" customWidth="1"/>
    <col min="7172" max="7172" width="12.140625" style="1159" customWidth="1"/>
    <col min="7173" max="7173" width="14" style="1159" bestFit="1" customWidth="1"/>
    <col min="7174" max="7174" width="13.5703125" style="1159" bestFit="1" customWidth="1"/>
    <col min="7175" max="7175" width="10.5703125" style="1159" bestFit="1" customWidth="1"/>
    <col min="7176" max="7176" width="11.85546875" style="1159" bestFit="1" customWidth="1"/>
    <col min="7177" max="7177" width="5.7109375" style="1159" customWidth="1"/>
    <col min="7178" max="7188" width="11.42578125" style="1159" customWidth="1"/>
    <col min="7189" max="7424" width="11.42578125" style="1159"/>
    <col min="7425" max="7425" width="14.85546875" style="1159" customWidth="1"/>
    <col min="7426" max="7427" width="12.5703125" style="1159" customWidth="1"/>
    <col min="7428" max="7428" width="12.140625" style="1159" customWidth="1"/>
    <col min="7429" max="7429" width="14" style="1159" bestFit="1" customWidth="1"/>
    <col min="7430" max="7430" width="13.5703125" style="1159" bestFit="1" customWidth="1"/>
    <col min="7431" max="7431" width="10.5703125" style="1159" bestFit="1" customWidth="1"/>
    <col min="7432" max="7432" width="11.85546875" style="1159" bestFit="1" customWidth="1"/>
    <col min="7433" max="7433" width="5.7109375" style="1159" customWidth="1"/>
    <col min="7434" max="7444" width="11.42578125" style="1159" customWidth="1"/>
    <col min="7445" max="7680" width="11.42578125" style="1159"/>
    <col min="7681" max="7681" width="14.85546875" style="1159" customWidth="1"/>
    <col min="7682" max="7683" width="12.5703125" style="1159" customWidth="1"/>
    <col min="7684" max="7684" width="12.140625" style="1159" customWidth="1"/>
    <col min="7685" max="7685" width="14" style="1159" bestFit="1" customWidth="1"/>
    <col min="7686" max="7686" width="13.5703125" style="1159" bestFit="1" customWidth="1"/>
    <col min="7687" max="7687" width="10.5703125" style="1159" bestFit="1" customWidth="1"/>
    <col min="7688" max="7688" width="11.85546875" style="1159" bestFit="1" customWidth="1"/>
    <col min="7689" max="7689" width="5.7109375" style="1159" customWidth="1"/>
    <col min="7690" max="7700" width="11.42578125" style="1159" customWidth="1"/>
    <col min="7701" max="7936" width="11.42578125" style="1159"/>
    <col min="7937" max="7937" width="14.85546875" style="1159" customWidth="1"/>
    <col min="7938" max="7939" width="12.5703125" style="1159" customWidth="1"/>
    <col min="7940" max="7940" width="12.140625" style="1159" customWidth="1"/>
    <col min="7941" max="7941" width="14" style="1159" bestFit="1" customWidth="1"/>
    <col min="7942" max="7942" width="13.5703125" style="1159" bestFit="1" customWidth="1"/>
    <col min="7943" max="7943" width="10.5703125" style="1159" bestFit="1" customWidth="1"/>
    <col min="7944" max="7944" width="11.85546875" style="1159" bestFit="1" customWidth="1"/>
    <col min="7945" max="7945" width="5.7109375" style="1159" customWidth="1"/>
    <col min="7946" max="7956" width="11.42578125" style="1159" customWidth="1"/>
    <col min="7957" max="8192" width="11.42578125" style="1159"/>
    <col min="8193" max="8193" width="14.85546875" style="1159" customWidth="1"/>
    <col min="8194" max="8195" width="12.5703125" style="1159" customWidth="1"/>
    <col min="8196" max="8196" width="12.140625" style="1159" customWidth="1"/>
    <col min="8197" max="8197" width="14" style="1159" bestFit="1" customWidth="1"/>
    <col min="8198" max="8198" width="13.5703125" style="1159" bestFit="1" customWidth="1"/>
    <col min="8199" max="8199" width="10.5703125" style="1159" bestFit="1" customWidth="1"/>
    <col min="8200" max="8200" width="11.85546875" style="1159" bestFit="1" customWidth="1"/>
    <col min="8201" max="8201" width="5.7109375" style="1159" customWidth="1"/>
    <col min="8202" max="8212" width="11.42578125" style="1159" customWidth="1"/>
    <col min="8213" max="8448" width="11.42578125" style="1159"/>
    <col min="8449" max="8449" width="14.85546875" style="1159" customWidth="1"/>
    <col min="8450" max="8451" width="12.5703125" style="1159" customWidth="1"/>
    <col min="8452" max="8452" width="12.140625" style="1159" customWidth="1"/>
    <col min="8453" max="8453" width="14" style="1159" bestFit="1" customWidth="1"/>
    <col min="8454" max="8454" width="13.5703125" style="1159" bestFit="1" customWidth="1"/>
    <col min="8455" max="8455" width="10.5703125" style="1159" bestFit="1" customWidth="1"/>
    <col min="8456" max="8456" width="11.85546875" style="1159" bestFit="1" customWidth="1"/>
    <col min="8457" max="8457" width="5.7109375" style="1159" customWidth="1"/>
    <col min="8458" max="8468" width="11.42578125" style="1159" customWidth="1"/>
    <col min="8469" max="8704" width="11.42578125" style="1159"/>
    <col min="8705" max="8705" width="14.85546875" style="1159" customWidth="1"/>
    <col min="8706" max="8707" width="12.5703125" style="1159" customWidth="1"/>
    <col min="8708" max="8708" width="12.140625" style="1159" customWidth="1"/>
    <col min="8709" max="8709" width="14" style="1159" bestFit="1" customWidth="1"/>
    <col min="8710" max="8710" width="13.5703125" style="1159" bestFit="1" customWidth="1"/>
    <col min="8711" max="8711" width="10.5703125" style="1159" bestFit="1" customWidth="1"/>
    <col min="8712" max="8712" width="11.85546875" style="1159" bestFit="1" customWidth="1"/>
    <col min="8713" max="8713" width="5.7109375" style="1159" customWidth="1"/>
    <col min="8714" max="8724" width="11.42578125" style="1159" customWidth="1"/>
    <col min="8725" max="8960" width="11.42578125" style="1159"/>
    <col min="8961" max="8961" width="14.85546875" style="1159" customWidth="1"/>
    <col min="8962" max="8963" width="12.5703125" style="1159" customWidth="1"/>
    <col min="8964" max="8964" width="12.140625" style="1159" customWidth="1"/>
    <col min="8965" max="8965" width="14" style="1159" bestFit="1" customWidth="1"/>
    <col min="8966" max="8966" width="13.5703125" style="1159" bestFit="1" customWidth="1"/>
    <col min="8967" max="8967" width="10.5703125" style="1159" bestFit="1" customWidth="1"/>
    <col min="8968" max="8968" width="11.85546875" style="1159" bestFit="1" customWidth="1"/>
    <col min="8969" max="8969" width="5.7109375" style="1159" customWidth="1"/>
    <col min="8970" max="8980" width="11.42578125" style="1159" customWidth="1"/>
    <col min="8981" max="9216" width="11.42578125" style="1159"/>
    <col min="9217" max="9217" width="14.85546875" style="1159" customWidth="1"/>
    <col min="9218" max="9219" width="12.5703125" style="1159" customWidth="1"/>
    <col min="9220" max="9220" width="12.140625" style="1159" customWidth="1"/>
    <col min="9221" max="9221" width="14" style="1159" bestFit="1" customWidth="1"/>
    <col min="9222" max="9222" width="13.5703125" style="1159" bestFit="1" customWidth="1"/>
    <col min="9223" max="9223" width="10.5703125" style="1159" bestFit="1" customWidth="1"/>
    <col min="9224" max="9224" width="11.85546875" style="1159" bestFit="1" customWidth="1"/>
    <col min="9225" max="9225" width="5.7109375" style="1159" customWidth="1"/>
    <col min="9226" max="9236" width="11.42578125" style="1159" customWidth="1"/>
    <col min="9237" max="9472" width="11.42578125" style="1159"/>
    <col min="9473" max="9473" width="14.85546875" style="1159" customWidth="1"/>
    <col min="9474" max="9475" width="12.5703125" style="1159" customWidth="1"/>
    <col min="9476" max="9476" width="12.140625" style="1159" customWidth="1"/>
    <col min="9477" max="9477" width="14" style="1159" bestFit="1" customWidth="1"/>
    <col min="9478" max="9478" width="13.5703125" style="1159" bestFit="1" customWidth="1"/>
    <col min="9479" max="9479" width="10.5703125" style="1159" bestFit="1" customWidth="1"/>
    <col min="9480" max="9480" width="11.85546875" style="1159" bestFit="1" customWidth="1"/>
    <col min="9481" max="9481" width="5.7109375" style="1159" customWidth="1"/>
    <col min="9482" max="9492" width="11.42578125" style="1159" customWidth="1"/>
    <col min="9493" max="9728" width="11.42578125" style="1159"/>
    <col min="9729" max="9729" width="14.85546875" style="1159" customWidth="1"/>
    <col min="9730" max="9731" width="12.5703125" style="1159" customWidth="1"/>
    <col min="9732" max="9732" width="12.140625" style="1159" customWidth="1"/>
    <col min="9733" max="9733" width="14" style="1159" bestFit="1" customWidth="1"/>
    <col min="9734" max="9734" width="13.5703125" style="1159" bestFit="1" customWidth="1"/>
    <col min="9735" max="9735" width="10.5703125" style="1159" bestFit="1" customWidth="1"/>
    <col min="9736" max="9736" width="11.85546875" style="1159" bestFit="1" customWidth="1"/>
    <col min="9737" max="9737" width="5.7109375" style="1159" customWidth="1"/>
    <col min="9738" max="9748" width="11.42578125" style="1159" customWidth="1"/>
    <col min="9749" max="9984" width="11.42578125" style="1159"/>
    <col min="9985" max="9985" width="14.85546875" style="1159" customWidth="1"/>
    <col min="9986" max="9987" width="12.5703125" style="1159" customWidth="1"/>
    <col min="9988" max="9988" width="12.140625" style="1159" customWidth="1"/>
    <col min="9989" max="9989" width="14" style="1159" bestFit="1" customWidth="1"/>
    <col min="9990" max="9990" width="13.5703125" style="1159" bestFit="1" customWidth="1"/>
    <col min="9991" max="9991" width="10.5703125" style="1159" bestFit="1" customWidth="1"/>
    <col min="9992" max="9992" width="11.85546875" style="1159" bestFit="1" customWidth="1"/>
    <col min="9993" max="9993" width="5.7109375" style="1159" customWidth="1"/>
    <col min="9994" max="10004" width="11.42578125" style="1159" customWidth="1"/>
    <col min="10005" max="10240" width="11.42578125" style="1159"/>
    <col min="10241" max="10241" width="14.85546875" style="1159" customWidth="1"/>
    <col min="10242" max="10243" width="12.5703125" style="1159" customWidth="1"/>
    <col min="10244" max="10244" width="12.140625" style="1159" customWidth="1"/>
    <col min="10245" max="10245" width="14" style="1159" bestFit="1" customWidth="1"/>
    <col min="10246" max="10246" width="13.5703125" style="1159" bestFit="1" customWidth="1"/>
    <col min="10247" max="10247" width="10.5703125" style="1159" bestFit="1" customWidth="1"/>
    <col min="10248" max="10248" width="11.85546875" style="1159" bestFit="1" customWidth="1"/>
    <col min="10249" max="10249" width="5.7109375" style="1159" customWidth="1"/>
    <col min="10250" max="10260" width="11.42578125" style="1159" customWidth="1"/>
    <col min="10261" max="10496" width="11.42578125" style="1159"/>
    <col min="10497" max="10497" width="14.85546875" style="1159" customWidth="1"/>
    <col min="10498" max="10499" width="12.5703125" style="1159" customWidth="1"/>
    <col min="10500" max="10500" width="12.140625" style="1159" customWidth="1"/>
    <col min="10501" max="10501" width="14" style="1159" bestFit="1" customWidth="1"/>
    <col min="10502" max="10502" width="13.5703125" style="1159" bestFit="1" customWidth="1"/>
    <col min="10503" max="10503" width="10.5703125" style="1159" bestFit="1" customWidth="1"/>
    <col min="10504" max="10504" width="11.85546875" style="1159" bestFit="1" customWidth="1"/>
    <col min="10505" max="10505" width="5.7109375" style="1159" customWidth="1"/>
    <col min="10506" max="10516" width="11.42578125" style="1159" customWidth="1"/>
    <col min="10517" max="10752" width="11.42578125" style="1159"/>
    <col min="10753" max="10753" width="14.85546875" style="1159" customWidth="1"/>
    <col min="10754" max="10755" width="12.5703125" style="1159" customWidth="1"/>
    <col min="10756" max="10756" width="12.140625" style="1159" customWidth="1"/>
    <col min="10757" max="10757" width="14" style="1159" bestFit="1" customWidth="1"/>
    <col min="10758" max="10758" width="13.5703125" style="1159" bestFit="1" customWidth="1"/>
    <col min="10759" max="10759" width="10.5703125" style="1159" bestFit="1" customWidth="1"/>
    <col min="10760" max="10760" width="11.85546875" style="1159" bestFit="1" customWidth="1"/>
    <col min="10761" max="10761" width="5.7109375" style="1159" customWidth="1"/>
    <col min="10762" max="10772" width="11.42578125" style="1159" customWidth="1"/>
    <col min="10773" max="11008" width="11.42578125" style="1159"/>
    <col min="11009" max="11009" width="14.85546875" style="1159" customWidth="1"/>
    <col min="11010" max="11011" width="12.5703125" style="1159" customWidth="1"/>
    <col min="11012" max="11012" width="12.140625" style="1159" customWidth="1"/>
    <col min="11013" max="11013" width="14" style="1159" bestFit="1" customWidth="1"/>
    <col min="11014" max="11014" width="13.5703125" style="1159" bestFit="1" customWidth="1"/>
    <col min="11015" max="11015" width="10.5703125" style="1159" bestFit="1" customWidth="1"/>
    <col min="11016" max="11016" width="11.85546875" style="1159" bestFit="1" customWidth="1"/>
    <col min="11017" max="11017" width="5.7109375" style="1159" customWidth="1"/>
    <col min="11018" max="11028" width="11.42578125" style="1159" customWidth="1"/>
    <col min="11029" max="11264" width="11.42578125" style="1159"/>
    <col min="11265" max="11265" width="14.85546875" style="1159" customWidth="1"/>
    <col min="11266" max="11267" width="12.5703125" style="1159" customWidth="1"/>
    <col min="11268" max="11268" width="12.140625" style="1159" customWidth="1"/>
    <col min="11269" max="11269" width="14" style="1159" bestFit="1" customWidth="1"/>
    <col min="11270" max="11270" width="13.5703125" style="1159" bestFit="1" customWidth="1"/>
    <col min="11271" max="11271" width="10.5703125" style="1159" bestFit="1" customWidth="1"/>
    <col min="11272" max="11272" width="11.85546875" style="1159" bestFit="1" customWidth="1"/>
    <col min="11273" max="11273" width="5.7109375" style="1159" customWidth="1"/>
    <col min="11274" max="11284" width="11.42578125" style="1159" customWidth="1"/>
    <col min="11285" max="11520" width="11.42578125" style="1159"/>
    <col min="11521" max="11521" width="14.85546875" style="1159" customWidth="1"/>
    <col min="11522" max="11523" width="12.5703125" style="1159" customWidth="1"/>
    <col min="11524" max="11524" width="12.140625" style="1159" customWidth="1"/>
    <col min="11525" max="11525" width="14" style="1159" bestFit="1" customWidth="1"/>
    <col min="11526" max="11526" width="13.5703125" style="1159" bestFit="1" customWidth="1"/>
    <col min="11527" max="11527" width="10.5703125" style="1159" bestFit="1" customWidth="1"/>
    <col min="11528" max="11528" width="11.85546875" style="1159" bestFit="1" customWidth="1"/>
    <col min="11529" max="11529" width="5.7109375" style="1159" customWidth="1"/>
    <col min="11530" max="11540" width="11.42578125" style="1159" customWidth="1"/>
    <col min="11541" max="11776" width="11.42578125" style="1159"/>
    <col min="11777" max="11777" width="14.85546875" style="1159" customWidth="1"/>
    <col min="11778" max="11779" width="12.5703125" style="1159" customWidth="1"/>
    <col min="11780" max="11780" width="12.140625" style="1159" customWidth="1"/>
    <col min="11781" max="11781" width="14" style="1159" bestFit="1" customWidth="1"/>
    <col min="11782" max="11782" width="13.5703125" style="1159" bestFit="1" customWidth="1"/>
    <col min="11783" max="11783" width="10.5703125" style="1159" bestFit="1" customWidth="1"/>
    <col min="11784" max="11784" width="11.85546875" style="1159" bestFit="1" customWidth="1"/>
    <col min="11785" max="11785" width="5.7109375" style="1159" customWidth="1"/>
    <col min="11786" max="11796" width="11.42578125" style="1159" customWidth="1"/>
    <col min="11797" max="12032" width="11.42578125" style="1159"/>
    <col min="12033" max="12033" width="14.85546875" style="1159" customWidth="1"/>
    <col min="12034" max="12035" width="12.5703125" style="1159" customWidth="1"/>
    <col min="12036" max="12036" width="12.140625" style="1159" customWidth="1"/>
    <col min="12037" max="12037" width="14" style="1159" bestFit="1" customWidth="1"/>
    <col min="12038" max="12038" width="13.5703125" style="1159" bestFit="1" customWidth="1"/>
    <col min="12039" max="12039" width="10.5703125" style="1159" bestFit="1" customWidth="1"/>
    <col min="12040" max="12040" width="11.85546875" style="1159" bestFit="1" customWidth="1"/>
    <col min="12041" max="12041" width="5.7109375" style="1159" customWidth="1"/>
    <col min="12042" max="12052" width="11.42578125" style="1159" customWidth="1"/>
    <col min="12053" max="12288" width="11.42578125" style="1159"/>
    <col min="12289" max="12289" width="14.85546875" style="1159" customWidth="1"/>
    <col min="12290" max="12291" width="12.5703125" style="1159" customWidth="1"/>
    <col min="12292" max="12292" width="12.140625" style="1159" customWidth="1"/>
    <col min="12293" max="12293" width="14" style="1159" bestFit="1" customWidth="1"/>
    <col min="12294" max="12294" width="13.5703125" style="1159" bestFit="1" customWidth="1"/>
    <col min="12295" max="12295" width="10.5703125" style="1159" bestFit="1" customWidth="1"/>
    <col min="12296" max="12296" width="11.85546875" style="1159" bestFit="1" customWidth="1"/>
    <col min="12297" max="12297" width="5.7109375" style="1159" customWidth="1"/>
    <col min="12298" max="12308" width="11.42578125" style="1159" customWidth="1"/>
    <col min="12309" max="12544" width="11.42578125" style="1159"/>
    <col min="12545" max="12545" width="14.85546875" style="1159" customWidth="1"/>
    <col min="12546" max="12547" width="12.5703125" style="1159" customWidth="1"/>
    <col min="12548" max="12548" width="12.140625" style="1159" customWidth="1"/>
    <col min="12549" max="12549" width="14" style="1159" bestFit="1" customWidth="1"/>
    <col min="12550" max="12550" width="13.5703125" style="1159" bestFit="1" customWidth="1"/>
    <col min="12551" max="12551" width="10.5703125" style="1159" bestFit="1" customWidth="1"/>
    <col min="12552" max="12552" width="11.85546875" style="1159" bestFit="1" customWidth="1"/>
    <col min="12553" max="12553" width="5.7109375" style="1159" customWidth="1"/>
    <col min="12554" max="12564" width="11.42578125" style="1159" customWidth="1"/>
    <col min="12565" max="12800" width="11.42578125" style="1159"/>
    <col min="12801" max="12801" width="14.85546875" style="1159" customWidth="1"/>
    <col min="12802" max="12803" width="12.5703125" style="1159" customWidth="1"/>
    <col min="12804" max="12804" width="12.140625" style="1159" customWidth="1"/>
    <col min="12805" max="12805" width="14" style="1159" bestFit="1" customWidth="1"/>
    <col min="12806" max="12806" width="13.5703125" style="1159" bestFit="1" customWidth="1"/>
    <col min="12807" max="12807" width="10.5703125" style="1159" bestFit="1" customWidth="1"/>
    <col min="12808" max="12808" width="11.85546875" style="1159" bestFit="1" customWidth="1"/>
    <col min="12809" max="12809" width="5.7109375" style="1159" customWidth="1"/>
    <col min="12810" max="12820" width="11.42578125" style="1159" customWidth="1"/>
    <col min="12821" max="13056" width="11.42578125" style="1159"/>
    <col min="13057" max="13057" width="14.85546875" style="1159" customWidth="1"/>
    <col min="13058" max="13059" width="12.5703125" style="1159" customWidth="1"/>
    <col min="13060" max="13060" width="12.140625" style="1159" customWidth="1"/>
    <col min="13061" max="13061" width="14" style="1159" bestFit="1" customWidth="1"/>
    <col min="13062" max="13062" width="13.5703125" style="1159" bestFit="1" customWidth="1"/>
    <col min="13063" max="13063" width="10.5703125" style="1159" bestFit="1" customWidth="1"/>
    <col min="13064" max="13064" width="11.85546875" style="1159" bestFit="1" customWidth="1"/>
    <col min="13065" max="13065" width="5.7109375" style="1159" customWidth="1"/>
    <col min="13066" max="13076" width="11.42578125" style="1159" customWidth="1"/>
    <col min="13077" max="13312" width="11.42578125" style="1159"/>
    <col min="13313" max="13313" width="14.85546875" style="1159" customWidth="1"/>
    <col min="13314" max="13315" width="12.5703125" style="1159" customWidth="1"/>
    <col min="13316" max="13316" width="12.140625" style="1159" customWidth="1"/>
    <col min="13317" max="13317" width="14" style="1159" bestFit="1" customWidth="1"/>
    <col min="13318" max="13318" width="13.5703125" style="1159" bestFit="1" customWidth="1"/>
    <col min="13319" max="13319" width="10.5703125" style="1159" bestFit="1" customWidth="1"/>
    <col min="13320" max="13320" width="11.85546875" style="1159" bestFit="1" customWidth="1"/>
    <col min="13321" max="13321" width="5.7109375" style="1159" customWidth="1"/>
    <col min="13322" max="13332" width="11.42578125" style="1159" customWidth="1"/>
    <col min="13333" max="13568" width="11.42578125" style="1159"/>
    <col min="13569" max="13569" width="14.85546875" style="1159" customWidth="1"/>
    <col min="13570" max="13571" width="12.5703125" style="1159" customWidth="1"/>
    <col min="13572" max="13572" width="12.140625" style="1159" customWidth="1"/>
    <col min="13573" max="13573" width="14" style="1159" bestFit="1" customWidth="1"/>
    <col min="13574" max="13574" width="13.5703125" style="1159" bestFit="1" customWidth="1"/>
    <col min="13575" max="13575" width="10.5703125" style="1159" bestFit="1" customWidth="1"/>
    <col min="13576" max="13576" width="11.85546875" style="1159" bestFit="1" customWidth="1"/>
    <col min="13577" max="13577" width="5.7109375" style="1159" customWidth="1"/>
    <col min="13578" max="13588" width="11.42578125" style="1159" customWidth="1"/>
    <col min="13589" max="13824" width="11.42578125" style="1159"/>
    <col min="13825" max="13825" width="14.85546875" style="1159" customWidth="1"/>
    <col min="13826" max="13827" width="12.5703125" style="1159" customWidth="1"/>
    <col min="13828" max="13828" width="12.140625" style="1159" customWidth="1"/>
    <col min="13829" max="13829" width="14" style="1159" bestFit="1" customWidth="1"/>
    <col min="13830" max="13830" width="13.5703125" style="1159" bestFit="1" customWidth="1"/>
    <col min="13831" max="13831" width="10.5703125" style="1159" bestFit="1" customWidth="1"/>
    <col min="13832" max="13832" width="11.85546875" style="1159" bestFit="1" customWidth="1"/>
    <col min="13833" max="13833" width="5.7109375" style="1159" customWidth="1"/>
    <col min="13834" max="13844" width="11.42578125" style="1159" customWidth="1"/>
    <col min="13845" max="14080" width="11.42578125" style="1159"/>
    <col min="14081" max="14081" width="14.85546875" style="1159" customWidth="1"/>
    <col min="14082" max="14083" width="12.5703125" style="1159" customWidth="1"/>
    <col min="14084" max="14084" width="12.140625" style="1159" customWidth="1"/>
    <col min="14085" max="14085" width="14" style="1159" bestFit="1" customWidth="1"/>
    <col min="14086" max="14086" width="13.5703125" style="1159" bestFit="1" customWidth="1"/>
    <col min="14087" max="14087" width="10.5703125" style="1159" bestFit="1" customWidth="1"/>
    <col min="14088" max="14088" width="11.85546875" style="1159" bestFit="1" customWidth="1"/>
    <col min="14089" max="14089" width="5.7109375" style="1159" customWidth="1"/>
    <col min="14090" max="14100" width="11.42578125" style="1159" customWidth="1"/>
    <col min="14101" max="14336" width="11.42578125" style="1159"/>
    <col min="14337" max="14337" width="14.85546875" style="1159" customWidth="1"/>
    <col min="14338" max="14339" width="12.5703125" style="1159" customWidth="1"/>
    <col min="14340" max="14340" width="12.140625" style="1159" customWidth="1"/>
    <col min="14341" max="14341" width="14" style="1159" bestFit="1" customWidth="1"/>
    <col min="14342" max="14342" width="13.5703125" style="1159" bestFit="1" customWidth="1"/>
    <col min="14343" max="14343" width="10.5703125" style="1159" bestFit="1" customWidth="1"/>
    <col min="14344" max="14344" width="11.85546875" style="1159" bestFit="1" customWidth="1"/>
    <col min="14345" max="14345" width="5.7109375" style="1159" customWidth="1"/>
    <col min="14346" max="14356" width="11.42578125" style="1159" customWidth="1"/>
    <col min="14357" max="14592" width="11.42578125" style="1159"/>
    <col min="14593" max="14593" width="14.85546875" style="1159" customWidth="1"/>
    <col min="14594" max="14595" width="12.5703125" style="1159" customWidth="1"/>
    <col min="14596" max="14596" width="12.140625" style="1159" customWidth="1"/>
    <col min="14597" max="14597" width="14" style="1159" bestFit="1" customWidth="1"/>
    <col min="14598" max="14598" width="13.5703125" style="1159" bestFit="1" customWidth="1"/>
    <col min="14599" max="14599" width="10.5703125" style="1159" bestFit="1" customWidth="1"/>
    <col min="14600" max="14600" width="11.85546875" style="1159" bestFit="1" customWidth="1"/>
    <col min="14601" max="14601" width="5.7109375" style="1159" customWidth="1"/>
    <col min="14602" max="14612" width="11.42578125" style="1159" customWidth="1"/>
    <col min="14613" max="14848" width="11.42578125" style="1159"/>
    <col min="14849" max="14849" width="14.85546875" style="1159" customWidth="1"/>
    <col min="14850" max="14851" width="12.5703125" style="1159" customWidth="1"/>
    <col min="14852" max="14852" width="12.140625" style="1159" customWidth="1"/>
    <col min="14853" max="14853" width="14" style="1159" bestFit="1" customWidth="1"/>
    <col min="14854" max="14854" width="13.5703125" style="1159" bestFit="1" customWidth="1"/>
    <col min="14855" max="14855" width="10.5703125" style="1159" bestFit="1" customWidth="1"/>
    <col min="14856" max="14856" width="11.85546875" style="1159" bestFit="1" customWidth="1"/>
    <col min="14857" max="14857" width="5.7109375" style="1159" customWidth="1"/>
    <col min="14858" max="14868" width="11.42578125" style="1159" customWidth="1"/>
    <col min="14869" max="15104" width="11.42578125" style="1159"/>
    <col min="15105" max="15105" width="14.85546875" style="1159" customWidth="1"/>
    <col min="15106" max="15107" width="12.5703125" style="1159" customWidth="1"/>
    <col min="15108" max="15108" width="12.140625" style="1159" customWidth="1"/>
    <col min="15109" max="15109" width="14" style="1159" bestFit="1" customWidth="1"/>
    <col min="15110" max="15110" width="13.5703125" style="1159" bestFit="1" customWidth="1"/>
    <col min="15111" max="15111" width="10.5703125" style="1159" bestFit="1" customWidth="1"/>
    <col min="15112" max="15112" width="11.85546875" style="1159" bestFit="1" customWidth="1"/>
    <col min="15113" max="15113" width="5.7109375" style="1159" customWidth="1"/>
    <col min="15114" max="15124" width="11.42578125" style="1159" customWidth="1"/>
    <col min="15125" max="15360" width="11.42578125" style="1159"/>
    <col min="15361" max="15361" width="14.85546875" style="1159" customWidth="1"/>
    <col min="15362" max="15363" width="12.5703125" style="1159" customWidth="1"/>
    <col min="15364" max="15364" width="12.140625" style="1159" customWidth="1"/>
    <col min="15365" max="15365" width="14" style="1159" bestFit="1" customWidth="1"/>
    <col min="15366" max="15366" width="13.5703125" style="1159" bestFit="1" customWidth="1"/>
    <col min="15367" max="15367" width="10.5703125" style="1159" bestFit="1" customWidth="1"/>
    <col min="15368" max="15368" width="11.85546875" style="1159" bestFit="1" customWidth="1"/>
    <col min="15369" max="15369" width="5.7109375" style="1159" customWidth="1"/>
    <col min="15370" max="15380" width="11.42578125" style="1159" customWidth="1"/>
    <col min="15381" max="15616" width="11.42578125" style="1159"/>
    <col min="15617" max="15617" width="14.85546875" style="1159" customWidth="1"/>
    <col min="15618" max="15619" width="12.5703125" style="1159" customWidth="1"/>
    <col min="15620" max="15620" width="12.140625" style="1159" customWidth="1"/>
    <col min="15621" max="15621" width="14" style="1159" bestFit="1" customWidth="1"/>
    <col min="15622" max="15622" width="13.5703125" style="1159" bestFit="1" customWidth="1"/>
    <col min="15623" max="15623" width="10.5703125" style="1159" bestFit="1" customWidth="1"/>
    <col min="15624" max="15624" width="11.85546875" style="1159" bestFit="1" customWidth="1"/>
    <col min="15625" max="15625" width="5.7109375" style="1159" customWidth="1"/>
    <col min="15626" max="15636" width="11.42578125" style="1159" customWidth="1"/>
    <col min="15637" max="15872" width="11.42578125" style="1159"/>
    <col min="15873" max="15873" width="14.85546875" style="1159" customWidth="1"/>
    <col min="15874" max="15875" width="12.5703125" style="1159" customWidth="1"/>
    <col min="15876" max="15876" width="12.140625" style="1159" customWidth="1"/>
    <col min="15877" max="15877" width="14" style="1159" bestFit="1" customWidth="1"/>
    <col min="15878" max="15878" width="13.5703125" style="1159" bestFit="1" customWidth="1"/>
    <col min="15879" max="15879" width="10.5703125" style="1159" bestFit="1" customWidth="1"/>
    <col min="15880" max="15880" width="11.85546875" style="1159" bestFit="1" customWidth="1"/>
    <col min="15881" max="15881" width="5.7109375" style="1159" customWidth="1"/>
    <col min="15882" max="15892" width="11.42578125" style="1159" customWidth="1"/>
    <col min="15893" max="16128" width="11.42578125" style="1159"/>
    <col min="16129" max="16129" width="14.85546875" style="1159" customWidth="1"/>
    <col min="16130" max="16131" width="12.5703125" style="1159" customWidth="1"/>
    <col min="16132" max="16132" width="12.140625" style="1159" customWidth="1"/>
    <col min="16133" max="16133" width="14" style="1159" bestFit="1" customWidth="1"/>
    <col min="16134" max="16134" width="13.5703125" style="1159" bestFit="1" customWidth="1"/>
    <col min="16135" max="16135" width="10.5703125" style="1159" bestFit="1" customWidth="1"/>
    <col min="16136" max="16136" width="11.85546875" style="1159" bestFit="1" customWidth="1"/>
    <col min="16137" max="16137" width="5.7109375" style="1159" customWidth="1"/>
    <col min="16138" max="16148" width="11.42578125" style="1159" customWidth="1"/>
    <col min="16149" max="16384" width="11.42578125" style="1159"/>
  </cols>
  <sheetData>
    <row r="1" spans="1:20" s="1152" customFormat="1" ht="24" customHeight="1">
      <c r="A1" s="1150" t="s">
        <v>1068</v>
      </c>
      <c r="B1" s="1151"/>
      <c r="F1" s="1153"/>
      <c r="G1" s="1154"/>
      <c r="H1" s="1154"/>
      <c r="I1" s="1154"/>
      <c r="J1" s="1154"/>
    </row>
    <row r="2" spans="1:20" s="1152" customFormat="1" ht="14.25" customHeight="1" thickBot="1">
      <c r="F2" s="1155"/>
      <c r="G2" s="1155"/>
      <c r="H2" s="1155"/>
      <c r="I2" s="1155"/>
      <c r="J2" s="1155"/>
    </row>
    <row r="3" spans="1:20">
      <c r="A3" s="1156" t="s">
        <v>1</v>
      </c>
      <c r="B3" s="1157" t="s">
        <v>1069</v>
      </c>
      <c r="C3" s="1157" t="s">
        <v>862</v>
      </c>
      <c r="D3" s="1157" t="s">
        <v>862</v>
      </c>
      <c r="E3" s="1157" t="s">
        <v>862</v>
      </c>
      <c r="F3" s="1157" t="s">
        <v>319</v>
      </c>
      <c r="G3" s="1157" t="s">
        <v>1070</v>
      </c>
      <c r="H3" s="1158" t="s">
        <v>1070</v>
      </c>
    </row>
    <row r="4" spans="1:20">
      <c r="A4" s="1160"/>
      <c r="B4" s="1161" t="s">
        <v>1071</v>
      </c>
      <c r="C4" s="1161" t="s">
        <v>1072</v>
      </c>
      <c r="D4" s="1161" t="s">
        <v>1072</v>
      </c>
      <c r="E4" s="1161" t="s">
        <v>1072</v>
      </c>
      <c r="F4" s="1161" t="s">
        <v>1073</v>
      </c>
      <c r="G4" s="1161" t="s">
        <v>1074</v>
      </c>
      <c r="H4" s="1162" t="s">
        <v>1074</v>
      </c>
    </row>
    <row r="5" spans="1:20">
      <c r="A5" s="1160"/>
      <c r="B5" s="1161" t="s">
        <v>1075</v>
      </c>
      <c r="C5" s="1161" t="s">
        <v>1076</v>
      </c>
      <c r="D5" s="1161" t="s">
        <v>1077</v>
      </c>
      <c r="E5" s="1161" t="s">
        <v>1078</v>
      </c>
      <c r="F5" s="1161" t="s">
        <v>1079</v>
      </c>
      <c r="G5" s="1161" t="s">
        <v>1080</v>
      </c>
      <c r="H5" s="1162" t="s">
        <v>1080</v>
      </c>
    </row>
    <row r="6" spans="1:20" ht="14.25">
      <c r="A6" s="1160"/>
      <c r="B6" s="1161" t="s">
        <v>1081</v>
      </c>
      <c r="C6" s="1161" t="s">
        <v>1082</v>
      </c>
      <c r="D6" s="1161" t="s">
        <v>1083</v>
      </c>
      <c r="E6" s="1161" t="s">
        <v>1084</v>
      </c>
      <c r="F6" s="1161" t="s">
        <v>1085</v>
      </c>
      <c r="G6" s="1161" t="s">
        <v>1086</v>
      </c>
      <c r="H6" s="1162" t="s">
        <v>1087</v>
      </c>
    </row>
    <row r="7" spans="1:20" ht="14.25">
      <c r="A7" s="1160"/>
      <c r="B7" s="1161"/>
      <c r="C7" s="1161" t="s">
        <v>1088</v>
      </c>
      <c r="D7" s="1161" t="s">
        <v>1089</v>
      </c>
      <c r="E7" s="1161"/>
      <c r="F7" s="1161" t="s">
        <v>1090</v>
      </c>
      <c r="G7" s="1161" t="s">
        <v>1091</v>
      </c>
      <c r="H7" s="1162" t="s">
        <v>1091</v>
      </c>
    </row>
    <row r="8" spans="1:20">
      <c r="A8" s="1160"/>
      <c r="B8" s="1163"/>
      <c r="C8" s="1163"/>
      <c r="D8" s="1163"/>
      <c r="E8" s="1163"/>
      <c r="F8" s="1163"/>
      <c r="G8" s="1163"/>
      <c r="H8" s="1164"/>
      <c r="I8" s="1152"/>
    </row>
    <row r="9" spans="1:20" s="1172" customFormat="1" ht="15">
      <c r="A9" s="1165"/>
      <c r="B9" s="1166"/>
      <c r="C9" s="1167"/>
      <c r="D9" s="1168" t="s">
        <v>12</v>
      </c>
      <c r="E9" s="1168"/>
      <c r="F9" s="1169"/>
      <c r="G9" s="1170" t="s">
        <v>866</v>
      </c>
      <c r="H9" s="1171" t="s">
        <v>866</v>
      </c>
      <c r="K9" s="1173"/>
      <c r="L9" s="1173"/>
      <c r="M9" s="1173"/>
      <c r="N9" s="1173"/>
      <c r="O9" s="1173"/>
      <c r="P9" s="1173"/>
      <c r="Q9" s="1173"/>
      <c r="R9" s="1173"/>
      <c r="S9" s="1173"/>
      <c r="T9" s="1173"/>
    </row>
    <row r="10" spans="1:20" s="1172" customFormat="1" ht="18.75" customHeight="1">
      <c r="A10" s="1174">
        <v>41306</v>
      </c>
      <c r="B10" s="1175"/>
      <c r="C10" s="1176"/>
      <c r="D10" s="1176"/>
      <c r="E10" s="1177"/>
      <c r="F10" s="1177"/>
      <c r="G10" s="1176"/>
      <c r="H10" s="1178"/>
      <c r="K10" s="1173"/>
      <c r="L10" s="1173"/>
      <c r="M10" s="1173"/>
      <c r="N10" s="1173"/>
      <c r="O10" s="1173"/>
      <c r="P10" s="1173"/>
      <c r="Q10" s="1173"/>
      <c r="R10" s="1173"/>
      <c r="S10" s="1173"/>
      <c r="T10" s="1173"/>
    </row>
    <row r="11" spans="1:20" s="1172" customFormat="1" ht="15" customHeight="1">
      <c r="A11" s="1179" t="s">
        <v>1092</v>
      </c>
      <c r="B11" s="1180">
        <f>3214+2517.45+311.2</f>
        <v>6042.65</v>
      </c>
      <c r="C11" s="1181">
        <v>597.9</v>
      </c>
      <c r="D11" s="1182">
        <v>80</v>
      </c>
      <c r="E11" s="1181">
        <v>1</v>
      </c>
      <c r="F11" s="1183">
        <f>SUM(C11:E11)</f>
        <v>678.9</v>
      </c>
      <c r="G11" s="1184">
        <v>2.95</v>
      </c>
      <c r="H11" s="1185" t="s">
        <v>770</v>
      </c>
      <c r="I11" s="1186"/>
      <c r="K11" s="1173"/>
      <c r="L11" s="1173" t="s">
        <v>1093</v>
      </c>
      <c r="M11" s="1173"/>
      <c r="N11" s="1173"/>
      <c r="O11" s="1173"/>
      <c r="P11" s="1173"/>
      <c r="Q11" s="1173"/>
      <c r="R11" s="1173"/>
      <c r="S11" s="1173"/>
      <c r="T11" s="1173"/>
    </row>
    <row r="12" spans="1:20" s="1172" customFormat="1" ht="15" customHeight="1">
      <c r="A12" s="1179" t="s">
        <v>1094</v>
      </c>
      <c r="B12" s="1187">
        <f>3254+2867.45+311.2</f>
        <v>6432.65</v>
      </c>
      <c r="C12" s="1182">
        <v>235</v>
      </c>
      <c r="D12" s="1182">
        <v>70</v>
      </c>
      <c r="E12" s="1184" t="s">
        <v>770</v>
      </c>
      <c r="F12" s="1183">
        <f>SUM(C12:E12)</f>
        <v>305</v>
      </c>
      <c r="G12" s="1184" t="s">
        <v>770</v>
      </c>
      <c r="H12" s="1185" t="s">
        <v>770</v>
      </c>
      <c r="I12" s="1186"/>
      <c r="K12" s="1188"/>
      <c r="L12" s="1173"/>
      <c r="M12" s="1173"/>
      <c r="N12" s="1173"/>
      <c r="O12" s="1173"/>
      <c r="P12" s="1173"/>
      <c r="Q12" s="1173"/>
      <c r="R12" s="1173"/>
      <c r="S12" s="1173"/>
      <c r="T12" s="1173"/>
    </row>
    <row r="13" spans="1:20" s="1172" customFormat="1" ht="15" customHeight="1">
      <c r="A13" s="1179" t="s">
        <v>1095</v>
      </c>
      <c r="B13" s="1187">
        <f>3265.85+2867.15+311.2</f>
        <v>6444.2</v>
      </c>
      <c r="C13" s="1182">
        <v>180</v>
      </c>
      <c r="D13" s="1182">
        <v>70</v>
      </c>
      <c r="E13" s="1184">
        <f>3.6+0.15+0.3</f>
        <v>4.05</v>
      </c>
      <c r="F13" s="1183">
        <f>SUM(C13:E13)</f>
        <v>254.05</v>
      </c>
      <c r="G13" s="1184">
        <v>3.08</v>
      </c>
      <c r="H13" s="1185">
        <v>4.9000000000000004</v>
      </c>
      <c r="K13" s="1188"/>
      <c r="L13" s="1173"/>
      <c r="M13" s="1173"/>
      <c r="N13" s="1173"/>
      <c r="O13" s="1173"/>
      <c r="P13" s="1173"/>
      <c r="Q13" s="1173"/>
      <c r="R13" s="1173"/>
      <c r="S13" s="1173"/>
      <c r="T13" s="1173"/>
    </row>
    <row r="14" spans="1:20" s="1172" customFormat="1" ht="15" customHeight="1">
      <c r="A14" s="1179" t="s">
        <v>1096</v>
      </c>
      <c r="B14" s="1189">
        <f>3195.85+2867.15+311.2</f>
        <v>6374.2</v>
      </c>
      <c r="C14" s="1190">
        <v>330</v>
      </c>
      <c r="D14" s="1190">
        <v>50</v>
      </c>
      <c r="E14" s="1191" t="s">
        <v>770</v>
      </c>
      <c r="F14" s="1192">
        <f>SUM(C14:E14)</f>
        <v>380</v>
      </c>
      <c r="G14" s="1191" t="s">
        <v>770</v>
      </c>
      <c r="H14" s="1193" t="s">
        <v>770</v>
      </c>
      <c r="K14" s="1188"/>
      <c r="L14" s="1173"/>
      <c r="M14" s="1173"/>
      <c r="N14" s="1173"/>
      <c r="O14" s="1173"/>
      <c r="P14" s="1173"/>
      <c r="Q14" s="1173"/>
      <c r="R14" s="1173"/>
      <c r="S14" s="1173"/>
      <c r="T14" s="1173"/>
    </row>
    <row r="15" spans="1:20" s="1172" customFormat="1" ht="15" customHeight="1">
      <c r="A15" s="1194">
        <v>40940</v>
      </c>
      <c r="B15" s="1195">
        <v>9901.5</v>
      </c>
      <c r="C15" s="1196">
        <v>84.399999999999991</v>
      </c>
      <c r="D15" s="1196">
        <v>400</v>
      </c>
      <c r="E15" s="1196">
        <v>1.1000000000000001</v>
      </c>
      <c r="F15" s="1196">
        <v>485.49999999999994</v>
      </c>
      <c r="G15" s="1197">
        <v>4.55</v>
      </c>
      <c r="H15" s="1198">
        <v>5.5</v>
      </c>
      <c r="J15" s="1199"/>
      <c r="K15" s="1188"/>
      <c r="L15" s="1173"/>
      <c r="M15" s="1173"/>
      <c r="N15" s="1173"/>
      <c r="O15" s="1173"/>
      <c r="P15" s="1173"/>
      <c r="Q15" s="1173"/>
      <c r="R15" s="1173"/>
      <c r="S15" s="1173"/>
      <c r="T15" s="1173"/>
    </row>
    <row r="16" spans="1:20" s="812" customFormat="1" ht="18.75" customHeight="1">
      <c r="A16" s="1194">
        <v>40969</v>
      </c>
      <c r="B16" s="1195">
        <v>9548</v>
      </c>
      <c r="C16" s="1196">
        <v>208.39999999999998</v>
      </c>
      <c r="D16" s="1196">
        <v>460</v>
      </c>
      <c r="E16" s="1196">
        <v>8.5</v>
      </c>
      <c r="F16" s="1196">
        <v>676.9</v>
      </c>
      <c r="G16" s="1197">
        <v>4.55</v>
      </c>
      <c r="H16" s="1198">
        <v>5.5</v>
      </c>
      <c r="J16" s="1200"/>
      <c r="K16" s="1201"/>
      <c r="L16" s="816"/>
      <c r="M16" s="816"/>
      <c r="N16" s="816"/>
      <c r="O16" s="816"/>
      <c r="P16" s="816"/>
      <c r="Q16" s="816"/>
      <c r="R16" s="816"/>
      <c r="S16" s="816"/>
      <c r="T16" s="816"/>
    </row>
    <row r="17" spans="1:20" s="812" customFormat="1" ht="18.75" customHeight="1">
      <c r="A17" s="1194">
        <v>41000</v>
      </c>
      <c r="B17" s="1195">
        <v>9886.5</v>
      </c>
      <c r="C17" s="1196">
        <v>1063.3</v>
      </c>
      <c r="D17" s="1196">
        <v>380</v>
      </c>
      <c r="E17" s="1196">
        <v>1</v>
      </c>
      <c r="F17" s="1196">
        <v>1444.3000000000002</v>
      </c>
      <c r="G17" s="1197" t="s">
        <v>770</v>
      </c>
      <c r="H17" s="1198">
        <v>5.5</v>
      </c>
      <c r="J17" s="1200"/>
      <c r="K17" s="1201"/>
      <c r="L17" s="816"/>
      <c r="M17" s="816"/>
      <c r="N17" s="816"/>
      <c r="O17" s="816"/>
      <c r="P17" s="816"/>
      <c r="Q17" s="816"/>
      <c r="R17" s="816"/>
      <c r="S17" s="816"/>
      <c r="T17" s="816"/>
    </row>
    <row r="18" spans="1:20" s="812" customFormat="1" ht="18.75" customHeight="1">
      <c r="A18" s="1194">
        <v>41030</v>
      </c>
      <c r="B18" s="1195">
        <v>9866</v>
      </c>
      <c r="C18" s="1196">
        <v>394.8</v>
      </c>
      <c r="D18" s="1196">
        <v>380</v>
      </c>
      <c r="E18" s="1196">
        <v>2.5499999999999998</v>
      </c>
      <c r="F18" s="1196">
        <v>777.35</v>
      </c>
      <c r="G18" s="1197">
        <v>3.71</v>
      </c>
      <c r="H18" s="1198" t="s">
        <v>770</v>
      </c>
      <c r="J18" s="1200"/>
      <c r="K18" s="816"/>
      <c r="L18" s="816"/>
      <c r="M18" s="816"/>
      <c r="N18" s="816"/>
      <c r="O18" s="816"/>
      <c r="P18" s="816"/>
      <c r="Q18" s="816"/>
      <c r="R18" s="816"/>
      <c r="S18" s="816"/>
      <c r="T18" s="816"/>
    </row>
    <row r="19" spans="1:20" s="812" customFormat="1" ht="18.75" customHeight="1">
      <c r="A19" s="1194">
        <v>41061</v>
      </c>
      <c r="B19" s="1195">
        <v>9249</v>
      </c>
      <c r="C19" s="1196">
        <v>323.10000000000002</v>
      </c>
      <c r="D19" s="1196">
        <v>320</v>
      </c>
      <c r="E19" s="1196">
        <v>0.5</v>
      </c>
      <c r="F19" s="1196">
        <v>643.6</v>
      </c>
      <c r="G19" s="1197">
        <v>3.71</v>
      </c>
      <c r="H19" s="1198">
        <v>5.5</v>
      </c>
      <c r="J19" s="1200"/>
      <c r="K19" s="816"/>
      <c r="L19" s="816"/>
      <c r="M19" s="816"/>
      <c r="N19" s="816"/>
      <c r="O19" s="816"/>
      <c r="P19" s="816"/>
      <c r="Q19" s="816"/>
      <c r="R19" s="816"/>
      <c r="S19" s="816"/>
      <c r="T19" s="816"/>
    </row>
    <row r="20" spans="1:20" s="812" customFormat="1" ht="18.75" customHeight="1">
      <c r="A20" s="1194">
        <v>41091</v>
      </c>
      <c r="B20" s="1195">
        <v>8883</v>
      </c>
      <c r="C20" s="1196">
        <v>424.3</v>
      </c>
      <c r="D20" s="1196">
        <v>320</v>
      </c>
      <c r="E20" s="1196">
        <v>1.5</v>
      </c>
      <c r="F20" s="1196">
        <v>745.80000000000007</v>
      </c>
      <c r="G20" s="1197">
        <v>3.75</v>
      </c>
      <c r="H20" s="1198">
        <v>5.5</v>
      </c>
      <c r="J20" s="1200"/>
      <c r="K20" s="816"/>
      <c r="L20" s="816"/>
      <c r="M20" s="816"/>
      <c r="N20" s="816"/>
      <c r="O20" s="816"/>
      <c r="P20" s="816"/>
      <c r="Q20" s="816"/>
      <c r="R20" s="816"/>
      <c r="S20" s="816"/>
      <c r="T20" s="816"/>
    </row>
    <row r="21" spans="1:20" s="812" customFormat="1" ht="18.75" customHeight="1">
      <c r="A21" s="1194">
        <v>41122</v>
      </c>
      <c r="B21" s="1195">
        <v>8076.85</v>
      </c>
      <c r="C21" s="1196">
        <v>103.2</v>
      </c>
      <c r="D21" s="1196">
        <v>400</v>
      </c>
      <c r="E21" s="1196">
        <v>11.7</v>
      </c>
      <c r="F21" s="1196">
        <v>514.9</v>
      </c>
      <c r="G21" s="1197">
        <v>3.67</v>
      </c>
      <c r="H21" s="1198">
        <v>5.5</v>
      </c>
      <c r="J21" s="1200"/>
      <c r="K21" s="816"/>
      <c r="L21" s="816"/>
      <c r="M21" s="816"/>
      <c r="N21" s="816"/>
      <c r="O21" s="816"/>
      <c r="P21" s="816"/>
      <c r="Q21" s="816"/>
      <c r="R21" s="816"/>
      <c r="S21" s="816"/>
      <c r="T21" s="816"/>
    </row>
    <row r="22" spans="1:20" s="812" customFormat="1" ht="18.75" customHeight="1">
      <c r="A22" s="1194">
        <v>41153</v>
      </c>
      <c r="B22" s="1195">
        <v>7594.8</v>
      </c>
      <c r="C22" s="1196">
        <v>134.6</v>
      </c>
      <c r="D22" s="1196">
        <v>320</v>
      </c>
      <c r="E22" s="1196">
        <v>2.1999999999999997</v>
      </c>
      <c r="F22" s="1196">
        <v>456.8</v>
      </c>
      <c r="G22" s="1197">
        <v>3.75</v>
      </c>
      <c r="H22" s="1198">
        <v>5.5</v>
      </c>
      <c r="J22" s="1200"/>
      <c r="K22" s="816"/>
      <c r="L22" s="816"/>
      <c r="M22" s="816"/>
      <c r="N22" s="816"/>
      <c r="O22" s="816"/>
      <c r="P22" s="816"/>
      <c r="Q22" s="816"/>
      <c r="R22" s="816"/>
      <c r="S22" s="816"/>
      <c r="T22" s="816"/>
    </row>
    <row r="23" spans="1:20" s="812" customFormat="1" ht="18.75" customHeight="1">
      <c r="A23" s="1194">
        <v>41183</v>
      </c>
      <c r="B23" s="1195">
        <v>6844.9</v>
      </c>
      <c r="C23" s="1196">
        <v>197.4</v>
      </c>
      <c r="D23" s="1196">
        <v>380</v>
      </c>
      <c r="E23" s="1196">
        <v>1</v>
      </c>
      <c r="F23" s="1196">
        <v>577.85</v>
      </c>
      <c r="G23" s="1197">
        <v>3.43</v>
      </c>
      <c r="H23" s="1198" t="s">
        <v>770</v>
      </c>
      <c r="J23" s="1200"/>
      <c r="K23" s="816"/>
      <c r="L23" s="816"/>
      <c r="M23" s="816"/>
      <c r="N23" s="816"/>
      <c r="O23" s="816"/>
      <c r="P23" s="816"/>
      <c r="Q23" s="816"/>
      <c r="R23" s="816"/>
      <c r="S23" s="816"/>
      <c r="T23" s="816"/>
    </row>
    <row r="24" spans="1:20" s="812" customFormat="1" ht="18.75" customHeight="1">
      <c r="A24" s="1194">
        <v>41214</v>
      </c>
      <c r="B24" s="1195">
        <v>5167.3499999999995</v>
      </c>
      <c r="C24" s="1196">
        <v>62.400000000000006</v>
      </c>
      <c r="D24" s="1196">
        <v>400</v>
      </c>
      <c r="E24" s="1196">
        <v>2.9499999999999997</v>
      </c>
      <c r="F24" s="1196">
        <v>465.35</v>
      </c>
      <c r="G24" s="1197">
        <v>3.57</v>
      </c>
      <c r="H24" s="1198" t="s">
        <v>770</v>
      </c>
      <c r="J24" s="1200"/>
      <c r="K24" s="816"/>
      <c r="L24" s="816"/>
      <c r="M24" s="816"/>
      <c r="N24" s="816"/>
      <c r="O24" s="816"/>
      <c r="P24" s="816"/>
      <c r="Q24" s="816"/>
      <c r="R24" s="816"/>
      <c r="S24" s="816"/>
      <c r="T24" s="816"/>
    </row>
    <row r="25" spans="1:20" s="812" customFormat="1" ht="18.75" customHeight="1">
      <c r="A25" s="1194">
        <v>41244</v>
      </c>
      <c r="B25" s="1195">
        <v>5157.45</v>
      </c>
      <c r="C25" s="1196">
        <v>406.7</v>
      </c>
      <c r="D25" s="1196">
        <v>360</v>
      </c>
      <c r="E25" s="1196">
        <v>2.8499999999999996</v>
      </c>
      <c r="F25" s="1196">
        <v>769.55</v>
      </c>
      <c r="G25" s="1197">
        <v>3.37</v>
      </c>
      <c r="H25" s="1198">
        <v>5.4</v>
      </c>
      <c r="J25" s="1200"/>
      <c r="K25" s="816"/>
      <c r="L25" s="816"/>
      <c r="M25" s="816"/>
      <c r="N25" s="816"/>
      <c r="O25" s="816"/>
      <c r="P25" s="816"/>
      <c r="Q25" s="816"/>
      <c r="R25" s="816"/>
      <c r="S25" s="816"/>
      <c r="T25" s="816"/>
    </row>
    <row r="26" spans="1:20" s="812" customFormat="1" ht="18.75" customHeight="1">
      <c r="A26" s="1194">
        <v>41275</v>
      </c>
      <c r="B26" s="1202">
        <v>6142.65</v>
      </c>
      <c r="C26" s="1196">
        <v>1370.8</v>
      </c>
      <c r="D26" s="1196">
        <v>555</v>
      </c>
      <c r="E26" s="1196">
        <v>1</v>
      </c>
      <c r="F26" s="1196">
        <v>1926.2</v>
      </c>
      <c r="G26" s="1197" t="s">
        <v>770</v>
      </c>
      <c r="H26" s="1198">
        <v>4.9000000000000004</v>
      </c>
      <c r="J26" s="1200"/>
      <c r="K26" s="816"/>
      <c r="L26" s="816"/>
      <c r="M26" s="816"/>
      <c r="N26" s="816"/>
      <c r="O26" s="816"/>
      <c r="P26" s="816"/>
      <c r="Q26" s="816"/>
      <c r="R26" s="816"/>
      <c r="S26" s="816"/>
      <c r="T26" s="816"/>
    </row>
    <row r="27" spans="1:20" s="812" customFormat="1" ht="18.75" customHeight="1" thickBot="1">
      <c r="A27" s="1203">
        <v>41306</v>
      </c>
      <c r="B27" s="1204">
        <f>B14</f>
        <v>6374.2</v>
      </c>
      <c r="C27" s="1205">
        <f>SUM(C11:C14)</f>
        <v>1342.9</v>
      </c>
      <c r="D27" s="1205">
        <f>SUM(D11:D14)</f>
        <v>270</v>
      </c>
      <c r="E27" s="1205">
        <f>SUM(E11:E14)</f>
        <v>5.05</v>
      </c>
      <c r="F27" s="1205">
        <f>SUM(F11:F14)</f>
        <v>1617.95</v>
      </c>
      <c r="G27" s="1206">
        <v>2.16</v>
      </c>
      <c r="H27" s="1207">
        <v>4.9000000000000004</v>
      </c>
      <c r="J27" s="1200"/>
      <c r="K27" s="816"/>
      <c r="L27" s="816"/>
      <c r="M27" s="816"/>
      <c r="N27" s="816"/>
      <c r="O27" s="816"/>
      <c r="P27" s="816"/>
      <c r="Q27" s="816"/>
      <c r="R27" s="816"/>
      <c r="S27" s="816"/>
      <c r="T27" s="816"/>
    </row>
    <row r="28" spans="1:20" s="812" customFormat="1" ht="19.5" customHeight="1">
      <c r="A28" s="1208" t="s">
        <v>1097</v>
      </c>
      <c r="B28" s="1209"/>
      <c r="D28" s="1210"/>
      <c r="E28" s="1210"/>
      <c r="F28" s="1210"/>
      <c r="G28" s="1210"/>
      <c r="H28" s="1210"/>
      <c r="K28" s="1211"/>
      <c r="L28" s="816"/>
      <c r="M28" s="816"/>
      <c r="N28" s="816"/>
      <c r="O28" s="816"/>
      <c r="P28" s="816"/>
      <c r="Q28" s="816"/>
      <c r="R28" s="816"/>
      <c r="S28" s="816"/>
      <c r="T28" s="816"/>
    </row>
    <row r="29" spans="1:20" s="812" customFormat="1" ht="17.25" customHeight="1">
      <c r="A29" s="3377" t="s">
        <v>1098</v>
      </c>
      <c r="B29" s="3377"/>
      <c r="C29" s="3377"/>
      <c r="D29" s="3377"/>
      <c r="E29" s="3377"/>
      <c r="F29" s="3377"/>
      <c r="G29" s="3377"/>
      <c r="H29" s="3377"/>
      <c r="K29" s="816"/>
      <c r="L29" s="816"/>
      <c r="M29" s="816"/>
      <c r="N29" s="816"/>
      <c r="O29" s="816"/>
      <c r="P29" s="816"/>
      <c r="Q29" s="816"/>
      <c r="R29" s="816"/>
      <c r="S29" s="816"/>
      <c r="T29" s="816"/>
    </row>
    <row r="30" spans="1:20" s="812" customFormat="1" ht="18" customHeight="1">
      <c r="A30" s="3378" t="s">
        <v>1099</v>
      </c>
      <c r="B30" s="3378"/>
      <c r="C30" s="3378"/>
      <c r="D30" s="3378"/>
      <c r="E30" s="3378" t="s">
        <v>1100</v>
      </c>
      <c r="F30" s="3378"/>
      <c r="G30" s="3378"/>
      <c r="H30" s="3378"/>
      <c r="K30" s="816"/>
      <c r="L30" s="816"/>
      <c r="M30" s="816"/>
      <c r="N30" s="816"/>
      <c r="O30" s="816"/>
      <c r="P30" s="816"/>
      <c r="Q30" s="816"/>
      <c r="R30" s="816"/>
      <c r="S30" s="816"/>
      <c r="T30" s="816"/>
    </row>
    <row r="31" spans="1:20" s="1212" customFormat="1" ht="18" customHeight="1">
      <c r="A31" s="1073" t="s">
        <v>1101</v>
      </c>
      <c r="B31" s="1073"/>
      <c r="C31" s="1073"/>
      <c r="D31" s="1073"/>
      <c r="E31" s="1073"/>
      <c r="F31" s="1073"/>
      <c r="G31" s="1073"/>
      <c r="H31" s="1073"/>
      <c r="K31" s="1213"/>
      <c r="L31" s="1213"/>
      <c r="M31" s="1213"/>
      <c r="N31" s="1213"/>
      <c r="O31" s="1213"/>
      <c r="P31" s="1213"/>
      <c r="Q31" s="1213"/>
      <c r="R31" s="1213"/>
      <c r="S31" s="1213"/>
      <c r="T31" s="1213"/>
    </row>
    <row r="32" spans="1:20" s="1073" customFormat="1">
      <c r="F32" s="1214"/>
    </row>
    <row r="33" spans="1:20" s="1073" customFormat="1">
      <c r="A33" s="1212"/>
      <c r="B33" s="1212"/>
      <c r="C33" s="1212"/>
      <c r="D33" s="1212"/>
      <c r="E33" s="1212"/>
      <c r="F33" s="1212"/>
      <c r="G33" s="1212"/>
      <c r="H33" s="1212"/>
    </row>
    <row r="34" spans="1:20" s="1212" customFormat="1" ht="18" customHeight="1">
      <c r="A34" s="1159"/>
      <c r="B34" s="1159"/>
      <c r="C34" s="1159"/>
      <c r="D34" s="1159"/>
      <c r="E34" s="1159"/>
      <c r="F34" s="1159"/>
      <c r="G34" s="1159"/>
      <c r="H34" s="1159"/>
      <c r="K34" s="1213"/>
      <c r="L34" s="1213"/>
      <c r="M34" s="1213"/>
      <c r="N34" s="1213"/>
      <c r="O34" s="1213"/>
      <c r="P34" s="1213"/>
      <c r="Q34" s="1213"/>
      <c r="R34" s="1213"/>
      <c r="S34" s="1213"/>
      <c r="T34" s="1213"/>
    </row>
  </sheetData>
  <mergeCells count="3">
    <mergeCell ref="A29:H29"/>
    <mergeCell ref="A30:D30"/>
    <mergeCell ref="E30:H30"/>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22"/>
  <sheetViews>
    <sheetView topLeftCell="A158" zoomScaleNormal="100" workbookViewId="0">
      <selection activeCell="L165" sqref="L165"/>
    </sheetView>
  </sheetViews>
  <sheetFormatPr defaultRowHeight="12.75"/>
  <cols>
    <col min="1" max="1" width="9.140625" style="762"/>
    <col min="2" max="2" width="15.7109375" style="762" customWidth="1"/>
    <col min="3" max="3" width="9.140625" style="762"/>
    <col min="4" max="4" width="9.5703125" style="762" customWidth="1"/>
    <col min="5" max="5" width="10.5703125" style="762" customWidth="1"/>
    <col min="6" max="6" width="10.42578125" style="762" customWidth="1"/>
    <col min="7" max="7" width="14.42578125" style="762" customWidth="1"/>
    <col min="8" max="8" width="13.85546875" style="762" customWidth="1"/>
    <col min="9" max="9" width="11.28515625" style="762" customWidth="1"/>
    <col min="10" max="10" width="4.5703125" style="762" customWidth="1"/>
    <col min="11" max="257" width="9.140625" style="762"/>
    <col min="258" max="258" width="15.7109375" style="762" customWidth="1"/>
    <col min="259" max="259" width="9.140625" style="762"/>
    <col min="260" max="260" width="9.5703125" style="762" customWidth="1"/>
    <col min="261" max="261" width="10.5703125" style="762" customWidth="1"/>
    <col min="262" max="262" width="10.42578125" style="762" customWidth="1"/>
    <col min="263" max="263" width="14.42578125" style="762" customWidth="1"/>
    <col min="264" max="264" width="13.85546875" style="762" customWidth="1"/>
    <col min="265" max="265" width="11.28515625" style="762" customWidth="1"/>
    <col min="266" max="266" width="4.5703125" style="762" customWidth="1"/>
    <col min="267" max="513" width="9.140625" style="762"/>
    <col min="514" max="514" width="15.7109375" style="762" customWidth="1"/>
    <col min="515" max="515" width="9.140625" style="762"/>
    <col min="516" max="516" width="9.5703125" style="762" customWidth="1"/>
    <col min="517" max="517" width="10.5703125" style="762" customWidth="1"/>
    <col min="518" max="518" width="10.42578125" style="762" customWidth="1"/>
    <col min="519" max="519" width="14.42578125" style="762" customWidth="1"/>
    <col min="520" max="520" width="13.85546875" style="762" customWidth="1"/>
    <col min="521" max="521" width="11.28515625" style="762" customWidth="1"/>
    <col min="522" max="522" width="4.5703125" style="762" customWidth="1"/>
    <col min="523" max="769" width="9.140625" style="762"/>
    <col min="770" max="770" width="15.7109375" style="762" customWidth="1"/>
    <col min="771" max="771" width="9.140625" style="762"/>
    <col min="772" max="772" width="9.5703125" style="762" customWidth="1"/>
    <col min="773" max="773" width="10.5703125" style="762" customWidth="1"/>
    <col min="774" max="774" width="10.42578125" style="762" customWidth="1"/>
    <col min="775" max="775" width="14.42578125" style="762" customWidth="1"/>
    <col min="776" max="776" width="13.85546875" style="762" customWidth="1"/>
    <col min="777" max="777" width="11.28515625" style="762" customWidth="1"/>
    <col min="778" max="778" width="4.5703125" style="762" customWidth="1"/>
    <col min="779" max="1025" width="9.140625" style="762"/>
    <col min="1026" max="1026" width="15.7109375" style="762" customWidth="1"/>
    <col min="1027" max="1027" width="9.140625" style="762"/>
    <col min="1028" max="1028" width="9.5703125" style="762" customWidth="1"/>
    <col min="1029" max="1029" width="10.5703125" style="762" customWidth="1"/>
    <col min="1030" max="1030" width="10.42578125" style="762" customWidth="1"/>
    <col min="1031" max="1031" width="14.42578125" style="762" customWidth="1"/>
    <col min="1032" max="1032" width="13.85546875" style="762" customWidth="1"/>
    <col min="1033" max="1033" width="11.28515625" style="762" customWidth="1"/>
    <col min="1034" max="1034" width="4.5703125" style="762" customWidth="1"/>
    <col min="1035" max="1281" width="9.140625" style="762"/>
    <col min="1282" max="1282" width="15.7109375" style="762" customWidth="1"/>
    <col min="1283" max="1283" width="9.140625" style="762"/>
    <col min="1284" max="1284" width="9.5703125" style="762" customWidth="1"/>
    <col min="1285" max="1285" width="10.5703125" style="762" customWidth="1"/>
    <col min="1286" max="1286" width="10.42578125" style="762" customWidth="1"/>
    <col min="1287" max="1287" width="14.42578125" style="762" customWidth="1"/>
    <col min="1288" max="1288" width="13.85546875" style="762" customWidth="1"/>
    <col min="1289" max="1289" width="11.28515625" style="762" customWidth="1"/>
    <col min="1290" max="1290" width="4.5703125" style="762" customWidth="1"/>
    <col min="1291" max="1537" width="9.140625" style="762"/>
    <col min="1538" max="1538" width="15.7109375" style="762" customWidth="1"/>
    <col min="1539" max="1539" width="9.140625" style="762"/>
    <col min="1540" max="1540" width="9.5703125" style="762" customWidth="1"/>
    <col min="1541" max="1541" width="10.5703125" style="762" customWidth="1"/>
    <col min="1542" max="1542" width="10.42578125" style="762" customWidth="1"/>
    <col min="1543" max="1543" width="14.42578125" style="762" customWidth="1"/>
    <col min="1544" max="1544" width="13.85546875" style="762" customWidth="1"/>
    <col min="1545" max="1545" width="11.28515625" style="762" customWidth="1"/>
    <col min="1546" max="1546" width="4.5703125" style="762" customWidth="1"/>
    <col min="1547" max="1793" width="9.140625" style="762"/>
    <col min="1794" max="1794" width="15.7109375" style="762" customWidth="1"/>
    <col min="1795" max="1795" width="9.140625" style="762"/>
    <col min="1796" max="1796" width="9.5703125" style="762" customWidth="1"/>
    <col min="1797" max="1797" width="10.5703125" style="762" customWidth="1"/>
    <col min="1798" max="1798" width="10.42578125" style="762" customWidth="1"/>
    <col min="1799" max="1799" width="14.42578125" style="762" customWidth="1"/>
    <col min="1800" max="1800" width="13.85546875" style="762" customWidth="1"/>
    <col min="1801" max="1801" width="11.28515625" style="762" customWidth="1"/>
    <col min="1802" max="1802" width="4.5703125" style="762" customWidth="1"/>
    <col min="1803" max="2049" width="9.140625" style="762"/>
    <col min="2050" max="2050" width="15.7109375" style="762" customWidth="1"/>
    <col min="2051" max="2051" width="9.140625" style="762"/>
    <col min="2052" max="2052" width="9.5703125" style="762" customWidth="1"/>
    <col min="2053" max="2053" width="10.5703125" style="762" customWidth="1"/>
    <col min="2054" max="2054" width="10.42578125" style="762" customWidth="1"/>
    <col min="2055" max="2055" width="14.42578125" style="762" customWidth="1"/>
    <col min="2056" max="2056" width="13.85546875" style="762" customWidth="1"/>
    <col min="2057" max="2057" width="11.28515625" style="762" customWidth="1"/>
    <col min="2058" max="2058" width="4.5703125" style="762" customWidth="1"/>
    <col min="2059" max="2305" width="9.140625" style="762"/>
    <col min="2306" max="2306" width="15.7109375" style="762" customWidth="1"/>
    <col min="2307" max="2307" width="9.140625" style="762"/>
    <col min="2308" max="2308" width="9.5703125" style="762" customWidth="1"/>
    <col min="2309" max="2309" width="10.5703125" style="762" customWidth="1"/>
    <col min="2310" max="2310" width="10.42578125" style="762" customWidth="1"/>
    <col min="2311" max="2311" width="14.42578125" style="762" customWidth="1"/>
    <col min="2312" max="2312" width="13.85546875" style="762" customWidth="1"/>
    <col min="2313" max="2313" width="11.28515625" style="762" customWidth="1"/>
    <col min="2314" max="2314" width="4.5703125" style="762" customWidth="1"/>
    <col min="2315" max="2561" width="9.140625" style="762"/>
    <col min="2562" max="2562" width="15.7109375" style="762" customWidth="1"/>
    <col min="2563" max="2563" width="9.140625" style="762"/>
    <col min="2564" max="2564" width="9.5703125" style="762" customWidth="1"/>
    <col min="2565" max="2565" width="10.5703125" style="762" customWidth="1"/>
    <col min="2566" max="2566" width="10.42578125" style="762" customWidth="1"/>
    <col min="2567" max="2567" width="14.42578125" style="762" customWidth="1"/>
    <col min="2568" max="2568" width="13.85546875" style="762" customWidth="1"/>
    <col min="2569" max="2569" width="11.28515625" style="762" customWidth="1"/>
    <col min="2570" max="2570" width="4.5703125" style="762" customWidth="1"/>
    <col min="2571" max="2817" width="9.140625" style="762"/>
    <col min="2818" max="2818" width="15.7109375" style="762" customWidth="1"/>
    <col min="2819" max="2819" width="9.140625" style="762"/>
    <col min="2820" max="2820" width="9.5703125" style="762" customWidth="1"/>
    <col min="2821" max="2821" width="10.5703125" style="762" customWidth="1"/>
    <col min="2822" max="2822" width="10.42578125" style="762" customWidth="1"/>
    <col min="2823" max="2823" width="14.42578125" style="762" customWidth="1"/>
    <col min="2824" max="2824" width="13.85546875" style="762" customWidth="1"/>
    <col min="2825" max="2825" width="11.28515625" style="762" customWidth="1"/>
    <col min="2826" max="2826" width="4.5703125" style="762" customWidth="1"/>
    <col min="2827" max="3073" width="9.140625" style="762"/>
    <col min="3074" max="3074" width="15.7109375" style="762" customWidth="1"/>
    <col min="3075" max="3075" width="9.140625" style="762"/>
    <col min="3076" max="3076" width="9.5703125" style="762" customWidth="1"/>
    <col min="3077" max="3077" width="10.5703125" style="762" customWidth="1"/>
    <col min="3078" max="3078" width="10.42578125" style="762" customWidth="1"/>
    <col min="3079" max="3079" width="14.42578125" style="762" customWidth="1"/>
    <col min="3080" max="3080" width="13.85546875" style="762" customWidth="1"/>
    <col min="3081" max="3081" width="11.28515625" style="762" customWidth="1"/>
    <col min="3082" max="3082" width="4.5703125" style="762" customWidth="1"/>
    <col min="3083" max="3329" width="9.140625" style="762"/>
    <col min="3330" max="3330" width="15.7109375" style="762" customWidth="1"/>
    <col min="3331" max="3331" width="9.140625" style="762"/>
    <col min="3332" max="3332" width="9.5703125" style="762" customWidth="1"/>
    <col min="3333" max="3333" width="10.5703125" style="762" customWidth="1"/>
    <col min="3334" max="3334" width="10.42578125" style="762" customWidth="1"/>
    <col min="3335" max="3335" width="14.42578125" style="762" customWidth="1"/>
    <col min="3336" max="3336" width="13.85546875" style="762" customWidth="1"/>
    <col min="3337" max="3337" width="11.28515625" style="762" customWidth="1"/>
    <col min="3338" max="3338" width="4.5703125" style="762" customWidth="1"/>
    <col min="3339" max="3585" width="9.140625" style="762"/>
    <col min="3586" max="3586" width="15.7109375" style="762" customWidth="1"/>
    <col min="3587" max="3587" width="9.140625" style="762"/>
    <col min="3588" max="3588" width="9.5703125" style="762" customWidth="1"/>
    <col min="3589" max="3589" width="10.5703125" style="762" customWidth="1"/>
    <col min="3590" max="3590" width="10.42578125" style="762" customWidth="1"/>
    <col min="3591" max="3591" width="14.42578125" style="762" customWidth="1"/>
    <col min="3592" max="3592" width="13.85546875" style="762" customWidth="1"/>
    <col min="3593" max="3593" width="11.28515625" style="762" customWidth="1"/>
    <col min="3594" max="3594" width="4.5703125" style="762" customWidth="1"/>
    <col min="3595" max="3841" width="9.140625" style="762"/>
    <col min="3842" max="3842" width="15.7109375" style="762" customWidth="1"/>
    <col min="3843" max="3843" width="9.140625" style="762"/>
    <col min="3844" max="3844" width="9.5703125" style="762" customWidth="1"/>
    <col min="3845" max="3845" width="10.5703125" style="762" customWidth="1"/>
    <col min="3846" max="3846" width="10.42578125" style="762" customWidth="1"/>
    <col min="3847" max="3847" width="14.42578125" style="762" customWidth="1"/>
    <col min="3848" max="3848" width="13.85546875" style="762" customWidth="1"/>
    <col min="3849" max="3849" width="11.28515625" style="762" customWidth="1"/>
    <col min="3850" max="3850" width="4.5703125" style="762" customWidth="1"/>
    <col min="3851" max="4097" width="9.140625" style="762"/>
    <col min="4098" max="4098" width="15.7109375" style="762" customWidth="1"/>
    <col min="4099" max="4099" width="9.140625" style="762"/>
    <col min="4100" max="4100" width="9.5703125" style="762" customWidth="1"/>
    <col min="4101" max="4101" width="10.5703125" style="762" customWidth="1"/>
    <col min="4102" max="4102" width="10.42578125" style="762" customWidth="1"/>
    <col min="4103" max="4103" width="14.42578125" style="762" customWidth="1"/>
    <col min="4104" max="4104" width="13.85546875" style="762" customWidth="1"/>
    <col min="4105" max="4105" width="11.28515625" style="762" customWidth="1"/>
    <col min="4106" max="4106" width="4.5703125" style="762" customWidth="1"/>
    <col min="4107" max="4353" width="9.140625" style="762"/>
    <col min="4354" max="4354" width="15.7109375" style="762" customWidth="1"/>
    <col min="4355" max="4355" width="9.140625" style="762"/>
    <col min="4356" max="4356" width="9.5703125" style="762" customWidth="1"/>
    <col min="4357" max="4357" width="10.5703125" style="762" customWidth="1"/>
    <col min="4358" max="4358" width="10.42578125" style="762" customWidth="1"/>
    <col min="4359" max="4359" width="14.42578125" style="762" customWidth="1"/>
    <col min="4360" max="4360" width="13.85546875" style="762" customWidth="1"/>
    <col min="4361" max="4361" width="11.28515625" style="762" customWidth="1"/>
    <col min="4362" max="4362" width="4.5703125" style="762" customWidth="1"/>
    <col min="4363" max="4609" width="9.140625" style="762"/>
    <col min="4610" max="4610" width="15.7109375" style="762" customWidth="1"/>
    <col min="4611" max="4611" width="9.140625" style="762"/>
    <col min="4612" max="4612" width="9.5703125" style="762" customWidth="1"/>
    <col min="4613" max="4613" width="10.5703125" style="762" customWidth="1"/>
    <col min="4614" max="4614" width="10.42578125" style="762" customWidth="1"/>
    <col min="4615" max="4615" width="14.42578125" style="762" customWidth="1"/>
    <col min="4616" max="4616" width="13.85546875" style="762" customWidth="1"/>
    <col min="4617" max="4617" width="11.28515625" style="762" customWidth="1"/>
    <col min="4618" max="4618" width="4.5703125" style="762" customWidth="1"/>
    <col min="4619" max="4865" width="9.140625" style="762"/>
    <col min="4866" max="4866" width="15.7109375" style="762" customWidth="1"/>
    <col min="4867" max="4867" width="9.140625" style="762"/>
    <col min="4868" max="4868" width="9.5703125" style="762" customWidth="1"/>
    <col min="4869" max="4869" width="10.5703125" style="762" customWidth="1"/>
    <col min="4870" max="4870" width="10.42578125" style="762" customWidth="1"/>
    <col min="4871" max="4871" width="14.42578125" style="762" customWidth="1"/>
    <col min="4872" max="4872" width="13.85546875" style="762" customWidth="1"/>
    <col min="4873" max="4873" width="11.28515625" style="762" customWidth="1"/>
    <col min="4874" max="4874" width="4.5703125" style="762" customWidth="1"/>
    <col min="4875" max="5121" width="9.140625" style="762"/>
    <col min="5122" max="5122" width="15.7109375" style="762" customWidth="1"/>
    <col min="5123" max="5123" width="9.140625" style="762"/>
    <col min="5124" max="5124" width="9.5703125" style="762" customWidth="1"/>
    <col min="5125" max="5125" width="10.5703125" style="762" customWidth="1"/>
    <col min="5126" max="5126" width="10.42578125" style="762" customWidth="1"/>
    <col min="5127" max="5127" width="14.42578125" style="762" customWidth="1"/>
    <col min="5128" max="5128" width="13.85546875" style="762" customWidth="1"/>
    <col min="5129" max="5129" width="11.28515625" style="762" customWidth="1"/>
    <col min="5130" max="5130" width="4.5703125" style="762" customWidth="1"/>
    <col min="5131" max="5377" width="9.140625" style="762"/>
    <col min="5378" max="5378" width="15.7109375" style="762" customWidth="1"/>
    <col min="5379" max="5379" width="9.140625" style="762"/>
    <col min="5380" max="5380" width="9.5703125" style="762" customWidth="1"/>
    <col min="5381" max="5381" width="10.5703125" style="762" customWidth="1"/>
    <col min="5382" max="5382" width="10.42578125" style="762" customWidth="1"/>
    <col min="5383" max="5383" width="14.42578125" style="762" customWidth="1"/>
    <col min="5384" max="5384" width="13.85546875" style="762" customWidth="1"/>
    <col min="5385" max="5385" width="11.28515625" style="762" customWidth="1"/>
    <col min="5386" max="5386" width="4.5703125" style="762" customWidth="1"/>
    <col min="5387" max="5633" width="9.140625" style="762"/>
    <col min="5634" max="5634" width="15.7109375" style="762" customWidth="1"/>
    <col min="5635" max="5635" width="9.140625" style="762"/>
    <col min="5636" max="5636" width="9.5703125" style="762" customWidth="1"/>
    <col min="5637" max="5637" width="10.5703125" style="762" customWidth="1"/>
    <col min="5638" max="5638" width="10.42578125" style="762" customWidth="1"/>
    <col min="5639" max="5639" width="14.42578125" style="762" customWidth="1"/>
    <col min="5640" max="5640" width="13.85546875" style="762" customWidth="1"/>
    <col min="5641" max="5641" width="11.28515625" style="762" customWidth="1"/>
    <col min="5642" max="5642" width="4.5703125" style="762" customWidth="1"/>
    <col min="5643" max="5889" width="9.140625" style="762"/>
    <col min="5890" max="5890" width="15.7109375" style="762" customWidth="1"/>
    <col min="5891" max="5891" width="9.140625" style="762"/>
    <col min="5892" max="5892" width="9.5703125" style="762" customWidth="1"/>
    <col min="5893" max="5893" width="10.5703125" style="762" customWidth="1"/>
    <col min="5894" max="5894" width="10.42578125" style="762" customWidth="1"/>
    <col min="5895" max="5895" width="14.42578125" style="762" customWidth="1"/>
    <col min="5896" max="5896" width="13.85546875" style="762" customWidth="1"/>
    <col min="5897" max="5897" width="11.28515625" style="762" customWidth="1"/>
    <col min="5898" max="5898" width="4.5703125" style="762" customWidth="1"/>
    <col min="5899" max="6145" width="9.140625" style="762"/>
    <col min="6146" max="6146" width="15.7109375" style="762" customWidth="1"/>
    <col min="6147" max="6147" width="9.140625" style="762"/>
    <col min="6148" max="6148" width="9.5703125" style="762" customWidth="1"/>
    <col min="6149" max="6149" width="10.5703125" style="762" customWidth="1"/>
    <col min="6150" max="6150" width="10.42578125" style="762" customWidth="1"/>
    <col min="6151" max="6151" width="14.42578125" style="762" customWidth="1"/>
    <col min="6152" max="6152" width="13.85546875" style="762" customWidth="1"/>
    <col min="6153" max="6153" width="11.28515625" style="762" customWidth="1"/>
    <col min="6154" max="6154" width="4.5703125" style="762" customWidth="1"/>
    <col min="6155" max="6401" width="9.140625" style="762"/>
    <col min="6402" max="6402" width="15.7109375" style="762" customWidth="1"/>
    <col min="6403" max="6403" width="9.140625" style="762"/>
    <col min="6404" max="6404" width="9.5703125" style="762" customWidth="1"/>
    <col min="6405" max="6405" width="10.5703125" style="762" customWidth="1"/>
    <col min="6406" max="6406" width="10.42578125" style="762" customWidth="1"/>
    <col min="6407" max="6407" width="14.42578125" style="762" customWidth="1"/>
    <col min="6408" max="6408" width="13.85546875" style="762" customWidth="1"/>
    <col min="6409" max="6409" width="11.28515625" style="762" customWidth="1"/>
    <col min="6410" max="6410" width="4.5703125" style="762" customWidth="1"/>
    <col min="6411" max="6657" width="9.140625" style="762"/>
    <col min="6658" max="6658" width="15.7109375" style="762" customWidth="1"/>
    <col min="6659" max="6659" width="9.140625" style="762"/>
    <col min="6660" max="6660" width="9.5703125" style="762" customWidth="1"/>
    <col min="6661" max="6661" width="10.5703125" style="762" customWidth="1"/>
    <col min="6662" max="6662" width="10.42578125" style="762" customWidth="1"/>
    <col min="6663" max="6663" width="14.42578125" style="762" customWidth="1"/>
    <col min="6664" max="6664" width="13.85546875" style="762" customWidth="1"/>
    <col min="6665" max="6665" width="11.28515625" style="762" customWidth="1"/>
    <col min="6666" max="6666" width="4.5703125" style="762" customWidth="1"/>
    <col min="6667" max="6913" width="9.140625" style="762"/>
    <col min="6914" max="6914" width="15.7109375" style="762" customWidth="1"/>
    <col min="6915" max="6915" width="9.140625" style="762"/>
    <col min="6916" max="6916" width="9.5703125" style="762" customWidth="1"/>
    <col min="6917" max="6917" width="10.5703125" style="762" customWidth="1"/>
    <col min="6918" max="6918" width="10.42578125" style="762" customWidth="1"/>
    <col min="6919" max="6919" width="14.42578125" style="762" customWidth="1"/>
    <col min="6920" max="6920" width="13.85546875" style="762" customWidth="1"/>
    <col min="6921" max="6921" width="11.28515625" style="762" customWidth="1"/>
    <col min="6922" max="6922" width="4.5703125" style="762" customWidth="1"/>
    <col min="6923" max="7169" width="9.140625" style="762"/>
    <col min="7170" max="7170" width="15.7109375" style="762" customWidth="1"/>
    <col min="7171" max="7171" width="9.140625" style="762"/>
    <col min="7172" max="7172" width="9.5703125" style="762" customWidth="1"/>
    <col min="7173" max="7173" width="10.5703125" style="762" customWidth="1"/>
    <col min="7174" max="7174" width="10.42578125" style="762" customWidth="1"/>
    <col min="7175" max="7175" width="14.42578125" style="762" customWidth="1"/>
    <col min="7176" max="7176" width="13.85546875" style="762" customWidth="1"/>
    <col min="7177" max="7177" width="11.28515625" style="762" customWidth="1"/>
    <col min="7178" max="7178" width="4.5703125" style="762" customWidth="1"/>
    <col min="7179" max="7425" width="9.140625" style="762"/>
    <col min="7426" max="7426" width="15.7109375" style="762" customWidth="1"/>
    <col min="7427" max="7427" width="9.140625" style="762"/>
    <col min="7428" max="7428" width="9.5703125" style="762" customWidth="1"/>
    <col min="7429" max="7429" width="10.5703125" style="762" customWidth="1"/>
    <col min="7430" max="7430" width="10.42578125" style="762" customWidth="1"/>
    <col min="7431" max="7431" width="14.42578125" style="762" customWidth="1"/>
    <col min="7432" max="7432" width="13.85546875" style="762" customWidth="1"/>
    <col min="7433" max="7433" width="11.28515625" style="762" customWidth="1"/>
    <col min="7434" max="7434" width="4.5703125" style="762" customWidth="1"/>
    <col min="7435" max="7681" width="9.140625" style="762"/>
    <col min="7682" max="7682" width="15.7109375" style="762" customWidth="1"/>
    <col min="7683" max="7683" width="9.140625" style="762"/>
    <col min="7684" max="7684" width="9.5703125" style="762" customWidth="1"/>
    <col min="7685" max="7685" width="10.5703125" style="762" customWidth="1"/>
    <col min="7686" max="7686" width="10.42578125" style="762" customWidth="1"/>
    <col min="7687" max="7687" width="14.42578125" style="762" customWidth="1"/>
    <col min="7688" max="7688" width="13.85546875" style="762" customWidth="1"/>
    <col min="7689" max="7689" width="11.28515625" style="762" customWidth="1"/>
    <col min="7690" max="7690" width="4.5703125" style="762" customWidth="1"/>
    <col min="7691" max="7937" width="9.140625" style="762"/>
    <col min="7938" max="7938" width="15.7109375" style="762" customWidth="1"/>
    <col min="7939" max="7939" width="9.140625" style="762"/>
    <col min="7940" max="7940" width="9.5703125" style="762" customWidth="1"/>
    <col min="7941" max="7941" width="10.5703125" style="762" customWidth="1"/>
    <col min="7942" max="7942" width="10.42578125" style="762" customWidth="1"/>
    <col min="7943" max="7943" width="14.42578125" style="762" customWidth="1"/>
    <col min="7944" max="7944" width="13.85546875" style="762" customWidth="1"/>
    <col min="7945" max="7945" width="11.28515625" style="762" customWidth="1"/>
    <col min="7946" max="7946" width="4.5703125" style="762" customWidth="1"/>
    <col min="7947" max="8193" width="9.140625" style="762"/>
    <col min="8194" max="8194" width="15.7109375" style="762" customWidth="1"/>
    <col min="8195" max="8195" width="9.140625" style="762"/>
    <col min="8196" max="8196" width="9.5703125" style="762" customWidth="1"/>
    <col min="8197" max="8197" width="10.5703125" style="762" customWidth="1"/>
    <col min="8198" max="8198" width="10.42578125" style="762" customWidth="1"/>
    <col min="8199" max="8199" width="14.42578125" style="762" customWidth="1"/>
    <col min="8200" max="8200" width="13.85546875" style="762" customWidth="1"/>
    <col min="8201" max="8201" width="11.28515625" style="762" customWidth="1"/>
    <col min="8202" max="8202" width="4.5703125" style="762" customWidth="1"/>
    <col min="8203" max="8449" width="9.140625" style="762"/>
    <col min="8450" max="8450" width="15.7109375" style="762" customWidth="1"/>
    <col min="8451" max="8451" width="9.140625" style="762"/>
    <col min="8452" max="8452" width="9.5703125" style="762" customWidth="1"/>
    <col min="8453" max="8453" width="10.5703125" style="762" customWidth="1"/>
    <col min="8454" max="8454" width="10.42578125" style="762" customWidth="1"/>
    <col min="8455" max="8455" width="14.42578125" style="762" customWidth="1"/>
    <col min="8456" max="8456" width="13.85546875" style="762" customWidth="1"/>
    <col min="8457" max="8457" width="11.28515625" style="762" customWidth="1"/>
    <col min="8458" max="8458" width="4.5703125" style="762" customWidth="1"/>
    <col min="8459" max="8705" width="9.140625" style="762"/>
    <col min="8706" max="8706" width="15.7109375" style="762" customWidth="1"/>
    <col min="8707" max="8707" width="9.140625" style="762"/>
    <col min="8708" max="8708" width="9.5703125" style="762" customWidth="1"/>
    <col min="8709" max="8709" width="10.5703125" style="762" customWidth="1"/>
    <col min="8710" max="8710" width="10.42578125" style="762" customWidth="1"/>
    <col min="8711" max="8711" width="14.42578125" style="762" customWidth="1"/>
    <col min="8712" max="8712" width="13.85546875" style="762" customWidth="1"/>
    <col min="8713" max="8713" width="11.28515625" style="762" customWidth="1"/>
    <col min="8714" max="8714" width="4.5703125" style="762" customWidth="1"/>
    <col min="8715" max="8961" width="9.140625" style="762"/>
    <col min="8962" max="8962" width="15.7109375" style="762" customWidth="1"/>
    <col min="8963" max="8963" width="9.140625" style="762"/>
    <col min="8964" max="8964" width="9.5703125" style="762" customWidth="1"/>
    <col min="8965" max="8965" width="10.5703125" style="762" customWidth="1"/>
    <col min="8966" max="8966" width="10.42578125" style="762" customWidth="1"/>
    <col min="8967" max="8967" width="14.42578125" style="762" customWidth="1"/>
    <col min="8968" max="8968" width="13.85546875" style="762" customWidth="1"/>
    <col min="8969" max="8969" width="11.28515625" style="762" customWidth="1"/>
    <col min="8970" max="8970" width="4.5703125" style="762" customWidth="1"/>
    <col min="8971" max="9217" width="9.140625" style="762"/>
    <col min="9218" max="9218" width="15.7109375" style="762" customWidth="1"/>
    <col min="9219" max="9219" width="9.140625" style="762"/>
    <col min="9220" max="9220" width="9.5703125" style="762" customWidth="1"/>
    <col min="9221" max="9221" width="10.5703125" style="762" customWidth="1"/>
    <col min="9222" max="9222" width="10.42578125" style="762" customWidth="1"/>
    <col min="9223" max="9223" width="14.42578125" style="762" customWidth="1"/>
    <col min="9224" max="9224" width="13.85546875" style="762" customWidth="1"/>
    <col min="9225" max="9225" width="11.28515625" style="762" customWidth="1"/>
    <col min="9226" max="9226" width="4.5703125" style="762" customWidth="1"/>
    <col min="9227" max="9473" width="9.140625" style="762"/>
    <col min="9474" max="9474" width="15.7109375" style="762" customWidth="1"/>
    <col min="9475" max="9475" width="9.140625" style="762"/>
    <col min="9476" max="9476" width="9.5703125" style="762" customWidth="1"/>
    <col min="9477" max="9477" width="10.5703125" style="762" customWidth="1"/>
    <col min="9478" max="9478" width="10.42578125" style="762" customWidth="1"/>
    <col min="9479" max="9479" width="14.42578125" style="762" customWidth="1"/>
    <col min="9480" max="9480" width="13.85546875" style="762" customWidth="1"/>
    <col min="9481" max="9481" width="11.28515625" style="762" customWidth="1"/>
    <col min="9482" max="9482" width="4.5703125" style="762" customWidth="1"/>
    <col min="9483" max="9729" width="9.140625" style="762"/>
    <col min="9730" max="9730" width="15.7109375" style="762" customWidth="1"/>
    <col min="9731" max="9731" width="9.140625" style="762"/>
    <col min="9732" max="9732" width="9.5703125" style="762" customWidth="1"/>
    <col min="9733" max="9733" width="10.5703125" style="762" customWidth="1"/>
    <col min="9734" max="9734" width="10.42578125" style="762" customWidth="1"/>
    <col min="9735" max="9735" width="14.42578125" style="762" customWidth="1"/>
    <col min="9736" max="9736" width="13.85546875" style="762" customWidth="1"/>
    <col min="9737" max="9737" width="11.28515625" style="762" customWidth="1"/>
    <col min="9738" max="9738" width="4.5703125" style="762" customWidth="1"/>
    <col min="9739" max="9985" width="9.140625" style="762"/>
    <col min="9986" max="9986" width="15.7109375" style="762" customWidth="1"/>
    <col min="9987" max="9987" width="9.140625" style="762"/>
    <col min="9988" max="9988" width="9.5703125" style="762" customWidth="1"/>
    <col min="9989" max="9989" width="10.5703125" style="762" customWidth="1"/>
    <col min="9990" max="9990" width="10.42578125" style="762" customWidth="1"/>
    <col min="9991" max="9991" width="14.42578125" style="762" customWidth="1"/>
    <col min="9992" max="9992" width="13.85546875" style="762" customWidth="1"/>
    <col min="9993" max="9993" width="11.28515625" style="762" customWidth="1"/>
    <col min="9994" max="9994" width="4.5703125" style="762" customWidth="1"/>
    <col min="9995" max="10241" width="9.140625" style="762"/>
    <col min="10242" max="10242" width="15.7109375" style="762" customWidth="1"/>
    <col min="10243" max="10243" width="9.140625" style="762"/>
    <col min="10244" max="10244" width="9.5703125" style="762" customWidth="1"/>
    <col min="10245" max="10245" width="10.5703125" style="762" customWidth="1"/>
    <col min="10246" max="10246" width="10.42578125" style="762" customWidth="1"/>
    <col min="10247" max="10247" width="14.42578125" style="762" customWidth="1"/>
    <col min="10248" max="10248" width="13.85546875" style="762" customWidth="1"/>
    <col min="10249" max="10249" width="11.28515625" style="762" customWidth="1"/>
    <col min="10250" max="10250" width="4.5703125" style="762" customWidth="1"/>
    <col min="10251" max="10497" width="9.140625" style="762"/>
    <col min="10498" max="10498" width="15.7109375" style="762" customWidth="1"/>
    <col min="10499" max="10499" width="9.140625" style="762"/>
    <col min="10500" max="10500" width="9.5703125" style="762" customWidth="1"/>
    <col min="10501" max="10501" width="10.5703125" style="762" customWidth="1"/>
    <col min="10502" max="10502" width="10.42578125" style="762" customWidth="1"/>
    <col min="10503" max="10503" width="14.42578125" style="762" customWidth="1"/>
    <col min="10504" max="10504" width="13.85546875" style="762" customWidth="1"/>
    <col min="10505" max="10505" width="11.28515625" style="762" customWidth="1"/>
    <col min="10506" max="10506" width="4.5703125" style="762" customWidth="1"/>
    <col min="10507" max="10753" width="9.140625" style="762"/>
    <col min="10754" max="10754" width="15.7109375" style="762" customWidth="1"/>
    <col min="10755" max="10755" width="9.140625" style="762"/>
    <col min="10756" max="10756" width="9.5703125" style="762" customWidth="1"/>
    <col min="10757" max="10757" width="10.5703125" style="762" customWidth="1"/>
    <col min="10758" max="10758" width="10.42578125" style="762" customWidth="1"/>
    <col min="10759" max="10759" width="14.42578125" style="762" customWidth="1"/>
    <col min="10760" max="10760" width="13.85546875" style="762" customWidth="1"/>
    <col min="10761" max="10761" width="11.28515625" style="762" customWidth="1"/>
    <col min="10762" max="10762" width="4.5703125" style="762" customWidth="1"/>
    <col min="10763" max="11009" width="9.140625" style="762"/>
    <col min="11010" max="11010" width="15.7109375" style="762" customWidth="1"/>
    <col min="11011" max="11011" width="9.140625" style="762"/>
    <col min="11012" max="11012" width="9.5703125" style="762" customWidth="1"/>
    <col min="11013" max="11013" width="10.5703125" style="762" customWidth="1"/>
    <col min="11014" max="11014" width="10.42578125" style="762" customWidth="1"/>
    <col min="11015" max="11015" width="14.42578125" style="762" customWidth="1"/>
    <col min="11016" max="11016" width="13.85546875" style="762" customWidth="1"/>
    <col min="11017" max="11017" width="11.28515625" style="762" customWidth="1"/>
    <col min="11018" max="11018" width="4.5703125" style="762" customWidth="1"/>
    <col min="11019" max="11265" width="9.140625" style="762"/>
    <col min="11266" max="11266" width="15.7109375" style="762" customWidth="1"/>
    <col min="11267" max="11267" width="9.140625" style="762"/>
    <col min="11268" max="11268" width="9.5703125" style="762" customWidth="1"/>
    <col min="11269" max="11269" width="10.5703125" style="762" customWidth="1"/>
    <col min="11270" max="11270" width="10.42578125" style="762" customWidth="1"/>
    <col min="11271" max="11271" width="14.42578125" style="762" customWidth="1"/>
    <col min="11272" max="11272" width="13.85546875" style="762" customWidth="1"/>
    <col min="11273" max="11273" width="11.28515625" style="762" customWidth="1"/>
    <col min="11274" max="11274" width="4.5703125" style="762" customWidth="1"/>
    <col min="11275" max="11521" width="9.140625" style="762"/>
    <col min="11522" max="11522" width="15.7109375" style="762" customWidth="1"/>
    <col min="11523" max="11523" width="9.140625" style="762"/>
    <col min="11524" max="11524" width="9.5703125" style="762" customWidth="1"/>
    <col min="11525" max="11525" width="10.5703125" style="762" customWidth="1"/>
    <col min="11526" max="11526" width="10.42578125" style="762" customWidth="1"/>
    <col min="11527" max="11527" width="14.42578125" style="762" customWidth="1"/>
    <col min="11528" max="11528" width="13.85546875" style="762" customWidth="1"/>
    <col min="11529" max="11529" width="11.28515625" style="762" customWidth="1"/>
    <col min="11530" max="11530" width="4.5703125" style="762" customWidth="1"/>
    <col min="11531" max="11777" width="9.140625" style="762"/>
    <col min="11778" max="11778" width="15.7109375" style="762" customWidth="1"/>
    <col min="11779" max="11779" width="9.140625" style="762"/>
    <col min="11780" max="11780" width="9.5703125" style="762" customWidth="1"/>
    <col min="11781" max="11781" width="10.5703125" style="762" customWidth="1"/>
    <col min="11782" max="11782" width="10.42578125" style="762" customWidth="1"/>
    <col min="11783" max="11783" width="14.42578125" style="762" customWidth="1"/>
    <col min="11784" max="11784" width="13.85546875" style="762" customWidth="1"/>
    <col min="11785" max="11785" width="11.28515625" style="762" customWidth="1"/>
    <col min="11786" max="11786" width="4.5703125" style="762" customWidth="1"/>
    <col min="11787" max="12033" width="9.140625" style="762"/>
    <col min="12034" max="12034" width="15.7109375" style="762" customWidth="1"/>
    <col min="12035" max="12035" width="9.140625" style="762"/>
    <col min="12036" max="12036" width="9.5703125" style="762" customWidth="1"/>
    <col min="12037" max="12037" width="10.5703125" style="762" customWidth="1"/>
    <col min="12038" max="12038" width="10.42578125" style="762" customWidth="1"/>
    <col min="12039" max="12039" width="14.42578125" style="762" customWidth="1"/>
    <col min="12040" max="12040" width="13.85546875" style="762" customWidth="1"/>
    <col min="12041" max="12041" width="11.28515625" style="762" customWidth="1"/>
    <col min="12042" max="12042" width="4.5703125" style="762" customWidth="1"/>
    <col min="12043" max="12289" width="9.140625" style="762"/>
    <col min="12290" max="12290" width="15.7109375" style="762" customWidth="1"/>
    <col min="12291" max="12291" width="9.140625" style="762"/>
    <col min="12292" max="12292" width="9.5703125" style="762" customWidth="1"/>
    <col min="12293" max="12293" width="10.5703125" style="762" customWidth="1"/>
    <col min="12294" max="12294" width="10.42578125" style="762" customWidth="1"/>
    <col min="12295" max="12295" width="14.42578125" style="762" customWidth="1"/>
    <col min="12296" max="12296" width="13.85546875" style="762" customWidth="1"/>
    <col min="12297" max="12297" width="11.28515625" style="762" customWidth="1"/>
    <col min="12298" max="12298" width="4.5703125" style="762" customWidth="1"/>
    <col min="12299" max="12545" width="9.140625" style="762"/>
    <col min="12546" max="12546" width="15.7109375" style="762" customWidth="1"/>
    <col min="12547" max="12547" width="9.140625" style="762"/>
    <col min="12548" max="12548" width="9.5703125" style="762" customWidth="1"/>
    <col min="12549" max="12549" width="10.5703125" style="762" customWidth="1"/>
    <col min="12550" max="12550" width="10.42578125" style="762" customWidth="1"/>
    <col min="12551" max="12551" width="14.42578125" style="762" customWidth="1"/>
    <col min="12552" max="12552" width="13.85546875" style="762" customWidth="1"/>
    <col min="12553" max="12553" width="11.28515625" style="762" customWidth="1"/>
    <col min="12554" max="12554" width="4.5703125" style="762" customWidth="1"/>
    <col min="12555" max="12801" width="9.140625" style="762"/>
    <col min="12802" max="12802" width="15.7109375" style="762" customWidth="1"/>
    <col min="12803" max="12803" width="9.140625" style="762"/>
    <col min="12804" max="12804" width="9.5703125" style="762" customWidth="1"/>
    <col min="12805" max="12805" width="10.5703125" style="762" customWidth="1"/>
    <col min="12806" max="12806" width="10.42578125" style="762" customWidth="1"/>
    <col min="12807" max="12807" width="14.42578125" style="762" customWidth="1"/>
    <col min="12808" max="12808" width="13.85546875" style="762" customWidth="1"/>
    <col min="12809" max="12809" width="11.28515625" style="762" customWidth="1"/>
    <col min="12810" max="12810" width="4.5703125" style="762" customWidth="1"/>
    <col min="12811" max="13057" width="9.140625" style="762"/>
    <col min="13058" max="13058" width="15.7109375" style="762" customWidth="1"/>
    <col min="13059" max="13059" width="9.140625" style="762"/>
    <col min="13060" max="13060" width="9.5703125" style="762" customWidth="1"/>
    <col min="13061" max="13061" width="10.5703125" style="762" customWidth="1"/>
    <col min="13062" max="13062" width="10.42578125" style="762" customWidth="1"/>
    <col min="13063" max="13063" width="14.42578125" style="762" customWidth="1"/>
    <col min="13064" max="13064" width="13.85546875" style="762" customWidth="1"/>
    <col min="13065" max="13065" width="11.28515625" style="762" customWidth="1"/>
    <col min="13066" max="13066" width="4.5703125" style="762" customWidth="1"/>
    <col min="13067" max="13313" width="9.140625" style="762"/>
    <col min="13314" max="13314" width="15.7109375" style="762" customWidth="1"/>
    <col min="13315" max="13315" width="9.140625" style="762"/>
    <col min="13316" max="13316" width="9.5703125" style="762" customWidth="1"/>
    <col min="13317" max="13317" width="10.5703125" style="762" customWidth="1"/>
    <col min="13318" max="13318" width="10.42578125" style="762" customWidth="1"/>
    <col min="13319" max="13319" width="14.42578125" style="762" customWidth="1"/>
    <col min="13320" max="13320" width="13.85546875" style="762" customWidth="1"/>
    <col min="13321" max="13321" width="11.28515625" style="762" customWidth="1"/>
    <col min="13322" max="13322" width="4.5703125" style="762" customWidth="1"/>
    <col min="13323" max="13569" width="9.140625" style="762"/>
    <col min="13570" max="13570" width="15.7109375" style="762" customWidth="1"/>
    <col min="13571" max="13571" width="9.140625" style="762"/>
    <col min="13572" max="13572" width="9.5703125" style="762" customWidth="1"/>
    <col min="13573" max="13573" width="10.5703125" style="762" customWidth="1"/>
    <col min="13574" max="13574" width="10.42578125" style="762" customWidth="1"/>
    <col min="13575" max="13575" width="14.42578125" style="762" customWidth="1"/>
    <col min="13576" max="13576" width="13.85546875" style="762" customWidth="1"/>
    <col min="13577" max="13577" width="11.28515625" style="762" customWidth="1"/>
    <col min="13578" max="13578" width="4.5703125" style="762" customWidth="1"/>
    <col min="13579" max="13825" width="9.140625" style="762"/>
    <col min="13826" max="13826" width="15.7109375" style="762" customWidth="1"/>
    <col min="13827" max="13827" width="9.140625" style="762"/>
    <col min="13828" max="13828" width="9.5703125" style="762" customWidth="1"/>
    <col min="13829" max="13829" width="10.5703125" style="762" customWidth="1"/>
    <col min="13830" max="13830" width="10.42578125" style="762" customWidth="1"/>
    <col min="13831" max="13831" width="14.42578125" style="762" customWidth="1"/>
    <col min="13832" max="13832" width="13.85546875" style="762" customWidth="1"/>
    <col min="13833" max="13833" width="11.28515625" style="762" customWidth="1"/>
    <col min="13834" max="13834" width="4.5703125" style="762" customWidth="1"/>
    <col min="13835" max="14081" width="9.140625" style="762"/>
    <col min="14082" max="14082" width="15.7109375" style="762" customWidth="1"/>
    <col min="14083" max="14083" width="9.140625" style="762"/>
    <col min="14084" max="14084" width="9.5703125" style="762" customWidth="1"/>
    <col min="14085" max="14085" width="10.5703125" style="762" customWidth="1"/>
    <col min="14086" max="14086" width="10.42578125" style="762" customWidth="1"/>
    <col min="14087" max="14087" width="14.42578125" style="762" customWidth="1"/>
    <col min="14088" max="14088" width="13.85546875" style="762" customWidth="1"/>
    <col min="14089" max="14089" width="11.28515625" style="762" customWidth="1"/>
    <col min="14090" max="14090" width="4.5703125" style="762" customWidth="1"/>
    <col min="14091" max="14337" width="9.140625" style="762"/>
    <col min="14338" max="14338" width="15.7109375" style="762" customWidth="1"/>
    <col min="14339" max="14339" width="9.140625" style="762"/>
    <col min="14340" max="14340" width="9.5703125" style="762" customWidth="1"/>
    <col min="14341" max="14341" width="10.5703125" style="762" customWidth="1"/>
    <col min="14342" max="14342" width="10.42578125" style="762" customWidth="1"/>
    <col min="14343" max="14343" width="14.42578125" style="762" customWidth="1"/>
    <col min="14344" max="14344" width="13.85546875" style="762" customWidth="1"/>
    <col min="14345" max="14345" width="11.28515625" style="762" customWidth="1"/>
    <col min="14346" max="14346" width="4.5703125" style="762" customWidth="1"/>
    <col min="14347" max="14593" width="9.140625" style="762"/>
    <col min="14594" max="14594" width="15.7109375" style="762" customWidth="1"/>
    <col min="14595" max="14595" width="9.140625" style="762"/>
    <col min="14596" max="14596" width="9.5703125" style="762" customWidth="1"/>
    <col min="14597" max="14597" width="10.5703125" style="762" customWidth="1"/>
    <col min="14598" max="14598" width="10.42578125" style="762" customWidth="1"/>
    <col min="14599" max="14599" width="14.42578125" style="762" customWidth="1"/>
    <col min="14600" max="14600" width="13.85546875" style="762" customWidth="1"/>
    <col min="14601" max="14601" width="11.28515625" style="762" customWidth="1"/>
    <col min="14602" max="14602" width="4.5703125" style="762" customWidth="1"/>
    <col min="14603" max="14849" width="9.140625" style="762"/>
    <col min="14850" max="14850" width="15.7109375" style="762" customWidth="1"/>
    <col min="14851" max="14851" width="9.140625" style="762"/>
    <col min="14852" max="14852" width="9.5703125" style="762" customWidth="1"/>
    <col min="14853" max="14853" width="10.5703125" style="762" customWidth="1"/>
    <col min="14854" max="14854" width="10.42578125" style="762" customWidth="1"/>
    <col min="14855" max="14855" width="14.42578125" style="762" customWidth="1"/>
    <col min="14856" max="14856" width="13.85546875" style="762" customWidth="1"/>
    <col min="14857" max="14857" width="11.28515625" style="762" customWidth="1"/>
    <col min="14858" max="14858" width="4.5703125" style="762" customWidth="1"/>
    <col min="14859" max="15105" width="9.140625" style="762"/>
    <col min="15106" max="15106" width="15.7109375" style="762" customWidth="1"/>
    <col min="15107" max="15107" width="9.140625" style="762"/>
    <col min="15108" max="15108" width="9.5703125" style="762" customWidth="1"/>
    <col min="15109" max="15109" width="10.5703125" style="762" customWidth="1"/>
    <col min="15110" max="15110" width="10.42578125" style="762" customWidth="1"/>
    <col min="15111" max="15111" width="14.42578125" style="762" customWidth="1"/>
    <col min="15112" max="15112" width="13.85546875" style="762" customWidth="1"/>
    <col min="15113" max="15113" width="11.28515625" style="762" customWidth="1"/>
    <col min="15114" max="15114" width="4.5703125" style="762" customWidth="1"/>
    <col min="15115" max="15361" width="9.140625" style="762"/>
    <col min="15362" max="15362" width="15.7109375" style="762" customWidth="1"/>
    <col min="15363" max="15363" width="9.140625" style="762"/>
    <col min="15364" max="15364" width="9.5703125" style="762" customWidth="1"/>
    <col min="15365" max="15365" width="10.5703125" style="762" customWidth="1"/>
    <col min="15366" max="15366" width="10.42578125" style="762" customWidth="1"/>
    <col min="15367" max="15367" width="14.42578125" style="762" customWidth="1"/>
    <col min="15368" max="15368" width="13.85546875" style="762" customWidth="1"/>
    <col min="15369" max="15369" width="11.28515625" style="762" customWidth="1"/>
    <col min="15370" max="15370" width="4.5703125" style="762" customWidth="1"/>
    <col min="15371" max="15617" width="9.140625" style="762"/>
    <col min="15618" max="15618" width="15.7109375" style="762" customWidth="1"/>
    <col min="15619" max="15619" width="9.140625" style="762"/>
    <col min="15620" max="15620" width="9.5703125" style="762" customWidth="1"/>
    <col min="15621" max="15621" width="10.5703125" style="762" customWidth="1"/>
    <col min="15622" max="15622" width="10.42578125" style="762" customWidth="1"/>
    <col min="15623" max="15623" width="14.42578125" style="762" customWidth="1"/>
    <col min="15624" max="15624" width="13.85546875" style="762" customWidth="1"/>
    <col min="15625" max="15625" width="11.28515625" style="762" customWidth="1"/>
    <col min="15626" max="15626" width="4.5703125" style="762" customWidth="1"/>
    <col min="15627" max="15873" width="9.140625" style="762"/>
    <col min="15874" max="15874" width="15.7109375" style="762" customWidth="1"/>
    <col min="15875" max="15875" width="9.140625" style="762"/>
    <col min="15876" max="15876" width="9.5703125" style="762" customWidth="1"/>
    <col min="15877" max="15877" width="10.5703125" style="762" customWidth="1"/>
    <col min="15878" max="15878" width="10.42578125" style="762" customWidth="1"/>
    <col min="15879" max="15879" width="14.42578125" style="762" customWidth="1"/>
    <col min="15880" max="15880" width="13.85546875" style="762" customWidth="1"/>
    <col min="15881" max="15881" width="11.28515625" style="762" customWidth="1"/>
    <col min="15882" max="15882" width="4.5703125" style="762" customWidth="1"/>
    <col min="15883" max="16129" width="9.140625" style="762"/>
    <col min="16130" max="16130" width="15.7109375" style="762" customWidth="1"/>
    <col min="16131" max="16131" width="9.140625" style="762"/>
    <col min="16132" max="16132" width="9.5703125" style="762" customWidth="1"/>
    <col min="16133" max="16133" width="10.5703125" style="762" customWidth="1"/>
    <col min="16134" max="16134" width="10.42578125" style="762" customWidth="1"/>
    <col min="16135" max="16135" width="14.42578125" style="762" customWidth="1"/>
    <col min="16136" max="16136" width="13.85546875" style="762" customWidth="1"/>
    <col min="16137" max="16137" width="11.28515625" style="762" customWidth="1"/>
    <col min="16138" max="16138" width="4.5703125" style="762" customWidth="1"/>
    <col min="16139" max="16384" width="9.140625" style="762"/>
  </cols>
  <sheetData>
    <row r="1" spans="2:15" s="817" customFormat="1" ht="18.75" customHeight="1">
      <c r="B1" s="1215" t="s">
        <v>1102</v>
      </c>
    </row>
    <row r="2" spans="2:15" s="817" customFormat="1" ht="9" customHeight="1" thickBot="1">
      <c r="B2" s="1215"/>
      <c r="C2" s="1216"/>
      <c r="D2" s="1216"/>
      <c r="E2" s="1216"/>
      <c r="J2" s="817" t="s">
        <v>148</v>
      </c>
    </row>
    <row r="3" spans="2:15" s="944" customFormat="1" ht="15" customHeight="1" thickTop="1">
      <c r="B3" s="1217" t="s">
        <v>1</v>
      </c>
      <c r="C3" s="1218" t="s">
        <v>1103</v>
      </c>
      <c r="D3" s="1219"/>
      <c r="E3" s="1219"/>
      <c r="F3" s="1220" t="s">
        <v>1104</v>
      </c>
      <c r="G3" s="1220" t="s">
        <v>1105</v>
      </c>
      <c r="H3" s="1220" t="s">
        <v>1106</v>
      </c>
      <c r="I3" s="1221" t="s">
        <v>1107</v>
      </c>
      <c r="J3" s="944" t="s">
        <v>148</v>
      </c>
    </row>
    <row r="4" spans="2:15" s="944" customFormat="1" ht="17.25" customHeight="1" thickBot="1">
      <c r="B4" s="1222"/>
      <c r="C4" s="1223"/>
      <c r="D4" s="1224"/>
      <c r="E4" s="1225"/>
      <c r="F4" s="1226" t="s">
        <v>1108</v>
      </c>
      <c r="G4" s="1226" t="s">
        <v>366</v>
      </c>
      <c r="H4" s="1226" t="s">
        <v>1109</v>
      </c>
      <c r="I4" s="1227" t="s">
        <v>1110</v>
      </c>
    </row>
    <row r="5" spans="2:15" s="944" customFormat="1" ht="17.25" customHeight="1" thickBot="1">
      <c r="B5" s="1222"/>
      <c r="C5" s="1228" t="s">
        <v>1111</v>
      </c>
      <c r="D5" s="1229" t="s">
        <v>1112</v>
      </c>
      <c r="E5" s="1230" t="s">
        <v>319</v>
      </c>
      <c r="F5" s="1231"/>
      <c r="G5" s="1231" t="s">
        <v>1113</v>
      </c>
      <c r="H5" s="1231" t="s">
        <v>1114</v>
      </c>
      <c r="I5" s="1232"/>
    </row>
    <row r="6" spans="2:15" s="944" customFormat="1" ht="14.1" customHeight="1" thickBot="1">
      <c r="B6" s="1233"/>
      <c r="C6" s="3379" t="s">
        <v>12</v>
      </c>
      <c r="D6" s="3380"/>
      <c r="E6" s="3380"/>
      <c r="F6" s="3381"/>
      <c r="G6" s="3382" t="s">
        <v>810</v>
      </c>
      <c r="H6" s="3380"/>
      <c r="I6" s="3383"/>
    </row>
    <row r="7" spans="2:15" s="817" customFormat="1" ht="15" customHeight="1" thickTop="1">
      <c r="B7" s="1234">
        <v>41306</v>
      </c>
      <c r="C7" s="1235"/>
      <c r="D7" s="1236"/>
      <c r="E7" s="1237"/>
      <c r="F7" s="1238"/>
      <c r="G7" s="1239"/>
      <c r="H7" s="1239"/>
      <c r="I7" s="1240"/>
    </row>
    <row r="8" spans="2:15" s="817" customFormat="1" ht="15" customHeight="1">
      <c r="B8" s="1241" t="s">
        <v>1115</v>
      </c>
      <c r="C8" s="1242">
        <v>150</v>
      </c>
      <c r="D8" s="1238">
        <v>1210</v>
      </c>
      <c r="E8" s="794">
        <v>5475</v>
      </c>
      <c r="F8" s="1238">
        <v>782.14</v>
      </c>
      <c r="G8" s="1243" t="s">
        <v>1116</v>
      </c>
      <c r="H8" s="1243">
        <v>1.47</v>
      </c>
      <c r="I8" s="1244">
        <v>2.76</v>
      </c>
      <c r="J8" s="1245"/>
      <c r="K8" s="1246"/>
      <c r="L8" s="1247"/>
      <c r="M8" s="1248"/>
      <c r="N8" s="765"/>
      <c r="O8" s="1249"/>
    </row>
    <row r="9" spans="2:15" s="817" customFormat="1" ht="15" customHeight="1">
      <c r="B9" s="1241" t="s">
        <v>1117</v>
      </c>
      <c r="C9" s="1242">
        <v>400</v>
      </c>
      <c r="D9" s="1238">
        <v>840</v>
      </c>
      <c r="E9" s="794">
        <v>4940</v>
      </c>
      <c r="F9" s="1238">
        <v>705.71</v>
      </c>
      <c r="G9" s="1243" t="s">
        <v>1118</v>
      </c>
      <c r="H9" s="1243">
        <v>1.35</v>
      </c>
      <c r="I9" s="1244">
        <v>2.75</v>
      </c>
      <c r="J9" s="1245"/>
      <c r="K9" s="1246"/>
      <c r="L9" s="1247"/>
      <c r="M9" s="1248"/>
      <c r="N9" s="765"/>
      <c r="O9" s="1249"/>
    </row>
    <row r="10" spans="2:15" s="817" customFormat="1" ht="15" customHeight="1">
      <c r="B10" s="1241" t="s">
        <v>1119</v>
      </c>
      <c r="C10" s="1242">
        <v>710</v>
      </c>
      <c r="D10" s="1238">
        <v>1070</v>
      </c>
      <c r="E10" s="794">
        <v>5515</v>
      </c>
      <c r="F10" s="1238">
        <v>787.86</v>
      </c>
      <c r="G10" s="1243" t="s">
        <v>1120</v>
      </c>
      <c r="H10" s="1243">
        <v>1.39</v>
      </c>
      <c r="I10" s="1244">
        <v>2.74</v>
      </c>
      <c r="J10" s="1245"/>
      <c r="K10" s="1246"/>
      <c r="L10" s="1247"/>
      <c r="M10" s="1248"/>
      <c r="N10" s="765"/>
      <c r="O10" s="1249"/>
    </row>
    <row r="11" spans="2:15" s="817" customFormat="1" ht="15" customHeight="1">
      <c r="B11" s="1241" t="s">
        <v>1121</v>
      </c>
      <c r="C11" s="1242">
        <v>50</v>
      </c>
      <c r="D11" s="1238">
        <v>1655</v>
      </c>
      <c r="E11" s="794">
        <v>6420</v>
      </c>
      <c r="F11" s="1238">
        <v>917.14</v>
      </c>
      <c r="G11" s="1243" t="s">
        <v>1120</v>
      </c>
      <c r="H11" s="1243">
        <v>1.44</v>
      </c>
      <c r="I11" s="1244">
        <v>2.71</v>
      </c>
      <c r="J11" s="1245"/>
      <c r="K11" s="1246"/>
      <c r="L11" s="1248"/>
      <c r="M11" s="1248"/>
      <c r="N11" s="765"/>
      <c r="O11" s="1249"/>
    </row>
    <row r="12" spans="2:15" s="761" customFormat="1" ht="9.75" customHeight="1">
      <c r="B12" s="1250"/>
      <c r="C12" s="1251"/>
      <c r="D12" s="1252"/>
      <c r="E12" s="1253"/>
      <c r="F12" s="1252"/>
      <c r="G12" s="1254"/>
      <c r="H12" s="1254"/>
      <c r="I12" s="1255"/>
      <c r="J12" s="1245"/>
      <c r="K12" s="1248"/>
      <c r="L12" s="1248"/>
      <c r="M12" s="1256"/>
      <c r="N12" s="765"/>
      <c r="O12" s="1249"/>
    </row>
    <row r="13" spans="2:15" s="761" customFormat="1" ht="15" hidden="1" customHeight="1">
      <c r="B13" s="1257"/>
      <c r="C13" s="1258"/>
      <c r="D13" s="1259"/>
      <c r="E13" s="1260"/>
      <c r="F13" s="1259"/>
      <c r="G13" s="1261"/>
      <c r="H13" s="1261"/>
      <c r="I13" s="1262"/>
      <c r="J13" s="1263"/>
      <c r="K13" s="765"/>
      <c r="L13" s="1059">
        <f>SUM(L8:L12)</f>
        <v>0</v>
      </c>
      <c r="M13" s="765"/>
      <c r="N13" s="1059">
        <f>SUM(N8:N12)</f>
        <v>0</v>
      </c>
      <c r="O13" s="1249" t="e">
        <f>N13/L13</f>
        <v>#DIV/0!</v>
      </c>
    </row>
    <row r="14" spans="2:15" s="761" customFormat="1" ht="15" hidden="1" customHeight="1">
      <c r="B14" s="1264">
        <v>36312</v>
      </c>
      <c r="C14" s="1258">
        <v>10</v>
      </c>
      <c r="D14" s="1259">
        <v>230</v>
      </c>
      <c r="E14" s="1260">
        <v>2385</v>
      </c>
      <c r="F14" s="1259">
        <v>80</v>
      </c>
      <c r="G14" s="1261" t="s">
        <v>1122</v>
      </c>
      <c r="H14" s="1261">
        <v>9.9600000000000009</v>
      </c>
      <c r="I14" s="1262">
        <v>12.61</v>
      </c>
      <c r="J14" s="1263"/>
    </row>
    <row r="15" spans="2:15" s="761" customFormat="1" ht="15" hidden="1" customHeight="1">
      <c r="B15" s="1264">
        <v>36404</v>
      </c>
      <c r="C15" s="1258">
        <v>10</v>
      </c>
      <c r="D15" s="1259">
        <v>120</v>
      </c>
      <c r="E15" s="1260">
        <v>1223</v>
      </c>
      <c r="F15" s="1259">
        <v>52.96</v>
      </c>
      <c r="G15" s="1261" t="s">
        <v>1123</v>
      </c>
      <c r="H15" s="1261">
        <v>9.5630000000000006</v>
      </c>
      <c r="I15" s="1262">
        <v>12.72</v>
      </c>
      <c r="J15" s="1263"/>
    </row>
    <row r="16" spans="2:15" s="761" customFormat="1" ht="15" hidden="1" customHeight="1" thickBot="1">
      <c r="B16" s="1264">
        <v>36495</v>
      </c>
      <c r="C16" s="1258">
        <v>85</v>
      </c>
      <c r="D16" s="1259">
        <v>500</v>
      </c>
      <c r="E16" s="1260">
        <v>6285</v>
      </c>
      <c r="F16" s="1259">
        <v>273</v>
      </c>
      <c r="G16" s="1261" t="s">
        <v>1124</v>
      </c>
      <c r="H16" s="1261">
        <v>9.67</v>
      </c>
      <c r="I16" s="1262">
        <v>12.36</v>
      </c>
      <c r="J16" s="1263"/>
    </row>
    <row r="17" spans="2:10" s="761" customFormat="1" ht="15" hidden="1" customHeight="1" thickTop="1">
      <c r="B17" s="1265">
        <v>36586</v>
      </c>
      <c r="C17" s="1258">
        <v>10</v>
      </c>
      <c r="D17" s="1259">
        <v>255</v>
      </c>
      <c r="E17" s="1260">
        <v>3163.2</v>
      </c>
      <c r="F17" s="1259">
        <v>102</v>
      </c>
      <c r="G17" s="1261" t="s">
        <v>1125</v>
      </c>
      <c r="H17" s="1261">
        <v>9.1199999999999992</v>
      </c>
      <c r="I17" s="1262">
        <v>11.71</v>
      </c>
      <c r="J17" s="1263"/>
    </row>
    <row r="18" spans="2:10" s="761" customFormat="1" ht="15" hidden="1" customHeight="1">
      <c r="B18" s="1264">
        <v>36678</v>
      </c>
      <c r="C18" s="1258">
        <v>20</v>
      </c>
      <c r="D18" s="1259">
        <v>600</v>
      </c>
      <c r="E18" s="1259">
        <v>3421</v>
      </c>
      <c r="F18" s="1259">
        <v>118</v>
      </c>
      <c r="G18" s="1261" t="s">
        <v>1126</v>
      </c>
      <c r="H18" s="1261">
        <v>7.27</v>
      </c>
      <c r="I18" s="1262">
        <v>10.039999999999999</v>
      </c>
      <c r="J18" s="1263"/>
    </row>
    <row r="19" spans="2:10" s="761" customFormat="1" ht="15" hidden="1" customHeight="1">
      <c r="B19" s="1264">
        <v>36708</v>
      </c>
      <c r="C19" s="1258">
        <v>10</v>
      </c>
      <c r="D19" s="1259">
        <v>830</v>
      </c>
      <c r="E19" s="1259">
        <v>6813</v>
      </c>
      <c r="F19" s="1259">
        <v>243</v>
      </c>
      <c r="G19" s="1261" t="s">
        <v>1127</v>
      </c>
      <c r="H19" s="1261">
        <v>7.46</v>
      </c>
      <c r="I19" s="1266">
        <v>10.08</v>
      </c>
      <c r="J19" s="1263"/>
    </row>
    <row r="20" spans="2:10" s="761" customFormat="1" ht="15" hidden="1" customHeight="1">
      <c r="B20" s="1264">
        <v>36739</v>
      </c>
      <c r="C20" s="1258">
        <v>25</v>
      </c>
      <c r="D20" s="1259">
        <v>460</v>
      </c>
      <c r="E20" s="1259">
        <v>6528</v>
      </c>
      <c r="F20" s="1259">
        <v>211</v>
      </c>
      <c r="G20" s="1261" t="s">
        <v>1128</v>
      </c>
      <c r="H20" s="1261">
        <v>7.03</v>
      </c>
      <c r="I20" s="1266">
        <v>10.32</v>
      </c>
      <c r="J20" s="1263"/>
    </row>
    <row r="21" spans="2:10" s="761" customFormat="1" ht="15" hidden="1" customHeight="1">
      <c r="B21" s="1264">
        <v>36770</v>
      </c>
      <c r="C21" s="1258">
        <v>30</v>
      </c>
      <c r="D21" s="1259">
        <v>168</v>
      </c>
      <c r="E21" s="1259">
        <v>2859</v>
      </c>
      <c r="F21" s="1259">
        <v>95</v>
      </c>
      <c r="G21" s="1261" t="s">
        <v>1129</v>
      </c>
      <c r="H21" s="1261">
        <v>7.13</v>
      </c>
      <c r="I21" s="1266">
        <v>9.9550000000000001</v>
      </c>
      <c r="J21" s="1263"/>
    </row>
    <row r="22" spans="2:10" s="761" customFormat="1" ht="15" hidden="1" customHeight="1">
      <c r="B22" s="1264">
        <v>36800</v>
      </c>
      <c r="C22" s="1258">
        <v>30</v>
      </c>
      <c r="D22" s="1259">
        <v>270</v>
      </c>
      <c r="E22" s="1259">
        <v>3581</v>
      </c>
      <c r="F22" s="1259">
        <v>138</v>
      </c>
      <c r="G22" s="1261" t="s">
        <v>1130</v>
      </c>
      <c r="H22" s="1261">
        <v>7.48</v>
      </c>
      <c r="I22" s="1266">
        <v>10.16</v>
      </c>
      <c r="J22" s="1263"/>
    </row>
    <row r="23" spans="2:10" s="761" customFormat="1" ht="15" hidden="1" customHeight="1">
      <c r="B23" s="1264">
        <v>36831</v>
      </c>
      <c r="C23" s="1258">
        <v>40</v>
      </c>
      <c r="D23" s="1259">
        <v>201</v>
      </c>
      <c r="E23" s="1259">
        <v>2859</v>
      </c>
      <c r="F23" s="1259">
        <v>95</v>
      </c>
      <c r="G23" s="1261" t="s">
        <v>1131</v>
      </c>
      <c r="H23" s="1261">
        <v>7.98</v>
      </c>
      <c r="I23" s="1266">
        <v>10.77</v>
      </c>
      <c r="J23" s="1263"/>
    </row>
    <row r="24" spans="2:10" s="761" customFormat="1" ht="15" hidden="1" customHeight="1">
      <c r="B24" s="1264">
        <v>36861</v>
      </c>
      <c r="C24" s="1258">
        <v>16</v>
      </c>
      <c r="D24" s="1259">
        <v>398</v>
      </c>
      <c r="E24" s="1259">
        <v>5734</v>
      </c>
      <c r="F24" s="1259">
        <v>185</v>
      </c>
      <c r="G24" s="1261" t="s">
        <v>1132</v>
      </c>
      <c r="H24" s="1261">
        <v>7.96</v>
      </c>
      <c r="I24" s="1266">
        <v>11.29</v>
      </c>
      <c r="J24" s="1263"/>
    </row>
    <row r="25" spans="2:10" s="761" customFormat="1" ht="15" hidden="1" customHeight="1">
      <c r="B25" s="1264">
        <v>36892</v>
      </c>
      <c r="C25" s="1258">
        <v>10</v>
      </c>
      <c r="D25" s="1259">
        <v>590</v>
      </c>
      <c r="E25" s="1259">
        <v>4252</v>
      </c>
      <c r="F25" s="1259">
        <v>185</v>
      </c>
      <c r="G25" s="1261" t="s">
        <v>1133</v>
      </c>
      <c r="H25" s="1261">
        <v>6.8</v>
      </c>
      <c r="I25" s="1266">
        <v>11.05</v>
      </c>
      <c r="J25" s="1263"/>
    </row>
    <row r="26" spans="2:10" s="761" customFormat="1" ht="15" hidden="1" customHeight="1">
      <c r="B26" s="1264">
        <v>36923</v>
      </c>
      <c r="C26" s="1258">
        <v>30</v>
      </c>
      <c r="D26" s="1259">
        <v>594</v>
      </c>
      <c r="E26" s="1259">
        <v>4815</v>
      </c>
      <c r="F26" s="1259">
        <v>172</v>
      </c>
      <c r="G26" s="1261" t="s">
        <v>1134</v>
      </c>
      <c r="H26" s="1261">
        <v>7.2584999999999997</v>
      </c>
      <c r="I26" s="1266">
        <v>11.2</v>
      </c>
      <c r="J26" s="1263"/>
    </row>
    <row r="27" spans="2:10" s="761" customFormat="1" ht="15" hidden="1" customHeight="1">
      <c r="B27" s="1264">
        <v>36951</v>
      </c>
      <c r="C27" s="1258">
        <v>40</v>
      </c>
      <c r="D27" s="1259">
        <v>410</v>
      </c>
      <c r="E27" s="1259">
        <v>4583</v>
      </c>
      <c r="F27" s="1259">
        <v>148</v>
      </c>
      <c r="G27" s="1261" t="s">
        <v>1135</v>
      </c>
      <c r="H27" s="1261">
        <v>7.5</v>
      </c>
      <c r="I27" s="1266">
        <v>10.67</v>
      </c>
      <c r="J27" s="1263"/>
    </row>
    <row r="28" spans="2:10" s="761" customFormat="1" ht="15" hidden="1" customHeight="1">
      <c r="B28" s="1264">
        <v>36982</v>
      </c>
      <c r="C28" s="1258">
        <v>50</v>
      </c>
      <c r="D28" s="1259">
        <v>560</v>
      </c>
      <c r="E28" s="1259">
        <v>8724</v>
      </c>
      <c r="F28" s="1259">
        <v>291</v>
      </c>
      <c r="G28" s="1261" t="s">
        <v>1136</v>
      </c>
      <c r="H28" s="1261">
        <v>7.8</v>
      </c>
      <c r="I28" s="1266">
        <v>11.01</v>
      </c>
      <c r="J28" s="1263"/>
    </row>
    <row r="29" spans="2:10" s="761" customFormat="1" ht="15" hidden="1" customHeight="1">
      <c r="B29" s="1264">
        <v>37012</v>
      </c>
      <c r="C29" s="1258">
        <v>80</v>
      </c>
      <c r="D29" s="1259">
        <v>435</v>
      </c>
      <c r="E29" s="1259">
        <v>5942</v>
      </c>
      <c r="F29" s="1259">
        <v>192</v>
      </c>
      <c r="G29" s="1261" t="s">
        <v>1137</v>
      </c>
      <c r="H29" s="1261">
        <v>8.43</v>
      </c>
      <c r="I29" s="1266">
        <v>11.53</v>
      </c>
      <c r="J29" s="1263"/>
    </row>
    <row r="30" spans="2:10" s="761" customFormat="1" ht="15" hidden="1" customHeight="1">
      <c r="B30" s="1264">
        <v>37043</v>
      </c>
      <c r="C30" s="1258">
        <v>10</v>
      </c>
      <c r="D30" s="1259">
        <v>570</v>
      </c>
      <c r="E30" s="1259">
        <v>5355</v>
      </c>
      <c r="F30" s="1259">
        <v>178.5</v>
      </c>
      <c r="G30" s="1261" t="s">
        <v>1138</v>
      </c>
      <c r="H30" s="1261">
        <v>7.29</v>
      </c>
      <c r="I30" s="1262">
        <v>11.12</v>
      </c>
      <c r="J30" s="1263"/>
    </row>
    <row r="31" spans="2:10" s="761" customFormat="1" ht="15" hidden="1" customHeight="1">
      <c r="B31" s="1264">
        <v>37073</v>
      </c>
      <c r="C31" s="1258">
        <v>50</v>
      </c>
      <c r="D31" s="1259">
        <v>570</v>
      </c>
      <c r="E31" s="1259">
        <v>6170</v>
      </c>
      <c r="F31" s="1259">
        <v>199</v>
      </c>
      <c r="G31" s="1261" t="s">
        <v>1129</v>
      </c>
      <c r="H31" s="1261">
        <v>7.18</v>
      </c>
      <c r="I31" s="1266">
        <v>11.03</v>
      </c>
      <c r="J31" s="1263"/>
    </row>
    <row r="32" spans="2:10" s="761" customFormat="1" ht="15" hidden="1" customHeight="1">
      <c r="B32" s="1264">
        <v>37104</v>
      </c>
      <c r="C32" s="1258">
        <v>35</v>
      </c>
      <c r="D32" s="1259">
        <v>482</v>
      </c>
      <c r="E32" s="1259">
        <v>4954</v>
      </c>
      <c r="F32" s="1259">
        <v>160</v>
      </c>
      <c r="G32" s="1261" t="s">
        <v>1139</v>
      </c>
      <c r="H32" s="1261">
        <v>7.28</v>
      </c>
      <c r="I32" s="1266">
        <v>10.51</v>
      </c>
      <c r="J32" s="1263"/>
    </row>
    <row r="33" spans="2:10" s="761" customFormat="1" ht="15" hidden="1" customHeight="1">
      <c r="B33" s="1264">
        <v>37135</v>
      </c>
      <c r="C33" s="1258">
        <v>3</v>
      </c>
      <c r="D33" s="1259">
        <v>333</v>
      </c>
      <c r="E33" s="1259">
        <v>4828</v>
      </c>
      <c r="F33" s="1259">
        <v>161</v>
      </c>
      <c r="G33" s="1261" t="s">
        <v>1140</v>
      </c>
      <c r="H33" s="1261">
        <v>7.13</v>
      </c>
      <c r="I33" s="1262">
        <v>10.14</v>
      </c>
      <c r="J33" s="1263"/>
    </row>
    <row r="34" spans="2:10" s="761" customFormat="1" ht="15" hidden="1" customHeight="1">
      <c r="B34" s="1264">
        <v>37165</v>
      </c>
      <c r="C34" s="1258">
        <v>115</v>
      </c>
      <c r="D34" s="1259">
        <v>615</v>
      </c>
      <c r="E34" s="1259">
        <v>9010</v>
      </c>
      <c r="F34" s="1259">
        <v>291</v>
      </c>
      <c r="G34" s="1261" t="s">
        <v>1141</v>
      </c>
      <c r="H34" s="1261">
        <v>7.12</v>
      </c>
      <c r="I34" s="1266">
        <v>10.36</v>
      </c>
      <c r="J34" s="1263"/>
    </row>
    <row r="35" spans="2:10" s="761" customFormat="1" ht="15" hidden="1" customHeight="1">
      <c r="B35" s="1264">
        <v>37196</v>
      </c>
      <c r="C35" s="1258">
        <v>50</v>
      </c>
      <c r="D35" s="1259">
        <v>720</v>
      </c>
      <c r="E35" s="1259">
        <v>7487</v>
      </c>
      <c r="F35" s="1259">
        <v>267</v>
      </c>
      <c r="G35" s="1261" t="s">
        <v>1142</v>
      </c>
      <c r="H35" s="1261">
        <v>6.86</v>
      </c>
      <c r="I35" s="1266">
        <v>9.89</v>
      </c>
      <c r="J35" s="1263"/>
    </row>
    <row r="36" spans="2:10" s="761" customFormat="1" ht="15" hidden="1" customHeight="1">
      <c r="B36" s="1264">
        <v>37226</v>
      </c>
      <c r="C36" s="1258">
        <v>30</v>
      </c>
      <c r="D36" s="1259">
        <v>895</v>
      </c>
      <c r="E36" s="1259">
        <v>9060</v>
      </c>
      <c r="F36" s="1259">
        <v>292</v>
      </c>
      <c r="G36" s="1261" t="s">
        <v>1143</v>
      </c>
      <c r="H36" s="1261">
        <v>6.95</v>
      </c>
      <c r="I36" s="1266">
        <v>10.27</v>
      </c>
      <c r="J36" s="1263"/>
    </row>
    <row r="37" spans="2:10" s="761" customFormat="1" ht="15" hidden="1" customHeight="1">
      <c r="B37" s="1264">
        <v>37257</v>
      </c>
      <c r="C37" s="1258">
        <v>5</v>
      </c>
      <c r="D37" s="1259">
        <v>310</v>
      </c>
      <c r="E37" s="1260">
        <v>3355</v>
      </c>
      <c r="F37" s="1259">
        <v>116</v>
      </c>
      <c r="G37" s="1261" t="s">
        <v>1144</v>
      </c>
      <c r="H37" s="1261">
        <v>6.69</v>
      </c>
      <c r="I37" s="1262">
        <v>10.039999999999999</v>
      </c>
      <c r="J37" s="1263"/>
    </row>
    <row r="38" spans="2:10" s="761" customFormat="1" ht="15" hidden="1" customHeight="1">
      <c r="B38" s="1264">
        <v>37316</v>
      </c>
      <c r="C38" s="1258">
        <v>5</v>
      </c>
      <c r="D38" s="1259">
        <v>418</v>
      </c>
      <c r="E38" s="1260">
        <v>7338</v>
      </c>
      <c r="F38" s="1259">
        <v>237</v>
      </c>
      <c r="G38" s="1261" t="s">
        <v>1145</v>
      </c>
      <c r="H38" s="1261">
        <v>6.63</v>
      </c>
      <c r="I38" s="1262">
        <v>9.9</v>
      </c>
      <c r="J38" s="1263"/>
    </row>
    <row r="39" spans="2:10" s="761" customFormat="1" ht="15" hidden="1" customHeight="1">
      <c r="B39" s="1264">
        <v>37347</v>
      </c>
      <c r="C39" s="1258">
        <v>70</v>
      </c>
      <c r="D39" s="1259">
        <v>310</v>
      </c>
      <c r="E39" s="1260">
        <v>5516</v>
      </c>
      <c r="F39" s="1259">
        <v>184</v>
      </c>
      <c r="G39" s="1261" t="s">
        <v>1146</v>
      </c>
      <c r="H39" s="1261">
        <v>6.74</v>
      </c>
      <c r="I39" s="1262">
        <v>10.09</v>
      </c>
      <c r="J39" s="1263"/>
    </row>
    <row r="40" spans="2:10" s="817" customFormat="1" ht="15" hidden="1" customHeight="1">
      <c r="B40" s="1267">
        <v>37377</v>
      </c>
      <c r="C40" s="1268">
        <v>30</v>
      </c>
      <c r="D40" s="1238">
        <v>330</v>
      </c>
      <c r="E40" s="1237">
        <v>4300</v>
      </c>
      <c r="F40" s="1238">
        <v>143</v>
      </c>
      <c r="G40" s="1239" t="s">
        <v>1147</v>
      </c>
      <c r="H40" s="1239">
        <v>6.43</v>
      </c>
      <c r="I40" s="1244">
        <v>10.02</v>
      </c>
      <c r="J40" s="1269"/>
    </row>
    <row r="41" spans="2:10" s="817" customFormat="1" ht="15" hidden="1" customHeight="1">
      <c r="B41" s="1267">
        <v>37408</v>
      </c>
      <c r="C41" s="1268">
        <v>10</v>
      </c>
      <c r="D41" s="1238">
        <v>390</v>
      </c>
      <c r="E41" s="1237">
        <v>2970</v>
      </c>
      <c r="F41" s="1238">
        <v>149</v>
      </c>
      <c r="G41" s="1239" t="s">
        <v>1148</v>
      </c>
      <c r="H41" s="1239">
        <v>6.5</v>
      </c>
      <c r="I41" s="1244">
        <v>9.92</v>
      </c>
      <c r="J41" s="1269"/>
    </row>
    <row r="42" spans="2:10" s="817" customFormat="1" ht="15" hidden="1" customHeight="1">
      <c r="B42" s="1267">
        <v>37438</v>
      </c>
      <c r="C42" s="1268">
        <v>10</v>
      </c>
      <c r="D42" s="1238">
        <v>735</v>
      </c>
      <c r="E42" s="1237">
        <v>7661</v>
      </c>
      <c r="F42" s="1238">
        <v>255</v>
      </c>
      <c r="G42" s="1239" t="s">
        <v>1149</v>
      </c>
      <c r="H42" s="1239">
        <v>5.73</v>
      </c>
      <c r="I42" s="1244">
        <v>9.89</v>
      </c>
      <c r="J42" s="1269"/>
    </row>
    <row r="43" spans="2:10" s="817" customFormat="1" ht="15" hidden="1" customHeight="1">
      <c r="B43" s="1267">
        <v>37469</v>
      </c>
      <c r="C43" s="1268">
        <v>10</v>
      </c>
      <c r="D43" s="1238">
        <v>455</v>
      </c>
      <c r="E43" s="1237">
        <v>8185</v>
      </c>
      <c r="F43" s="1238">
        <v>264</v>
      </c>
      <c r="G43" s="1239" t="s">
        <v>1150</v>
      </c>
      <c r="H43" s="1239">
        <v>7.37</v>
      </c>
      <c r="I43" s="1244">
        <v>9.73</v>
      </c>
    </row>
    <row r="44" spans="2:10" s="817" customFormat="1" ht="15" hidden="1" customHeight="1">
      <c r="B44" s="1267">
        <v>37500</v>
      </c>
      <c r="C44" s="1268">
        <v>205</v>
      </c>
      <c r="D44" s="1238">
        <v>627</v>
      </c>
      <c r="E44" s="1237">
        <v>9421</v>
      </c>
      <c r="F44" s="1238">
        <v>314</v>
      </c>
      <c r="G44" s="1239" t="s">
        <v>1151</v>
      </c>
      <c r="H44" s="1239">
        <v>7.74</v>
      </c>
      <c r="I44" s="1244">
        <v>9.65</v>
      </c>
    </row>
    <row r="45" spans="2:10" s="817" customFormat="1" ht="15" hidden="1" customHeight="1">
      <c r="B45" s="1267">
        <v>37530</v>
      </c>
      <c r="C45" s="1268">
        <v>250</v>
      </c>
      <c r="D45" s="1238">
        <v>812</v>
      </c>
      <c r="E45" s="1237">
        <v>17979</v>
      </c>
      <c r="F45" s="1238">
        <v>580</v>
      </c>
      <c r="G45" s="1239" t="s">
        <v>1150</v>
      </c>
      <c r="H45" s="1239">
        <v>7.67</v>
      </c>
      <c r="I45" s="1244">
        <v>10.07</v>
      </c>
    </row>
    <row r="46" spans="2:10" s="817" customFormat="1" ht="15" hidden="1" customHeight="1">
      <c r="B46" s="1267">
        <v>37561</v>
      </c>
      <c r="C46" s="1268">
        <v>20</v>
      </c>
      <c r="D46" s="1238">
        <v>695</v>
      </c>
      <c r="E46" s="1237">
        <v>6205</v>
      </c>
      <c r="F46" s="1238">
        <v>270</v>
      </c>
      <c r="G46" s="1239" t="s">
        <v>1151</v>
      </c>
      <c r="H46" s="1239">
        <v>7.42</v>
      </c>
      <c r="I46" s="1244">
        <v>9.59</v>
      </c>
    </row>
    <row r="47" spans="2:10" s="817" customFormat="1" ht="15" hidden="1" customHeight="1">
      <c r="B47" s="1267">
        <v>37591</v>
      </c>
      <c r="C47" s="1268">
        <v>10</v>
      </c>
      <c r="D47" s="1238">
        <v>235</v>
      </c>
      <c r="E47" s="1237">
        <v>2869</v>
      </c>
      <c r="F47" s="1238">
        <v>125</v>
      </c>
      <c r="G47" s="1239" t="s">
        <v>1152</v>
      </c>
      <c r="H47" s="1239">
        <v>4.92</v>
      </c>
      <c r="I47" s="1244">
        <v>9.17</v>
      </c>
    </row>
    <row r="48" spans="2:10" s="817" customFormat="1" ht="15" hidden="1" customHeight="1">
      <c r="B48" s="1267">
        <v>37622</v>
      </c>
      <c r="C48" s="1268">
        <v>90</v>
      </c>
      <c r="D48" s="1238">
        <v>425</v>
      </c>
      <c r="E48" s="1237">
        <v>4318</v>
      </c>
      <c r="F48" s="1238">
        <v>254</v>
      </c>
      <c r="G48" s="1239" t="s">
        <v>1153</v>
      </c>
      <c r="H48" s="1239">
        <v>3.72</v>
      </c>
      <c r="I48" s="1244">
        <v>9.0399999999999991</v>
      </c>
    </row>
    <row r="49" spans="2:9" s="817" customFormat="1" ht="15" hidden="1" customHeight="1">
      <c r="B49" s="1267">
        <v>37653</v>
      </c>
      <c r="C49" s="1268">
        <v>15</v>
      </c>
      <c r="D49" s="1238">
        <v>545</v>
      </c>
      <c r="E49" s="1237">
        <v>6869</v>
      </c>
      <c r="F49" s="1238">
        <v>275</v>
      </c>
      <c r="G49" s="1239" t="s">
        <v>1154</v>
      </c>
      <c r="H49" s="1239">
        <v>4.75</v>
      </c>
      <c r="I49" s="1244">
        <v>8.59</v>
      </c>
    </row>
    <row r="50" spans="2:9" s="817" customFormat="1" ht="15" hidden="1" customHeight="1">
      <c r="B50" s="1267">
        <v>37681</v>
      </c>
      <c r="C50" s="1268">
        <v>30</v>
      </c>
      <c r="D50" s="1238">
        <v>200</v>
      </c>
      <c r="E50" s="1237">
        <v>2485</v>
      </c>
      <c r="F50" s="1238">
        <v>124</v>
      </c>
      <c r="G50" s="1239" t="s">
        <v>1155</v>
      </c>
      <c r="H50" s="1239">
        <v>3.64</v>
      </c>
      <c r="I50" s="1244">
        <v>8.5500000000000007</v>
      </c>
    </row>
    <row r="51" spans="2:9" s="817" customFormat="1" ht="15" hidden="1" customHeight="1">
      <c r="B51" s="1267">
        <v>37712</v>
      </c>
      <c r="C51" s="1268">
        <v>5</v>
      </c>
      <c r="D51" s="1238">
        <v>530</v>
      </c>
      <c r="E51" s="1237">
        <v>4181</v>
      </c>
      <c r="F51" s="1238">
        <v>144</v>
      </c>
      <c r="G51" s="1239" t="s">
        <v>1156</v>
      </c>
      <c r="H51" s="1239">
        <v>3.66</v>
      </c>
      <c r="I51" s="1244">
        <v>8.5073333333333316</v>
      </c>
    </row>
    <row r="52" spans="2:9" s="817" customFormat="1" ht="15" hidden="1" customHeight="1">
      <c r="B52" s="1267">
        <v>37742</v>
      </c>
      <c r="C52" s="1268">
        <v>10</v>
      </c>
      <c r="D52" s="1238">
        <v>565</v>
      </c>
      <c r="E52" s="1237">
        <v>6318</v>
      </c>
      <c r="F52" s="1238">
        <v>218</v>
      </c>
      <c r="G52" s="1239" t="s">
        <v>1157</v>
      </c>
      <c r="H52" s="1239">
        <v>4.12</v>
      </c>
      <c r="I52" s="1244">
        <v>8.3699999999999992</v>
      </c>
    </row>
    <row r="53" spans="2:9" s="817" customFormat="1" ht="15" hidden="1" customHeight="1">
      <c r="B53" s="1267">
        <v>37773</v>
      </c>
      <c r="C53" s="1268">
        <v>28</v>
      </c>
      <c r="D53" s="1238">
        <v>275</v>
      </c>
      <c r="E53" s="1237">
        <v>2768</v>
      </c>
      <c r="F53" s="1238">
        <v>115</v>
      </c>
      <c r="G53" s="1239" t="s">
        <v>1154</v>
      </c>
      <c r="H53" s="1239">
        <v>4.45</v>
      </c>
      <c r="I53" s="1244">
        <v>8.3699999999999992</v>
      </c>
    </row>
    <row r="54" spans="2:9" s="817" customFormat="1" ht="15" hidden="1" customHeight="1">
      <c r="B54" s="1267">
        <v>37803</v>
      </c>
      <c r="C54" s="1268">
        <v>20</v>
      </c>
      <c r="D54" s="1238">
        <v>975</v>
      </c>
      <c r="E54" s="1237">
        <v>12795</v>
      </c>
      <c r="F54" s="1238">
        <v>413</v>
      </c>
      <c r="G54" s="1239" t="s">
        <v>1158</v>
      </c>
      <c r="H54" s="1239">
        <v>4.08</v>
      </c>
      <c r="I54" s="1244">
        <v>8.33</v>
      </c>
    </row>
    <row r="55" spans="2:9" s="817" customFormat="1" ht="15" hidden="1" customHeight="1">
      <c r="B55" s="1267">
        <v>37834</v>
      </c>
      <c r="C55" s="1268">
        <v>110</v>
      </c>
      <c r="D55" s="1238">
        <v>595</v>
      </c>
      <c r="E55" s="1237">
        <v>5646</v>
      </c>
      <c r="F55" s="1238">
        <v>268.85000000000002</v>
      </c>
      <c r="G55" s="1239" t="s">
        <v>1159</v>
      </c>
      <c r="H55" s="1239">
        <v>3.89</v>
      </c>
      <c r="I55" s="1244">
        <v>8.42</v>
      </c>
    </row>
    <row r="56" spans="2:9" s="817" customFormat="1" ht="15.75" hidden="1" customHeight="1">
      <c r="B56" s="1267">
        <v>37865</v>
      </c>
      <c r="C56" s="1268">
        <v>20</v>
      </c>
      <c r="D56" s="1238">
        <v>130</v>
      </c>
      <c r="E56" s="1237">
        <v>668</v>
      </c>
      <c r="F56" s="1238">
        <v>67</v>
      </c>
      <c r="G56" s="1239" t="s">
        <v>1160</v>
      </c>
      <c r="H56" s="1239">
        <v>2.78</v>
      </c>
      <c r="I56" s="1244">
        <v>8.2799999999999994</v>
      </c>
    </row>
    <row r="57" spans="2:9" s="817" customFormat="1" ht="15" hidden="1" customHeight="1">
      <c r="B57" s="1267">
        <v>37895</v>
      </c>
      <c r="C57" s="1268">
        <v>10</v>
      </c>
      <c r="D57" s="1238">
        <v>552</v>
      </c>
      <c r="E57" s="1237">
        <v>3155</v>
      </c>
      <c r="F57" s="1238">
        <v>186</v>
      </c>
      <c r="G57" s="1239" t="s">
        <v>1161</v>
      </c>
      <c r="H57" s="1239">
        <v>1.96</v>
      </c>
      <c r="I57" s="1244">
        <v>7.83</v>
      </c>
    </row>
    <row r="58" spans="2:9" s="817" customFormat="1" ht="15" hidden="1" customHeight="1">
      <c r="B58" s="1267">
        <v>37926</v>
      </c>
      <c r="C58" s="1268">
        <v>10</v>
      </c>
      <c r="D58" s="1238">
        <v>431</v>
      </c>
      <c r="E58" s="1237">
        <v>2211</v>
      </c>
      <c r="F58" s="1238">
        <v>130</v>
      </c>
      <c r="G58" s="1239" t="s">
        <v>1162</v>
      </c>
      <c r="H58" s="1239">
        <v>1.26</v>
      </c>
      <c r="I58" s="1244">
        <v>7.806</v>
      </c>
    </row>
    <row r="59" spans="2:9" s="817" customFormat="1" ht="15" hidden="1" customHeight="1">
      <c r="B59" s="1267">
        <v>37956</v>
      </c>
      <c r="C59" s="1268">
        <v>50</v>
      </c>
      <c r="D59" s="1238">
        <v>695</v>
      </c>
      <c r="E59" s="1237">
        <v>5392</v>
      </c>
      <c r="F59" s="1238">
        <v>174</v>
      </c>
      <c r="G59" s="1239" t="s">
        <v>1163</v>
      </c>
      <c r="H59" s="1239">
        <v>1.4</v>
      </c>
      <c r="I59" s="1244">
        <v>7.35</v>
      </c>
    </row>
    <row r="60" spans="2:9" s="817" customFormat="1" ht="15" hidden="1" customHeight="1">
      <c r="B60" s="1267">
        <v>37987</v>
      </c>
      <c r="C60" s="1268">
        <v>1</v>
      </c>
      <c r="D60" s="1238">
        <v>695</v>
      </c>
      <c r="E60" s="1237">
        <v>5670</v>
      </c>
      <c r="F60" s="1238">
        <v>247</v>
      </c>
      <c r="G60" s="1239" t="s">
        <v>1163</v>
      </c>
      <c r="H60" s="1239">
        <v>1.27</v>
      </c>
      <c r="I60" s="1244">
        <v>7.1</v>
      </c>
    </row>
    <row r="61" spans="2:9" s="817" customFormat="1" ht="15" hidden="1" customHeight="1">
      <c r="B61" s="1267">
        <v>38018</v>
      </c>
      <c r="C61" s="1268">
        <v>15</v>
      </c>
      <c r="D61" s="1238">
        <v>875</v>
      </c>
      <c r="E61" s="1237">
        <v>6570</v>
      </c>
      <c r="F61" s="1238">
        <v>365</v>
      </c>
      <c r="G61" s="1239" t="s">
        <v>1164</v>
      </c>
      <c r="H61" s="1239">
        <v>1.45</v>
      </c>
      <c r="I61" s="1244">
        <v>6.3</v>
      </c>
    </row>
    <row r="62" spans="2:9" s="817" customFormat="1" ht="15" hidden="1" customHeight="1">
      <c r="B62" s="1267">
        <v>38047</v>
      </c>
      <c r="C62" s="1268">
        <v>25</v>
      </c>
      <c r="D62" s="1238">
        <v>190</v>
      </c>
      <c r="E62" s="1237">
        <v>2405</v>
      </c>
      <c r="F62" s="1238">
        <v>93</v>
      </c>
      <c r="G62" s="1239" t="s">
        <v>1165</v>
      </c>
      <c r="H62" s="1239">
        <v>1</v>
      </c>
      <c r="I62" s="1244">
        <v>5.31</v>
      </c>
    </row>
    <row r="63" spans="2:9" s="817" customFormat="1" ht="15" hidden="1" customHeight="1">
      <c r="B63" s="1267">
        <v>38078</v>
      </c>
      <c r="C63" s="1268">
        <v>10</v>
      </c>
      <c r="D63" s="1238">
        <v>695</v>
      </c>
      <c r="E63" s="1237">
        <v>4911</v>
      </c>
      <c r="F63" s="1238">
        <v>163.69999999999999</v>
      </c>
      <c r="G63" s="1239" t="s">
        <v>1166</v>
      </c>
      <c r="H63" s="1239">
        <v>1.0026999999999999</v>
      </c>
      <c r="I63" s="1244">
        <v>4.25</v>
      </c>
    </row>
    <row r="64" spans="2:9" s="817" customFormat="1" ht="15" hidden="1" customHeight="1">
      <c r="B64" s="1267">
        <v>38108</v>
      </c>
      <c r="C64" s="1268">
        <v>10</v>
      </c>
      <c r="D64" s="1238">
        <v>350</v>
      </c>
      <c r="E64" s="1237">
        <v>2915</v>
      </c>
      <c r="F64" s="1238">
        <v>101</v>
      </c>
      <c r="G64" s="1239">
        <v>1</v>
      </c>
      <c r="H64" s="1239">
        <v>1</v>
      </c>
      <c r="I64" s="1244">
        <v>3.43</v>
      </c>
    </row>
    <row r="65" spans="2:9" s="817" customFormat="1" ht="15" hidden="1" customHeight="1">
      <c r="B65" s="1267">
        <v>38139</v>
      </c>
      <c r="C65" s="1268">
        <v>40</v>
      </c>
      <c r="D65" s="1238">
        <v>1100</v>
      </c>
      <c r="E65" s="1237">
        <v>7232</v>
      </c>
      <c r="F65" s="1238">
        <v>241.1</v>
      </c>
      <c r="G65" s="1239" t="s">
        <v>1167</v>
      </c>
      <c r="H65" s="1239">
        <v>1.02</v>
      </c>
      <c r="I65" s="1244">
        <v>4.55</v>
      </c>
    </row>
    <row r="66" spans="2:9" s="817" customFormat="1" ht="15" hidden="1" customHeight="1">
      <c r="B66" s="1267">
        <v>38169</v>
      </c>
      <c r="C66" s="1268">
        <v>40</v>
      </c>
      <c r="D66" s="1238">
        <v>375</v>
      </c>
      <c r="E66" s="1237">
        <v>5978</v>
      </c>
      <c r="F66" s="1238">
        <v>193</v>
      </c>
      <c r="G66" s="1239" t="s">
        <v>1168</v>
      </c>
      <c r="H66" s="1239">
        <v>1.07</v>
      </c>
      <c r="I66" s="1244">
        <v>5.03</v>
      </c>
    </row>
    <row r="67" spans="2:9" s="817" customFormat="1" ht="15" hidden="1" customHeight="1">
      <c r="B67" s="1267">
        <v>38200</v>
      </c>
      <c r="C67" s="1268">
        <v>20</v>
      </c>
      <c r="D67" s="1238">
        <v>870</v>
      </c>
      <c r="E67" s="1237">
        <v>11835</v>
      </c>
      <c r="F67" s="1238">
        <v>438.3</v>
      </c>
      <c r="G67" s="1239" t="s">
        <v>1169</v>
      </c>
      <c r="H67" s="1239">
        <v>1</v>
      </c>
      <c r="I67" s="1244">
        <v>5.26</v>
      </c>
    </row>
    <row r="68" spans="2:9" s="817" customFormat="1" ht="15" hidden="1" customHeight="1">
      <c r="B68" s="1267">
        <v>38231</v>
      </c>
      <c r="C68" s="1268">
        <v>200</v>
      </c>
      <c r="D68" s="1238">
        <v>1170</v>
      </c>
      <c r="E68" s="1237">
        <v>11979</v>
      </c>
      <c r="F68" s="1238">
        <v>444</v>
      </c>
      <c r="G68" s="1239" t="s">
        <v>1170</v>
      </c>
      <c r="H68" s="1239">
        <v>1</v>
      </c>
      <c r="I68" s="1244">
        <v>5.38</v>
      </c>
    </row>
    <row r="69" spans="2:9" s="817" customFormat="1" ht="15" hidden="1" customHeight="1">
      <c r="B69" s="1267">
        <v>38261</v>
      </c>
      <c r="C69" s="1268">
        <v>220</v>
      </c>
      <c r="D69" s="1238">
        <v>1090</v>
      </c>
      <c r="E69" s="1237">
        <v>19154</v>
      </c>
      <c r="F69" s="1238">
        <v>617.87</v>
      </c>
      <c r="G69" s="1239" t="s">
        <v>1163</v>
      </c>
      <c r="H69" s="1239">
        <v>1.35</v>
      </c>
      <c r="I69" s="1244">
        <v>5.3606451612903223</v>
      </c>
    </row>
    <row r="70" spans="2:9" s="817" customFormat="1" ht="15" hidden="1" customHeight="1">
      <c r="B70" s="1267">
        <v>38292</v>
      </c>
      <c r="C70" s="1268">
        <v>8</v>
      </c>
      <c r="D70" s="1238">
        <v>715</v>
      </c>
      <c r="E70" s="1237">
        <v>4458</v>
      </c>
      <c r="F70" s="1238">
        <v>186</v>
      </c>
      <c r="G70" s="1239" t="s">
        <v>1171</v>
      </c>
      <c r="H70" s="1239">
        <v>3.51</v>
      </c>
      <c r="I70" s="1244">
        <v>5.64</v>
      </c>
    </row>
    <row r="71" spans="2:9" s="817" customFormat="1" ht="15" hidden="1" customHeight="1">
      <c r="B71" s="1267">
        <v>38322</v>
      </c>
      <c r="C71" s="1268">
        <v>30</v>
      </c>
      <c r="D71" s="1238">
        <v>860</v>
      </c>
      <c r="E71" s="1237">
        <v>10355</v>
      </c>
      <c r="F71" s="1238">
        <v>334.03</v>
      </c>
      <c r="G71" s="1239" t="s">
        <v>1171</v>
      </c>
      <c r="H71" s="1239">
        <v>1.69</v>
      </c>
      <c r="I71" s="1244">
        <v>5.6</v>
      </c>
    </row>
    <row r="72" spans="2:9" s="817" customFormat="1" ht="15" hidden="1" customHeight="1">
      <c r="B72" s="1267">
        <v>38353</v>
      </c>
      <c r="C72" s="1268">
        <v>15</v>
      </c>
      <c r="D72" s="1238">
        <v>553</v>
      </c>
      <c r="E72" s="1237">
        <v>7391</v>
      </c>
      <c r="F72" s="1238">
        <v>238.4</v>
      </c>
      <c r="G72" s="1239" t="s">
        <v>1120</v>
      </c>
      <c r="H72" s="1239">
        <v>1.67</v>
      </c>
      <c r="I72" s="1244">
        <v>5.5</v>
      </c>
    </row>
    <row r="73" spans="2:9" s="817" customFormat="1" ht="15" hidden="1" customHeight="1">
      <c r="B73" s="1267">
        <v>38384</v>
      </c>
      <c r="C73" s="1268">
        <v>135</v>
      </c>
      <c r="D73" s="1238">
        <v>915</v>
      </c>
      <c r="E73" s="1237">
        <v>11798.5</v>
      </c>
      <c r="F73" s="1238">
        <v>437</v>
      </c>
      <c r="G73" s="1239" t="s">
        <v>1172</v>
      </c>
      <c r="H73" s="1239">
        <v>2.08</v>
      </c>
      <c r="I73" s="1244">
        <v>5.7</v>
      </c>
    </row>
    <row r="74" spans="2:9" s="817" customFormat="1" ht="15" hidden="1" customHeight="1">
      <c r="B74" s="1267">
        <v>38412</v>
      </c>
      <c r="C74" s="1268">
        <v>93</v>
      </c>
      <c r="D74" s="1238">
        <v>468</v>
      </c>
      <c r="E74" s="1237">
        <v>7692</v>
      </c>
      <c r="F74" s="1238">
        <v>248</v>
      </c>
      <c r="G74" s="1270" t="s">
        <v>1173</v>
      </c>
      <c r="H74" s="1239">
        <v>1.89</v>
      </c>
      <c r="I74" s="1244">
        <v>6.14</v>
      </c>
    </row>
    <row r="75" spans="2:9" s="817" customFormat="1" ht="15" hidden="1" customHeight="1">
      <c r="B75" s="1267">
        <v>38443</v>
      </c>
      <c r="C75" s="1268">
        <v>5</v>
      </c>
      <c r="D75" s="1238">
        <v>665</v>
      </c>
      <c r="E75" s="1237">
        <v>6352</v>
      </c>
      <c r="F75" s="1238">
        <v>244.3</v>
      </c>
      <c r="G75" s="1270" t="s">
        <v>1174</v>
      </c>
      <c r="H75" s="1239">
        <v>1.49</v>
      </c>
      <c r="I75" s="1244">
        <v>6.01</v>
      </c>
    </row>
    <row r="76" spans="2:9" s="817" customFormat="1" ht="15" hidden="1" customHeight="1">
      <c r="B76" s="1267">
        <v>38473</v>
      </c>
      <c r="C76" s="1268">
        <v>80</v>
      </c>
      <c r="D76" s="1238">
        <v>545</v>
      </c>
      <c r="E76" s="1237">
        <v>6923</v>
      </c>
      <c r="F76" s="1238">
        <v>223.3</v>
      </c>
      <c r="G76" s="1239" t="s">
        <v>1162</v>
      </c>
      <c r="H76" s="1239">
        <v>1.43</v>
      </c>
      <c r="I76" s="1244">
        <v>6.01</v>
      </c>
    </row>
    <row r="77" spans="2:9" s="817" customFormat="1" ht="15" hidden="1" customHeight="1">
      <c r="B77" s="1267">
        <v>38504</v>
      </c>
      <c r="C77" s="1268">
        <v>10</v>
      </c>
      <c r="D77" s="1238">
        <v>465</v>
      </c>
      <c r="E77" s="1237">
        <v>5208</v>
      </c>
      <c r="F77" s="1238">
        <v>179.6</v>
      </c>
      <c r="G77" s="1239" t="s">
        <v>1175</v>
      </c>
      <c r="H77" s="1239">
        <v>1.62</v>
      </c>
      <c r="I77" s="1244">
        <v>5.98</v>
      </c>
    </row>
    <row r="78" spans="2:9" s="817" customFormat="1" ht="15" hidden="1" customHeight="1">
      <c r="B78" s="1267">
        <v>38534</v>
      </c>
      <c r="C78" s="1268">
        <v>35</v>
      </c>
      <c r="D78" s="1238">
        <v>1080</v>
      </c>
      <c r="E78" s="1237">
        <v>9733</v>
      </c>
      <c r="F78" s="1238">
        <v>361</v>
      </c>
      <c r="G78" s="1239" t="s">
        <v>1176</v>
      </c>
      <c r="H78" s="1239">
        <v>1.74</v>
      </c>
      <c r="I78" s="1244">
        <v>5.94</v>
      </c>
    </row>
    <row r="79" spans="2:9" s="817" customFormat="1" ht="15" hidden="1" customHeight="1">
      <c r="B79" s="1267">
        <v>38565</v>
      </c>
      <c r="C79" s="1268">
        <v>45</v>
      </c>
      <c r="D79" s="1238">
        <v>635</v>
      </c>
      <c r="E79" s="1237">
        <v>8734</v>
      </c>
      <c r="F79" s="1238">
        <v>281.7</v>
      </c>
      <c r="G79" s="1239" t="s">
        <v>1177</v>
      </c>
      <c r="H79" s="1239">
        <v>4.9000000000000004</v>
      </c>
      <c r="I79" s="1244">
        <v>6.22</v>
      </c>
    </row>
    <row r="80" spans="2:9" s="817" customFormat="1" ht="15" hidden="1" customHeight="1">
      <c r="B80" s="1267">
        <v>38596</v>
      </c>
      <c r="C80" s="1268">
        <v>20</v>
      </c>
      <c r="D80" s="1238">
        <v>525</v>
      </c>
      <c r="E80" s="1237">
        <v>5817</v>
      </c>
      <c r="F80" s="1238">
        <v>232.7</v>
      </c>
      <c r="G80" s="1239" t="s">
        <v>1178</v>
      </c>
      <c r="H80" s="1239">
        <v>2.98</v>
      </c>
      <c r="I80" s="1244">
        <v>6.4</v>
      </c>
    </row>
    <row r="81" spans="2:16" s="817" customFormat="1" ht="15" hidden="1" customHeight="1">
      <c r="B81" s="1267">
        <v>38626</v>
      </c>
      <c r="C81" s="1268">
        <v>140</v>
      </c>
      <c r="D81" s="1238">
        <v>965</v>
      </c>
      <c r="E81" s="1237">
        <v>14032</v>
      </c>
      <c r="F81" s="1238">
        <v>452.6</v>
      </c>
      <c r="G81" s="1239" t="s">
        <v>1179</v>
      </c>
      <c r="H81" s="1239">
        <v>2.82</v>
      </c>
      <c r="I81" s="1244">
        <v>6.38</v>
      </c>
      <c r="L81" s="1271"/>
      <c r="M81" s="765"/>
      <c r="N81" s="765"/>
      <c r="O81" s="765"/>
      <c r="P81" s="765"/>
    </row>
    <row r="82" spans="2:16" s="817" customFormat="1" ht="15" hidden="1" customHeight="1">
      <c r="B82" s="1267">
        <v>38657</v>
      </c>
      <c r="C82" s="1268">
        <v>100</v>
      </c>
      <c r="D82" s="1238">
        <v>690</v>
      </c>
      <c r="E82" s="1237">
        <v>6927</v>
      </c>
      <c r="F82" s="1238">
        <v>238.9</v>
      </c>
      <c r="G82" s="1239" t="s">
        <v>1179</v>
      </c>
      <c r="H82" s="1239">
        <v>2.89</v>
      </c>
      <c r="I82" s="1244">
        <v>6.42</v>
      </c>
      <c r="L82" s="765"/>
      <c r="M82" s="765"/>
      <c r="N82" s="765"/>
      <c r="O82" s="765"/>
      <c r="P82" s="765"/>
    </row>
    <row r="83" spans="2:16" s="817" customFormat="1" ht="15" hidden="1" customHeight="1">
      <c r="B83" s="1267">
        <v>38687</v>
      </c>
      <c r="C83" s="1268">
        <v>40</v>
      </c>
      <c r="D83" s="1238">
        <v>1175</v>
      </c>
      <c r="E83" s="1237">
        <v>10982</v>
      </c>
      <c r="F83" s="1238">
        <v>366.1</v>
      </c>
      <c r="G83" s="1239" t="s">
        <v>1180</v>
      </c>
      <c r="H83" s="1239">
        <v>3.87</v>
      </c>
      <c r="I83" s="1244">
        <v>7.16</v>
      </c>
      <c r="L83" s="765"/>
      <c r="M83" s="765"/>
      <c r="N83" s="765"/>
      <c r="O83" s="765"/>
      <c r="P83" s="765"/>
    </row>
    <row r="84" spans="2:16" s="817" customFormat="1" ht="15" hidden="1" customHeight="1">
      <c r="B84" s="1267">
        <v>38718</v>
      </c>
      <c r="C84" s="1268">
        <v>40</v>
      </c>
      <c r="D84" s="1238">
        <v>1175</v>
      </c>
      <c r="E84" s="1237">
        <v>11848</v>
      </c>
      <c r="F84" s="1238">
        <v>382.19</v>
      </c>
      <c r="G84" s="1239" t="s">
        <v>1181</v>
      </c>
      <c r="H84" s="1239">
        <v>5.68</v>
      </c>
      <c r="I84" s="1244">
        <v>7.53</v>
      </c>
      <c r="L84" s="765"/>
      <c r="M84" s="765"/>
      <c r="N84" s="765"/>
      <c r="O84" s="765"/>
      <c r="P84" s="765"/>
    </row>
    <row r="85" spans="2:16" s="817" customFormat="1" ht="15" hidden="1" customHeight="1">
      <c r="B85" s="1267">
        <v>38749</v>
      </c>
      <c r="C85" s="1268">
        <v>30</v>
      </c>
      <c r="D85" s="1238">
        <v>725</v>
      </c>
      <c r="E85" s="1237">
        <v>5512</v>
      </c>
      <c r="F85" s="1238">
        <v>220</v>
      </c>
      <c r="G85" s="1239" t="s">
        <v>1182</v>
      </c>
      <c r="H85" s="1239">
        <v>3.87</v>
      </c>
      <c r="I85" s="1244">
        <v>7.44</v>
      </c>
      <c r="L85" s="765"/>
      <c r="M85" s="765"/>
      <c r="N85" s="765"/>
      <c r="O85" s="765"/>
      <c r="P85" s="765"/>
    </row>
    <row r="86" spans="2:16" s="817" customFormat="1" ht="15" hidden="1" customHeight="1">
      <c r="B86" s="1267">
        <v>38777</v>
      </c>
      <c r="C86" s="1268">
        <v>19</v>
      </c>
      <c r="D86" s="1238">
        <v>280</v>
      </c>
      <c r="E86" s="1237">
        <v>2453</v>
      </c>
      <c r="F86" s="1238">
        <v>82</v>
      </c>
      <c r="G86" s="1239" t="s">
        <v>1182</v>
      </c>
      <c r="H86" s="1239">
        <v>3.83</v>
      </c>
      <c r="I86" s="1244">
        <v>7.52</v>
      </c>
      <c r="L86" s="765"/>
      <c r="M86" s="765"/>
      <c r="N86" s="765"/>
      <c r="O86" s="765"/>
      <c r="P86" s="765"/>
    </row>
    <row r="87" spans="2:16" s="817" customFormat="1" ht="15" hidden="1" customHeight="1">
      <c r="B87" s="1267">
        <v>38808</v>
      </c>
      <c r="C87" s="1268">
        <v>44</v>
      </c>
      <c r="D87" s="1238">
        <v>630</v>
      </c>
      <c r="E87" s="1237">
        <v>10167</v>
      </c>
      <c r="F87" s="1238">
        <v>363.1</v>
      </c>
      <c r="G87" s="1239" t="s">
        <v>1183</v>
      </c>
      <c r="H87" s="1239">
        <v>3.88</v>
      </c>
      <c r="I87" s="1244">
        <v>7.51</v>
      </c>
      <c r="L87" s="765"/>
      <c r="M87" s="1059"/>
      <c r="N87" s="765"/>
      <c r="O87" s="1059"/>
      <c r="P87" s="1249"/>
    </row>
    <row r="88" spans="2:16" s="817" customFormat="1" ht="15" hidden="1" customHeight="1">
      <c r="B88" s="1267">
        <v>38838</v>
      </c>
      <c r="C88" s="1268">
        <v>15</v>
      </c>
      <c r="D88" s="1238">
        <v>1050</v>
      </c>
      <c r="E88" s="1237">
        <v>10439</v>
      </c>
      <c r="F88" s="1238">
        <v>336.7</v>
      </c>
      <c r="G88" s="1239" t="s">
        <v>1054</v>
      </c>
      <c r="H88" s="1239">
        <v>3.52</v>
      </c>
      <c r="I88" s="1244">
        <v>7.47</v>
      </c>
    </row>
    <row r="89" spans="2:16" s="817" customFormat="1" ht="15" hidden="1" customHeight="1">
      <c r="B89" s="1267">
        <v>38869</v>
      </c>
      <c r="C89" s="1268">
        <v>6</v>
      </c>
      <c r="D89" s="1238">
        <v>625</v>
      </c>
      <c r="E89" s="1237">
        <v>4852</v>
      </c>
      <c r="F89" s="1238">
        <v>194.08</v>
      </c>
      <c r="G89" s="1239" t="s">
        <v>1184</v>
      </c>
      <c r="H89" s="1239">
        <v>3.54</v>
      </c>
      <c r="I89" s="1244">
        <v>7.34</v>
      </c>
    </row>
    <row r="90" spans="2:16" s="817" customFormat="1" ht="15" hidden="1" customHeight="1">
      <c r="B90" s="1267">
        <v>38899</v>
      </c>
      <c r="C90" s="1268">
        <v>25</v>
      </c>
      <c r="D90" s="1238">
        <v>718.5</v>
      </c>
      <c r="E90" s="1237">
        <v>6063.5</v>
      </c>
      <c r="F90" s="1238">
        <v>209.09</v>
      </c>
      <c r="G90" s="1239" t="s">
        <v>1184</v>
      </c>
      <c r="H90" s="1239">
        <v>3.65</v>
      </c>
      <c r="I90" s="1244">
        <v>7.34</v>
      </c>
    </row>
    <row r="91" spans="2:16" s="817" customFormat="1" ht="15" hidden="1" customHeight="1">
      <c r="B91" s="1267">
        <v>38930</v>
      </c>
      <c r="C91" s="1268">
        <v>205</v>
      </c>
      <c r="D91" s="1238">
        <v>1651</v>
      </c>
      <c r="E91" s="1237">
        <v>15286</v>
      </c>
      <c r="F91" s="1238">
        <v>493.09699999999998</v>
      </c>
      <c r="G91" s="1239" t="s">
        <v>1185</v>
      </c>
      <c r="H91" s="1239">
        <v>5.15</v>
      </c>
      <c r="I91" s="1244">
        <v>7.26</v>
      </c>
    </row>
    <row r="92" spans="2:16" s="817" customFormat="1" ht="15" hidden="1" customHeight="1">
      <c r="B92" s="1267">
        <v>38961</v>
      </c>
      <c r="C92" s="1268">
        <v>40</v>
      </c>
      <c r="D92" s="1238">
        <v>1075</v>
      </c>
      <c r="E92" s="1237">
        <v>14115</v>
      </c>
      <c r="F92" s="1238">
        <v>470</v>
      </c>
      <c r="G92" s="1239" t="s">
        <v>1186</v>
      </c>
      <c r="H92" s="1239">
        <v>8.0399999999999991</v>
      </c>
      <c r="I92" s="1244">
        <v>8.7899999999999991</v>
      </c>
    </row>
    <row r="93" spans="2:16" s="817" customFormat="1" ht="15" hidden="1" customHeight="1">
      <c r="B93" s="1267">
        <v>38991</v>
      </c>
      <c r="C93" s="1272">
        <v>450</v>
      </c>
      <c r="D93" s="1238">
        <v>1290</v>
      </c>
      <c r="E93" s="1238">
        <v>24863</v>
      </c>
      <c r="F93" s="1273">
        <v>802</v>
      </c>
      <c r="G93" s="1273" t="s">
        <v>1187</v>
      </c>
      <c r="H93" s="1273">
        <v>10.83</v>
      </c>
      <c r="I93" s="1274">
        <v>10.17</v>
      </c>
    </row>
    <row r="94" spans="2:16" s="817" customFormat="1" ht="15" hidden="1" customHeight="1">
      <c r="B94" s="1267">
        <v>39022</v>
      </c>
      <c r="C94" s="1268">
        <v>197</v>
      </c>
      <c r="D94" s="1238">
        <v>1005</v>
      </c>
      <c r="E94" s="1237">
        <v>17569.5</v>
      </c>
      <c r="F94" s="1238">
        <v>585.65</v>
      </c>
      <c r="G94" s="1239" t="s">
        <v>1188</v>
      </c>
      <c r="H94" s="1239">
        <v>8.98</v>
      </c>
      <c r="I94" s="1244">
        <v>10.66</v>
      </c>
    </row>
    <row r="95" spans="2:16" s="817" customFormat="1" ht="15" hidden="1" customHeight="1">
      <c r="B95" s="1267">
        <v>39052</v>
      </c>
      <c r="C95" s="1268">
        <v>10</v>
      </c>
      <c r="D95" s="1238">
        <v>595</v>
      </c>
      <c r="E95" s="1237">
        <v>6183.5</v>
      </c>
      <c r="F95" s="1238">
        <v>237.8</v>
      </c>
      <c r="G95" s="1239" t="s">
        <v>1189</v>
      </c>
      <c r="H95" s="1239">
        <v>8.86</v>
      </c>
      <c r="I95" s="1244">
        <v>11.84</v>
      </c>
    </row>
    <row r="96" spans="2:16" s="817" customFormat="1" ht="15" hidden="1" customHeight="1">
      <c r="B96" s="1267">
        <v>39083</v>
      </c>
      <c r="C96" s="1268">
        <v>100</v>
      </c>
      <c r="D96" s="1238">
        <v>918</v>
      </c>
      <c r="E96" s="1237">
        <v>13445</v>
      </c>
      <c r="F96" s="1238">
        <v>433.7</v>
      </c>
      <c r="G96" s="1239" t="s">
        <v>1190</v>
      </c>
      <c r="H96" s="1239">
        <v>8.5500000000000007</v>
      </c>
      <c r="I96" s="1244">
        <v>12.99</v>
      </c>
    </row>
    <row r="97" spans="2:12" s="817" customFormat="1" ht="15" hidden="1" customHeight="1">
      <c r="B97" s="1267">
        <v>39114</v>
      </c>
      <c r="C97" s="1268">
        <v>113.5</v>
      </c>
      <c r="D97" s="1238">
        <v>730</v>
      </c>
      <c r="E97" s="1237">
        <v>8733</v>
      </c>
      <c r="F97" s="1238">
        <v>311.89999999999998</v>
      </c>
      <c r="G97" s="1239" t="s">
        <v>1191</v>
      </c>
      <c r="H97" s="1239">
        <v>9.0399999999999991</v>
      </c>
      <c r="I97" s="1244">
        <v>13.25</v>
      </c>
    </row>
    <row r="98" spans="2:12" s="817" customFormat="1" ht="15" hidden="1" customHeight="1">
      <c r="B98" s="1267">
        <v>39142</v>
      </c>
      <c r="C98" s="1272">
        <v>26</v>
      </c>
      <c r="D98" s="1238">
        <v>1094</v>
      </c>
      <c r="E98" s="1238">
        <v>8516</v>
      </c>
      <c r="F98" s="1273">
        <v>284</v>
      </c>
      <c r="G98" s="1273" t="s">
        <v>1192</v>
      </c>
      <c r="H98" s="1273">
        <v>8.31</v>
      </c>
      <c r="I98" s="1274">
        <v>12.11</v>
      </c>
      <c r="K98" s="1275"/>
      <c r="L98" s="1247"/>
    </row>
    <row r="99" spans="2:12" s="817" customFormat="1" ht="15" hidden="1" customHeight="1">
      <c r="B99" s="1267">
        <v>39173</v>
      </c>
      <c r="C99" s="1268">
        <v>18</v>
      </c>
      <c r="D99" s="1238">
        <v>730</v>
      </c>
      <c r="E99" s="1237">
        <v>6819.5</v>
      </c>
      <c r="F99" s="1238">
        <v>227.3</v>
      </c>
      <c r="G99" s="1239" t="s">
        <v>1193</v>
      </c>
      <c r="H99" s="1239">
        <v>8.1</v>
      </c>
      <c r="I99" s="1244">
        <v>11.47</v>
      </c>
      <c r="K99" s="1275"/>
      <c r="L99" s="1247"/>
    </row>
    <row r="100" spans="2:12" s="817" customFormat="1" ht="15" hidden="1" customHeight="1">
      <c r="B100" s="1267">
        <v>39203</v>
      </c>
      <c r="C100" s="1268">
        <v>30</v>
      </c>
      <c r="D100" s="1238">
        <v>1095</v>
      </c>
      <c r="E100" s="1237">
        <v>11416.5</v>
      </c>
      <c r="F100" s="1238">
        <v>368</v>
      </c>
      <c r="G100" s="1239" t="s">
        <v>1192</v>
      </c>
      <c r="H100" s="1239">
        <v>8.3699999999999992</v>
      </c>
      <c r="I100" s="1244">
        <v>11.67</v>
      </c>
      <c r="K100" s="1275"/>
      <c r="L100" s="1247"/>
    </row>
    <row r="101" spans="2:12" s="817" customFormat="1" ht="15" hidden="1" customHeight="1">
      <c r="B101" s="1267">
        <v>39240</v>
      </c>
      <c r="C101" s="1268">
        <v>35</v>
      </c>
      <c r="D101" s="1238">
        <v>520</v>
      </c>
      <c r="E101" s="1237">
        <v>7316</v>
      </c>
      <c r="F101" s="1238">
        <v>252.3</v>
      </c>
      <c r="G101" s="1239" t="s">
        <v>1194</v>
      </c>
      <c r="H101" s="1239">
        <v>8.31</v>
      </c>
      <c r="I101" s="1244">
        <v>11.08</v>
      </c>
      <c r="K101" s="1275"/>
      <c r="L101" s="1247"/>
    </row>
    <row r="102" spans="2:12" s="817" customFormat="1" ht="15" hidden="1" customHeight="1">
      <c r="B102" s="1267">
        <v>39270</v>
      </c>
      <c r="C102" s="1268">
        <v>35</v>
      </c>
      <c r="D102" s="1238">
        <v>1300</v>
      </c>
      <c r="E102" s="1237">
        <v>11424</v>
      </c>
      <c r="F102" s="1238">
        <v>369</v>
      </c>
      <c r="G102" s="1239" t="s">
        <v>1195</v>
      </c>
      <c r="H102" s="1239">
        <v>8.77</v>
      </c>
      <c r="I102" s="1244">
        <v>11.23</v>
      </c>
      <c r="K102" s="1275"/>
      <c r="L102" s="1247"/>
    </row>
    <row r="103" spans="2:12" s="817" customFormat="1" ht="15" hidden="1" customHeight="1">
      <c r="B103" s="1267">
        <v>39301</v>
      </c>
      <c r="C103" s="1268">
        <v>102</v>
      </c>
      <c r="D103" s="1238">
        <v>1355</v>
      </c>
      <c r="E103" s="1237">
        <v>14748</v>
      </c>
      <c r="F103" s="1238">
        <v>508.6</v>
      </c>
      <c r="G103" s="1239" t="s">
        <v>1196</v>
      </c>
      <c r="H103" s="1239">
        <v>8.77</v>
      </c>
      <c r="I103" s="1244">
        <v>10.199999999999999</v>
      </c>
    </row>
    <row r="104" spans="2:12" s="817" customFormat="1" ht="15" hidden="1" customHeight="1">
      <c r="B104" s="1267">
        <v>39332</v>
      </c>
      <c r="C104" s="1268">
        <v>180</v>
      </c>
      <c r="D104" s="1238">
        <v>1355</v>
      </c>
      <c r="E104" s="1237">
        <v>19377</v>
      </c>
      <c r="F104" s="1238">
        <v>645.9</v>
      </c>
      <c r="G104" s="1239" t="s">
        <v>1197</v>
      </c>
      <c r="H104" s="1239">
        <v>8.94</v>
      </c>
      <c r="I104" s="1244">
        <v>9.49</v>
      </c>
    </row>
    <row r="105" spans="2:12" s="817" customFormat="1" ht="15" hidden="1" customHeight="1">
      <c r="B105" s="1267">
        <v>39362</v>
      </c>
      <c r="C105" s="1268">
        <v>20</v>
      </c>
      <c r="D105" s="1238">
        <v>580</v>
      </c>
      <c r="E105" s="1237">
        <v>5229</v>
      </c>
      <c r="F105" s="1238">
        <v>169</v>
      </c>
      <c r="G105" s="1239" t="s">
        <v>1197</v>
      </c>
      <c r="H105" s="1239">
        <v>9.2200000000000006</v>
      </c>
      <c r="I105" s="1244">
        <v>9.24</v>
      </c>
    </row>
    <row r="106" spans="2:12" s="817" customFormat="1" ht="15" hidden="1" customHeight="1">
      <c r="B106" s="1267">
        <v>39393</v>
      </c>
      <c r="C106" s="1268">
        <v>15</v>
      </c>
      <c r="D106" s="1238">
        <v>765</v>
      </c>
      <c r="E106" s="1237">
        <v>7274</v>
      </c>
      <c r="F106" s="1238">
        <v>291</v>
      </c>
      <c r="G106" s="1239" t="s">
        <v>1198</v>
      </c>
      <c r="H106" s="1239">
        <v>8.6</v>
      </c>
      <c r="I106" s="1244">
        <v>9.07</v>
      </c>
    </row>
    <row r="107" spans="2:12" s="817" customFormat="1" ht="15" hidden="1" customHeight="1">
      <c r="B107" s="1267">
        <v>39423</v>
      </c>
      <c r="C107" s="1268">
        <v>50</v>
      </c>
      <c r="D107" s="1238">
        <v>570</v>
      </c>
      <c r="E107" s="1237">
        <v>8113</v>
      </c>
      <c r="F107" s="1238">
        <v>262</v>
      </c>
      <c r="G107" s="1239" t="s">
        <v>1199</v>
      </c>
      <c r="H107" s="1239">
        <v>8.75</v>
      </c>
      <c r="I107" s="1244">
        <v>9.93</v>
      </c>
    </row>
    <row r="108" spans="2:12" s="817" customFormat="1" ht="15" hidden="1" customHeight="1">
      <c r="B108" s="1267">
        <v>39454</v>
      </c>
      <c r="C108" s="1268">
        <v>100</v>
      </c>
      <c r="D108" s="1238">
        <v>494</v>
      </c>
      <c r="E108" s="1237">
        <v>9109</v>
      </c>
      <c r="F108" s="1238">
        <v>293.8</v>
      </c>
      <c r="G108" s="1239" t="s">
        <v>1192</v>
      </c>
      <c r="H108" s="1239">
        <v>8.67</v>
      </c>
      <c r="I108" s="1244">
        <v>9.82</v>
      </c>
    </row>
    <row r="109" spans="2:12" s="817" customFormat="1" ht="15" hidden="1" customHeight="1">
      <c r="B109" s="1267">
        <v>39485</v>
      </c>
      <c r="C109" s="1268">
        <v>210</v>
      </c>
      <c r="D109" s="1238">
        <v>985</v>
      </c>
      <c r="E109" s="1237">
        <v>19697</v>
      </c>
      <c r="F109" s="1238">
        <v>679.2</v>
      </c>
      <c r="G109" s="1239" t="s">
        <v>1200</v>
      </c>
      <c r="H109" s="1239">
        <v>8.0500000000000007</v>
      </c>
      <c r="I109" s="1244">
        <v>8.6300000000000008</v>
      </c>
    </row>
    <row r="110" spans="2:12" s="817" customFormat="1" ht="15" hidden="1" customHeight="1">
      <c r="B110" s="1267">
        <v>39514</v>
      </c>
      <c r="C110" s="1268">
        <v>40</v>
      </c>
      <c r="D110" s="1238">
        <v>1270</v>
      </c>
      <c r="E110" s="1237">
        <v>16270</v>
      </c>
      <c r="F110" s="1238">
        <v>524.79999999999995</v>
      </c>
      <c r="G110" s="1239" t="s">
        <v>1201</v>
      </c>
      <c r="H110" s="1239">
        <v>7.48</v>
      </c>
      <c r="I110" s="1244">
        <v>7.6</v>
      </c>
    </row>
    <row r="111" spans="2:12" s="817" customFormat="1" ht="15" hidden="1" customHeight="1">
      <c r="B111" s="1267">
        <v>39545</v>
      </c>
      <c r="C111" s="1268">
        <v>23</v>
      </c>
      <c r="D111" s="1238">
        <v>673</v>
      </c>
      <c r="E111" s="1237">
        <v>3832</v>
      </c>
      <c r="F111" s="1238">
        <v>128</v>
      </c>
      <c r="G111" s="1239" t="s">
        <v>1202</v>
      </c>
      <c r="H111" s="1239">
        <v>6.84</v>
      </c>
      <c r="I111" s="1244">
        <v>7.49</v>
      </c>
    </row>
    <row r="112" spans="2:12" s="817" customFormat="1" ht="15" hidden="1" customHeight="1">
      <c r="B112" s="1267">
        <v>39575</v>
      </c>
      <c r="C112" s="1268">
        <v>35</v>
      </c>
      <c r="D112" s="1238">
        <v>750</v>
      </c>
      <c r="E112" s="1237">
        <v>11303</v>
      </c>
      <c r="F112" s="1238">
        <v>364.61</v>
      </c>
      <c r="G112" s="1239" t="s">
        <v>1203</v>
      </c>
      <c r="H112" s="1239">
        <v>6.67</v>
      </c>
      <c r="I112" s="1244">
        <v>7.34</v>
      </c>
    </row>
    <row r="113" spans="2:9" s="817" customFormat="1" ht="15" hidden="1" customHeight="1">
      <c r="B113" s="1267">
        <v>39606</v>
      </c>
      <c r="C113" s="1268">
        <v>79</v>
      </c>
      <c r="D113" s="1238">
        <v>1014</v>
      </c>
      <c r="E113" s="1237">
        <v>9849</v>
      </c>
      <c r="F113" s="1238">
        <v>328.3</v>
      </c>
      <c r="G113" s="1239" t="s">
        <v>1204</v>
      </c>
      <c r="H113" s="1239">
        <v>6.54</v>
      </c>
      <c r="I113" s="1244">
        <v>7.35</v>
      </c>
    </row>
    <row r="114" spans="2:9" s="817" customFormat="1" ht="15" hidden="1" customHeight="1">
      <c r="B114" s="1267">
        <v>39636</v>
      </c>
      <c r="C114" s="1268">
        <v>120</v>
      </c>
      <c r="D114" s="1238">
        <v>2085</v>
      </c>
      <c r="E114" s="1237">
        <v>23482</v>
      </c>
      <c r="F114" s="1238">
        <v>757.5</v>
      </c>
      <c r="G114" s="1239" t="s">
        <v>1205</v>
      </c>
      <c r="H114" s="1239">
        <v>6.82</v>
      </c>
      <c r="I114" s="1244">
        <v>7.37</v>
      </c>
    </row>
    <row r="115" spans="2:9" s="817" customFormat="1" ht="15" hidden="1" customHeight="1">
      <c r="B115" s="1267">
        <v>39667</v>
      </c>
      <c r="C115" s="1268">
        <v>15</v>
      </c>
      <c r="D115" s="1238">
        <v>975</v>
      </c>
      <c r="E115" s="1237">
        <v>10122</v>
      </c>
      <c r="F115" s="1238">
        <v>326.52</v>
      </c>
      <c r="G115" s="1239" t="s">
        <v>1143</v>
      </c>
      <c r="H115" s="1239">
        <v>6.78</v>
      </c>
      <c r="I115" s="1244">
        <v>7.83</v>
      </c>
    </row>
    <row r="116" spans="2:9" s="817" customFormat="1" ht="15" hidden="1" customHeight="1">
      <c r="B116" s="1267">
        <v>39698</v>
      </c>
      <c r="C116" s="1268">
        <v>650</v>
      </c>
      <c r="D116" s="1238">
        <v>2070</v>
      </c>
      <c r="E116" s="1237">
        <v>39405</v>
      </c>
      <c r="F116" s="1238">
        <v>1313.5</v>
      </c>
      <c r="G116" s="1239" t="s">
        <v>1206</v>
      </c>
      <c r="H116" s="1239">
        <v>8.9700000000000006</v>
      </c>
      <c r="I116" s="1244">
        <v>8.6999999999999993</v>
      </c>
    </row>
    <row r="117" spans="2:9" s="817" customFormat="1" ht="15" hidden="1" customHeight="1">
      <c r="B117" s="1267">
        <v>39728</v>
      </c>
      <c r="C117" s="1268">
        <v>125</v>
      </c>
      <c r="D117" s="1238">
        <v>2310</v>
      </c>
      <c r="E117" s="1237">
        <v>25466</v>
      </c>
      <c r="F117" s="1238">
        <v>821</v>
      </c>
      <c r="G117" s="1239" t="s">
        <v>1207</v>
      </c>
      <c r="H117" s="1239">
        <v>8.94</v>
      </c>
      <c r="I117" s="1244">
        <v>9.39</v>
      </c>
    </row>
    <row r="118" spans="2:9" s="817" customFormat="1" ht="15" hidden="1" customHeight="1">
      <c r="B118" s="1267">
        <v>39759</v>
      </c>
      <c r="C118" s="1268">
        <v>59</v>
      </c>
      <c r="D118" s="1238">
        <v>1324</v>
      </c>
      <c r="E118" s="1237">
        <v>14905</v>
      </c>
      <c r="F118" s="1238">
        <v>496.84</v>
      </c>
      <c r="G118" s="1239" t="s">
        <v>1206</v>
      </c>
      <c r="H118" s="1239">
        <v>8.89</v>
      </c>
      <c r="I118" s="1244">
        <v>9.2799999999999994</v>
      </c>
    </row>
    <row r="119" spans="2:9" s="817" customFormat="1" ht="15" hidden="1" customHeight="1">
      <c r="B119" s="1267">
        <v>39789</v>
      </c>
      <c r="C119" s="1268">
        <v>19.34</v>
      </c>
      <c r="D119" s="1238">
        <v>1549.34</v>
      </c>
      <c r="E119" s="1237">
        <v>12040.54</v>
      </c>
      <c r="F119" s="1238">
        <v>388.4</v>
      </c>
      <c r="G119" s="1239" t="s">
        <v>1208</v>
      </c>
      <c r="H119" s="1239">
        <v>7.24</v>
      </c>
      <c r="I119" s="1244">
        <v>9.06</v>
      </c>
    </row>
    <row r="120" spans="2:9" s="817" customFormat="1" ht="15" hidden="1" customHeight="1">
      <c r="B120" s="1267">
        <v>39820</v>
      </c>
      <c r="C120" s="1268">
        <v>14.5</v>
      </c>
      <c r="D120" s="1238">
        <v>1504.34</v>
      </c>
      <c r="E120" s="1237">
        <v>19368.099999999999</v>
      </c>
      <c r="F120" s="1238">
        <v>624.78</v>
      </c>
      <c r="G120" s="1239" t="s">
        <v>1209</v>
      </c>
      <c r="H120" s="1239">
        <v>6.96</v>
      </c>
      <c r="I120" s="1244">
        <v>8.2100000000000009</v>
      </c>
    </row>
    <row r="121" spans="2:9" s="817" customFormat="1" ht="15" hidden="1" customHeight="1">
      <c r="B121" s="1267">
        <v>39851</v>
      </c>
      <c r="C121" s="1268">
        <v>4.5</v>
      </c>
      <c r="D121" s="1238">
        <v>1229.5</v>
      </c>
      <c r="E121" s="1237">
        <v>11511</v>
      </c>
      <c r="F121" s="1238">
        <v>411</v>
      </c>
      <c r="G121" s="1239" t="s">
        <v>1210</v>
      </c>
      <c r="H121" s="1239">
        <v>6.53</v>
      </c>
      <c r="I121" s="1244">
        <v>7.17</v>
      </c>
    </row>
    <row r="122" spans="2:9" s="817" customFormat="1" ht="15" hidden="1" customHeight="1">
      <c r="B122" s="1267">
        <v>39879</v>
      </c>
      <c r="C122" s="1268">
        <v>5</v>
      </c>
      <c r="D122" s="1238">
        <v>1020</v>
      </c>
      <c r="E122" s="1237">
        <v>12544.5</v>
      </c>
      <c r="F122" s="1238">
        <v>404.7</v>
      </c>
      <c r="G122" s="1239" t="s">
        <v>1211</v>
      </c>
      <c r="H122" s="1239">
        <v>5.77</v>
      </c>
      <c r="I122" s="1244">
        <v>6.31</v>
      </c>
    </row>
    <row r="123" spans="2:9" s="817" customFormat="1" ht="15" hidden="1" customHeight="1">
      <c r="B123" s="1267">
        <v>39910</v>
      </c>
      <c r="C123" s="1268">
        <v>44.5</v>
      </c>
      <c r="D123" s="1238">
        <v>619.5</v>
      </c>
      <c r="E123" s="1237">
        <v>9119.5</v>
      </c>
      <c r="F123" s="1238">
        <v>303.98</v>
      </c>
      <c r="G123" s="1239" t="s">
        <v>1212</v>
      </c>
      <c r="H123" s="1239">
        <v>4.8099999999999996</v>
      </c>
      <c r="I123" s="1244">
        <v>5.0999999999999996</v>
      </c>
    </row>
    <row r="124" spans="2:9" s="817" customFormat="1" ht="15" hidden="1" customHeight="1">
      <c r="B124" s="1267">
        <v>39940</v>
      </c>
      <c r="C124" s="1268">
        <v>144.5</v>
      </c>
      <c r="D124" s="1238">
        <v>839.5</v>
      </c>
      <c r="E124" s="1237">
        <v>10281.5</v>
      </c>
      <c r="F124" s="1238">
        <v>331.66</v>
      </c>
      <c r="G124" s="1239" t="s">
        <v>1213</v>
      </c>
      <c r="H124" s="1239">
        <v>4.7</v>
      </c>
      <c r="I124" s="1244">
        <v>4.8099999999999996</v>
      </c>
    </row>
    <row r="125" spans="2:9" s="817" customFormat="1" ht="15" hidden="1" customHeight="1">
      <c r="B125" s="1267">
        <v>39971</v>
      </c>
      <c r="C125" s="1268">
        <v>104.5</v>
      </c>
      <c r="D125" s="1238">
        <v>1119.5</v>
      </c>
      <c r="E125" s="1237">
        <v>11690</v>
      </c>
      <c r="F125" s="1238">
        <v>389.67</v>
      </c>
      <c r="G125" s="1239" t="s">
        <v>1214</v>
      </c>
      <c r="H125" s="1239">
        <v>4.28</v>
      </c>
      <c r="I125" s="1244">
        <v>4.75</v>
      </c>
    </row>
    <row r="126" spans="2:9" s="817" customFormat="1" ht="15" hidden="1" customHeight="1">
      <c r="B126" s="1267">
        <v>40001</v>
      </c>
      <c r="C126" s="1268">
        <v>4.66</v>
      </c>
      <c r="D126" s="1238">
        <v>864.5</v>
      </c>
      <c r="E126" s="1237">
        <v>10376.1</v>
      </c>
      <c r="F126" s="1238">
        <v>334.71</v>
      </c>
      <c r="G126" s="1239" t="s">
        <v>1214</v>
      </c>
      <c r="H126" s="1239">
        <v>4.05</v>
      </c>
      <c r="I126" s="1244">
        <v>4.6900000000000004</v>
      </c>
    </row>
    <row r="127" spans="2:9" s="817" customFormat="1" ht="15" hidden="1" customHeight="1">
      <c r="B127" s="1267">
        <v>40032</v>
      </c>
      <c r="C127" s="1268">
        <v>70</v>
      </c>
      <c r="D127" s="1238">
        <v>1444.6</v>
      </c>
      <c r="E127" s="1237">
        <v>16163.6</v>
      </c>
      <c r="F127" s="1238">
        <v>577.27</v>
      </c>
      <c r="G127" s="1239" t="s">
        <v>1215</v>
      </c>
      <c r="H127" s="1239">
        <v>4.0199999999999996</v>
      </c>
      <c r="I127" s="1244">
        <v>4.51</v>
      </c>
    </row>
    <row r="128" spans="2:9" s="817" customFormat="1" ht="15" hidden="1" customHeight="1">
      <c r="B128" s="1267">
        <v>40063</v>
      </c>
      <c r="C128" s="1268">
        <v>100</v>
      </c>
      <c r="D128" s="1238">
        <v>1090</v>
      </c>
      <c r="E128" s="1237">
        <v>16460</v>
      </c>
      <c r="F128" s="1238">
        <v>549</v>
      </c>
      <c r="G128" s="1239" t="s">
        <v>1056</v>
      </c>
      <c r="H128" s="1239">
        <v>4.0599999999999996</v>
      </c>
      <c r="I128" s="1244">
        <v>4.4400000000000004</v>
      </c>
    </row>
    <row r="129" spans="2:9" s="817" customFormat="1" ht="15" hidden="1" customHeight="1">
      <c r="B129" s="1267">
        <v>40093</v>
      </c>
      <c r="C129" s="1268">
        <v>175</v>
      </c>
      <c r="D129" s="1238">
        <v>1255</v>
      </c>
      <c r="E129" s="1237">
        <v>14700</v>
      </c>
      <c r="F129" s="1238">
        <v>474.19</v>
      </c>
      <c r="G129" s="1239" t="s">
        <v>1056</v>
      </c>
      <c r="H129" s="1239">
        <v>4.04</v>
      </c>
      <c r="I129" s="1244">
        <v>4.7300000000000004</v>
      </c>
    </row>
    <row r="130" spans="2:9" s="817" customFormat="1" ht="15" hidden="1" customHeight="1">
      <c r="B130" s="1267">
        <v>40124</v>
      </c>
      <c r="C130" s="1268">
        <v>55</v>
      </c>
      <c r="D130" s="1238">
        <v>895</v>
      </c>
      <c r="E130" s="1237">
        <v>13796</v>
      </c>
      <c r="F130" s="1238">
        <v>459.87</v>
      </c>
      <c r="G130" s="1239" t="s">
        <v>1216</v>
      </c>
      <c r="H130" s="1239">
        <v>4.0199999999999996</v>
      </c>
      <c r="I130" s="1244">
        <v>4.53</v>
      </c>
    </row>
    <row r="131" spans="2:9" s="817" customFormat="1" ht="15" hidden="1" customHeight="1">
      <c r="B131" s="1267">
        <v>40148</v>
      </c>
      <c r="C131" s="1268">
        <v>75</v>
      </c>
      <c r="D131" s="1238">
        <v>1932.5</v>
      </c>
      <c r="E131" s="1237">
        <v>23618.5</v>
      </c>
      <c r="F131" s="1238">
        <v>761.89</v>
      </c>
      <c r="G131" s="1239" t="s">
        <v>1217</v>
      </c>
      <c r="H131" s="1239">
        <v>4.26</v>
      </c>
      <c r="I131" s="1244">
        <v>4.4000000000000004</v>
      </c>
    </row>
    <row r="132" spans="2:9" s="817" customFormat="1" ht="15" hidden="1" customHeight="1">
      <c r="B132" s="1267">
        <v>40179</v>
      </c>
      <c r="C132" s="1268">
        <v>70.400000000000006</v>
      </c>
      <c r="D132" s="1238">
        <v>1245.4000000000001</v>
      </c>
      <c r="E132" s="1237">
        <v>16488.2</v>
      </c>
      <c r="F132" s="1238">
        <v>531.88</v>
      </c>
      <c r="G132" s="1239" t="s">
        <v>1217</v>
      </c>
      <c r="H132" s="1239">
        <v>4.26</v>
      </c>
      <c r="I132" s="1244">
        <v>4.51</v>
      </c>
    </row>
    <row r="133" spans="2:9" s="817" customFormat="1" ht="15" hidden="1" customHeight="1">
      <c r="B133" s="1267">
        <v>40210</v>
      </c>
      <c r="C133" s="1268">
        <v>70.400000000000006</v>
      </c>
      <c r="D133" s="1238">
        <v>1245</v>
      </c>
      <c r="E133" s="1237">
        <v>16179.2</v>
      </c>
      <c r="F133" s="1238">
        <v>577.83000000000004</v>
      </c>
      <c r="G133" s="1239" t="s">
        <v>1218</v>
      </c>
      <c r="H133" s="1239">
        <v>3.91</v>
      </c>
      <c r="I133" s="1244">
        <v>4.5</v>
      </c>
    </row>
    <row r="134" spans="2:9" s="817" customFormat="1" ht="15" hidden="1" customHeight="1">
      <c r="B134" s="1267">
        <v>40238</v>
      </c>
      <c r="C134" s="1268">
        <v>20.399999999999999</v>
      </c>
      <c r="D134" s="1238">
        <v>800.4</v>
      </c>
      <c r="E134" s="1237">
        <v>4135.3999999999996</v>
      </c>
      <c r="F134" s="1238">
        <v>133.4</v>
      </c>
      <c r="G134" s="1239" t="s">
        <v>1219</v>
      </c>
      <c r="H134" s="1239">
        <v>3.88</v>
      </c>
      <c r="I134" s="1244">
        <v>4.3099999999999996</v>
      </c>
    </row>
    <row r="135" spans="2:9" s="817" customFormat="1" ht="15" hidden="1" customHeight="1">
      <c r="B135" s="1267">
        <v>40269</v>
      </c>
      <c r="C135" s="1268">
        <v>20.399999999999999</v>
      </c>
      <c r="D135" s="1238">
        <v>655.4</v>
      </c>
      <c r="E135" s="1237">
        <v>7522</v>
      </c>
      <c r="F135" s="1238">
        <v>250.73</v>
      </c>
      <c r="G135" s="1239" t="s">
        <v>1220</v>
      </c>
      <c r="H135" s="1239">
        <v>3.94</v>
      </c>
      <c r="I135" s="1244">
        <v>4.51</v>
      </c>
    </row>
    <row r="136" spans="2:9" s="817" customFormat="1" ht="15" hidden="1" customHeight="1">
      <c r="B136" s="1267">
        <v>40299</v>
      </c>
      <c r="C136" s="1268">
        <v>20.399999999999999</v>
      </c>
      <c r="D136" s="1238">
        <v>915.4</v>
      </c>
      <c r="E136" s="1237">
        <v>9407.4</v>
      </c>
      <c r="F136" s="1238">
        <v>303.45999999999998</v>
      </c>
      <c r="G136" s="1239" t="s">
        <v>1219</v>
      </c>
      <c r="H136" s="1239">
        <v>3.74</v>
      </c>
      <c r="I136" s="1244">
        <v>4.04</v>
      </c>
    </row>
    <row r="137" spans="2:9" s="817" customFormat="1" ht="15" hidden="1" customHeight="1">
      <c r="B137" s="1267">
        <v>40330</v>
      </c>
      <c r="C137" s="1268">
        <v>20.399999999999999</v>
      </c>
      <c r="D137" s="1238">
        <v>1515.4</v>
      </c>
      <c r="E137" s="1237">
        <v>10598</v>
      </c>
      <c r="F137" s="1238">
        <v>353.3</v>
      </c>
      <c r="G137" s="1239" t="s">
        <v>1221</v>
      </c>
      <c r="H137" s="1239">
        <v>3.36</v>
      </c>
      <c r="I137" s="1244">
        <v>3.47</v>
      </c>
    </row>
    <row r="138" spans="2:9" s="817" customFormat="1" ht="15" hidden="1" customHeight="1">
      <c r="B138" s="1267">
        <v>40360</v>
      </c>
      <c r="C138" s="1268">
        <v>5</v>
      </c>
      <c r="D138" s="1238">
        <v>1150</v>
      </c>
      <c r="E138" s="1237">
        <v>7431</v>
      </c>
      <c r="F138" s="1238">
        <v>239.71</v>
      </c>
      <c r="G138" s="1239" t="s">
        <v>1222</v>
      </c>
      <c r="H138" s="1239">
        <v>3.45</v>
      </c>
      <c r="I138" s="1244">
        <v>3.87</v>
      </c>
    </row>
    <row r="139" spans="2:9" s="817" customFormat="1" ht="15" hidden="1" customHeight="1">
      <c r="B139" s="1267">
        <v>40391</v>
      </c>
      <c r="C139" s="1268">
        <v>15</v>
      </c>
      <c r="D139" s="1238">
        <v>360</v>
      </c>
      <c r="E139" s="1237">
        <v>2422</v>
      </c>
      <c r="F139" s="1238">
        <v>100.92</v>
      </c>
      <c r="G139" s="1239" t="s">
        <v>1223</v>
      </c>
      <c r="H139" s="1239">
        <v>2.52</v>
      </c>
      <c r="I139" s="1244">
        <v>3.02</v>
      </c>
    </row>
    <row r="140" spans="2:9" s="817" customFormat="1" ht="15" hidden="1" customHeight="1">
      <c r="B140" s="1267">
        <v>40422</v>
      </c>
      <c r="C140" s="1268">
        <v>60</v>
      </c>
      <c r="D140" s="1238">
        <v>490</v>
      </c>
      <c r="E140" s="1237">
        <v>7090</v>
      </c>
      <c r="F140" s="1238">
        <v>253</v>
      </c>
      <c r="G140" s="1239" t="s">
        <v>1224</v>
      </c>
      <c r="H140" s="1239">
        <v>2.0699999999999998</v>
      </c>
      <c r="I140" s="1244">
        <v>2.73</v>
      </c>
    </row>
    <row r="141" spans="2:9" s="817" customFormat="1" ht="15" hidden="1" customHeight="1">
      <c r="B141" s="1267">
        <v>40452</v>
      </c>
      <c r="C141" s="1268">
        <v>95</v>
      </c>
      <c r="D141" s="1238">
        <v>670</v>
      </c>
      <c r="E141" s="1237">
        <v>11070</v>
      </c>
      <c r="F141" s="1238">
        <v>357.1</v>
      </c>
      <c r="G141" s="1239" t="s">
        <v>1225</v>
      </c>
      <c r="H141" s="1239">
        <v>2.27</v>
      </c>
      <c r="I141" s="1244">
        <v>4.3099999999999996</v>
      </c>
    </row>
    <row r="142" spans="2:9" s="817" customFormat="1" ht="15" hidden="1" customHeight="1">
      <c r="B142" s="1267">
        <v>40483</v>
      </c>
      <c r="C142" s="1268">
        <v>157</v>
      </c>
      <c r="D142" s="1238">
        <v>730</v>
      </c>
      <c r="E142" s="1237">
        <v>9951</v>
      </c>
      <c r="F142" s="1238">
        <v>331.7</v>
      </c>
      <c r="G142" s="1239" t="s">
        <v>1224</v>
      </c>
      <c r="H142" s="1239">
        <v>2.17</v>
      </c>
      <c r="I142" s="1244">
        <v>3.95</v>
      </c>
    </row>
    <row r="143" spans="2:9" s="817" customFormat="1" ht="15" hidden="1" customHeight="1">
      <c r="B143" s="1267">
        <v>40513</v>
      </c>
      <c r="C143" s="1268">
        <v>235</v>
      </c>
      <c r="D143" s="1238">
        <v>772</v>
      </c>
      <c r="E143" s="1237">
        <v>15575</v>
      </c>
      <c r="F143" s="1238">
        <v>502.4</v>
      </c>
      <c r="G143" s="1239" t="s">
        <v>1226</v>
      </c>
      <c r="H143" s="1239">
        <v>2.04</v>
      </c>
      <c r="I143" s="1244">
        <v>3.11</v>
      </c>
    </row>
    <row r="144" spans="2:9" s="817" customFormat="1" ht="15" hidden="1" customHeight="1">
      <c r="B144" s="1267">
        <v>40544</v>
      </c>
      <c r="C144" s="1268">
        <v>220</v>
      </c>
      <c r="D144" s="1238">
        <v>985</v>
      </c>
      <c r="E144" s="1237">
        <v>14845</v>
      </c>
      <c r="F144" s="1238">
        <v>478.87</v>
      </c>
      <c r="G144" s="1239" t="s">
        <v>1227</v>
      </c>
      <c r="H144" s="1239">
        <v>2.0099999999999998</v>
      </c>
      <c r="I144" s="1244">
        <v>3.02</v>
      </c>
    </row>
    <row r="145" spans="2:9" s="817" customFormat="1" ht="15" hidden="1" customHeight="1">
      <c r="B145" s="1267">
        <v>40575</v>
      </c>
      <c r="C145" s="1268">
        <v>335</v>
      </c>
      <c r="D145" s="1238">
        <v>2350</v>
      </c>
      <c r="E145" s="1237">
        <v>25115</v>
      </c>
      <c r="F145" s="1238">
        <v>896.96</v>
      </c>
      <c r="G145" s="1239" t="s">
        <v>1228</v>
      </c>
      <c r="H145" s="1239">
        <v>1.86</v>
      </c>
      <c r="I145" s="1244">
        <v>2.83</v>
      </c>
    </row>
    <row r="146" spans="2:9" s="817" customFormat="1" ht="15" hidden="1" customHeight="1">
      <c r="B146" s="1267">
        <v>40603</v>
      </c>
      <c r="C146" s="1268">
        <v>20</v>
      </c>
      <c r="D146" s="1238">
        <v>2420</v>
      </c>
      <c r="E146" s="1237">
        <v>16505</v>
      </c>
      <c r="F146" s="1238">
        <v>611</v>
      </c>
      <c r="G146" s="1239" t="s">
        <v>1229</v>
      </c>
      <c r="H146" s="1239">
        <v>1.64</v>
      </c>
      <c r="I146" s="1244">
        <v>2.41</v>
      </c>
    </row>
    <row r="147" spans="2:9" s="817" customFormat="1" ht="15" hidden="1" customHeight="1">
      <c r="B147" s="1267">
        <v>40634</v>
      </c>
      <c r="C147" s="1268">
        <v>630</v>
      </c>
      <c r="D147" s="1238">
        <v>2200</v>
      </c>
      <c r="E147" s="1237">
        <v>40323</v>
      </c>
      <c r="F147" s="1238">
        <v>1344</v>
      </c>
      <c r="G147" s="1239" t="s">
        <v>1230</v>
      </c>
      <c r="H147" s="1239">
        <v>1.51</v>
      </c>
      <c r="I147" s="1244">
        <v>4.12</v>
      </c>
    </row>
    <row r="148" spans="2:9" s="817" customFormat="1" ht="15" hidden="1" customHeight="1">
      <c r="B148" s="1267">
        <v>40664</v>
      </c>
      <c r="C148" s="1268">
        <v>100</v>
      </c>
      <c r="D148" s="1238">
        <v>1975</v>
      </c>
      <c r="E148" s="1237">
        <v>25594</v>
      </c>
      <c r="F148" s="1238">
        <v>947.93</v>
      </c>
      <c r="G148" s="1239" t="s">
        <v>1231</v>
      </c>
      <c r="H148" s="1239">
        <v>1.4</v>
      </c>
      <c r="I148" s="1244">
        <v>4.0599999999999996</v>
      </c>
    </row>
    <row r="149" spans="2:9" s="817" customFormat="1" ht="15" hidden="1" customHeight="1">
      <c r="B149" s="1267">
        <v>40695</v>
      </c>
      <c r="C149" s="1268">
        <v>100</v>
      </c>
      <c r="D149" s="1238">
        <v>1595</v>
      </c>
      <c r="E149" s="1237">
        <v>15057</v>
      </c>
      <c r="F149" s="1238">
        <v>501.9</v>
      </c>
      <c r="G149" s="1239" t="s">
        <v>1232</v>
      </c>
      <c r="H149" s="1239">
        <v>2.63</v>
      </c>
      <c r="I149" s="1244">
        <v>4.29</v>
      </c>
    </row>
    <row r="150" spans="2:9" s="817" customFormat="1" ht="15" hidden="1" customHeight="1">
      <c r="B150" s="1267">
        <v>40725</v>
      </c>
      <c r="C150" s="1268">
        <v>425</v>
      </c>
      <c r="D150" s="1238">
        <v>1525</v>
      </c>
      <c r="E150" s="1237">
        <v>34075</v>
      </c>
      <c r="F150" s="1238">
        <v>1099.19</v>
      </c>
      <c r="G150" s="1239" t="s">
        <v>1233</v>
      </c>
      <c r="H150" s="1239">
        <v>1.95</v>
      </c>
      <c r="I150" s="1244">
        <v>4.41</v>
      </c>
    </row>
    <row r="151" spans="2:9" s="817" customFormat="1" ht="15" hidden="1" customHeight="1">
      <c r="B151" s="1267">
        <v>40756</v>
      </c>
      <c r="C151" s="1268">
        <v>25</v>
      </c>
      <c r="D151" s="1238">
        <v>1895</v>
      </c>
      <c r="E151" s="1237">
        <v>34690</v>
      </c>
      <c r="F151" s="1238">
        <v>1156.33</v>
      </c>
      <c r="G151" s="1239" t="s">
        <v>1234</v>
      </c>
      <c r="H151" s="1239">
        <v>3.58</v>
      </c>
      <c r="I151" s="1244">
        <v>4.3899999999999997</v>
      </c>
    </row>
    <row r="152" spans="2:9" s="817" customFormat="1" ht="15" hidden="1" customHeight="1">
      <c r="B152" s="1267">
        <v>40787</v>
      </c>
      <c r="C152" s="1268">
        <v>40</v>
      </c>
      <c r="D152" s="1238">
        <v>2025</v>
      </c>
      <c r="E152" s="1237">
        <v>15795</v>
      </c>
      <c r="F152" s="1238">
        <v>658.13</v>
      </c>
      <c r="G152" s="1239" t="s">
        <v>1235</v>
      </c>
      <c r="H152" s="1239">
        <v>3.27</v>
      </c>
      <c r="I152" s="1244">
        <v>4.46</v>
      </c>
    </row>
    <row r="153" spans="2:9" s="817" customFormat="1" ht="15" hidden="1" customHeight="1">
      <c r="B153" s="1267">
        <v>40817</v>
      </c>
      <c r="C153" s="1268">
        <v>100</v>
      </c>
      <c r="D153" s="1238">
        <v>2105</v>
      </c>
      <c r="E153" s="1237">
        <v>31715</v>
      </c>
      <c r="F153" s="1238">
        <v>1023.06</v>
      </c>
      <c r="G153" s="1239" t="s">
        <v>1236</v>
      </c>
      <c r="H153" s="1239">
        <v>2.61</v>
      </c>
      <c r="I153" s="1244">
        <v>4.43</v>
      </c>
    </row>
    <row r="154" spans="2:9" s="817" customFormat="1" ht="15" hidden="1" customHeight="1">
      <c r="B154" s="1267">
        <v>40848</v>
      </c>
      <c r="C154" s="1268">
        <v>50</v>
      </c>
      <c r="D154" s="1238">
        <v>2480</v>
      </c>
      <c r="E154" s="1237">
        <v>40844</v>
      </c>
      <c r="F154" s="1238">
        <v>1361</v>
      </c>
      <c r="G154" s="1239" t="s">
        <v>1179</v>
      </c>
      <c r="H154" s="1239">
        <v>2.96</v>
      </c>
      <c r="I154" s="1244">
        <v>4.42</v>
      </c>
    </row>
    <row r="155" spans="2:9" s="817" customFormat="1" ht="15" hidden="1" customHeight="1">
      <c r="B155" s="1267">
        <v>40878</v>
      </c>
      <c r="C155" s="1268">
        <v>30</v>
      </c>
      <c r="D155" s="1238">
        <v>2125</v>
      </c>
      <c r="E155" s="1237">
        <v>30845</v>
      </c>
      <c r="F155" s="1238">
        <v>1186.3499999999999</v>
      </c>
      <c r="G155" s="1239" t="s">
        <v>1237</v>
      </c>
      <c r="H155" s="1239">
        <v>3.32</v>
      </c>
      <c r="I155" s="1244">
        <v>4.5199999999999996</v>
      </c>
    </row>
    <row r="156" spans="2:9" s="817" customFormat="1" ht="15" hidden="1" customHeight="1">
      <c r="B156" s="1267">
        <v>40909</v>
      </c>
      <c r="C156" s="1268">
        <v>110</v>
      </c>
      <c r="D156" s="1238">
        <v>1065</v>
      </c>
      <c r="E156" s="1237">
        <v>10195</v>
      </c>
      <c r="F156" s="1238">
        <v>407.8</v>
      </c>
      <c r="G156" s="1239" t="s">
        <v>1238</v>
      </c>
      <c r="H156" s="1239">
        <v>2.4</v>
      </c>
      <c r="I156" s="1244">
        <v>4.33</v>
      </c>
    </row>
    <row r="157" spans="2:9" s="817" customFormat="1" ht="15" customHeight="1">
      <c r="B157" s="1267">
        <v>40940</v>
      </c>
      <c r="C157" s="1268">
        <v>45</v>
      </c>
      <c r="D157" s="1238">
        <v>1485</v>
      </c>
      <c r="E157" s="1237">
        <v>17085</v>
      </c>
      <c r="F157" s="1238">
        <v>589.14</v>
      </c>
      <c r="G157" s="1239" t="s">
        <v>1239</v>
      </c>
      <c r="H157" s="1239">
        <v>2.34</v>
      </c>
      <c r="I157" s="1244">
        <v>4.22</v>
      </c>
    </row>
    <row r="158" spans="2:9" s="817" customFormat="1" ht="15" customHeight="1">
      <c r="B158" s="1267">
        <v>40969</v>
      </c>
      <c r="C158" s="1268">
        <v>40</v>
      </c>
      <c r="D158" s="1238">
        <v>1155</v>
      </c>
      <c r="E158" s="1237">
        <v>9890</v>
      </c>
      <c r="F158" s="1238">
        <v>353.21</v>
      </c>
      <c r="G158" s="1239" t="s">
        <v>1240</v>
      </c>
      <c r="H158" s="1239">
        <v>1.97</v>
      </c>
      <c r="I158" s="1244">
        <v>4.0999999999999996</v>
      </c>
    </row>
    <row r="159" spans="2:9" s="817" customFormat="1" ht="15" customHeight="1">
      <c r="B159" s="1267">
        <v>41000</v>
      </c>
      <c r="C159" s="1268">
        <v>170</v>
      </c>
      <c r="D159" s="1238">
        <v>1685</v>
      </c>
      <c r="E159" s="1237">
        <v>22085</v>
      </c>
      <c r="F159" s="1238">
        <v>736.17</v>
      </c>
      <c r="G159" s="1239" t="s">
        <v>1241</v>
      </c>
      <c r="H159" s="1239">
        <v>1.87</v>
      </c>
      <c r="I159" s="1244">
        <v>3.7</v>
      </c>
    </row>
    <row r="160" spans="2:9" s="817" customFormat="1" ht="15" customHeight="1">
      <c r="B160" s="1267">
        <v>41030</v>
      </c>
      <c r="C160" s="1268">
        <v>50</v>
      </c>
      <c r="D160" s="1238">
        <v>1680</v>
      </c>
      <c r="E160" s="1237">
        <v>15635</v>
      </c>
      <c r="F160" s="1238">
        <v>504.35</v>
      </c>
      <c r="G160" s="1239" t="s">
        <v>1242</v>
      </c>
      <c r="H160" s="1239">
        <v>1.59</v>
      </c>
      <c r="I160" s="1244">
        <v>3.64</v>
      </c>
    </row>
    <row r="161" spans="2:9" s="817" customFormat="1" ht="15" customHeight="1">
      <c r="B161" s="1267">
        <v>41061</v>
      </c>
      <c r="C161" s="1268">
        <v>140</v>
      </c>
      <c r="D161" s="1238">
        <v>2230</v>
      </c>
      <c r="E161" s="1237">
        <v>27510</v>
      </c>
      <c r="F161" s="1238">
        <v>917</v>
      </c>
      <c r="G161" s="1239" t="s">
        <v>1243</v>
      </c>
      <c r="H161" s="1239">
        <v>1.75</v>
      </c>
      <c r="I161" s="1244">
        <v>3.51</v>
      </c>
    </row>
    <row r="162" spans="2:9" s="817" customFormat="1" ht="15" customHeight="1">
      <c r="B162" s="1267">
        <v>41091</v>
      </c>
      <c r="C162" s="1268">
        <v>25</v>
      </c>
      <c r="D162" s="1238">
        <v>1625</v>
      </c>
      <c r="E162" s="1237">
        <v>15695</v>
      </c>
      <c r="F162" s="1238">
        <v>506.29</v>
      </c>
      <c r="G162" s="1239" t="s">
        <v>1244</v>
      </c>
      <c r="H162" s="1239">
        <v>1.91</v>
      </c>
      <c r="I162" s="1244">
        <v>3.39</v>
      </c>
    </row>
    <row r="163" spans="2:9" s="817" customFormat="1" ht="15" customHeight="1">
      <c r="B163" s="1267">
        <v>41122</v>
      </c>
      <c r="C163" s="1268">
        <v>65</v>
      </c>
      <c r="D163" s="1238">
        <v>1630</v>
      </c>
      <c r="E163" s="1237">
        <v>22930</v>
      </c>
      <c r="F163" s="1238">
        <v>739.68</v>
      </c>
      <c r="G163" s="1239" t="s">
        <v>1245</v>
      </c>
      <c r="H163" s="1239">
        <v>1.85</v>
      </c>
      <c r="I163" s="1244">
        <v>3.43</v>
      </c>
    </row>
    <row r="164" spans="2:9" s="817" customFormat="1" ht="15" customHeight="1">
      <c r="B164" s="1267">
        <v>41153</v>
      </c>
      <c r="C164" s="1268">
        <v>15</v>
      </c>
      <c r="D164" s="1238">
        <v>575</v>
      </c>
      <c r="E164" s="1237">
        <v>6885</v>
      </c>
      <c r="F164" s="1238">
        <v>286.88</v>
      </c>
      <c r="G164" s="1239" t="s">
        <v>1246</v>
      </c>
      <c r="H164" s="1239">
        <v>1.67</v>
      </c>
      <c r="I164" s="1244">
        <v>3.47</v>
      </c>
    </row>
    <row r="165" spans="2:9" s="817" customFormat="1" ht="15" customHeight="1">
      <c r="B165" s="1267">
        <v>41183</v>
      </c>
      <c r="C165" s="1268">
        <v>60</v>
      </c>
      <c r="D165" s="1238">
        <v>980</v>
      </c>
      <c r="E165" s="1237">
        <v>12570</v>
      </c>
      <c r="F165" s="1238">
        <v>433.45</v>
      </c>
      <c r="G165" s="1239" t="s">
        <v>1247</v>
      </c>
      <c r="H165" s="1239">
        <v>1.57</v>
      </c>
      <c r="I165" s="1244">
        <v>3.26</v>
      </c>
    </row>
    <row r="166" spans="2:9" s="817" customFormat="1" ht="15" customHeight="1">
      <c r="B166" s="1267">
        <v>41214</v>
      </c>
      <c r="C166" s="1268">
        <v>415</v>
      </c>
      <c r="D166" s="1238">
        <v>2180</v>
      </c>
      <c r="E166" s="1237">
        <v>37795</v>
      </c>
      <c r="F166" s="1238">
        <v>1259.83</v>
      </c>
      <c r="G166" s="1239" t="s">
        <v>1248</v>
      </c>
      <c r="H166" s="1239">
        <v>1.53</v>
      </c>
      <c r="I166" s="1244">
        <v>3.08</v>
      </c>
    </row>
    <row r="167" spans="2:9" s="817" customFormat="1" ht="15" customHeight="1">
      <c r="B167" s="1267">
        <v>41244</v>
      </c>
      <c r="C167" s="1268">
        <v>160</v>
      </c>
      <c r="D167" s="1238">
        <v>1650</v>
      </c>
      <c r="E167" s="1237">
        <v>26110</v>
      </c>
      <c r="F167" s="1238">
        <v>842.26</v>
      </c>
      <c r="G167" s="1239" t="s">
        <v>1249</v>
      </c>
      <c r="H167" s="1239">
        <v>1.61</v>
      </c>
      <c r="I167" s="1244">
        <v>2.95</v>
      </c>
    </row>
    <row r="168" spans="2:9" s="817" customFormat="1" ht="15" customHeight="1">
      <c r="B168" s="1267">
        <v>41275</v>
      </c>
      <c r="C168" s="1268">
        <v>75</v>
      </c>
      <c r="D168" s="1238">
        <v>1210</v>
      </c>
      <c r="E168" s="1237">
        <v>9470</v>
      </c>
      <c r="F168" s="1238">
        <v>305.48</v>
      </c>
      <c r="G168" s="1239" t="s">
        <v>1116</v>
      </c>
      <c r="H168" s="1239">
        <v>1.49</v>
      </c>
      <c r="I168" s="1244">
        <v>2.84</v>
      </c>
    </row>
    <row r="169" spans="2:9" s="817" customFormat="1" ht="15" customHeight="1">
      <c r="B169" s="1267">
        <v>41306</v>
      </c>
      <c r="C169" s="1268">
        <v>50</v>
      </c>
      <c r="D169" s="1238">
        <v>1655</v>
      </c>
      <c r="E169" s="1237">
        <v>22350</v>
      </c>
      <c r="F169" s="1238">
        <v>798.21</v>
      </c>
      <c r="G169" s="1239" t="s">
        <v>1120</v>
      </c>
      <c r="H169" s="1239">
        <v>1.42</v>
      </c>
      <c r="I169" s="1244">
        <v>2.74</v>
      </c>
    </row>
    <row r="170" spans="2:9" s="761" customFormat="1" ht="15" customHeight="1" thickBot="1">
      <c r="B170" s="1276"/>
      <c r="C170" s="1277"/>
      <c r="D170" s="1278"/>
      <c r="E170" s="1279"/>
      <c r="F170" s="1278"/>
      <c r="G170" s="1280"/>
      <c r="H170" s="1281"/>
      <c r="I170" s="1282"/>
    </row>
    <row r="171" spans="2:9" s="817" customFormat="1" ht="18" customHeight="1" thickTop="1">
      <c r="B171" s="1283" t="s">
        <v>1250</v>
      </c>
      <c r="C171" s="795"/>
      <c r="D171" s="795"/>
      <c r="E171" s="795"/>
      <c r="G171" s="1284" t="s">
        <v>1251</v>
      </c>
      <c r="H171" s="1285"/>
      <c r="I171" s="1285"/>
    </row>
    <row r="172" spans="2:9" s="817" customFormat="1" ht="18.75" customHeight="1">
      <c r="B172" s="1284" t="s">
        <v>1252</v>
      </c>
      <c r="C172" s="812"/>
      <c r="D172" s="812"/>
      <c r="E172" s="1286"/>
      <c r="F172" s="761"/>
      <c r="G172" s="816" t="s">
        <v>1253</v>
      </c>
      <c r="H172" s="1287"/>
      <c r="I172" s="1287"/>
    </row>
    <row r="173" spans="2:9" s="1073" customFormat="1" ht="15">
      <c r="B173" s="829" t="s">
        <v>787</v>
      </c>
      <c r="G173" s="816"/>
      <c r="H173" s="1287"/>
      <c r="I173" s="1287"/>
    </row>
    <row r="174" spans="2:9" ht="15.75">
      <c r="B174" s="1288"/>
      <c r="C174" s="978"/>
      <c r="D174" s="1288"/>
      <c r="F174" s="978"/>
    </row>
    <row r="175" spans="2:9" s="944" customFormat="1" ht="18.75" customHeight="1">
      <c r="B175" s="945" t="s">
        <v>1254</v>
      </c>
    </row>
    <row r="176" spans="2:9" s="817" customFormat="1" ht="9" customHeight="1" thickBot="1">
      <c r="B176" s="1215"/>
      <c r="C176" s="1216"/>
      <c r="D176" s="1216"/>
      <c r="E176" s="1216"/>
    </row>
    <row r="177" spans="2:14" s="944" customFormat="1" ht="15" customHeight="1">
      <c r="B177" s="1289" t="s">
        <v>1</v>
      </c>
      <c r="C177" s="1290" t="s">
        <v>1103</v>
      </c>
      <c r="D177" s="1291"/>
      <c r="E177" s="1291"/>
      <c r="F177" s="1292" t="s">
        <v>1104</v>
      </c>
      <c r="G177" s="1292" t="s">
        <v>1105</v>
      </c>
      <c r="H177" s="1292" t="s">
        <v>1070</v>
      </c>
      <c r="I177" s="944" t="s">
        <v>148</v>
      </c>
    </row>
    <row r="178" spans="2:14" s="944" customFormat="1" ht="17.25" customHeight="1" thickBot="1">
      <c r="B178" s="1227"/>
      <c r="C178" s="1223"/>
      <c r="D178" s="1224"/>
      <c r="E178" s="1225"/>
      <c r="F178" s="1226" t="s">
        <v>1108</v>
      </c>
      <c r="G178" s="1226" t="s">
        <v>366</v>
      </c>
      <c r="H178" s="1226" t="s">
        <v>1255</v>
      </c>
      <c r="L178" s="944" t="s">
        <v>148</v>
      </c>
    </row>
    <row r="179" spans="2:14" s="944" customFormat="1" ht="17.25" customHeight="1" thickBot="1">
      <c r="B179" s="1227"/>
      <c r="C179" s="1228" t="s">
        <v>1111</v>
      </c>
      <c r="D179" s="1229" t="s">
        <v>1112</v>
      </c>
      <c r="E179" s="1230" t="s">
        <v>319</v>
      </c>
      <c r="F179" s="1231"/>
      <c r="G179" s="1231" t="s">
        <v>1113</v>
      </c>
      <c r="H179" s="1231" t="s">
        <v>1256</v>
      </c>
    </row>
    <row r="180" spans="2:14" s="944" customFormat="1" ht="14.1" customHeight="1" thickBot="1">
      <c r="B180" s="1232"/>
      <c r="C180" s="1293" t="s">
        <v>12</v>
      </c>
      <c r="D180" s="1294"/>
      <c r="E180" s="1295"/>
      <c r="F180" s="1296"/>
      <c r="G180" s="3384" t="s">
        <v>810</v>
      </c>
      <c r="H180" s="3385"/>
    </row>
    <row r="181" spans="2:14" s="817" customFormat="1" ht="17.25" customHeight="1">
      <c r="B181" s="1234">
        <v>41306</v>
      </c>
      <c r="C181" s="1268"/>
      <c r="D181" s="1238"/>
      <c r="E181" s="1237"/>
      <c r="F181" s="1238"/>
      <c r="G181" s="1239"/>
      <c r="H181" s="1239"/>
    </row>
    <row r="182" spans="2:14" s="817" customFormat="1" ht="15" customHeight="1">
      <c r="B182" s="1241" t="s">
        <v>1115</v>
      </c>
      <c r="C182" s="1242">
        <v>150</v>
      </c>
      <c r="D182" s="1238">
        <v>1085</v>
      </c>
      <c r="E182" s="794">
        <v>4850</v>
      </c>
      <c r="F182" s="1238">
        <v>692.86</v>
      </c>
      <c r="G182" s="1243" t="s">
        <v>1118</v>
      </c>
      <c r="H182" s="1243">
        <v>1.43</v>
      </c>
      <c r="I182" s="1245"/>
      <c r="J182" s="765"/>
      <c r="K182" s="765"/>
      <c r="L182" s="1245"/>
      <c r="M182" s="765"/>
      <c r="N182" s="1249"/>
    </row>
    <row r="183" spans="2:14" s="817" customFormat="1" ht="15" customHeight="1">
      <c r="B183" s="1241" t="s">
        <v>1117</v>
      </c>
      <c r="C183" s="1242">
        <v>400</v>
      </c>
      <c r="D183" s="1238">
        <v>840</v>
      </c>
      <c r="E183" s="794">
        <v>4940</v>
      </c>
      <c r="F183" s="1238">
        <v>705.71</v>
      </c>
      <c r="G183" s="1243" t="s">
        <v>1118</v>
      </c>
      <c r="H183" s="1243">
        <v>1.35</v>
      </c>
      <c r="I183" s="1245"/>
      <c r="J183" s="765"/>
      <c r="K183" s="765"/>
      <c r="L183" s="1245"/>
      <c r="M183" s="765"/>
      <c r="N183" s="1249"/>
    </row>
    <row r="184" spans="2:14" s="817" customFormat="1" ht="15" customHeight="1">
      <c r="B184" s="1241" t="s">
        <v>1119</v>
      </c>
      <c r="C184" s="1242">
        <v>250</v>
      </c>
      <c r="D184" s="1238">
        <v>715</v>
      </c>
      <c r="E184" s="794">
        <v>4305</v>
      </c>
      <c r="F184" s="1238">
        <v>615</v>
      </c>
      <c r="G184" s="1243" t="s">
        <v>1118</v>
      </c>
      <c r="H184" s="1243">
        <v>1.34</v>
      </c>
      <c r="I184" s="1245"/>
      <c r="J184" s="765"/>
      <c r="K184" s="765"/>
      <c r="L184" s="1245"/>
      <c r="M184" s="765"/>
      <c r="N184" s="1249"/>
    </row>
    <row r="185" spans="2:14" s="817" customFormat="1" ht="15" customHeight="1">
      <c r="B185" s="1241" t="s">
        <v>1121</v>
      </c>
      <c r="C185" s="1242">
        <v>30</v>
      </c>
      <c r="D185" s="1238">
        <v>1105</v>
      </c>
      <c r="E185" s="794">
        <v>3450</v>
      </c>
      <c r="F185" s="1238">
        <v>690</v>
      </c>
      <c r="G185" s="1243" t="s">
        <v>1257</v>
      </c>
      <c r="H185" s="1243">
        <v>1.35</v>
      </c>
      <c r="I185" s="1245"/>
      <c r="J185" s="765"/>
      <c r="K185" s="765"/>
      <c r="L185" s="1245"/>
      <c r="M185" s="765"/>
      <c r="N185" s="1249"/>
    </row>
    <row r="186" spans="2:14" s="761" customFormat="1" ht="7.5" customHeight="1">
      <c r="B186" s="1297"/>
      <c r="C186" s="1251"/>
      <c r="D186" s="1252"/>
      <c r="E186" s="1253"/>
      <c r="F186" s="1252"/>
      <c r="G186" s="1298"/>
      <c r="H186" s="1254"/>
      <c r="I186" s="1245"/>
      <c r="J186" s="765"/>
      <c r="K186" s="765"/>
      <c r="L186" s="1245"/>
      <c r="M186" s="765"/>
      <c r="N186" s="1249"/>
    </row>
    <row r="187" spans="2:14" s="761" customFormat="1" ht="15" hidden="1" customHeight="1">
      <c r="B187" s="1299"/>
      <c r="C187" s="1300"/>
      <c r="D187" s="1301"/>
      <c r="E187" s="1260"/>
      <c r="F187" s="1259"/>
      <c r="G187" s="1261"/>
      <c r="H187" s="1261"/>
      <c r="I187" s="1263"/>
      <c r="J187" s="765"/>
      <c r="K187" s="1059">
        <f>SUM(K182:K186)</f>
        <v>0</v>
      </c>
      <c r="L187" s="765"/>
      <c r="M187" s="1059">
        <f>SUM(M182:M186)</f>
        <v>0</v>
      </c>
      <c r="N187" s="1249" t="e">
        <f>M187/K187</f>
        <v>#DIV/0!</v>
      </c>
    </row>
    <row r="188" spans="2:14" s="761" customFormat="1" ht="15" hidden="1" customHeight="1">
      <c r="B188" s="1302">
        <v>36312</v>
      </c>
      <c r="C188" s="1300">
        <v>10</v>
      </c>
      <c r="D188" s="1301">
        <v>230</v>
      </c>
      <c r="E188" s="1260">
        <v>2385</v>
      </c>
      <c r="F188" s="1259">
        <v>80</v>
      </c>
      <c r="G188" s="1261" t="s">
        <v>1122</v>
      </c>
      <c r="H188" s="1261">
        <v>9.9600000000000009</v>
      </c>
      <c r="I188" s="1263"/>
    </row>
    <row r="189" spans="2:14" s="761" customFormat="1" ht="15" hidden="1" customHeight="1">
      <c r="B189" s="1302">
        <v>36404</v>
      </c>
      <c r="C189" s="1300">
        <v>10</v>
      </c>
      <c r="D189" s="1301">
        <v>120</v>
      </c>
      <c r="E189" s="1260">
        <v>1223</v>
      </c>
      <c r="F189" s="1259">
        <v>52.96</v>
      </c>
      <c r="G189" s="1261" t="s">
        <v>1123</v>
      </c>
      <c r="H189" s="1261">
        <v>9.5630000000000006</v>
      </c>
      <c r="I189" s="1263"/>
    </row>
    <row r="190" spans="2:14" s="761" customFormat="1" ht="15" hidden="1" customHeight="1" thickBot="1">
      <c r="B190" s="1302">
        <v>36495</v>
      </c>
      <c r="C190" s="1300">
        <v>85</v>
      </c>
      <c r="D190" s="1301">
        <v>500</v>
      </c>
      <c r="E190" s="1260">
        <v>6285</v>
      </c>
      <c r="F190" s="1259">
        <v>273</v>
      </c>
      <c r="G190" s="1261" t="s">
        <v>1124</v>
      </c>
      <c r="H190" s="1261">
        <v>9.67</v>
      </c>
      <c r="I190" s="1263"/>
    </row>
    <row r="191" spans="2:14" s="761" customFormat="1" ht="15" hidden="1" customHeight="1" thickTop="1">
      <c r="B191" s="1302">
        <v>36586</v>
      </c>
      <c r="C191" s="1300">
        <v>10</v>
      </c>
      <c r="D191" s="1301">
        <v>255</v>
      </c>
      <c r="E191" s="1260">
        <v>3163.2</v>
      </c>
      <c r="F191" s="1259">
        <v>102</v>
      </c>
      <c r="G191" s="1261" t="s">
        <v>1125</v>
      </c>
      <c r="H191" s="1261">
        <v>9.1199999999999992</v>
      </c>
      <c r="I191" s="1263"/>
    </row>
    <row r="192" spans="2:14" s="761" customFormat="1" ht="15" hidden="1" customHeight="1">
      <c r="B192" s="1302">
        <v>36678</v>
      </c>
      <c r="C192" s="1300">
        <v>20</v>
      </c>
      <c r="D192" s="1301">
        <v>600</v>
      </c>
      <c r="E192" s="1259">
        <v>3421</v>
      </c>
      <c r="F192" s="1259">
        <v>118</v>
      </c>
      <c r="G192" s="1261" t="s">
        <v>1126</v>
      </c>
      <c r="H192" s="1261">
        <v>7.27</v>
      </c>
      <c r="I192" s="1263"/>
    </row>
    <row r="193" spans="2:9" s="761" customFormat="1" ht="15" hidden="1" customHeight="1">
      <c r="B193" s="1302">
        <v>36708</v>
      </c>
      <c r="C193" s="1300">
        <v>10</v>
      </c>
      <c r="D193" s="1301">
        <v>830</v>
      </c>
      <c r="E193" s="1259">
        <v>6813</v>
      </c>
      <c r="F193" s="1259">
        <v>243</v>
      </c>
      <c r="G193" s="1261" t="s">
        <v>1127</v>
      </c>
      <c r="H193" s="1261">
        <v>7.46</v>
      </c>
      <c r="I193" s="1263"/>
    </row>
    <row r="194" spans="2:9" s="761" customFormat="1" ht="15" hidden="1" customHeight="1">
      <c r="B194" s="1302">
        <v>36739</v>
      </c>
      <c r="C194" s="1300">
        <v>25</v>
      </c>
      <c r="D194" s="1301">
        <v>460</v>
      </c>
      <c r="E194" s="1259">
        <v>6528</v>
      </c>
      <c r="F194" s="1259">
        <v>211</v>
      </c>
      <c r="G194" s="1261" t="s">
        <v>1128</v>
      </c>
      <c r="H194" s="1261">
        <v>7.03</v>
      </c>
      <c r="I194" s="1263"/>
    </row>
    <row r="195" spans="2:9" s="761" customFormat="1" ht="15" hidden="1" customHeight="1">
      <c r="B195" s="1302">
        <v>36770</v>
      </c>
      <c r="C195" s="1300">
        <v>30</v>
      </c>
      <c r="D195" s="1301">
        <v>168</v>
      </c>
      <c r="E195" s="1259">
        <v>2859</v>
      </c>
      <c r="F195" s="1259">
        <v>95</v>
      </c>
      <c r="G195" s="1261" t="s">
        <v>1129</v>
      </c>
      <c r="H195" s="1261">
        <v>7.13</v>
      </c>
      <c r="I195" s="1263"/>
    </row>
    <row r="196" spans="2:9" s="761" customFormat="1" ht="15" hidden="1" customHeight="1">
      <c r="B196" s="1302">
        <v>36800</v>
      </c>
      <c r="C196" s="1300">
        <v>30</v>
      </c>
      <c r="D196" s="1301">
        <v>270</v>
      </c>
      <c r="E196" s="1259">
        <v>3581</v>
      </c>
      <c r="F196" s="1259">
        <v>138</v>
      </c>
      <c r="G196" s="1261" t="s">
        <v>1130</v>
      </c>
      <c r="H196" s="1261">
        <v>7.48</v>
      </c>
      <c r="I196" s="1263"/>
    </row>
    <row r="197" spans="2:9" s="761" customFormat="1" ht="15" hidden="1" customHeight="1">
      <c r="B197" s="1302">
        <v>36831</v>
      </c>
      <c r="C197" s="1300">
        <v>40</v>
      </c>
      <c r="D197" s="1301">
        <v>201</v>
      </c>
      <c r="E197" s="1259">
        <v>2859</v>
      </c>
      <c r="F197" s="1259">
        <v>95</v>
      </c>
      <c r="G197" s="1261" t="s">
        <v>1131</v>
      </c>
      <c r="H197" s="1261">
        <v>7.98</v>
      </c>
      <c r="I197" s="1263"/>
    </row>
    <row r="198" spans="2:9" s="761" customFormat="1" ht="15" hidden="1" customHeight="1">
      <c r="B198" s="1302">
        <v>36861</v>
      </c>
      <c r="C198" s="1300">
        <v>16</v>
      </c>
      <c r="D198" s="1301">
        <v>398</v>
      </c>
      <c r="E198" s="1259">
        <v>5734</v>
      </c>
      <c r="F198" s="1259">
        <v>185</v>
      </c>
      <c r="G198" s="1261" t="s">
        <v>1132</v>
      </c>
      <c r="H198" s="1261">
        <v>7.96</v>
      </c>
      <c r="I198" s="1263"/>
    </row>
    <row r="199" spans="2:9" s="761" customFormat="1" ht="15" hidden="1" customHeight="1">
      <c r="B199" s="1302">
        <v>36892</v>
      </c>
      <c r="C199" s="1300">
        <v>10</v>
      </c>
      <c r="D199" s="1301">
        <v>590</v>
      </c>
      <c r="E199" s="1259">
        <v>4252</v>
      </c>
      <c r="F199" s="1259">
        <v>185</v>
      </c>
      <c r="G199" s="1261" t="s">
        <v>1133</v>
      </c>
      <c r="H199" s="1261">
        <v>6.8</v>
      </c>
      <c r="I199" s="1263"/>
    </row>
    <row r="200" spans="2:9" s="761" customFormat="1" ht="15" hidden="1" customHeight="1">
      <c r="B200" s="1302">
        <v>36923</v>
      </c>
      <c r="C200" s="1300">
        <v>30</v>
      </c>
      <c r="D200" s="1301">
        <v>594</v>
      </c>
      <c r="E200" s="1259">
        <v>4815</v>
      </c>
      <c r="F200" s="1259">
        <v>172</v>
      </c>
      <c r="G200" s="1261" t="s">
        <v>1134</v>
      </c>
      <c r="H200" s="1261">
        <v>7.2584999999999997</v>
      </c>
      <c r="I200" s="1263"/>
    </row>
    <row r="201" spans="2:9" s="761" customFormat="1" ht="15" hidden="1" customHeight="1">
      <c r="B201" s="1302">
        <v>36951</v>
      </c>
      <c r="C201" s="1300">
        <v>40</v>
      </c>
      <c r="D201" s="1301">
        <v>410</v>
      </c>
      <c r="E201" s="1259">
        <v>4583</v>
      </c>
      <c r="F201" s="1259">
        <v>148</v>
      </c>
      <c r="G201" s="1261" t="s">
        <v>1135</v>
      </c>
      <c r="H201" s="1261">
        <v>7.5</v>
      </c>
      <c r="I201" s="1263"/>
    </row>
    <row r="202" spans="2:9" s="761" customFormat="1" ht="15" hidden="1" customHeight="1">
      <c r="B202" s="1302">
        <v>36982</v>
      </c>
      <c r="C202" s="1300">
        <v>50</v>
      </c>
      <c r="D202" s="1301">
        <v>560</v>
      </c>
      <c r="E202" s="1259">
        <v>8724</v>
      </c>
      <c r="F202" s="1259">
        <v>291</v>
      </c>
      <c r="G202" s="1261" t="s">
        <v>1136</v>
      </c>
      <c r="H202" s="1261">
        <v>7.8</v>
      </c>
      <c r="I202" s="1263"/>
    </row>
    <row r="203" spans="2:9" s="761" customFormat="1" ht="15" hidden="1" customHeight="1">
      <c r="B203" s="1302">
        <v>37012</v>
      </c>
      <c r="C203" s="1300">
        <v>80</v>
      </c>
      <c r="D203" s="1301">
        <v>435</v>
      </c>
      <c r="E203" s="1259">
        <v>5942</v>
      </c>
      <c r="F203" s="1259">
        <v>192</v>
      </c>
      <c r="G203" s="1261" t="s">
        <v>1137</v>
      </c>
      <c r="H203" s="1261">
        <v>8.43</v>
      </c>
      <c r="I203" s="1263"/>
    </row>
    <row r="204" spans="2:9" s="761" customFormat="1" ht="15" hidden="1" customHeight="1">
      <c r="B204" s="1302">
        <v>37043</v>
      </c>
      <c r="C204" s="1300">
        <v>10</v>
      </c>
      <c r="D204" s="1301">
        <v>570</v>
      </c>
      <c r="E204" s="1259">
        <v>5355</v>
      </c>
      <c r="F204" s="1259">
        <v>178.5</v>
      </c>
      <c r="G204" s="1261" t="s">
        <v>1138</v>
      </c>
      <c r="H204" s="1261">
        <v>7.29</v>
      </c>
      <c r="I204" s="1263"/>
    </row>
    <row r="205" spans="2:9" s="761" customFormat="1" ht="15" hidden="1" customHeight="1">
      <c r="B205" s="1302">
        <v>37073</v>
      </c>
      <c r="C205" s="1300">
        <v>50</v>
      </c>
      <c r="D205" s="1301">
        <v>570</v>
      </c>
      <c r="E205" s="1259">
        <v>6170</v>
      </c>
      <c r="F205" s="1259">
        <v>199</v>
      </c>
      <c r="G205" s="1261" t="s">
        <v>1129</v>
      </c>
      <c r="H205" s="1261">
        <v>7.18</v>
      </c>
      <c r="I205" s="1263"/>
    </row>
    <row r="206" spans="2:9" s="761" customFormat="1" ht="15" hidden="1" customHeight="1">
      <c r="B206" s="1302">
        <v>37104</v>
      </c>
      <c r="C206" s="1300">
        <v>35</v>
      </c>
      <c r="D206" s="1301">
        <v>482</v>
      </c>
      <c r="E206" s="1259">
        <v>4954</v>
      </c>
      <c r="F206" s="1259">
        <v>160</v>
      </c>
      <c r="G206" s="1261" t="s">
        <v>1139</v>
      </c>
      <c r="H206" s="1261">
        <v>7.28</v>
      </c>
      <c r="I206" s="1263"/>
    </row>
    <row r="207" spans="2:9" s="761" customFormat="1" ht="15" hidden="1" customHeight="1">
      <c r="B207" s="1302">
        <v>37135</v>
      </c>
      <c r="C207" s="1300">
        <v>3</v>
      </c>
      <c r="D207" s="1301">
        <v>333</v>
      </c>
      <c r="E207" s="1259">
        <v>4828</v>
      </c>
      <c r="F207" s="1259">
        <v>161</v>
      </c>
      <c r="G207" s="1261" t="s">
        <v>1140</v>
      </c>
      <c r="H207" s="1261">
        <v>7.13</v>
      </c>
      <c r="I207" s="1263"/>
    </row>
    <row r="208" spans="2:9" s="761" customFormat="1" ht="15" hidden="1" customHeight="1">
      <c r="B208" s="1302">
        <v>37165</v>
      </c>
      <c r="C208" s="1300">
        <v>115</v>
      </c>
      <c r="D208" s="1301">
        <v>615</v>
      </c>
      <c r="E208" s="1259">
        <v>9010</v>
      </c>
      <c r="F208" s="1259">
        <v>291</v>
      </c>
      <c r="G208" s="1261" t="s">
        <v>1141</v>
      </c>
      <c r="H208" s="1261">
        <v>7.12</v>
      </c>
      <c r="I208" s="1263"/>
    </row>
    <row r="209" spans="2:9" s="761" customFormat="1" ht="15" hidden="1" customHeight="1">
      <c r="B209" s="1302">
        <v>37196</v>
      </c>
      <c r="C209" s="1300">
        <v>50</v>
      </c>
      <c r="D209" s="1301">
        <v>720</v>
      </c>
      <c r="E209" s="1259">
        <v>7487</v>
      </c>
      <c r="F209" s="1259">
        <v>267</v>
      </c>
      <c r="G209" s="1261" t="s">
        <v>1142</v>
      </c>
      <c r="H209" s="1261">
        <v>6.86</v>
      </c>
      <c r="I209" s="1263"/>
    </row>
    <row r="210" spans="2:9" s="761" customFormat="1" ht="15" hidden="1" customHeight="1">
      <c r="B210" s="1302">
        <v>37226</v>
      </c>
      <c r="C210" s="1300">
        <v>30</v>
      </c>
      <c r="D210" s="1301">
        <v>895</v>
      </c>
      <c r="E210" s="1259">
        <v>9060</v>
      </c>
      <c r="F210" s="1259">
        <v>292</v>
      </c>
      <c r="G210" s="1261" t="s">
        <v>1143</v>
      </c>
      <c r="H210" s="1261">
        <v>6.95</v>
      </c>
      <c r="I210" s="1263"/>
    </row>
    <row r="211" spans="2:9" s="761" customFormat="1" ht="15" hidden="1" customHeight="1">
      <c r="B211" s="1302">
        <v>37257</v>
      </c>
      <c r="C211" s="1300">
        <v>5</v>
      </c>
      <c r="D211" s="1301">
        <v>310</v>
      </c>
      <c r="E211" s="1260">
        <v>3355</v>
      </c>
      <c r="F211" s="1259">
        <v>116</v>
      </c>
      <c r="G211" s="1261" t="s">
        <v>1144</v>
      </c>
      <c r="H211" s="1261">
        <v>6.69</v>
      </c>
      <c r="I211" s="1263"/>
    </row>
    <row r="212" spans="2:9" s="761" customFormat="1" ht="15" hidden="1" customHeight="1">
      <c r="B212" s="1302">
        <v>37316</v>
      </c>
      <c r="C212" s="1300">
        <v>5</v>
      </c>
      <c r="D212" s="1301">
        <v>418</v>
      </c>
      <c r="E212" s="1260">
        <v>7338</v>
      </c>
      <c r="F212" s="1259">
        <v>237</v>
      </c>
      <c r="G212" s="1261" t="s">
        <v>1145</v>
      </c>
      <c r="H212" s="1261">
        <v>6.63</v>
      </c>
      <c r="I212" s="1263"/>
    </row>
    <row r="213" spans="2:9" s="761" customFormat="1" ht="15" hidden="1" customHeight="1">
      <c r="B213" s="1302">
        <v>37347</v>
      </c>
      <c r="C213" s="1300">
        <v>70</v>
      </c>
      <c r="D213" s="1301">
        <v>310</v>
      </c>
      <c r="E213" s="1260">
        <v>5516</v>
      </c>
      <c r="F213" s="1259">
        <v>184</v>
      </c>
      <c r="G213" s="1261" t="s">
        <v>1146</v>
      </c>
      <c r="H213" s="1261">
        <v>6.74</v>
      </c>
      <c r="I213" s="1263"/>
    </row>
    <row r="214" spans="2:9" s="817" customFormat="1" ht="15" hidden="1" customHeight="1">
      <c r="B214" s="1303">
        <v>37377</v>
      </c>
      <c r="C214" s="1304">
        <v>30</v>
      </c>
      <c r="D214" s="1305">
        <v>330</v>
      </c>
      <c r="E214" s="1237">
        <v>4300</v>
      </c>
      <c r="F214" s="1238">
        <v>143</v>
      </c>
      <c r="G214" s="1239" t="s">
        <v>1147</v>
      </c>
      <c r="H214" s="1239">
        <v>6.43</v>
      </c>
      <c r="I214" s="1269"/>
    </row>
    <row r="215" spans="2:9" s="817" customFormat="1" ht="15" hidden="1" customHeight="1">
      <c r="B215" s="1303">
        <v>37408</v>
      </c>
      <c r="C215" s="1304">
        <v>10</v>
      </c>
      <c r="D215" s="1305">
        <v>390</v>
      </c>
      <c r="E215" s="1237">
        <v>2970</v>
      </c>
      <c r="F215" s="1238">
        <v>149</v>
      </c>
      <c r="G215" s="1239" t="s">
        <v>1148</v>
      </c>
      <c r="H215" s="1239">
        <v>6.5</v>
      </c>
      <c r="I215" s="1269"/>
    </row>
    <row r="216" spans="2:9" s="817" customFormat="1" ht="15" hidden="1" customHeight="1">
      <c r="B216" s="1303">
        <v>37438</v>
      </c>
      <c r="C216" s="1304">
        <v>10</v>
      </c>
      <c r="D216" s="1305">
        <v>735</v>
      </c>
      <c r="E216" s="1237">
        <v>7661</v>
      </c>
      <c r="F216" s="1238">
        <v>255</v>
      </c>
      <c r="G216" s="1239" t="s">
        <v>1149</v>
      </c>
      <c r="H216" s="1239">
        <v>5.73</v>
      </c>
      <c r="I216" s="1269"/>
    </row>
    <row r="217" spans="2:9" s="817" customFormat="1" ht="15" hidden="1" customHeight="1">
      <c r="B217" s="1303">
        <v>37469</v>
      </c>
      <c r="C217" s="1304">
        <v>10</v>
      </c>
      <c r="D217" s="1305">
        <v>455</v>
      </c>
      <c r="E217" s="1237">
        <v>8185</v>
      </c>
      <c r="F217" s="1238">
        <v>264</v>
      </c>
      <c r="G217" s="1239" t="s">
        <v>1150</v>
      </c>
      <c r="H217" s="1239">
        <v>7.37</v>
      </c>
    </row>
    <row r="218" spans="2:9" s="817" customFormat="1" ht="15" hidden="1" customHeight="1">
      <c r="B218" s="1303">
        <v>37500</v>
      </c>
      <c r="C218" s="1304">
        <v>205</v>
      </c>
      <c r="D218" s="1305">
        <v>627</v>
      </c>
      <c r="E218" s="1237">
        <v>9421</v>
      </c>
      <c r="F218" s="1238">
        <v>314</v>
      </c>
      <c r="G218" s="1239" t="s">
        <v>1151</v>
      </c>
      <c r="H218" s="1239">
        <v>7.74</v>
      </c>
    </row>
    <row r="219" spans="2:9" s="817" customFormat="1" ht="15" hidden="1" customHeight="1">
      <c r="B219" s="1303">
        <v>37530</v>
      </c>
      <c r="C219" s="1304">
        <v>250</v>
      </c>
      <c r="D219" s="1305">
        <v>812</v>
      </c>
      <c r="E219" s="1237">
        <v>17979</v>
      </c>
      <c r="F219" s="1238">
        <v>580</v>
      </c>
      <c r="G219" s="1239" t="s">
        <v>1150</v>
      </c>
      <c r="H219" s="1239">
        <v>7.67</v>
      </c>
    </row>
    <row r="220" spans="2:9" s="817" customFormat="1" ht="15" hidden="1" customHeight="1">
      <c r="B220" s="1303">
        <v>37561</v>
      </c>
      <c r="C220" s="1304">
        <v>20</v>
      </c>
      <c r="D220" s="1305">
        <v>695</v>
      </c>
      <c r="E220" s="1237">
        <v>6205</v>
      </c>
      <c r="F220" s="1238">
        <v>270</v>
      </c>
      <c r="G220" s="1239" t="s">
        <v>1151</v>
      </c>
      <c r="H220" s="1239">
        <v>7.42</v>
      </c>
    </row>
    <row r="221" spans="2:9" s="817" customFormat="1" ht="15" hidden="1" customHeight="1">
      <c r="B221" s="1303">
        <v>37591</v>
      </c>
      <c r="C221" s="1304">
        <v>10</v>
      </c>
      <c r="D221" s="1305">
        <v>235</v>
      </c>
      <c r="E221" s="1237">
        <v>2869</v>
      </c>
      <c r="F221" s="1238">
        <v>125</v>
      </c>
      <c r="G221" s="1239" t="s">
        <v>1152</v>
      </c>
      <c r="H221" s="1239">
        <v>4.92</v>
      </c>
    </row>
    <row r="222" spans="2:9" s="817" customFormat="1" ht="15" hidden="1" customHeight="1">
      <c r="B222" s="1303">
        <v>37622</v>
      </c>
      <c r="C222" s="1304">
        <v>90</v>
      </c>
      <c r="D222" s="1305">
        <v>425</v>
      </c>
      <c r="E222" s="1237">
        <v>4318</v>
      </c>
      <c r="F222" s="1238">
        <v>254</v>
      </c>
      <c r="G222" s="1239" t="s">
        <v>1153</v>
      </c>
      <c r="H222" s="1239">
        <v>3.72</v>
      </c>
    </row>
    <row r="223" spans="2:9" s="817" customFormat="1" ht="15" hidden="1" customHeight="1">
      <c r="B223" s="1303">
        <v>37653</v>
      </c>
      <c r="C223" s="1304">
        <v>15</v>
      </c>
      <c r="D223" s="1305">
        <v>545</v>
      </c>
      <c r="E223" s="1237">
        <v>6869</v>
      </c>
      <c r="F223" s="1238">
        <v>275</v>
      </c>
      <c r="G223" s="1239" t="s">
        <v>1154</v>
      </c>
      <c r="H223" s="1239">
        <v>4.75</v>
      </c>
    </row>
    <row r="224" spans="2:9" s="817" customFormat="1" ht="15" hidden="1" customHeight="1">
      <c r="B224" s="1303">
        <v>37681</v>
      </c>
      <c r="C224" s="1304">
        <v>30</v>
      </c>
      <c r="D224" s="1305">
        <v>200</v>
      </c>
      <c r="E224" s="1237">
        <v>2485</v>
      </c>
      <c r="F224" s="1238">
        <v>124</v>
      </c>
      <c r="G224" s="1239" t="s">
        <v>1155</v>
      </c>
      <c r="H224" s="1239">
        <v>3.64</v>
      </c>
    </row>
    <row r="225" spans="2:8" s="817" customFormat="1" ht="15" hidden="1" customHeight="1">
      <c r="B225" s="1303">
        <v>37712</v>
      </c>
      <c r="C225" s="1304">
        <v>5</v>
      </c>
      <c r="D225" s="1305">
        <v>530</v>
      </c>
      <c r="E225" s="1237">
        <v>4181</v>
      </c>
      <c r="F225" s="1238">
        <v>144</v>
      </c>
      <c r="G225" s="1239" t="s">
        <v>1156</v>
      </c>
      <c r="H225" s="1239">
        <v>3.66</v>
      </c>
    </row>
    <row r="226" spans="2:8" s="817" customFormat="1" ht="15" hidden="1" customHeight="1">
      <c r="B226" s="1303">
        <v>37742</v>
      </c>
      <c r="C226" s="1304">
        <v>10</v>
      </c>
      <c r="D226" s="1305">
        <v>565</v>
      </c>
      <c r="E226" s="1237">
        <v>6318</v>
      </c>
      <c r="F226" s="1238">
        <v>218</v>
      </c>
      <c r="G226" s="1239" t="s">
        <v>1157</v>
      </c>
      <c r="H226" s="1239">
        <v>4.12</v>
      </c>
    </row>
    <row r="227" spans="2:8" s="817" customFormat="1" ht="15" hidden="1" customHeight="1">
      <c r="B227" s="1303">
        <v>37773</v>
      </c>
      <c r="C227" s="1304">
        <v>28</v>
      </c>
      <c r="D227" s="1305">
        <v>275</v>
      </c>
      <c r="E227" s="1237">
        <v>2768</v>
      </c>
      <c r="F227" s="1238">
        <v>115</v>
      </c>
      <c r="G227" s="1239" t="s">
        <v>1154</v>
      </c>
      <c r="H227" s="1239">
        <v>4.45</v>
      </c>
    </row>
    <row r="228" spans="2:8" s="817" customFormat="1" ht="15" hidden="1" customHeight="1">
      <c r="B228" s="1303">
        <v>37803</v>
      </c>
      <c r="C228" s="1304">
        <v>20</v>
      </c>
      <c r="D228" s="1305">
        <v>975</v>
      </c>
      <c r="E228" s="1237">
        <v>12795</v>
      </c>
      <c r="F228" s="1238">
        <v>413</v>
      </c>
      <c r="G228" s="1239" t="s">
        <v>1158</v>
      </c>
      <c r="H228" s="1239">
        <v>4.08</v>
      </c>
    </row>
    <row r="229" spans="2:8" s="817" customFormat="1" ht="15" hidden="1" customHeight="1">
      <c r="B229" s="1303">
        <v>37834</v>
      </c>
      <c r="C229" s="1304">
        <v>110</v>
      </c>
      <c r="D229" s="1305">
        <v>595</v>
      </c>
      <c r="E229" s="1237">
        <v>5646</v>
      </c>
      <c r="F229" s="1238">
        <v>268.85000000000002</v>
      </c>
      <c r="G229" s="1239" t="s">
        <v>1159</v>
      </c>
      <c r="H229" s="1239">
        <v>3.89</v>
      </c>
    </row>
    <row r="230" spans="2:8" s="817" customFormat="1" ht="15.75" hidden="1" customHeight="1">
      <c r="B230" s="1303">
        <v>37865</v>
      </c>
      <c r="C230" s="1304">
        <v>20</v>
      </c>
      <c r="D230" s="1305">
        <v>130</v>
      </c>
      <c r="E230" s="1237">
        <v>668</v>
      </c>
      <c r="F230" s="1238">
        <v>67</v>
      </c>
      <c r="G230" s="1239" t="s">
        <v>1160</v>
      </c>
      <c r="H230" s="1239">
        <v>2.78</v>
      </c>
    </row>
    <row r="231" spans="2:8" s="817" customFormat="1" ht="15" hidden="1" customHeight="1">
      <c r="B231" s="1303">
        <v>37895</v>
      </c>
      <c r="C231" s="1304">
        <v>10</v>
      </c>
      <c r="D231" s="1305">
        <v>552</v>
      </c>
      <c r="E231" s="1237">
        <v>3155</v>
      </c>
      <c r="F231" s="1238">
        <v>186</v>
      </c>
      <c r="G231" s="1239" t="s">
        <v>1161</v>
      </c>
      <c r="H231" s="1239">
        <v>1.96</v>
      </c>
    </row>
    <row r="232" spans="2:8" s="817" customFormat="1" ht="15" hidden="1" customHeight="1">
      <c r="B232" s="1303">
        <v>37926</v>
      </c>
      <c r="C232" s="1304">
        <v>10</v>
      </c>
      <c r="D232" s="1305">
        <v>431</v>
      </c>
      <c r="E232" s="1237">
        <v>2211</v>
      </c>
      <c r="F232" s="1238">
        <v>130</v>
      </c>
      <c r="G232" s="1239" t="s">
        <v>1162</v>
      </c>
      <c r="H232" s="1239">
        <v>1.26</v>
      </c>
    </row>
    <row r="233" spans="2:8" s="817" customFormat="1" ht="15" hidden="1" customHeight="1">
      <c r="B233" s="1303">
        <v>37956</v>
      </c>
      <c r="C233" s="1304">
        <v>50</v>
      </c>
      <c r="D233" s="1305">
        <v>695</v>
      </c>
      <c r="E233" s="1237">
        <v>5392</v>
      </c>
      <c r="F233" s="1238">
        <v>174</v>
      </c>
      <c r="G233" s="1239" t="s">
        <v>1163</v>
      </c>
      <c r="H233" s="1239">
        <v>1.4</v>
      </c>
    </row>
    <row r="234" spans="2:8" s="817" customFormat="1" ht="15" hidden="1" customHeight="1">
      <c r="B234" s="1303">
        <v>37987</v>
      </c>
      <c r="C234" s="1304">
        <v>1</v>
      </c>
      <c r="D234" s="1305">
        <v>695</v>
      </c>
      <c r="E234" s="1237">
        <v>5670</v>
      </c>
      <c r="F234" s="1238">
        <v>247</v>
      </c>
      <c r="G234" s="1239" t="s">
        <v>1163</v>
      </c>
      <c r="H234" s="1239">
        <v>1.27</v>
      </c>
    </row>
    <row r="235" spans="2:8" s="817" customFormat="1" ht="15" hidden="1" customHeight="1">
      <c r="B235" s="1303">
        <v>38018</v>
      </c>
      <c r="C235" s="1304">
        <v>15</v>
      </c>
      <c r="D235" s="1305">
        <v>875</v>
      </c>
      <c r="E235" s="1237">
        <v>6570</v>
      </c>
      <c r="F235" s="1238">
        <v>365</v>
      </c>
      <c r="G235" s="1239" t="s">
        <v>1164</v>
      </c>
      <c r="H235" s="1239">
        <v>1.45</v>
      </c>
    </row>
    <row r="236" spans="2:8" s="817" customFormat="1" ht="15" hidden="1" customHeight="1">
      <c r="B236" s="1303">
        <v>38047</v>
      </c>
      <c r="C236" s="1304">
        <v>25</v>
      </c>
      <c r="D236" s="1305">
        <v>190</v>
      </c>
      <c r="E236" s="1237">
        <v>2405</v>
      </c>
      <c r="F236" s="1238">
        <v>93</v>
      </c>
      <c r="G236" s="1239" t="s">
        <v>1165</v>
      </c>
      <c r="H236" s="1239">
        <v>1</v>
      </c>
    </row>
    <row r="237" spans="2:8" s="817" customFormat="1" ht="15" hidden="1" customHeight="1">
      <c r="B237" s="1303">
        <v>38078</v>
      </c>
      <c r="C237" s="1304">
        <v>10</v>
      </c>
      <c r="D237" s="1305">
        <v>695</v>
      </c>
      <c r="E237" s="1237">
        <v>4911</v>
      </c>
      <c r="F237" s="1238">
        <v>163.69999999999999</v>
      </c>
      <c r="G237" s="1239" t="s">
        <v>1166</v>
      </c>
      <c r="H237" s="1239">
        <v>1.0026999999999999</v>
      </c>
    </row>
    <row r="238" spans="2:8" s="817" customFormat="1" ht="15" hidden="1" customHeight="1">
      <c r="B238" s="1303">
        <v>38108</v>
      </c>
      <c r="C238" s="1304">
        <v>10</v>
      </c>
      <c r="D238" s="1305">
        <v>350</v>
      </c>
      <c r="E238" s="1237">
        <v>2915</v>
      </c>
      <c r="F238" s="1238">
        <v>101</v>
      </c>
      <c r="G238" s="1239">
        <v>1</v>
      </c>
      <c r="H238" s="1239">
        <v>1</v>
      </c>
    </row>
    <row r="239" spans="2:8" s="817" customFormat="1" ht="15" hidden="1" customHeight="1">
      <c r="B239" s="1303">
        <v>38139</v>
      </c>
      <c r="C239" s="1304">
        <v>40</v>
      </c>
      <c r="D239" s="1305">
        <v>1100</v>
      </c>
      <c r="E239" s="1237">
        <v>7232</v>
      </c>
      <c r="F239" s="1238">
        <v>241.1</v>
      </c>
      <c r="G239" s="1239" t="s">
        <v>1167</v>
      </c>
      <c r="H239" s="1239">
        <v>1.02</v>
      </c>
    </row>
    <row r="240" spans="2:8" s="817" customFormat="1" ht="15" hidden="1" customHeight="1">
      <c r="B240" s="1303">
        <v>38169</v>
      </c>
      <c r="C240" s="1304">
        <v>40</v>
      </c>
      <c r="D240" s="1305">
        <v>375</v>
      </c>
      <c r="E240" s="1237">
        <v>5978</v>
      </c>
      <c r="F240" s="1238">
        <v>193</v>
      </c>
      <c r="G240" s="1239" t="s">
        <v>1168</v>
      </c>
      <c r="H240" s="1239">
        <v>1.07</v>
      </c>
    </row>
    <row r="241" spans="2:8" s="817" customFormat="1" ht="15" hidden="1" customHeight="1">
      <c r="B241" s="1303">
        <v>38200</v>
      </c>
      <c r="C241" s="1304">
        <v>20</v>
      </c>
      <c r="D241" s="1305">
        <v>870</v>
      </c>
      <c r="E241" s="1237">
        <v>11835</v>
      </c>
      <c r="F241" s="1238">
        <v>438.3</v>
      </c>
      <c r="G241" s="1239" t="s">
        <v>1169</v>
      </c>
      <c r="H241" s="1239">
        <v>1</v>
      </c>
    </row>
    <row r="242" spans="2:8" s="817" customFormat="1" ht="15" hidden="1" customHeight="1">
      <c r="B242" s="1303">
        <v>38231</v>
      </c>
      <c r="C242" s="1304">
        <v>200</v>
      </c>
      <c r="D242" s="1305">
        <v>1170</v>
      </c>
      <c r="E242" s="1237">
        <v>11979</v>
      </c>
      <c r="F242" s="1238">
        <v>444</v>
      </c>
      <c r="G242" s="1239" t="s">
        <v>1170</v>
      </c>
      <c r="H242" s="1239">
        <v>1</v>
      </c>
    </row>
    <row r="243" spans="2:8" s="817" customFormat="1" ht="15" hidden="1" customHeight="1">
      <c r="B243" s="1303">
        <v>38261</v>
      </c>
      <c r="C243" s="1304">
        <v>220</v>
      </c>
      <c r="D243" s="1305">
        <v>1090</v>
      </c>
      <c r="E243" s="1237">
        <v>19154</v>
      </c>
      <c r="F243" s="1238">
        <v>617.87</v>
      </c>
      <c r="G243" s="1239" t="s">
        <v>1163</v>
      </c>
      <c r="H243" s="1239">
        <v>1.35</v>
      </c>
    </row>
    <row r="244" spans="2:8" s="817" customFormat="1" ht="15" hidden="1" customHeight="1">
      <c r="B244" s="1303">
        <v>38292</v>
      </c>
      <c r="C244" s="1304">
        <v>8</v>
      </c>
      <c r="D244" s="1305">
        <v>715</v>
      </c>
      <c r="E244" s="1237">
        <v>4458</v>
      </c>
      <c r="F244" s="1238">
        <v>186</v>
      </c>
      <c r="G244" s="1239" t="s">
        <v>1171</v>
      </c>
      <c r="H244" s="1239">
        <v>3.51</v>
      </c>
    </row>
    <row r="245" spans="2:8" s="817" customFormat="1" ht="15" hidden="1" customHeight="1">
      <c r="B245" s="1303">
        <v>38322</v>
      </c>
      <c r="C245" s="1304">
        <v>30</v>
      </c>
      <c r="D245" s="1305">
        <v>860</v>
      </c>
      <c r="E245" s="1237">
        <v>10355</v>
      </c>
      <c r="F245" s="1238">
        <v>334.03</v>
      </c>
      <c r="G245" s="1239" t="s">
        <v>1171</v>
      </c>
      <c r="H245" s="1239">
        <v>1.69</v>
      </c>
    </row>
    <row r="246" spans="2:8" s="817" customFormat="1" ht="15" hidden="1" customHeight="1">
      <c r="B246" s="1303">
        <v>39083</v>
      </c>
      <c r="C246" s="1304">
        <v>90</v>
      </c>
      <c r="D246" s="1305">
        <v>888</v>
      </c>
      <c r="E246" s="1237">
        <v>12415</v>
      </c>
      <c r="F246" s="1238">
        <v>400.48</v>
      </c>
      <c r="G246" s="1270" t="s">
        <v>1192</v>
      </c>
      <c r="H246" s="1239">
        <v>8.41</v>
      </c>
    </row>
    <row r="247" spans="2:8" s="817" customFormat="1" ht="15" hidden="1" customHeight="1">
      <c r="B247" s="1303">
        <v>39114</v>
      </c>
      <c r="C247" s="1304">
        <v>80</v>
      </c>
      <c r="D247" s="1305">
        <v>680</v>
      </c>
      <c r="E247" s="1237">
        <v>7783</v>
      </c>
      <c r="F247" s="1238">
        <v>278</v>
      </c>
      <c r="G247" s="1239" t="s">
        <v>1192</v>
      </c>
      <c r="H247" s="1239">
        <v>8.6999999999999993</v>
      </c>
    </row>
    <row r="248" spans="2:8" s="817" customFormat="1" ht="15" hidden="1" customHeight="1">
      <c r="B248" s="1303">
        <v>39142</v>
      </c>
      <c r="C248" s="1304">
        <v>1</v>
      </c>
      <c r="D248" s="1305">
        <v>944</v>
      </c>
      <c r="E248" s="1237">
        <v>6495</v>
      </c>
      <c r="F248" s="1238">
        <v>231.96</v>
      </c>
      <c r="G248" s="1239" t="s">
        <v>1258</v>
      </c>
      <c r="H248" s="1239">
        <v>8.18</v>
      </c>
    </row>
    <row r="249" spans="2:8" s="817" customFormat="1" ht="15" hidden="1" customHeight="1">
      <c r="B249" s="1303">
        <v>39173</v>
      </c>
      <c r="C249" s="1306">
        <v>18</v>
      </c>
      <c r="D249" s="1307">
        <v>730</v>
      </c>
      <c r="E249" s="1237">
        <v>6620</v>
      </c>
      <c r="F249" s="1308">
        <v>220.65</v>
      </c>
      <c r="G249" s="1273" t="s">
        <v>1193</v>
      </c>
      <c r="H249" s="1239">
        <v>8.1</v>
      </c>
    </row>
    <row r="250" spans="2:8" s="817" customFormat="1" ht="15" hidden="1" customHeight="1">
      <c r="B250" s="1303">
        <v>39203</v>
      </c>
      <c r="C250" s="1306">
        <v>30</v>
      </c>
      <c r="D250" s="1307">
        <v>895</v>
      </c>
      <c r="E250" s="1237">
        <v>11016.5</v>
      </c>
      <c r="F250" s="1308">
        <v>355.37</v>
      </c>
      <c r="G250" s="1273" t="s">
        <v>1192</v>
      </c>
      <c r="H250" s="1239">
        <v>8.3699999999999992</v>
      </c>
    </row>
    <row r="251" spans="2:8" s="817" customFormat="1" ht="15" hidden="1" customHeight="1">
      <c r="B251" s="1303">
        <v>39240</v>
      </c>
      <c r="C251" s="1306">
        <v>25</v>
      </c>
      <c r="D251" s="1307">
        <v>430</v>
      </c>
      <c r="E251" s="1237">
        <v>5366</v>
      </c>
      <c r="F251" s="1308">
        <v>185</v>
      </c>
      <c r="G251" s="1273" t="s">
        <v>1258</v>
      </c>
      <c r="H251" s="1239">
        <v>8.11</v>
      </c>
    </row>
    <row r="252" spans="2:8" s="817" customFormat="1" ht="15" hidden="1" customHeight="1">
      <c r="B252" s="1303">
        <v>39270</v>
      </c>
      <c r="C252" s="1306">
        <v>35</v>
      </c>
      <c r="D252" s="1307">
        <v>710</v>
      </c>
      <c r="E252" s="1237">
        <v>8364</v>
      </c>
      <c r="F252" s="1308">
        <v>279</v>
      </c>
      <c r="G252" s="1273" t="s">
        <v>1192</v>
      </c>
      <c r="H252" s="1239">
        <v>8.7200000000000006</v>
      </c>
    </row>
    <row r="253" spans="2:8" s="817" customFormat="1" ht="15" hidden="1" customHeight="1">
      <c r="B253" s="1303">
        <v>39301</v>
      </c>
      <c r="C253" s="1306">
        <v>102</v>
      </c>
      <c r="D253" s="1309">
        <v>1210</v>
      </c>
      <c r="E253" s="1237">
        <v>13418</v>
      </c>
      <c r="F253" s="1308">
        <v>462.69</v>
      </c>
      <c r="G253" s="1273" t="s">
        <v>1259</v>
      </c>
      <c r="H253" s="1239">
        <v>8.76</v>
      </c>
    </row>
    <row r="254" spans="2:8" s="817" customFormat="1" ht="15" hidden="1" customHeight="1">
      <c r="B254" s="1303">
        <v>39332</v>
      </c>
      <c r="C254" s="1306">
        <v>80</v>
      </c>
      <c r="D254" s="1307">
        <v>955</v>
      </c>
      <c r="E254" s="1237">
        <v>13447</v>
      </c>
      <c r="F254" s="1308">
        <v>464</v>
      </c>
      <c r="G254" s="1273" t="s">
        <v>1260</v>
      </c>
      <c r="H254" s="1239">
        <v>8.8699999999999992</v>
      </c>
    </row>
    <row r="255" spans="2:8" s="817" customFormat="1" ht="15" hidden="1" customHeight="1">
      <c r="B255" s="1303">
        <v>39362</v>
      </c>
      <c r="C255" s="1300">
        <v>9</v>
      </c>
      <c r="D255" s="1301">
        <v>380</v>
      </c>
      <c r="E255" s="1260">
        <v>3029</v>
      </c>
      <c r="F255" s="1259">
        <v>104</v>
      </c>
      <c r="G255" s="1310" t="s">
        <v>1261</v>
      </c>
      <c r="H255" s="1261">
        <v>8.84</v>
      </c>
    </row>
    <row r="256" spans="2:8" s="817" customFormat="1" ht="15" hidden="1" customHeight="1">
      <c r="B256" s="1303">
        <v>39393</v>
      </c>
      <c r="C256" s="1300">
        <v>15</v>
      </c>
      <c r="D256" s="1301">
        <v>765</v>
      </c>
      <c r="E256" s="1260">
        <v>5220</v>
      </c>
      <c r="F256" s="1259">
        <v>209</v>
      </c>
      <c r="G256" s="1310" t="s">
        <v>1262</v>
      </c>
      <c r="H256" s="1261">
        <v>8.4700000000000006</v>
      </c>
    </row>
    <row r="257" spans="2:8" s="817" customFormat="1" ht="15" hidden="1" customHeight="1">
      <c r="B257" s="1311">
        <v>39423</v>
      </c>
      <c r="C257" s="1300">
        <v>20</v>
      </c>
      <c r="D257" s="1301">
        <v>500</v>
      </c>
      <c r="E257" s="1260">
        <v>4350</v>
      </c>
      <c r="F257" s="1259">
        <v>207</v>
      </c>
      <c r="G257" s="1310" t="s">
        <v>1262</v>
      </c>
      <c r="H257" s="1261">
        <v>8.6300000000000008</v>
      </c>
    </row>
    <row r="258" spans="2:8" s="817" customFormat="1" ht="15" hidden="1" customHeight="1">
      <c r="B258" s="1311">
        <v>39454</v>
      </c>
      <c r="C258" s="1300">
        <v>10</v>
      </c>
      <c r="D258" s="1301">
        <v>494</v>
      </c>
      <c r="E258" s="1260">
        <v>2734</v>
      </c>
      <c r="F258" s="1259">
        <v>124.3</v>
      </c>
      <c r="G258" s="1310" t="s">
        <v>1258</v>
      </c>
      <c r="H258" s="1261">
        <v>8.2100000000000009</v>
      </c>
    </row>
    <row r="259" spans="2:8" s="817" customFormat="1" ht="15" hidden="1" customHeight="1">
      <c r="B259" s="1311">
        <v>39485</v>
      </c>
      <c r="C259" s="1300">
        <v>50</v>
      </c>
      <c r="D259" s="1301">
        <v>685</v>
      </c>
      <c r="E259" s="1260">
        <v>11547</v>
      </c>
      <c r="F259" s="1259">
        <v>398</v>
      </c>
      <c r="G259" s="1310" t="s">
        <v>1200</v>
      </c>
      <c r="H259" s="1261">
        <v>8.0299999999999994</v>
      </c>
    </row>
    <row r="260" spans="2:8" s="817" customFormat="1" ht="15" hidden="1" customHeight="1">
      <c r="B260" s="1311">
        <v>39514</v>
      </c>
      <c r="C260" s="1300">
        <v>20</v>
      </c>
      <c r="D260" s="1301">
        <v>845</v>
      </c>
      <c r="E260" s="1260">
        <v>7775</v>
      </c>
      <c r="F260" s="1259">
        <v>388.75</v>
      </c>
      <c r="G260" s="1310" t="s">
        <v>1263</v>
      </c>
      <c r="H260" s="1261">
        <v>7.36</v>
      </c>
    </row>
    <row r="261" spans="2:8" s="817" customFormat="1" ht="15" hidden="1" customHeight="1">
      <c r="B261" s="1311">
        <v>39545</v>
      </c>
      <c r="C261" s="1300">
        <v>25</v>
      </c>
      <c r="D261" s="1301">
        <v>650</v>
      </c>
      <c r="E261" s="1260">
        <v>2825</v>
      </c>
      <c r="F261" s="1259">
        <v>113</v>
      </c>
      <c r="G261" s="1310" t="s">
        <v>1264</v>
      </c>
      <c r="H261" s="1261">
        <v>6.79</v>
      </c>
    </row>
    <row r="262" spans="2:8" s="817" customFormat="1" ht="15" hidden="1" customHeight="1">
      <c r="B262" s="1311">
        <v>39575</v>
      </c>
      <c r="C262" s="1300">
        <v>45</v>
      </c>
      <c r="D262" s="1301">
        <v>650</v>
      </c>
      <c r="E262" s="1260">
        <v>8081</v>
      </c>
      <c r="F262" s="1259">
        <v>279</v>
      </c>
      <c r="G262" s="1310" t="s">
        <v>1265</v>
      </c>
      <c r="H262" s="1261">
        <v>6.56</v>
      </c>
    </row>
    <row r="263" spans="2:8" s="817" customFormat="1" ht="15" hidden="1" customHeight="1">
      <c r="B263" s="1311">
        <v>39606</v>
      </c>
      <c r="C263" s="1300">
        <v>27</v>
      </c>
      <c r="D263" s="1301">
        <v>815</v>
      </c>
      <c r="E263" s="1260">
        <v>6878</v>
      </c>
      <c r="F263" s="1259">
        <v>229.27</v>
      </c>
      <c r="G263" s="1310" t="s">
        <v>1266</v>
      </c>
      <c r="H263" s="1261">
        <v>6.43</v>
      </c>
    </row>
    <row r="264" spans="2:8" s="817" customFormat="1" ht="15" hidden="1" customHeight="1">
      <c r="B264" s="1311">
        <v>39636</v>
      </c>
      <c r="C264" s="1300">
        <v>50</v>
      </c>
      <c r="D264" s="1301">
        <v>1110</v>
      </c>
      <c r="E264" s="1260">
        <v>7742</v>
      </c>
      <c r="F264" s="1259">
        <v>266.97000000000003</v>
      </c>
      <c r="G264" s="1310" t="s">
        <v>1267</v>
      </c>
      <c r="H264" s="1261">
        <v>6.48</v>
      </c>
    </row>
    <row r="265" spans="2:8" s="817" customFormat="1" ht="15" hidden="1" customHeight="1">
      <c r="B265" s="1311">
        <v>39667</v>
      </c>
      <c r="C265" s="1300">
        <v>15</v>
      </c>
      <c r="D265" s="1301">
        <v>960</v>
      </c>
      <c r="E265" s="1260">
        <v>6627</v>
      </c>
      <c r="F265" s="1259">
        <v>229</v>
      </c>
      <c r="G265" s="1310" t="s">
        <v>1143</v>
      </c>
      <c r="H265" s="1261">
        <v>6.71</v>
      </c>
    </row>
    <row r="266" spans="2:8" s="817" customFormat="1" ht="15" hidden="1" customHeight="1">
      <c r="B266" s="1311">
        <v>39698</v>
      </c>
      <c r="C266" s="1300">
        <v>70</v>
      </c>
      <c r="D266" s="1301">
        <v>1170</v>
      </c>
      <c r="E266" s="1260">
        <v>16415</v>
      </c>
      <c r="F266" s="1259">
        <v>547.20000000000005</v>
      </c>
      <c r="G266" s="1310" t="s">
        <v>1268</v>
      </c>
      <c r="H266" s="1261">
        <v>8.7899999999999991</v>
      </c>
    </row>
    <row r="267" spans="2:8" s="817" customFormat="1" ht="15" hidden="1" customHeight="1">
      <c r="B267" s="1311">
        <v>39728</v>
      </c>
      <c r="C267" s="1300">
        <v>30</v>
      </c>
      <c r="D267" s="1301">
        <v>1130</v>
      </c>
      <c r="E267" s="1260">
        <v>12280</v>
      </c>
      <c r="F267" s="1259">
        <v>396.13</v>
      </c>
      <c r="G267" s="1310" t="s">
        <v>1269</v>
      </c>
      <c r="H267" s="1261">
        <v>8.76</v>
      </c>
    </row>
    <row r="268" spans="2:8" s="817" customFormat="1" ht="15" hidden="1" customHeight="1">
      <c r="B268" s="1311">
        <v>39759</v>
      </c>
      <c r="C268" s="1300">
        <v>40</v>
      </c>
      <c r="D268" s="1301">
        <v>425</v>
      </c>
      <c r="E268" s="1260">
        <v>5215</v>
      </c>
      <c r="F268" s="1259">
        <v>173.83</v>
      </c>
      <c r="G268" s="1310" t="s">
        <v>1270</v>
      </c>
      <c r="H268" s="1261">
        <v>8.8699999999999992</v>
      </c>
    </row>
    <row r="269" spans="2:8" s="817" customFormat="1" ht="15" hidden="1" customHeight="1">
      <c r="B269" s="1312">
        <v>39789</v>
      </c>
      <c r="C269" s="1313">
        <v>15</v>
      </c>
      <c r="D269" s="1314">
        <v>1545</v>
      </c>
      <c r="E269" s="1260">
        <v>11281</v>
      </c>
      <c r="F269" s="1259">
        <v>402.89</v>
      </c>
      <c r="G269" s="1310" t="s">
        <v>1208</v>
      </c>
      <c r="H269" s="1261">
        <v>7.23</v>
      </c>
    </row>
    <row r="270" spans="2:8" s="817" customFormat="1" ht="15" hidden="1" customHeight="1">
      <c r="B270" s="1315">
        <v>39820</v>
      </c>
      <c r="C270" s="1258">
        <v>10</v>
      </c>
      <c r="D270" s="1259">
        <v>1325</v>
      </c>
      <c r="E270" s="1260">
        <v>9211</v>
      </c>
      <c r="F270" s="1259">
        <v>297.13</v>
      </c>
      <c r="G270" s="1310" t="s">
        <v>1271</v>
      </c>
      <c r="H270" s="1261">
        <v>6.53</v>
      </c>
    </row>
    <row r="271" spans="2:8" s="817" customFormat="1" ht="15" hidden="1" customHeight="1">
      <c r="B271" s="1315">
        <v>39851</v>
      </c>
      <c r="C271" s="1258">
        <v>30</v>
      </c>
      <c r="D271" s="1259">
        <v>567</v>
      </c>
      <c r="E271" s="1260">
        <v>5759.5</v>
      </c>
      <c r="F271" s="1259">
        <v>221.52</v>
      </c>
      <c r="G271" s="1310" t="s">
        <v>1272</v>
      </c>
      <c r="H271" s="1261">
        <v>6.17</v>
      </c>
    </row>
    <row r="272" spans="2:8" s="817" customFormat="1" ht="15" hidden="1" customHeight="1">
      <c r="B272" s="1315">
        <v>39879</v>
      </c>
      <c r="C272" s="1258">
        <v>15</v>
      </c>
      <c r="D272" s="1259">
        <v>500</v>
      </c>
      <c r="E272" s="1260">
        <v>6110</v>
      </c>
      <c r="F272" s="1259">
        <v>265.64999999999998</v>
      </c>
      <c r="G272" s="1310" t="s">
        <v>1273</v>
      </c>
      <c r="H272" s="1261">
        <v>5.68</v>
      </c>
    </row>
    <row r="273" spans="2:9" s="817" customFormat="1" ht="15" hidden="1" customHeight="1">
      <c r="B273" s="1315">
        <v>39910</v>
      </c>
      <c r="C273" s="1258">
        <v>10</v>
      </c>
      <c r="D273" s="1259">
        <v>600</v>
      </c>
      <c r="E273" s="1260">
        <v>3759.5</v>
      </c>
      <c r="F273" s="1259">
        <v>139.24</v>
      </c>
      <c r="G273" s="1310" t="s">
        <v>1274</v>
      </c>
      <c r="H273" s="1261">
        <v>4.49</v>
      </c>
    </row>
    <row r="274" spans="2:9" s="817" customFormat="1" ht="15" hidden="1" customHeight="1">
      <c r="B274" s="1315">
        <v>39940</v>
      </c>
      <c r="C274" s="1258">
        <v>15</v>
      </c>
      <c r="D274" s="1259">
        <v>690</v>
      </c>
      <c r="E274" s="1260">
        <v>5517</v>
      </c>
      <c r="F274" s="1259">
        <v>197</v>
      </c>
      <c r="G274" s="1310" t="s">
        <v>1275</v>
      </c>
      <c r="H274" s="1261">
        <v>4.4400000000000004</v>
      </c>
    </row>
    <row r="275" spans="2:9" s="817" customFormat="1" ht="15" hidden="1" customHeight="1">
      <c r="B275" s="1315">
        <v>39971</v>
      </c>
      <c r="C275" s="1258">
        <v>40</v>
      </c>
      <c r="D275" s="1259">
        <v>965</v>
      </c>
      <c r="E275" s="1260">
        <v>9240</v>
      </c>
      <c r="F275" s="1259">
        <v>308</v>
      </c>
      <c r="G275" s="1310" t="s">
        <v>1276</v>
      </c>
      <c r="H275" s="1261">
        <v>4.21</v>
      </c>
    </row>
    <row r="276" spans="2:9" s="817" customFormat="1" ht="15" hidden="1" customHeight="1">
      <c r="B276" s="1315">
        <v>40001</v>
      </c>
      <c r="C276" s="1258">
        <v>10</v>
      </c>
      <c r="D276" s="1259">
        <v>840</v>
      </c>
      <c r="E276" s="1260">
        <v>8734</v>
      </c>
      <c r="F276" s="1259">
        <v>301.17</v>
      </c>
      <c r="G276" s="1310" t="s">
        <v>1277</v>
      </c>
      <c r="H276" s="1261">
        <v>4.01</v>
      </c>
    </row>
    <row r="277" spans="2:9" s="817" customFormat="1" ht="15" hidden="1" customHeight="1">
      <c r="B277" s="1315">
        <v>40032</v>
      </c>
      <c r="C277" s="1258">
        <v>45</v>
      </c>
      <c r="D277" s="1259">
        <v>740</v>
      </c>
      <c r="E277" s="1260">
        <v>7939</v>
      </c>
      <c r="F277" s="1259">
        <v>305.35000000000002</v>
      </c>
      <c r="G277" s="1310" t="s">
        <v>1278</v>
      </c>
      <c r="H277" s="1261">
        <v>4</v>
      </c>
    </row>
    <row r="278" spans="2:9" s="817" customFormat="1" ht="15" hidden="1" customHeight="1">
      <c r="B278" s="1315">
        <v>40063</v>
      </c>
      <c r="C278" s="1258">
        <v>30</v>
      </c>
      <c r="D278" s="1259">
        <v>685</v>
      </c>
      <c r="E278" s="1260">
        <v>10975</v>
      </c>
      <c r="F278" s="1259">
        <v>378</v>
      </c>
      <c r="G278" s="1310" t="s">
        <v>1279</v>
      </c>
      <c r="H278" s="1261">
        <v>4.01</v>
      </c>
    </row>
    <row r="279" spans="2:9" s="817" customFormat="1" ht="15" hidden="1" customHeight="1">
      <c r="B279" s="1315">
        <v>40093</v>
      </c>
      <c r="C279" s="1258">
        <v>50</v>
      </c>
      <c r="D279" s="1259">
        <v>1055</v>
      </c>
      <c r="E279" s="1260">
        <v>12300</v>
      </c>
      <c r="F279" s="1259">
        <v>396.77</v>
      </c>
      <c r="G279" s="1310" t="s">
        <v>1280</v>
      </c>
      <c r="H279" s="1261">
        <v>4</v>
      </c>
    </row>
    <row r="280" spans="2:9" s="817" customFormat="1" ht="15" hidden="1" customHeight="1">
      <c r="B280" s="1315">
        <v>40124</v>
      </c>
      <c r="C280" s="1258">
        <v>25</v>
      </c>
      <c r="D280" s="1259">
        <v>850</v>
      </c>
      <c r="E280" s="1260">
        <v>6765</v>
      </c>
      <c r="F280" s="1259">
        <v>241.61</v>
      </c>
      <c r="G280" s="1310" t="s">
        <v>1281</v>
      </c>
      <c r="H280" s="1261">
        <v>3.97</v>
      </c>
    </row>
    <row r="281" spans="2:9" s="817" customFormat="1" ht="15" hidden="1" customHeight="1">
      <c r="B281" s="1315">
        <v>40154</v>
      </c>
      <c r="C281" s="1258">
        <v>25</v>
      </c>
      <c r="D281" s="1259">
        <v>1409.5</v>
      </c>
      <c r="E281" s="1260">
        <v>9239.5</v>
      </c>
      <c r="F281" s="1259">
        <v>307.98</v>
      </c>
      <c r="G281" s="1310" t="s">
        <v>1215</v>
      </c>
      <c r="H281" s="1261">
        <v>4.08</v>
      </c>
    </row>
    <row r="282" spans="2:9" s="817" customFormat="1" ht="15" hidden="1" customHeight="1">
      <c r="B282" s="1315">
        <v>40185</v>
      </c>
      <c r="C282" s="1258">
        <v>15</v>
      </c>
      <c r="D282" s="1259">
        <v>1225</v>
      </c>
      <c r="E282" s="1260">
        <v>8920</v>
      </c>
      <c r="F282" s="1259">
        <v>343.08</v>
      </c>
      <c r="G282" s="1310" t="s">
        <v>1282</v>
      </c>
      <c r="H282" s="1261">
        <v>3.96</v>
      </c>
    </row>
    <row r="283" spans="2:9" s="817" customFormat="1" ht="15" hidden="1" customHeight="1">
      <c r="B283" s="1315">
        <v>40216</v>
      </c>
      <c r="C283" s="1258">
        <v>164</v>
      </c>
      <c r="D283" s="1259">
        <v>1225</v>
      </c>
      <c r="E283" s="1260">
        <v>12568</v>
      </c>
      <c r="F283" s="1259">
        <v>502.72</v>
      </c>
      <c r="G283" s="1310" t="s">
        <v>1283</v>
      </c>
      <c r="H283" s="1261">
        <v>3.89</v>
      </c>
    </row>
    <row r="284" spans="2:9" s="817" customFormat="1" ht="15" hidden="1" customHeight="1">
      <c r="B284" s="1315">
        <v>40244</v>
      </c>
      <c r="C284" s="1258">
        <v>5</v>
      </c>
      <c r="D284" s="1259">
        <v>750</v>
      </c>
      <c r="E284" s="1260">
        <v>3153</v>
      </c>
      <c r="F284" s="1259">
        <v>210.2</v>
      </c>
      <c r="G284" s="1310" t="s">
        <v>1284</v>
      </c>
      <c r="H284" s="1261">
        <v>3.8</v>
      </c>
    </row>
    <row r="285" spans="2:9" s="817" customFormat="1" ht="15" hidden="1" customHeight="1">
      <c r="B285" s="1315">
        <v>40275</v>
      </c>
      <c r="C285" s="1258">
        <v>45</v>
      </c>
      <c r="D285" s="1259">
        <v>580</v>
      </c>
      <c r="E285" s="1260">
        <v>6465</v>
      </c>
      <c r="F285" s="1259">
        <v>281.08999999999997</v>
      </c>
      <c r="G285" s="1310" t="s">
        <v>1285</v>
      </c>
      <c r="H285" s="1261">
        <v>3.9</v>
      </c>
    </row>
    <row r="286" spans="2:9" s="817" customFormat="1" ht="15" hidden="1" customHeight="1">
      <c r="B286" s="1315">
        <v>40305</v>
      </c>
      <c r="C286" s="1268">
        <v>50</v>
      </c>
      <c r="D286" s="1238">
        <v>895</v>
      </c>
      <c r="E286" s="1237">
        <v>8285</v>
      </c>
      <c r="F286" s="1238">
        <v>285.69</v>
      </c>
      <c r="G286" s="1239" t="s">
        <v>1286</v>
      </c>
      <c r="H286" s="1239">
        <v>3.69</v>
      </c>
      <c r="I286" s="1316"/>
    </row>
    <row r="287" spans="2:9" s="817" customFormat="1" ht="15" hidden="1" customHeight="1">
      <c r="B287" s="1315">
        <v>40336</v>
      </c>
      <c r="C287" s="1268">
        <v>15</v>
      </c>
      <c r="D287" s="1238">
        <v>1245</v>
      </c>
      <c r="E287" s="1237">
        <v>6730</v>
      </c>
      <c r="F287" s="1238">
        <v>336.5</v>
      </c>
      <c r="G287" s="1239" t="s">
        <v>1039</v>
      </c>
      <c r="H287" s="1239">
        <v>3.26</v>
      </c>
      <c r="I287" s="1317"/>
    </row>
    <row r="288" spans="2:9" s="817" customFormat="1" ht="15" hidden="1" customHeight="1">
      <c r="B288" s="1315">
        <v>40366</v>
      </c>
      <c r="C288" s="1268">
        <v>5</v>
      </c>
      <c r="D288" s="1238">
        <v>1075</v>
      </c>
      <c r="E288" s="1237">
        <v>6536</v>
      </c>
      <c r="F288" s="1238">
        <v>217.87</v>
      </c>
      <c r="G288" s="1239" t="s">
        <v>1222</v>
      </c>
      <c r="H288" s="1239">
        <v>3.41</v>
      </c>
      <c r="I288" s="1317"/>
    </row>
    <row r="289" spans="2:9" s="817" customFormat="1" ht="15" hidden="1" customHeight="1">
      <c r="B289" s="1315">
        <v>40397</v>
      </c>
      <c r="C289" s="1268">
        <v>15</v>
      </c>
      <c r="D289" s="1238">
        <v>360</v>
      </c>
      <c r="E289" s="1237">
        <v>2422</v>
      </c>
      <c r="F289" s="1238">
        <v>100.92</v>
      </c>
      <c r="G289" s="1239" t="s">
        <v>1223</v>
      </c>
      <c r="H289" s="1239">
        <v>2.52</v>
      </c>
      <c r="I289" s="1317"/>
    </row>
    <row r="290" spans="2:9" s="817" customFormat="1" ht="15" hidden="1" customHeight="1">
      <c r="B290" s="1315">
        <v>40428</v>
      </c>
      <c r="C290" s="1268">
        <v>50</v>
      </c>
      <c r="D290" s="1238">
        <v>385</v>
      </c>
      <c r="E290" s="1237">
        <v>5570</v>
      </c>
      <c r="F290" s="1238">
        <v>206</v>
      </c>
      <c r="G290" s="1239" t="s">
        <v>1287</v>
      </c>
      <c r="H290" s="1239">
        <v>2.04</v>
      </c>
      <c r="I290" s="1317"/>
    </row>
    <row r="291" spans="2:9" s="817" customFormat="1" ht="15" hidden="1" customHeight="1">
      <c r="B291" s="1315">
        <v>40458</v>
      </c>
      <c r="C291" s="1268">
        <v>15</v>
      </c>
      <c r="D291" s="1238">
        <v>585</v>
      </c>
      <c r="E291" s="1237">
        <v>9410</v>
      </c>
      <c r="F291" s="1238">
        <v>313.67</v>
      </c>
      <c r="G291" s="1239" t="s">
        <v>1288</v>
      </c>
      <c r="H291" s="1239">
        <v>2.23</v>
      </c>
      <c r="I291" s="1317"/>
    </row>
    <row r="292" spans="2:9" s="817" customFormat="1" ht="15" hidden="1" customHeight="1">
      <c r="B292" s="1315">
        <v>40489</v>
      </c>
      <c r="C292" s="1268">
        <v>157</v>
      </c>
      <c r="D292" s="1238">
        <v>730</v>
      </c>
      <c r="E292" s="1237">
        <v>9921</v>
      </c>
      <c r="F292" s="1238">
        <v>330.7</v>
      </c>
      <c r="G292" s="1239" t="s">
        <v>1224</v>
      </c>
      <c r="H292" s="1239">
        <v>2.17</v>
      </c>
      <c r="I292" s="1317"/>
    </row>
    <row r="293" spans="2:9" s="817" customFormat="1" ht="15" hidden="1" customHeight="1">
      <c r="B293" s="1315">
        <v>40519</v>
      </c>
      <c r="C293" s="1268">
        <v>185</v>
      </c>
      <c r="D293" s="1238">
        <v>692</v>
      </c>
      <c r="E293" s="1237">
        <v>13025</v>
      </c>
      <c r="F293" s="1238">
        <v>420.16</v>
      </c>
      <c r="G293" s="1239" t="s">
        <v>1289</v>
      </c>
      <c r="H293" s="1239">
        <v>1.99</v>
      </c>
      <c r="I293" s="1317"/>
    </row>
    <row r="294" spans="2:9" s="817" customFormat="1" ht="15" hidden="1" customHeight="1">
      <c r="B294" s="1315">
        <v>40550</v>
      </c>
      <c r="C294" s="1268">
        <v>170</v>
      </c>
      <c r="D294" s="1238">
        <v>520</v>
      </c>
      <c r="E294" s="1237">
        <v>9505</v>
      </c>
      <c r="F294" s="1238">
        <v>306.61</v>
      </c>
      <c r="G294" s="1239" t="s">
        <v>1290</v>
      </c>
      <c r="H294" s="1239">
        <v>1.93</v>
      </c>
      <c r="I294" s="1317"/>
    </row>
    <row r="295" spans="2:9" s="817" customFormat="1" ht="15" hidden="1" customHeight="1">
      <c r="B295" s="1315">
        <v>40581</v>
      </c>
      <c r="C295" s="1268">
        <v>30</v>
      </c>
      <c r="D295" s="1238">
        <v>325</v>
      </c>
      <c r="E295" s="1237">
        <v>2755</v>
      </c>
      <c r="F295" s="1238">
        <v>162.06</v>
      </c>
      <c r="G295" s="1239" t="s">
        <v>1291</v>
      </c>
      <c r="H295" s="1239">
        <v>1.75</v>
      </c>
      <c r="I295" s="1317"/>
    </row>
    <row r="296" spans="2:9" s="817" customFormat="1" ht="15" hidden="1" customHeight="1">
      <c r="B296" s="1315">
        <v>40609</v>
      </c>
      <c r="C296" s="1268">
        <v>10</v>
      </c>
      <c r="D296" s="1238">
        <v>940</v>
      </c>
      <c r="E296" s="1237">
        <v>5445</v>
      </c>
      <c r="F296" s="1238">
        <v>217.8</v>
      </c>
      <c r="G296" s="1239" t="s">
        <v>1292</v>
      </c>
      <c r="H296" s="1239">
        <v>1.61</v>
      </c>
      <c r="I296" s="1317"/>
    </row>
    <row r="297" spans="2:9" s="817" customFormat="1" ht="15" hidden="1" customHeight="1">
      <c r="B297" s="1315">
        <v>40640</v>
      </c>
      <c r="C297" s="1268">
        <v>320</v>
      </c>
      <c r="D297" s="1238">
        <v>1900</v>
      </c>
      <c r="E297" s="1237">
        <v>37173</v>
      </c>
      <c r="F297" s="1238">
        <v>1239</v>
      </c>
      <c r="G297" s="1239" t="s">
        <v>1293</v>
      </c>
      <c r="H297" s="1239">
        <v>1.5</v>
      </c>
      <c r="I297" s="1317"/>
    </row>
    <row r="298" spans="2:9" s="817" customFormat="1" ht="15" hidden="1" customHeight="1">
      <c r="B298" s="1315">
        <v>40670</v>
      </c>
      <c r="C298" s="1268">
        <v>100</v>
      </c>
      <c r="D298" s="1238">
        <v>1279</v>
      </c>
      <c r="E298" s="1237">
        <v>17494</v>
      </c>
      <c r="F298" s="1238">
        <v>647.92999999999995</v>
      </c>
      <c r="G298" s="1239" t="s">
        <v>1231</v>
      </c>
      <c r="H298" s="1239">
        <v>1.37</v>
      </c>
      <c r="I298" s="1317"/>
    </row>
    <row r="299" spans="2:9" s="817" customFormat="1" ht="15" hidden="1" customHeight="1">
      <c r="B299" s="1315">
        <v>40701</v>
      </c>
      <c r="C299" s="1268">
        <v>50</v>
      </c>
      <c r="D299" s="1238">
        <v>975</v>
      </c>
      <c r="E299" s="1237">
        <v>6367</v>
      </c>
      <c r="F299" s="1238">
        <v>397.94</v>
      </c>
      <c r="G299" s="1239" t="s">
        <v>1294</v>
      </c>
      <c r="H299" s="1239">
        <v>2.66</v>
      </c>
      <c r="I299" s="1317"/>
    </row>
    <row r="300" spans="2:9" s="817" customFormat="1" ht="15" hidden="1" customHeight="1">
      <c r="B300" s="1315">
        <v>40731</v>
      </c>
      <c r="C300" s="1268">
        <v>290</v>
      </c>
      <c r="D300" s="1238">
        <v>1300</v>
      </c>
      <c r="E300" s="1237">
        <v>23100</v>
      </c>
      <c r="F300" s="1238">
        <v>796.55</v>
      </c>
      <c r="G300" s="1239" t="s">
        <v>1233</v>
      </c>
      <c r="H300" s="1239">
        <v>1.86</v>
      </c>
      <c r="I300" s="1317"/>
    </row>
    <row r="301" spans="2:9" s="817" customFormat="1" ht="15" hidden="1" customHeight="1">
      <c r="B301" s="1315">
        <v>40762</v>
      </c>
      <c r="C301" s="1268">
        <v>25</v>
      </c>
      <c r="D301" s="1238">
        <v>1645</v>
      </c>
      <c r="E301" s="1237">
        <v>26465</v>
      </c>
      <c r="F301" s="1238">
        <v>882.17</v>
      </c>
      <c r="G301" s="1239" t="s">
        <v>1234</v>
      </c>
      <c r="H301" s="1239">
        <v>3.48</v>
      </c>
      <c r="I301" s="1317"/>
    </row>
    <row r="302" spans="2:9" s="817" customFormat="1" ht="15" hidden="1" customHeight="1">
      <c r="B302" s="1315">
        <v>40793</v>
      </c>
      <c r="C302" s="1268">
        <v>40</v>
      </c>
      <c r="D302" s="1238">
        <v>1360</v>
      </c>
      <c r="E302" s="1237">
        <v>11395</v>
      </c>
      <c r="F302" s="1238">
        <v>474.8</v>
      </c>
      <c r="G302" s="1239" t="s">
        <v>1295</v>
      </c>
      <c r="H302" s="1239">
        <v>3.06</v>
      </c>
      <c r="I302" s="1317"/>
    </row>
    <row r="303" spans="2:9" s="817" customFormat="1" ht="15" hidden="1" customHeight="1">
      <c r="B303" s="1315">
        <v>40823</v>
      </c>
      <c r="C303" s="1268">
        <v>100</v>
      </c>
      <c r="D303" s="1238">
        <v>1680</v>
      </c>
      <c r="E303" s="1237">
        <v>27435</v>
      </c>
      <c r="F303" s="1238">
        <v>885</v>
      </c>
      <c r="G303" s="1239" t="s">
        <v>1296</v>
      </c>
      <c r="H303" s="1239">
        <v>2.5499999999999998</v>
      </c>
      <c r="I303" s="1317"/>
    </row>
    <row r="304" spans="2:9" s="817" customFormat="1" ht="15" hidden="1" customHeight="1">
      <c r="B304" s="1315">
        <v>40854</v>
      </c>
      <c r="C304" s="1268">
        <v>50</v>
      </c>
      <c r="D304" s="1238">
        <v>2045</v>
      </c>
      <c r="E304" s="1237">
        <v>34454</v>
      </c>
      <c r="F304" s="1238">
        <v>1148</v>
      </c>
      <c r="G304" s="1239" t="s">
        <v>1179</v>
      </c>
      <c r="H304" s="1239">
        <v>2.85</v>
      </c>
      <c r="I304" s="1317"/>
    </row>
    <row r="305" spans="2:9" s="817" customFormat="1" ht="15" hidden="1" customHeight="1">
      <c r="B305" s="1315">
        <v>40884</v>
      </c>
      <c r="C305" s="1268">
        <v>30</v>
      </c>
      <c r="D305" s="1238">
        <v>2125</v>
      </c>
      <c r="E305" s="1237">
        <v>29645</v>
      </c>
      <c r="F305" s="1238">
        <v>1140.19</v>
      </c>
      <c r="G305" s="1239" t="s">
        <v>1237</v>
      </c>
      <c r="H305" s="1239">
        <v>3.31</v>
      </c>
      <c r="I305" s="1317"/>
    </row>
    <row r="306" spans="2:9" s="817" customFormat="1" ht="15" hidden="1" customHeight="1">
      <c r="B306" s="1315">
        <v>40915</v>
      </c>
      <c r="C306" s="1268">
        <v>110</v>
      </c>
      <c r="D306" s="1238">
        <v>1065</v>
      </c>
      <c r="E306" s="1237">
        <v>10195</v>
      </c>
      <c r="F306" s="1238">
        <v>407.8</v>
      </c>
      <c r="G306" s="1239" t="s">
        <v>1238</v>
      </c>
      <c r="H306" s="1239">
        <v>2.4</v>
      </c>
      <c r="I306" s="1317"/>
    </row>
    <row r="307" spans="2:9" s="817" customFormat="1" ht="15" customHeight="1">
      <c r="B307" s="1315">
        <v>40946</v>
      </c>
      <c r="C307" s="1268">
        <v>45</v>
      </c>
      <c r="D307" s="1238">
        <v>1350</v>
      </c>
      <c r="E307" s="1237">
        <v>15885</v>
      </c>
      <c r="F307" s="1238">
        <v>547.76</v>
      </c>
      <c r="G307" s="1239" t="s">
        <v>1238</v>
      </c>
      <c r="H307" s="1239">
        <v>2.3199999999999998</v>
      </c>
      <c r="I307" s="1317"/>
    </row>
    <row r="308" spans="2:9" s="817" customFormat="1" ht="15" customHeight="1">
      <c r="B308" s="1315">
        <v>40975</v>
      </c>
      <c r="C308" s="1268">
        <v>40</v>
      </c>
      <c r="D308" s="1238">
        <v>1155</v>
      </c>
      <c r="E308" s="1237">
        <v>9890</v>
      </c>
      <c r="F308" s="1238">
        <v>353.21</v>
      </c>
      <c r="G308" s="1239" t="s">
        <v>1240</v>
      </c>
      <c r="H308" s="1239">
        <v>1.97</v>
      </c>
      <c r="I308" s="1317"/>
    </row>
    <row r="309" spans="2:9" s="817" customFormat="1" ht="15" customHeight="1">
      <c r="B309" s="1315">
        <v>41006</v>
      </c>
      <c r="C309" s="1268">
        <v>170</v>
      </c>
      <c r="D309" s="1238">
        <v>1685</v>
      </c>
      <c r="E309" s="1237">
        <v>22085</v>
      </c>
      <c r="F309" s="1238">
        <v>736.17</v>
      </c>
      <c r="G309" s="1239" t="s">
        <v>1241</v>
      </c>
      <c r="H309" s="1239">
        <v>1.87</v>
      </c>
      <c r="I309" s="1317"/>
    </row>
    <row r="310" spans="2:9" s="817" customFormat="1" ht="15" customHeight="1">
      <c r="B310" s="1315">
        <v>41036</v>
      </c>
      <c r="C310" s="1268">
        <v>50</v>
      </c>
      <c r="D310" s="1238">
        <v>1680</v>
      </c>
      <c r="E310" s="1237">
        <v>15375</v>
      </c>
      <c r="F310" s="1238">
        <v>495.97</v>
      </c>
      <c r="G310" s="1239" t="s">
        <v>1297</v>
      </c>
      <c r="H310" s="1239">
        <v>1.59</v>
      </c>
      <c r="I310" s="1317"/>
    </row>
    <row r="311" spans="2:9" s="817" customFormat="1" ht="15" customHeight="1">
      <c r="B311" s="1315">
        <v>41067</v>
      </c>
      <c r="C311" s="1268">
        <v>80</v>
      </c>
      <c r="D311" s="1238">
        <v>2170</v>
      </c>
      <c r="E311" s="1237">
        <v>25770</v>
      </c>
      <c r="F311" s="1238">
        <v>859</v>
      </c>
      <c r="G311" s="1239" t="s">
        <v>1298</v>
      </c>
      <c r="H311" s="1239">
        <v>1.65</v>
      </c>
      <c r="I311" s="1317"/>
    </row>
    <row r="312" spans="2:9" s="817" customFormat="1" ht="15" customHeight="1">
      <c r="B312" s="1315">
        <v>41097</v>
      </c>
      <c r="C312" s="1268">
        <v>25</v>
      </c>
      <c r="D312" s="1238">
        <v>1625</v>
      </c>
      <c r="E312" s="1237">
        <v>15565</v>
      </c>
      <c r="F312" s="1238">
        <v>502.1</v>
      </c>
      <c r="G312" s="1239" t="s">
        <v>1241</v>
      </c>
      <c r="H312" s="1239">
        <v>1.91</v>
      </c>
      <c r="I312" s="1317"/>
    </row>
    <row r="313" spans="2:9" s="817" customFormat="1" ht="15" customHeight="1">
      <c r="B313" s="1315">
        <v>41128</v>
      </c>
      <c r="C313" s="1268">
        <v>65</v>
      </c>
      <c r="D313" s="1238">
        <v>1630</v>
      </c>
      <c r="E313" s="1237">
        <v>19250</v>
      </c>
      <c r="F313" s="1238">
        <v>621</v>
      </c>
      <c r="G313" s="1239" t="s">
        <v>1299</v>
      </c>
      <c r="H313" s="1239">
        <v>1.81</v>
      </c>
      <c r="I313" s="1317"/>
    </row>
    <row r="314" spans="2:9" s="817" customFormat="1" ht="15" customHeight="1">
      <c r="B314" s="1315">
        <v>41159</v>
      </c>
      <c r="C314" s="1268">
        <v>15</v>
      </c>
      <c r="D314" s="1238">
        <v>575</v>
      </c>
      <c r="E314" s="1237">
        <v>6885</v>
      </c>
      <c r="F314" s="1238">
        <v>286.89999999999998</v>
      </c>
      <c r="G314" s="1239" t="s">
        <v>1246</v>
      </c>
      <c r="H314" s="1239">
        <v>1.67</v>
      </c>
      <c r="I314" s="1317"/>
    </row>
    <row r="315" spans="2:9" s="817" customFormat="1" ht="15" customHeight="1">
      <c r="B315" s="1315">
        <v>41189</v>
      </c>
      <c r="C315" s="1268">
        <v>60</v>
      </c>
      <c r="D315" s="1238">
        <v>980</v>
      </c>
      <c r="E315" s="1237">
        <v>12570</v>
      </c>
      <c r="F315" s="1238">
        <v>433.45</v>
      </c>
      <c r="G315" s="1239" t="s">
        <v>1247</v>
      </c>
      <c r="H315" s="1239">
        <v>1.57</v>
      </c>
      <c r="I315" s="1317"/>
    </row>
    <row r="316" spans="2:9" s="817" customFormat="1" ht="15" customHeight="1">
      <c r="B316" s="1315">
        <v>41220</v>
      </c>
      <c r="C316" s="1268">
        <v>415</v>
      </c>
      <c r="D316" s="1238">
        <v>2180</v>
      </c>
      <c r="E316" s="1237">
        <v>37495</v>
      </c>
      <c r="F316" s="1238">
        <v>1249.83</v>
      </c>
      <c r="G316" s="1239" t="s">
        <v>1248</v>
      </c>
      <c r="H316" s="1239">
        <v>1.53</v>
      </c>
      <c r="I316" s="1317"/>
    </row>
    <row r="317" spans="2:9" s="817" customFormat="1" ht="15" customHeight="1">
      <c r="B317" s="1315">
        <v>41250</v>
      </c>
      <c r="C317" s="1268">
        <v>160</v>
      </c>
      <c r="D317" s="1238">
        <v>1650</v>
      </c>
      <c r="E317" s="1237">
        <v>26110</v>
      </c>
      <c r="F317" s="1238">
        <v>842.26</v>
      </c>
      <c r="G317" s="1239" t="s">
        <v>1249</v>
      </c>
      <c r="H317" s="1239">
        <v>1.61</v>
      </c>
      <c r="I317" s="1317"/>
    </row>
    <row r="318" spans="2:9" s="817" customFormat="1" ht="15" customHeight="1">
      <c r="B318" s="1315">
        <v>41281</v>
      </c>
      <c r="C318" s="1268">
        <v>10</v>
      </c>
      <c r="D318" s="1238">
        <v>1085</v>
      </c>
      <c r="E318" s="1237">
        <v>8660</v>
      </c>
      <c r="F318" s="1238">
        <v>298.62</v>
      </c>
      <c r="G318" s="1239" t="s">
        <v>1300</v>
      </c>
      <c r="H318" s="1239">
        <v>1.46</v>
      </c>
      <c r="I318" s="1317"/>
    </row>
    <row r="319" spans="2:9" s="817" customFormat="1" ht="15" customHeight="1">
      <c r="B319" s="1315">
        <v>41312</v>
      </c>
      <c r="C319" s="1268">
        <v>30</v>
      </c>
      <c r="D319" s="1238">
        <v>1105</v>
      </c>
      <c r="E319" s="1237">
        <v>17545</v>
      </c>
      <c r="F319" s="1238">
        <v>674.81</v>
      </c>
      <c r="G319" s="1239" t="s">
        <v>1118</v>
      </c>
      <c r="H319" s="1239">
        <v>1.37</v>
      </c>
      <c r="I319" s="1317"/>
    </row>
    <row r="320" spans="2:9" s="817" customFormat="1" ht="15" customHeight="1" thickBot="1">
      <c r="B320" s="1318"/>
      <c r="C320" s="1319"/>
      <c r="D320" s="1320"/>
      <c r="E320" s="1321"/>
      <c r="F320" s="1320"/>
      <c r="G320" s="1322"/>
      <c r="H320" s="1323"/>
    </row>
    <row r="321" spans="2:8" s="817" customFormat="1" ht="18" customHeight="1">
      <c r="B321" s="1283" t="s">
        <v>1250</v>
      </c>
      <c r="C321" s="795"/>
      <c r="D321" s="795"/>
      <c r="E321" s="795"/>
      <c r="G321" s="1284"/>
      <c r="H321" s="1285"/>
    </row>
    <row r="322" spans="2:8" s="1073" customFormat="1">
      <c r="B322" s="829" t="s">
        <v>787</v>
      </c>
    </row>
  </sheetData>
  <mergeCells count="3">
    <mergeCell ref="C6:F6"/>
    <mergeCell ref="G6:I6"/>
    <mergeCell ref="G180:H180"/>
  </mergeCells>
  <pageMargins left="1.2598425196850394" right="0.74803149606299213" top="0.6692913385826772" bottom="0.39370078740157483" header="0.51181102362204722" footer="0.51181102362204722"/>
  <pageSetup paperSize="9" scale="84"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9"/>
  <sheetViews>
    <sheetView topLeftCell="A42" zoomScaleNormal="100" workbookViewId="0">
      <pane xSplit="1" ySplit="86" topLeftCell="B217" activePane="bottomRight" state="frozen"/>
      <selection activeCell="A42" sqref="A42"/>
      <selection pane="topRight" activeCell="B42" sqref="B42"/>
      <selection pane="bottomLeft" activeCell="A128" sqref="A128"/>
      <selection pane="bottomRight" activeCell="I260" sqref="I260"/>
    </sheetView>
  </sheetViews>
  <sheetFormatPr defaultRowHeight="12.75"/>
  <cols>
    <col min="1" max="1" width="13.85546875" style="1325" customWidth="1"/>
    <col min="2" max="2" width="13" style="1325" customWidth="1"/>
    <col min="3" max="3" width="14.140625" style="1325" bestFit="1" customWidth="1"/>
    <col min="4" max="4" width="18.5703125" style="1325" bestFit="1" customWidth="1"/>
    <col min="5" max="5" width="10.28515625" style="1325" customWidth="1"/>
    <col min="6" max="6" width="10.42578125" style="1325" customWidth="1"/>
    <col min="7" max="7" width="9.7109375" style="1325" customWidth="1"/>
    <col min="8" max="8" width="9.85546875" style="1326" bestFit="1" customWidth="1"/>
    <col min="9" max="256" width="9.140625" style="1325"/>
    <col min="257" max="257" width="13.85546875" style="1325" customWidth="1"/>
    <col min="258" max="258" width="13" style="1325" customWidth="1"/>
    <col min="259" max="259" width="14.140625" style="1325" bestFit="1" customWidth="1"/>
    <col min="260" max="260" width="18.5703125" style="1325" bestFit="1" customWidth="1"/>
    <col min="261" max="261" width="10.28515625" style="1325" customWidth="1"/>
    <col min="262" max="262" width="10.42578125" style="1325" customWidth="1"/>
    <col min="263" max="263" width="9.7109375" style="1325" customWidth="1"/>
    <col min="264" max="264" width="9.85546875" style="1325" bestFit="1" customWidth="1"/>
    <col min="265" max="512" width="9.140625" style="1325"/>
    <col min="513" max="513" width="13.85546875" style="1325" customWidth="1"/>
    <col min="514" max="514" width="13" style="1325" customWidth="1"/>
    <col min="515" max="515" width="14.140625" style="1325" bestFit="1" customWidth="1"/>
    <col min="516" max="516" width="18.5703125" style="1325" bestFit="1" customWidth="1"/>
    <col min="517" max="517" width="10.28515625" style="1325" customWidth="1"/>
    <col min="518" max="518" width="10.42578125" style="1325" customWidth="1"/>
    <col min="519" max="519" width="9.7109375" style="1325" customWidth="1"/>
    <col min="520" max="520" width="9.85546875" style="1325" bestFit="1" customWidth="1"/>
    <col min="521" max="768" width="9.140625" style="1325"/>
    <col min="769" max="769" width="13.85546875" style="1325" customWidth="1"/>
    <col min="770" max="770" width="13" style="1325" customWidth="1"/>
    <col min="771" max="771" width="14.140625" style="1325" bestFit="1" customWidth="1"/>
    <col min="772" max="772" width="18.5703125" style="1325" bestFit="1" customWidth="1"/>
    <col min="773" max="773" width="10.28515625" style="1325" customWidth="1"/>
    <col min="774" max="774" width="10.42578125" style="1325" customWidth="1"/>
    <col min="775" max="775" width="9.7109375" style="1325" customWidth="1"/>
    <col min="776" max="776" width="9.85546875" style="1325" bestFit="1" customWidth="1"/>
    <col min="777" max="1024" width="9.140625" style="1325"/>
    <col min="1025" max="1025" width="13.85546875" style="1325" customWidth="1"/>
    <col min="1026" max="1026" width="13" style="1325" customWidth="1"/>
    <col min="1027" max="1027" width="14.140625" style="1325" bestFit="1" customWidth="1"/>
    <col min="1028" max="1028" width="18.5703125" style="1325" bestFit="1" customWidth="1"/>
    <col min="1029" max="1029" width="10.28515625" style="1325" customWidth="1"/>
    <col min="1030" max="1030" width="10.42578125" style="1325" customWidth="1"/>
    <col min="1031" max="1031" width="9.7109375" style="1325" customWidth="1"/>
    <col min="1032" max="1032" width="9.85546875" style="1325" bestFit="1" customWidth="1"/>
    <col min="1033" max="1280" width="9.140625" style="1325"/>
    <col min="1281" max="1281" width="13.85546875" style="1325" customWidth="1"/>
    <col min="1282" max="1282" width="13" style="1325" customWidth="1"/>
    <col min="1283" max="1283" width="14.140625" style="1325" bestFit="1" customWidth="1"/>
    <col min="1284" max="1284" width="18.5703125" style="1325" bestFit="1" customWidth="1"/>
    <col min="1285" max="1285" width="10.28515625" style="1325" customWidth="1"/>
    <col min="1286" max="1286" width="10.42578125" style="1325" customWidth="1"/>
    <col min="1287" max="1287" width="9.7109375" style="1325" customWidth="1"/>
    <col min="1288" max="1288" width="9.85546875" style="1325" bestFit="1" customWidth="1"/>
    <col min="1289" max="1536" width="9.140625" style="1325"/>
    <col min="1537" max="1537" width="13.85546875" style="1325" customWidth="1"/>
    <col min="1538" max="1538" width="13" style="1325" customWidth="1"/>
    <col min="1539" max="1539" width="14.140625" style="1325" bestFit="1" customWidth="1"/>
    <col min="1540" max="1540" width="18.5703125" style="1325" bestFit="1" customWidth="1"/>
    <col min="1541" max="1541" width="10.28515625" style="1325" customWidth="1"/>
    <col min="1542" max="1542" width="10.42578125" style="1325" customWidth="1"/>
    <col min="1543" max="1543" width="9.7109375" style="1325" customWidth="1"/>
    <col min="1544" max="1544" width="9.85546875" style="1325" bestFit="1" customWidth="1"/>
    <col min="1545" max="1792" width="9.140625" style="1325"/>
    <col min="1793" max="1793" width="13.85546875" style="1325" customWidth="1"/>
    <col min="1794" max="1794" width="13" style="1325" customWidth="1"/>
    <col min="1795" max="1795" width="14.140625" style="1325" bestFit="1" customWidth="1"/>
    <col min="1796" max="1796" width="18.5703125" style="1325" bestFit="1" customWidth="1"/>
    <col min="1797" max="1797" width="10.28515625" style="1325" customWidth="1"/>
    <col min="1798" max="1798" width="10.42578125" style="1325" customWidth="1"/>
    <col min="1799" max="1799" width="9.7109375" style="1325" customWidth="1"/>
    <col min="1800" max="1800" width="9.85546875" style="1325" bestFit="1" customWidth="1"/>
    <col min="1801" max="2048" width="9.140625" style="1325"/>
    <col min="2049" max="2049" width="13.85546875" style="1325" customWidth="1"/>
    <col min="2050" max="2050" width="13" style="1325" customWidth="1"/>
    <col min="2051" max="2051" width="14.140625" style="1325" bestFit="1" customWidth="1"/>
    <col min="2052" max="2052" width="18.5703125" style="1325" bestFit="1" customWidth="1"/>
    <col min="2053" max="2053" width="10.28515625" style="1325" customWidth="1"/>
    <col min="2054" max="2054" width="10.42578125" style="1325" customWidth="1"/>
    <col min="2055" max="2055" width="9.7109375" style="1325" customWidth="1"/>
    <col min="2056" max="2056" width="9.85546875" style="1325" bestFit="1" customWidth="1"/>
    <col min="2057" max="2304" width="9.140625" style="1325"/>
    <col min="2305" max="2305" width="13.85546875" style="1325" customWidth="1"/>
    <col min="2306" max="2306" width="13" style="1325" customWidth="1"/>
    <col min="2307" max="2307" width="14.140625" style="1325" bestFit="1" customWidth="1"/>
    <col min="2308" max="2308" width="18.5703125" style="1325" bestFit="1" customWidth="1"/>
    <col min="2309" max="2309" width="10.28515625" style="1325" customWidth="1"/>
    <col min="2310" max="2310" width="10.42578125" style="1325" customWidth="1"/>
    <col min="2311" max="2311" width="9.7109375" style="1325" customWidth="1"/>
    <col min="2312" max="2312" width="9.85546875" style="1325" bestFit="1" customWidth="1"/>
    <col min="2313" max="2560" width="9.140625" style="1325"/>
    <col min="2561" max="2561" width="13.85546875" style="1325" customWidth="1"/>
    <col min="2562" max="2562" width="13" style="1325" customWidth="1"/>
    <col min="2563" max="2563" width="14.140625" style="1325" bestFit="1" customWidth="1"/>
    <col min="2564" max="2564" width="18.5703125" style="1325" bestFit="1" customWidth="1"/>
    <col min="2565" max="2565" width="10.28515625" style="1325" customWidth="1"/>
    <col min="2566" max="2566" width="10.42578125" style="1325" customWidth="1"/>
    <col min="2567" max="2567" width="9.7109375" style="1325" customWidth="1"/>
    <col min="2568" max="2568" width="9.85546875" style="1325" bestFit="1" customWidth="1"/>
    <col min="2569" max="2816" width="9.140625" style="1325"/>
    <col min="2817" max="2817" width="13.85546875" style="1325" customWidth="1"/>
    <col min="2818" max="2818" width="13" style="1325" customWidth="1"/>
    <col min="2819" max="2819" width="14.140625" style="1325" bestFit="1" customWidth="1"/>
    <col min="2820" max="2820" width="18.5703125" style="1325" bestFit="1" customWidth="1"/>
    <col min="2821" max="2821" width="10.28515625" style="1325" customWidth="1"/>
    <col min="2822" max="2822" width="10.42578125" style="1325" customWidth="1"/>
    <col min="2823" max="2823" width="9.7109375" style="1325" customWidth="1"/>
    <col min="2824" max="2824" width="9.85546875" style="1325" bestFit="1" customWidth="1"/>
    <col min="2825" max="3072" width="9.140625" style="1325"/>
    <col min="3073" max="3073" width="13.85546875" style="1325" customWidth="1"/>
    <col min="3074" max="3074" width="13" style="1325" customWidth="1"/>
    <col min="3075" max="3075" width="14.140625" style="1325" bestFit="1" customWidth="1"/>
    <col min="3076" max="3076" width="18.5703125" style="1325" bestFit="1" customWidth="1"/>
    <col min="3077" max="3077" width="10.28515625" style="1325" customWidth="1"/>
    <col min="3078" max="3078" width="10.42578125" style="1325" customWidth="1"/>
    <col min="3079" max="3079" width="9.7109375" style="1325" customWidth="1"/>
    <col min="3080" max="3080" width="9.85546875" style="1325" bestFit="1" customWidth="1"/>
    <col min="3081" max="3328" width="9.140625" style="1325"/>
    <col min="3329" max="3329" width="13.85546875" style="1325" customWidth="1"/>
    <col min="3330" max="3330" width="13" style="1325" customWidth="1"/>
    <col min="3331" max="3331" width="14.140625" style="1325" bestFit="1" customWidth="1"/>
    <col min="3332" max="3332" width="18.5703125" style="1325" bestFit="1" customWidth="1"/>
    <col min="3333" max="3333" width="10.28515625" style="1325" customWidth="1"/>
    <col min="3334" max="3334" width="10.42578125" style="1325" customWidth="1"/>
    <col min="3335" max="3335" width="9.7109375" style="1325" customWidth="1"/>
    <col min="3336" max="3336" width="9.85546875" style="1325" bestFit="1" customWidth="1"/>
    <col min="3337" max="3584" width="9.140625" style="1325"/>
    <col min="3585" max="3585" width="13.85546875" style="1325" customWidth="1"/>
    <col min="3586" max="3586" width="13" style="1325" customWidth="1"/>
    <col min="3587" max="3587" width="14.140625" style="1325" bestFit="1" customWidth="1"/>
    <col min="3588" max="3588" width="18.5703125" style="1325" bestFit="1" customWidth="1"/>
    <col min="3589" max="3589" width="10.28515625" style="1325" customWidth="1"/>
    <col min="3590" max="3590" width="10.42578125" style="1325" customWidth="1"/>
    <col min="3591" max="3591" width="9.7109375" style="1325" customWidth="1"/>
    <col min="3592" max="3592" width="9.85546875" style="1325" bestFit="1" customWidth="1"/>
    <col min="3593" max="3840" width="9.140625" style="1325"/>
    <col min="3841" max="3841" width="13.85546875" style="1325" customWidth="1"/>
    <col min="3842" max="3842" width="13" style="1325" customWidth="1"/>
    <col min="3843" max="3843" width="14.140625" style="1325" bestFit="1" customWidth="1"/>
    <col min="3844" max="3844" width="18.5703125" style="1325" bestFit="1" customWidth="1"/>
    <col min="3845" max="3845" width="10.28515625" style="1325" customWidth="1"/>
    <col min="3846" max="3846" width="10.42578125" style="1325" customWidth="1"/>
    <col min="3847" max="3847" width="9.7109375" style="1325" customWidth="1"/>
    <col min="3848" max="3848" width="9.85546875" style="1325" bestFit="1" customWidth="1"/>
    <col min="3849" max="4096" width="9.140625" style="1325"/>
    <col min="4097" max="4097" width="13.85546875" style="1325" customWidth="1"/>
    <col min="4098" max="4098" width="13" style="1325" customWidth="1"/>
    <col min="4099" max="4099" width="14.140625" style="1325" bestFit="1" customWidth="1"/>
    <col min="4100" max="4100" width="18.5703125" style="1325" bestFit="1" customWidth="1"/>
    <col min="4101" max="4101" width="10.28515625" style="1325" customWidth="1"/>
    <col min="4102" max="4102" width="10.42578125" style="1325" customWidth="1"/>
    <col min="4103" max="4103" width="9.7109375" style="1325" customWidth="1"/>
    <col min="4104" max="4104" width="9.85546875" style="1325" bestFit="1" customWidth="1"/>
    <col min="4105" max="4352" width="9.140625" style="1325"/>
    <col min="4353" max="4353" width="13.85546875" style="1325" customWidth="1"/>
    <col min="4354" max="4354" width="13" style="1325" customWidth="1"/>
    <col min="4355" max="4355" width="14.140625" style="1325" bestFit="1" customWidth="1"/>
    <col min="4356" max="4356" width="18.5703125" style="1325" bestFit="1" customWidth="1"/>
    <col min="4357" max="4357" width="10.28515625" style="1325" customWidth="1"/>
    <col min="4358" max="4358" width="10.42578125" style="1325" customWidth="1"/>
    <col min="4359" max="4359" width="9.7109375" style="1325" customWidth="1"/>
    <col min="4360" max="4360" width="9.85546875" style="1325" bestFit="1" customWidth="1"/>
    <col min="4361" max="4608" width="9.140625" style="1325"/>
    <col min="4609" max="4609" width="13.85546875" style="1325" customWidth="1"/>
    <col min="4610" max="4610" width="13" style="1325" customWidth="1"/>
    <col min="4611" max="4611" width="14.140625" style="1325" bestFit="1" customWidth="1"/>
    <col min="4612" max="4612" width="18.5703125" style="1325" bestFit="1" customWidth="1"/>
    <col min="4613" max="4613" width="10.28515625" style="1325" customWidth="1"/>
    <col min="4614" max="4614" width="10.42578125" style="1325" customWidth="1"/>
    <col min="4615" max="4615" width="9.7109375" style="1325" customWidth="1"/>
    <col min="4616" max="4616" width="9.85546875" style="1325" bestFit="1" customWidth="1"/>
    <col min="4617" max="4864" width="9.140625" style="1325"/>
    <col min="4865" max="4865" width="13.85546875" style="1325" customWidth="1"/>
    <col min="4866" max="4866" width="13" style="1325" customWidth="1"/>
    <col min="4867" max="4867" width="14.140625" style="1325" bestFit="1" customWidth="1"/>
    <col min="4868" max="4868" width="18.5703125" style="1325" bestFit="1" customWidth="1"/>
    <col min="4869" max="4869" width="10.28515625" style="1325" customWidth="1"/>
    <col min="4870" max="4870" width="10.42578125" style="1325" customWidth="1"/>
    <col min="4871" max="4871" width="9.7109375" style="1325" customWidth="1"/>
    <col min="4872" max="4872" width="9.85546875" style="1325" bestFit="1" customWidth="1"/>
    <col min="4873" max="5120" width="9.140625" style="1325"/>
    <col min="5121" max="5121" width="13.85546875" style="1325" customWidth="1"/>
    <col min="5122" max="5122" width="13" style="1325" customWidth="1"/>
    <col min="5123" max="5123" width="14.140625" style="1325" bestFit="1" customWidth="1"/>
    <col min="5124" max="5124" width="18.5703125" style="1325" bestFit="1" customWidth="1"/>
    <col min="5125" max="5125" width="10.28515625" style="1325" customWidth="1"/>
    <col min="5126" max="5126" width="10.42578125" style="1325" customWidth="1"/>
    <col min="5127" max="5127" width="9.7109375" style="1325" customWidth="1"/>
    <col min="5128" max="5128" width="9.85546875" style="1325" bestFit="1" customWidth="1"/>
    <col min="5129" max="5376" width="9.140625" style="1325"/>
    <col min="5377" max="5377" width="13.85546875" style="1325" customWidth="1"/>
    <col min="5378" max="5378" width="13" style="1325" customWidth="1"/>
    <col min="5379" max="5379" width="14.140625" style="1325" bestFit="1" customWidth="1"/>
    <col min="5380" max="5380" width="18.5703125" style="1325" bestFit="1" customWidth="1"/>
    <col min="5381" max="5381" width="10.28515625" style="1325" customWidth="1"/>
    <col min="5382" max="5382" width="10.42578125" style="1325" customWidth="1"/>
    <col min="5383" max="5383" width="9.7109375" style="1325" customWidth="1"/>
    <col min="5384" max="5384" width="9.85546875" style="1325" bestFit="1" customWidth="1"/>
    <col min="5385" max="5632" width="9.140625" style="1325"/>
    <col min="5633" max="5633" width="13.85546875" style="1325" customWidth="1"/>
    <col min="5634" max="5634" width="13" style="1325" customWidth="1"/>
    <col min="5635" max="5635" width="14.140625" style="1325" bestFit="1" customWidth="1"/>
    <col min="5636" max="5636" width="18.5703125" style="1325" bestFit="1" customWidth="1"/>
    <col min="5637" max="5637" width="10.28515625" style="1325" customWidth="1"/>
    <col min="5638" max="5638" width="10.42578125" style="1325" customWidth="1"/>
    <col min="5639" max="5639" width="9.7109375" style="1325" customWidth="1"/>
    <col min="5640" max="5640" width="9.85546875" style="1325" bestFit="1" customWidth="1"/>
    <col min="5641" max="5888" width="9.140625" style="1325"/>
    <col min="5889" max="5889" width="13.85546875" style="1325" customWidth="1"/>
    <col min="5890" max="5890" width="13" style="1325" customWidth="1"/>
    <col min="5891" max="5891" width="14.140625" style="1325" bestFit="1" customWidth="1"/>
    <col min="5892" max="5892" width="18.5703125" style="1325" bestFit="1" customWidth="1"/>
    <col min="5893" max="5893" width="10.28515625" style="1325" customWidth="1"/>
    <col min="5894" max="5894" width="10.42578125" style="1325" customWidth="1"/>
    <col min="5895" max="5895" width="9.7109375" style="1325" customWidth="1"/>
    <col min="5896" max="5896" width="9.85546875" style="1325" bestFit="1" customWidth="1"/>
    <col min="5897" max="6144" width="9.140625" style="1325"/>
    <col min="6145" max="6145" width="13.85546875" style="1325" customWidth="1"/>
    <col min="6146" max="6146" width="13" style="1325" customWidth="1"/>
    <col min="6147" max="6147" width="14.140625" style="1325" bestFit="1" customWidth="1"/>
    <col min="6148" max="6148" width="18.5703125" style="1325" bestFit="1" customWidth="1"/>
    <col min="6149" max="6149" width="10.28515625" style="1325" customWidth="1"/>
    <col min="6150" max="6150" width="10.42578125" style="1325" customWidth="1"/>
    <col min="6151" max="6151" width="9.7109375" style="1325" customWidth="1"/>
    <col min="6152" max="6152" width="9.85546875" style="1325" bestFit="1" customWidth="1"/>
    <col min="6153" max="6400" width="9.140625" style="1325"/>
    <col min="6401" max="6401" width="13.85546875" style="1325" customWidth="1"/>
    <col min="6402" max="6402" width="13" style="1325" customWidth="1"/>
    <col min="6403" max="6403" width="14.140625" style="1325" bestFit="1" customWidth="1"/>
    <col min="6404" max="6404" width="18.5703125" style="1325" bestFit="1" customWidth="1"/>
    <col min="6405" max="6405" width="10.28515625" style="1325" customWidth="1"/>
    <col min="6406" max="6406" width="10.42578125" style="1325" customWidth="1"/>
    <col min="6407" max="6407" width="9.7109375" style="1325" customWidth="1"/>
    <col min="6408" max="6408" width="9.85546875" style="1325" bestFit="1" customWidth="1"/>
    <col min="6409" max="6656" width="9.140625" style="1325"/>
    <col min="6657" max="6657" width="13.85546875" style="1325" customWidth="1"/>
    <col min="6658" max="6658" width="13" style="1325" customWidth="1"/>
    <col min="6659" max="6659" width="14.140625" style="1325" bestFit="1" customWidth="1"/>
    <col min="6660" max="6660" width="18.5703125" style="1325" bestFit="1" customWidth="1"/>
    <col min="6661" max="6661" width="10.28515625" style="1325" customWidth="1"/>
    <col min="6662" max="6662" width="10.42578125" style="1325" customWidth="1"/>
    <col min="6663" max="6663" width="9.7109375" style="1325" customWidth="1"/>
    <col min="6664" max="6664" width="9.85546875" style="1325" bestFit="1" customWidth="1"/>
    <col min="6665" max="6912" width="9.140625" style="1325"/>
    <col min="6913" max="6913" width="13.85546875" style="1325" customWidth="1"/>
    <col min="6914" max="6914" width="13" style="1325" customWidth="1"/>
    <col min="6915" max="6915" width="14.140625" style="1325" bestFit="1" customWidth="1"/>
    <col min="6916" max="6916" width="18.5703125" style="1325" bestFit="1" customWidth="1"/>
    <col min="6917" max="6917" width="10.28515625" style="1325" customWidth="1"/>
    <col min="6918" max="6918" width="10.42578125" style="1325" customWidth="1"/>
    <col min="6919" max="6919" width="9.7109375" style="1325" customWidth="1"/>
    <col min="6920" max="6920" width="9.85546875" style="1325" bestFit="1" customWidth="1"/>
    <col min="6921" max="7168" width="9.140625" style="1325"/>
    <col min="7169" max="7169" width="13.85546875" style="1325" customWidth="1"/>
    <col min="7170" max="7170" width="13" style="1325" customWidth="1"/>
    <col min="7171" max="7171" width="14.140625" style="1325" bestFit="1" customWidth="1"/>
    <col min="7172" max="7172" width="18.5703125" style="1325" bestFit="1" customWidth="1"/>
    <col min="7173" max="7173" width="10.28515625" style="1325" customWidth="1"/>
    <col min="7174" max="7174" width="10.42578125" style="1325" customWidth="1"/>
    <col min="7175" max="7175" width="9.7109375" style="1325" customWidth="1"/>
    <col min="7176" max="7176" width="9.85546875" style="1325" bestFit="1" customWidth="1"/>
    <col min="7177" max="7424" width="9.140625" style="1325"/>
    <col min="7425" max="7425" width="13.85546875" style="1325" customWidth="1"/>
    <col min="7426" max="7426" width="13" style="1325" customWidth="1"/>
    <col min="7427" max="7427" width="14.140625" style="1325" bestFit="1" customWidth="1"/>
    <col min="7428" max="7428" width="18.5703125" style="1325" bestFit="1" customWidth="1"/>
    <col min="7429" max="7429" width="10.28515625" style="1325" customWidth="1"/>
    <col min="7430" max="7430" width="10.42578125" style="1325" customWidth="1"/>
    <col min="7431" max="7431" width="9.7109375" style="1325" customWidth="1"/>
    <col min="7432" max="7432" width="9.85546875" style="1325" bestFit="1" customWidth="1"/>
    <col min="7433" max="7680" width="9.140625" style="1325"/>
    <col min="7681" max="7681" width="13.85546875" style="1325" customWidth="1"/>
    <col min="7682" max="7682" width="13" style="1325" customWidth="1"/>
    <col min="7683" max="7683" width="14.140625" style="1325" bestFit="1" customWidth="1"/>
    <col min="7684" max="7684" width="18.5703125" style="1325" bestFit="1" customWidth="1"/>
    <col min="7685" max="7685" width="10.28515625" style="1325" customWidth="1"/>
    <col min="7686" max="7686" width="10.42578125" style="1325" customWidth="1"/>
    <col min="7687" max="7687" width="9.7109375" style="1325" customWidth="1"/>
    <col min="7688" max="7688" width="9.85546875" style="1325" bestFit="1" customWidth="1"/>
    <col min="7689" max="7936" width="9.140625" style="1325"/>
    <col min="7937" max="7937" width="13.85546875" style="1325" customWidth="1"/>
    <col min="7938" max="7938" width="13" style="1325" customWidth="1"/>
    <col min="7939" max="7939" width="14.140625" style="1325" bestFit="1" customWidth="1"/>
    <col min="7940" max="7940" width="18.5703125" style="1325" bestFit="1" customWidth="1"/>
    <col min="7941" max="7941" width="10.28515625" style="1325" customWidth="1"/>
    <col min="7942" max="7942" width="10.42578125" style="1325" customWidth="1"/>
    <col min="7943" max="7943" width="9.7109375" style="1325" customWidth="1"/>
    <col min="7944" max="7944" width="9.85546875" style="1325" bestFit="1" customWidth="1"/>
    <col min="7945" max="8192" width="9.140625" style="1325"/>
    <col min="8193" max="8193" width="13.85546875" style="1325" customWidth="1"/>
    <col min="8194" max="8194" width="13" style="1325" customWidth="1"/>
    <col min="8195" max="8195" width="14.140625" style="1325" bestFit="1" customWidth="1"/>
    <col min="8196" max="8196" width="18.5703125" style="1325" bestFit="1" customWidth="1"/>
    <col min="8197" max="8197" width="10.28515625" style="1325" customWidth="1"/>
    <col min="8198" max="8198" width="10.42578125" style="1325" customWidth="1"/>
    <col min="8199" max="8199" width="9.7109375" style="1325" customWidth="1"/>
    <col min="8200" max="8200" width="9.85546875" style="1325" bestFit="1" customWidth="1"/>
    <col min="8201" max="8448" width="9.140625" style="1325"/>
    <col min="8449" max="8449" width="13.85546875" style="1325" customWidth="1"/>
    <col min="8450" max="8450" width="13" style="1325" customWidth="1"/>
    <col min="8451" max="8451" width="14.140625" style="1325" bestFit="1" customWidth="1"/>
    <col min="8452" max="8452" width="18.5703125" style="1325" bestFit="1" customWidth="1"/>
    <col min="8453" max="8453" width="10.28515625" style="1325" customWidth="1"/>
    <col min="8454" max="8454" width="10.42578125" style="1325" customWidth="1"/>
    <col min="8455" max="8455" width="9.7109375" style="1325" customWidth="1"/>
    <col min="8456" max="8456" width="9.85546875" style="1325" bestFit="1" customWidth="1"/>
    <col min="8457" max="8704" width="9.140625" style="1325"/>
    <col min="8705" max="8705" width="13.85546875" style="1325" customWidth="1"/>
    <col min="8706" max="8706" width="13" style="1325" customWidth="1"/>
    <col min="8707" max="8707" width="14.140625" style="1325" bestFit="1" customWidth="1"/>
    <col min="8708" max="8708" width="18.5703125" style="1325" bestFit="1" customWidth="1"/>
    <col min="8709" max="8709" width="10.28515625" style="1325" customWidth="1"/>
    <col min="8710" max="8710" width="10.42578125" style="1325" customWidth="1"/>
    <col min="8711" max="8711" width="9.7109375" style="1325" customWidth="1"/>
    <col min="8712" max="8712" width="9.85546875" style="1325" bestFit="1" customWidth="1"/>
    <col min="8713" max="8960" width="9.140625" style="1325"/>
    <col min="8961" max="8961" width="13.85546875" style="1325" customWidth="1"/>
    <col min="8962" max="8962" width="13" style="1325" customWidth="1"/>
    <col min="8963" max="8963" width="14.140625" style="1325" bestFit="1" customWidth="1"/>
    <col min="8964" max="8964" width="18.5703125" style="1325" bestFit="1" customWidth="1"/>
    <col min="8965" max="8965" width="10.28515625" style="1325" customWidth="1"/>
    <col min="8966" max="8966" width="10.42578125" style="1325" customWidth="1"/>
    <col min="8967" max="8967" width="9.7109375" style="1325" customWidth="1"/>
    <col min="8968" max="8968" width="9.85546875" style="1325" bestFit="1" customWidth="1"/>
    <col min="8969" max="9216" width="9.140625" style="1325"/>
    <col min="9217" max="9217" width="13.85546875" style="1325" customWidth="1"/>
    <col min="9218" max="9218" width="13" style="1325" customWidth="1"/>
    <col min="9219" max="9219" width="14.140625" style="1325" bestFit="1" customWidth="1"/>
    <col min="9220" max="9220" width="18.5703125" style="1325" bestFit="1" customWidth="1"/>
    <col min="9221" max="9221" width="10.28515625" style="1325" customWidth="1"/>
    <col min="9222" max="9222" width="10.42578125" style="1325" customWidth="1"/>
    <col min="9223" max="9223" width="9.7109375" style="1325" customWidth="1"/>
    <col min="9224" max="9224" width="9.85546875" style="1325" bestFit="1" customWidth="1"/>
    <col min="9225" max="9472" width="9.140625" style="1325"/>
    <col min="9473" max="9473" width="13.85546875" style="1325" customWidth="1"/>
    <col min="9474" max="9474" width="13" style="1325" customWidth="1"/>
    <col min="9475" max="9475" width="14.140625" style="1325" bestFit="1" customWidth="1"/>
    <col min="9476" max="9476" width="18.5703125" style="1325" bestFit="1" customWidth="1"/>
    <col min="9477" max="9477" width="10.28515625" style="1325" customWidth="1"/>
    <col min="9478" max="9478" width="10.42578125" style="1325" customWidth="1"/>
    <col min="9479" max="9479" width="9.7109375" style="1325" customWidth="1"/>
    <col min="9480" max="9480" width="9.85546875" style="1325" bestFit="1" customWidth="1"/>
    <col min="9481" max="9728" width="9.140625" style="1325"/>
    <col min="9729" max="9729" width="13.85546875" style="1325" customWidth="1"/>
    <col min="9730" max="9730" width="13" style="1325" customWidth="1"/>
    <col min="9731" max="9731" width="14.140625" style="1325" bestFit="1" customWidth="1"/>
    <col min="9732" max="9732" width="18.5703125" style="1325" bestFit="1" customWidth="1"/>
    <col min="9733" max="9733" width="10.28515625" style="1325" customWidth="1"/>
    <col min="9734" max="9734" width="10.42578125" style="1325" customWidth="1"/>
    <col min="9735" max="9735" width="9.7109375" style="1325" customWidth="1"/>
    <col min="9736" max="9736" width="9.85546875" style="1325" bestFit="1" customWidth="1"/>
    <col min="9737" max="9984" width="9.140625" style="1325"/>
    <col min="9985" max="9985" width="13.85546875" style="1325" customWidth="1"/>
    <col min="9986" max="9986" width="13" style="1325" customWidth="1"/>
    <col min="9987" max="9987" width="14.140625" style="1325" bestFit="1" customWidth="1"/>
    <col min="9988" max="9988" width="18.5703125" style="1325" bestFit="1" customWidth="1"/>
    <col min="9989" max="9989" width="10.28515625" style="1325" customWidth="1"/>
    <col min="9990" max="9990" width="10.42578125" style="1325" customWidth="1"/>
    <col min="9991" max="9991" width="9.7109375" style="1325" customWidth="1"/>
    <col min="9992" max="9992" width="9.85546875" style="1325" bestFit="1" customWidth="1"/>
    <col min="9993" max="10240" width="9.140625" style="1325"/>
    <col min="10241" max="10241" width="13.85546875" style="1325" customWidth="1"/>
    <col min="10242" max="10242" width="13" style="1325" customWidth="1"/>
    <col min="10243" max="10243" width="14.140625" style="1325" bestFit="1" customWidth="1"/>
    <col min="10244" max="10244" width="18.5703125" style="1325" bestFit="1" customWidth="1"/>
    <col min="10245" max="10245" width="10.28515625" style="1325" customWidth="1"/>
    <col min="10246" max="10246" width="10.42578125" style="1325" customWidth="1"/>
    <col min="10247" max="10247" width="9.7109375" style="1325" customWidth="1"/>
    <col min="10248" max="10248" width="9.85546875" style="1325" bestFit="1" customWidth="1"/>
    <col min="10249" max="10496" width="9.140625" style="1325"/>
    <col min="10497" max="10497" width="13.85546875" style="1325" customWidth="1"/>
    <col min="10498" max="10498" width="13" style="1325" customWidth="1"/>
    <col min="10499" max="10499" width="14.140625" style="1325" bestFit="1" customWidth="1"/>
    <col min="10500" max="10500" width="18.5703125" style="1325" bestFit="1" customWidth="1"/>
    <col min="10501" max="10501" width="10.28515625" style="1325" customWidth="1"/>
    <col min="10502" max="10502" width="10.42578125" style="1325" customWidth="1"/>
    <col min="10503" max="10503" width="9.7109375" style="1325" customWidth="1"/>
    <col min="10504" max="10504" width="9.85546875" style="1325" bestFit="1" customWidth="1"/>
    <col min="10505" max="10752" width="9.140625" style="1325"/>
    <col min="10753" max="10753" width="13.85546875" style="1325" customWidth="1"/>
    <col min="10754" max="10754" width="13" style="1325" customWidth="1"/>
    <col min="10755" max="10755" width="14.140625" style="1325" bestFit="1" customWidth="1"/>
    <col min="10756" max="10756" width="18.5703125" style="1325" bestFit="1" customWidth="1"/>
    <col min="10757" max="10757" width="10.28515625" style="1325" customWidth="1"/>
    <col min="10758" max="10758" width="10.42578125" style="1325" customWidth="1"/>
    <col min="10759" max="10759" width="9.7109375" style="1325" customWidth="1"/>
    <col min="10760" max="10760" width="9.85546875" style="1325" bestFit="1" customWidth="1"/>
    <col min="10761" max="11008" width="9.140625" style="1325"/>
    <col min="11009" max="11009" width="13.85546875" style="1325" customWidth="1"/>
    <col min="11010" max="11010" width="13" style="1325" customWidth="1"/>
    <col min="11011" max="11011" width="14.140625" style="1325" bestFit="1" customWidth="1"/>
    <col min="11012" max="11012" width="18.5703125" style="1325" bestFit="1" customWidth="1"/>
    <col min="11013" max="11013" width="10.28515625" style="1325" customWidth="1"/>
    <col min="11014" max="11014" width="10.42578125" style="1325" customWidth="1"/>
    <col min="11015" max="11015" width="9.7109375" style="1325" customWidth="1"/>
    <col min="11016" max="11016" width="9.85546875" style="1325" bestFit="1" customWidth="1"/>
    <col min="11017" max="11264" width="9.140625" style="1325"/>
    <col min="11265" max="11265" width="13.85546875" style="1325" customWidth="1"/>
    <col min="11266" max="11266" width="13" style="1325" customWidth="1"/>
    <col min="11267" max="11267" width="14.140625" style="1325" bestFit="1" customWidth="1"/>
    <col min="11268" max="11268" width="18.5703125" style="1325" bestFit="1" customWidth="1"/>
    <col min="11269" max="11269" width="10.28515625" style="1325" customWidth="1"/>
    <col min="11270" max="11270" width="10.42578125" style="1325" customWidth="1"/>
    <col min="11271" max="11271" width="9.7109375" style="1325" customWidth="1"/>
    <col min="11272" max="11272" width="9.85546875" style="1325" bestFit="1" customWidth="1"/>
    <col min="11273" max="11520" width="9.140625" style="1325"/>
    <col min="11521" max="11521" width="13.85546875" style="1325" customWidth="1"/>
    <col min="11522" max="11522" width="13" style="1325" customWidth="1"/>
    <col min="11523" max="11523" width="14.140625" style="1325" bestFit="1" customWidth="1"/>
    <col min="11524" max="11524" width="18.5703125" style="1325" bestFit="1" customWidth="1"/>
    <col min="11525" max="11525" width="10.28515625" style="1325" customWidth="1"/>
    <col min="11526" max="11526" width="10.42578125" style="1325" customWidth="1"/>
    <col min="11527" max="11527" width="9.7109375" style="1325" customWidth="1"/>
    <col min="11528" max="11528" width="9.85546875" style="1325" bestFit="1" customWidth="1"/>
    <col min="11529" max="11776" width="9.140625" style="1325"/>
    <col min="11777" max="11777" width="13.85546875" style="1325" customWidth="1"/>
    <col min="11778" max="11778" width="13" style="1325" customWidth="1"/>
    <col min="11779" max="11779" width="14.140625" style="1325" bestFit="1" customWidth="1"/>
    <col min="11780" max="11780" width="18.5703125" style="1325" bestFit="1" customWidth="1"/>
    <col min="11781" max="11781" width="10.28515625" style="1325" customWidth="1"/>
    <col min="11782" max="11782" width="10.42578125" style="1325" customWidth="1"/>
    <col min="11783" max="11783" width="9.7109375" style="1325" customWidth="1"/>
    <col min="11784" max="11784" width="9.85546875" style="1325" bestFit="1" customWidth="1"/>
    <col min="11785" max="12032" width="9.140625" style="1325"/>
    <col min="12033" max="12033" width="13.85546875" style="1325" customWidth="1"/>
    <col min="12034" max="12034" width="13" style="1325" customWidth="1"/>
    <col min="12035" max="12035" width="14.140625" style="1325" bestFit="1" customWidth="1"/>
    <col min="12036" max="12036" width="18.5703125" style="1325" bestFit="1" customWidth="1"/>
    <col min="12037" max="12037" width="10.28515625" style="1325" customWidth="1"/>
    <col min="12038" max="12038" width="10.42578125" style="1325" customWidth="1"/>
    <col min="12039" max="12039" width="9.7109375" style="1325" customWidth="1"/>
    <col min="12040" max="12040" width="9.85546875" style="1325" bestFit="1" customWidth="1"/>
    <col min="12041" max="12288" width="9.140625" style="1325"/>
    <col min="12289" max="12289" width="13.85546875" style="1325" customWidth="1"/>
    <col min="12290" max="12290" width="13" style="1325" customWidth="1"/>
    <col min="12291" max="12291" width="14.140625" style="1325" bestFit="1" customWidth="1"/>
    <col min="12292" max="12292" width="18.5703125" style="1325" bestFit="1" customWidth="1"/>
    <col min="12293" max="12293" width="10.28515625" style="1325" customWidth="1"/>
    <col min="12294" max="12294" width="10.42578125" style="1325" customWidth="1"/>
    <col min="12295" max="12295" width="9.7109375" style="1325" customWidth="1"/>
    <col min="12296" max="12296" width="9.85546875" style="1325" bestFit="1" customWidth="1"/>
    <col min="12297" max="12544" width="9.140625" style="1325"/>
    <col min="12545" max="12545" width="13.85546875" style="1325" customWidth="1"/>
    <col min="12546" max="12546" width="13" style="1325" customWidth="1"/>
    <col min="12547" max="12547" width="14.140625" style="1325" bestFit="1" customWidth="1"/>
    <col min="12548" max="12548" width="18.5703125" style="1325" bestFit="1" customWidth="1"/>
    <col min="12549" max="12549" width="10.28515625" style="1325" customWidth="1"/>
    <col min="12550" max="12550" width="10.42578125" style="1325" customWidth="1"/>
    <col min="12551" max="12551" width="9.7109375" style="1325" customWidth="1"/>
    <col min="12552" max="12552" width="9.85546875" style="1325" bestFit="1" customWidth="1"/>
    <col min="12553" max="12800" width="9.140625" style="1325"/>
    <col min="12801" max="12801" width="13.85546875" style="1325" customWidth="1"/>
    <col min="12802" max="12802" width="13" style="1325" customWidth="1"/>
    <col min="12803" max="12803" width="14.140625" style="1325" bestFit="1" customWidth="1"/>
    <col min="12804" max="12804" width="18.5703125" style="1325" bestFit="1" customWidth="1"/>
    <col min="12805" max="12805" width="10.28515625" style="1325" customWidth="1"/>
    <col min="12806" max="12806" width="10.42578125" style="1325" customWidth="1"/>
    <col min="12807" max="12807" width="9.7109375" style="1325" customWidth="1"/>
    <col min="12808" max="12808" width="9.85546875" style="1325" bestFit="1" customWidth="1"/>
    <col min="12809" max="13056" width="9.140625" style="1325"/>
    <col min="13057" max="13057" width="13.85546875" style="1325" customWidth="1"/>
    <col min="13058" max="13058" width="13" style="1325" customWidth="1"/>
    <col min="13059" max="13059" width="14.140625" style="1325" bestFit="1" customWidth="1"/>
    <col min="13060" max="13060" width="18.5703125" style="1325" bestFit="1" customWidth="1"/>
    <col min="13061" max="13061" width="10.28515625" style="1325" customWidth="1"/>
    <col min="13062" max="13062" width="10.42578125" style="1325" customWidth="1"/>
    <col min="13063" max="13063" width="9.7109375" style="1325" customWidth="1"/>
    <col min="13064" max="13064" width="9.85546875" style="1325" bestFit="1" customWidth="1"/>
    <col min="13065" max="13312" width="9.140625" style="1325"/>
    <col min="13313" max="13313" width="13.85546875" style="1325" customWidth="1"/>
    <col min="13314" max="13314" width="13" style="1325" customWidth="1"/>
    <col min="13315" max="13315" width="14.140625" style="1325" bestFit="1" customWidth="1"/>
    <col min="13316" max="13316" width="18.5703125" style="1325" bestFit="1" customWidth="1"/>
    <col min="13317" max="13317" width="10.28515625" style="1325" customWidth="1"/>
    <col min="13318" max="13318" width="10.42578125" style="1325" customWidth="1"/>
    <col min="13319" max="13319" width="9.7109375" style="1325" customWidth="1"/>
    <col min="13320" max="13320" width="9.85546875" style="1325" bestFit="1" customWidth="1"/>
    <col min="13321" max="13568" width="9.140625" style="1325"/>
    <col min="13569" max="13569" width="13.85546875" style="1325" customWidth="1"/>
    <col min="13570" max="13570" width="13" style="1325" customWidth="1"/>
    <col min="13571" max="13571" width="14.140625" style="1325" bestFit="1" customWidth="1"/>
    <col min="13572" max="13572" width="18.5703125" style="1325" bestFit="1" customWidth="1"/>
    <col min="13573" max="13573" width="10.28515625" style="1325" customWidth="1"/>
    <col min="13574" max="13574" width="10.42578125" style="1325" customWidth="1"/>
    <col min="13575" max="13575" width="9.7109375" style="1325" customWidth="1"/>
    <col min="13576" max="13576" width="9.85546875" style="1325" bestFit="1" customWidth="1"/>
    <col min="13577" max="13824" width="9.140625" style="1325"/>
    <col min="13825" max="13825" width="13.85546875" style="1325" customWidth="1"/>
    <col min="13826" max="13826" width="13" style="1325" customWidth="1"/>
    <col min="13827" max="13827" width="14.140625" style="1325" bestFit="1" customWidth="1"/>
    <col min="13828" max="13828" width="18.5703125" style="1325" bestFit="1" customWidth="1"/>
    <col min="13829" max="13829" width="10.28515625" style="1325" customWidth="1"/>
    <col min="13830" max="13830" width="10.42578125" style="1325" customWidth="1"/>
    <col min="13831" max="13831" width="9.7109375" style="1325" customWidth="1"/>
    <col min="13832" max="13832" width="9.85546875" style="1325" bestFit="1" customWidth="1"/>
    <col min="13833" max="14080" width="9.140625" style="1325"/>
    <col min="14081" max="14081" width="13.85546875" style="1325" customWidth="1"/>
    <col min="14082" max="14082" width="13" style="1325" customWidth="1"/>
    <col min="14083" max="14083" width="14.140625" style="1325" bestFit="1" customWidth="1"/>
    <col min="14084" max="14084" width="18.5703125" style="1325" bestFit="1" customWidth="1"/>
    <col min="14085" max="14085" width="10.28515625" style="1325" customWidth="1"/>
    <col min="14086" max="14086" width="10.42578125" style="1325" customWidth="1"/>
    <col min="14087" max="14087" width="9.7109375" style="1325" customWidth="1"/>
    <col min="14088" max="14088" width="9.85546875" style="1325" bestFit="1" customWidth="1"/>
    <col min="14089" max="14336" width="9.140625" style="1325"/>
    <col min="14337" max="14337" width="13.85546875" style="1325" customWidth="1"/>
    <col min="14338" max="14338" width="13" style="1325" customWidth="1"/>
    <col min="14339" max="14339" width="14.140625" style="1325" bestFit="1" customWidth="1"/>
    <col min="14340" max="14340" width="18.5703125" style="1325" bestFit="1" customWidth="1"/>
    <col min="14341" max="14341" width="10.28515625" style="1325" customWidth="1"/>
    <col min="14342" max="14342" width="10.42578125" style="1325" customWidth="1"/>
    <col min="14343" max="14343" width="9.7109375" style="1325" customWidth="1"/>
    <col min="14344" max="14344" width="9.85546875" style="1325" bestFit="1" customWidth="1"/>
    <col min="14345" max="14592" width="9.140625" style="1325"/>
    <col min="14593" max="14593" width="13.85546875" style="1325" customWidth="1"/>
    <col min="14594" max="14594" width="13" style="1325" customWidth="1"/>
    <col min="14595" max="14595" width="14.140625" style="1325" bestFit="1" customWidth="1"/>
    <col min="14596" max="14596" width="18.5703125" style="1325" bestFit="1" customWidth="1"/>
    <col min="14597" max="14597" width="10.28515625" style="1325" customWidth="1"/>
    <col min="14598" max="14598" width="10.42578125" style="1325" customWidth="1"/>
    <col min="14599" max="14599" width="9.7109375" style="1325" customWidth="1"/>
    <col min="14600" max="14600" width="9.85546875" style="1325" bestFit="1" customWidth="1"/>
    <col min="14601" max="14848" width="9.140625" style="1325"/>
    <col min="14849" max="14849" width="13.85546875" style="1325" customWidth="1"/>
    <col min="14850" max="14850" width="13" style="1325" customWidth="1"/>
    <col min="14851" max="14851" width="14.140625" style="1325" bestFit="1" customWidth="1"/>
    <col min="14852" max="14852" width="18.5703125" style="1325" bestFit="1" customWidth="1"/>
    <col min="14853" max="14853" width="10.28515625" style="1325" customWidth="1"/>
    <col min="14854" max="14854" width="10.42578125" style="1325" customWidth="1"/>
    <col min="14855" max="14855" width="9.7109375" style="1325" customWidth="1"/>
    <col min="14856" max="14856" width="9.85546875" style="1325" bestFit="1" customWidth="1"/>
    <col min="14857" max="15104" width="9.140625" style="1325"/>
    <col min="15105" max="15105" width="13.85546875" style="1325" customWidth="1"/>
    <col min="15106" max="15106" width="13" style="1325" customWidth="1"/>
    <col min="15107" max="15107" width="14.140625" style="1325" bestFit="1" customWidth="1"/>
    <col min="15108" max="15108" width="18.5703125" style="1325" bestFit="1" customWidth="1"/>
    <col min="15109" max="15109" width="10.28515625" style="1325" customWidth="1"/>
    <col min="15110" max="15110" width="10.42578125" style="1325" customWidth="1"/>
    <col min="15111" max="15111" width="9.7109375" style="1325" customWidth="1"/>
    <col min="15112" max="15112" width="9.85546875" style="1325" bestFit="1" customWidth="1"/>
    <col min="15113" max="15360" width="9.140625" style="1325"/>
    <col min="15361" max="15361" width="13.85546875" style="1325" customWidth="1"/>
    <col min="15362" max="15362" width="13" style="1325" customWidth="1"/>
    <col min="15363" max="15363" width="14.140625" style="1325" bestFit="1" customWidth="1"/>
    <col min="15364" max="15364" width="18.5703125" style="1325" bestFit="1" customWidth="1"/>
    <col min="15365" max="15365" width="10.28515625" style="1325" customWidth="1"/>
    <col min="15366" max="15366" width="10.42578125" style="1325" customWidth="1"/>
    <col min="15367" max="15367" width="9.7109375" style="1325" customWidth="1"/>
    <col min="15368" max="15368" width="9.85546875" style="1325" bestFit="1" customWidth="1"/>
    <col min="15369" max="15616" width="9.140625" style="1325"/>
    <col min="15617" max="15617" width="13.85546875" style="1325" customWidth="1"/>
    <col min="15618" max="15618" width="13" style="1325" customWidth="1"/>
    <col min="15619" max="15619" width="14.140625" style="1325" bestFit="1" customWidth="1"/>
    <col min="15620" max="15620" width="18.5703125" style="1325" bestFit="1" customWidth="1"/>
    <col min="15621" max="15621" width="10.28515625" style="1325" customWidth="1"/>
    <col min="15622" max="15622" width="10.42578125" style="1325" customWidth="1"/>
    <col min="15623" max="15623" width="9.7109375" style="1325" customWidth="1"/>
    <col min="15624" max="15624" width="9.85546875" style="1325" bestFit="1" customWidth="1"/>
    <col min="15625" max="15872" width="9.140625" style="1325"/>
    <col min="15873" max="15873" width="13.85546875" style="1325" customWidth="1"/>
    <col min="15874" max="15874" width="13" style="1325" customWidth="1"/>
    <col min="15875" max="15875" width="14.140625" style="1325" bestFit="1" customWidth="1"/>
    <col min="15876" max="15876" width="18.5703125" style="1325" bestFit="1" customWidth="1"/>
    <col min="15877" max="15877" width="10.28515625" style="1325" customWidth="1"/>
    <col min="15878" max="15878" width="10.42578125" style="1325" customWidth="1"/>
    <col min="15879" max="15879" width="9.7109375" style="1325" customWidth="1"/>
    <col min="15880" max="15880" width="9.85546875" style="1325" bestFit="1" customWidth="1"/>
    <col min="15881" max="16128" width="9.140625" style="1325"/>
    <col min="16129" max="16129" width="13.85546875" style="1325" customWidth="1"/>
    <col min="16130" max="16130" width="13" style="1325" customWidth="1"/>
    <col min="16131" max="16131" width="14.140625" style="1325" bestFit="1" customWidth="1"/>
    <col min="16132" max="16132" width="18.5703125" style="1325" bestFit="1" customWidth="1"/>
    <col min="16133" max="16133" width="10.28515625" style="1325" customWidth="1"/>
    <col min="16134" max="16134" width="10.42578125" style="1325" customWidth="1"/>
    <col min="16135" max="16135" width="9.7109375" style="1325" customWidth="1"/>
    <col min="16136" max="16136" width="9.85546875" style="1325" bestFit="1" customWidth="1"/>
    <col min="16137" max="16384" width="9.140625" style="1325"/>
  </cols>
  <sheetData>
    <row r="1" spans="1:9" ht="18.75" hidden="1" customHeight="1">
      <c r="A1" s="1324" t="s">
        <v>1301</v>
      </c>
    </row>
    <row r="2" spans="1:9" ht="13.5" hidden="1" customHeight="1" thickBot="1">
      <c r="A2" s="1327"/>
    </row>
    <row r="3" spans="1:9" ht="13.5" hidden="1" customHeight="1" thickTop="1">
      <c r="A3" s="1328" t="s">
        <v>1302</v>
      </c>
      <c r="B3" s="1329" t="s">
        <v>1303</v>
      </c>
      <c r="C3" s="1330" t="s">
        <v>1304</v>
      </c>
      <c r="D3" s="1330" t="s">
        <v>1305</v>
      </c>
      <c r="E3" s="1330" t="s">
        <v>1306</v>
      </c>
      <c r="F3" s="1331" t="s">
        <v>1255</v>
      </c>
    </row>
    <row r="4" spans="1:9" ht="14.25" hidden="1" customHeight="1">
      <c r="A4" s="1332" t="s">
        <v>1307</v>
      </c>
      <c r="B4" s="1333" t="s">
        <v>1308</v>
      </c>
      <c r="C4" s="1334" t="s">
        <v>1309</v>
      </c>
      <c r="D4" s="1334" t="s">
        <v>1310</v>
      </c>
      <c r="E4" s="1334" t="s">
        <v>1311</v>
      </c>
      <c r="F4" s="1335" t="s">
        <v>1311</v>
      </c>
    </row>
    <row r="5" spans="1:9" ht="12.75" hidden="1" customHeight="1">
      <c r="A5" s="1336"/>
      <c r="B5" s="1333"/>
      <c r="C5" s="1334" t="s">
        <v>1312</v>
      </c>
      <c r="D5" s="1334" t="s">
        <v>1313</v>
      </c>
      <c r="E5" s="1334" t="s">
        <v>1069</v>
      </c>
      <c r="F5" s="1335" t="s">
        <v>1314</v>
      </c>
    </row>
    <row r="6" spans="1:9" ht="13.5" hidden="1" customHeight="1" thickBot="1">
      <c r="A6" s="1336"/>
      <c r="B6" s="1333" t="s">
        <v>1315</v>
      </c>
      <c r="C6" s="1337">
        <v>2</v>
      </c>
      <c r="D6" s="1337">
        <v>3</v>
      </c>
      <c r="E6" s="1337" t="s">
        <v>1316</v>
      </c>
      <c r="F6" s="1338" t="s">
        <v>1317</v>
      </c>
    </row>
    <row r="7" spans="1:9" ht="13.5" hidden="1" customHeight="1" thickBot="1">
      <c r="A7" s="1339"/>
      <c r="B7" s="1340" t="s">
        <v>12</v>
      </c>
      <c r="C7" s="1341"/>
      <c r="D7" s="1341"/>
      <c r="E7" s="1341"/>
      <c r="F7" s="1342" t="s">
        <v>16</v>
      </c>
    </row>
    <row r="8" spans="1:9" ht="13.5" hidden="1" customHeight="1" thickTop="1">
      <c r="A8" s="1336"/>
      <c r="B8" s="1343"/>
      <c r="C8" s="1344"/>
      <c r="D8" s="1344"/>
      <c r="E8" s="1344"/>
      <c r="F8" s="1345"/>
    </row>
    <row r="9" spans="1:9" ht="14.25" hidden="1" customHeight="1">
      <c r="A9" s="1346" t="s">
        <v>1318</v>
      </c>
      <c r="B9" s="1347">
        <v>143443.1</v>
      </c>
      <c r="C9" s="1348">
        <v>8076.8</v>
      </c>
      <c r="D9" s="1348">
        <v>7889.3705</v>
      </c>
      <c r="E9" s="1348">
        <v>188.42950000000019</v>
      </c>
      <c r="F9" s="1349">
        <v>5.6306647025893897</v>
      </c>
      <c r="H9" s="1350"/>
      <c r="I9" s="1326"/>
    </row>
    <row r="10" spans="1:9" ht="14.25" hidden="1" customHeight="1">
      <c r="A10" s="1346">
        <v>38547</v>
      </c>
      <c r="B10" s="1347">
        <v>142427.5</v>
      </c>
      <c r="C10" s="1348">
        <v>8607.2000000000007</v>
      </c>
      <c r="D10" s="1348">
        <v>7833.5124999999998</v>
      </c>
      <c r="E10" s="1348">
        <v>772.68750000000091</v>
      </c>
      <c r="F10" s="1349">
        <v>6.043214969019326</v>
      </c>
      <c r="H10" s="1350"/>
      <c r="I10" s="1326"/>
    </row>
    <row r="11" spans="1:9" ht="14.25" hidden="1" customHeight="1">
      <c r="A11" s="1346">
        <v>38554</v>
      </c>
      <c r="B11" s="1347">
        <v>141800.29999999999</v>
      </c>
      <c r="C11" s="1348">
        <v>8499.1</v>
      </c>
      <c r="D11" s="1348">
        <v>7799.0164999999997</v>
      </c>
      <c r="E11" s="1348">
        <v>700.08350000000064</v>
      </c>
      <c r="F11" s="1349">
        <v>5.9937108736723417</v>
      </c>
      <c r="H11" s="1350"/>
      <c r="I11" s="1326"/>
    </row>
    <row r="12" spans="1:9" ht="14.25" hidden="1" customHeight="1">
      <c r="A12" s="1346">
        <v>38561</v>
      </c>
      <c r="B12" s="1347">
        <v>143002.29999999999</v>
      </c>
      <c r="C12" s="1348">
        <v>7977.6</v>
      </c>
      <c r="D12" s="1348">
        <v>7865.1264999999994</v>
      </c>
      <c r="E12" s="1348">
        <v>113.47350000000097</v>
      </c>
      <c r="F12" s="1349">
        <v>5.5786515321781547</v>
      </c>
      <c r="H12" s="1350"/>
      <c r="I12" s="1326"/>
    </row>
    <row r="13" spans="1:9" ht="14.25" hidden="1" customHeight="1">
      <c r="A13" s="1346">
        <v>38568</v>
      </c>
      <c r="B13" s="1347">
        <v>143929</v>
      </c>
      <c r="C13" s="1348">
        <v>8036</v>
      </c>
      <c r="D13" s="1348">
        <v>7916.0950000000003</v>
      </c>
      <c r="E13" s="1348">
        <v>119.90499999999975</v>
      </c>
      <c r="F13" s="1349">
        <v>5.5833084367986991</v>
      </c>
      <c r="H13" s="1350"/>
      <c r="I13" s="1326"/>
    </row>
    <row r="14" spans="1:9" ht="14.25" hidden="1" customHeight="1">
      <c r="A14" s="1346">
        <v>38575</v>
      </c>
      <c r="B14" s="1347">
        <v>144813</v>
      </c>
      <c r="C14" s="1348">
        <v>8248</v>
      </c>
      <c r="D14" s="1348">
        <v>7964.7150000000001</v>
      </c>
      <c r="E14" s="1348">
        <v>283.28499999999985</v>
      </c>
      <c r="F14" s="1349">
        <v>5.6956212494734588</v>
      </c>
      <c r="H14" s="1350"/>
      <c r="I14" s="1326"/>
    </row>
    <row r="15" spans="1:9" ht="14.25" hidden="1" customHeight="1">
      <c r="A15" s="1346">
        <v>38582</v>
      </c>
      <c r="B15" s="1347">
        <v>145671</v>
      </c>
      <c r="C15" s="1348">
        <v>8151</v>
      </c>
      <c r="D15" s="1348">
        <v>8011.9049999999997</v>
      </c>
      <c r="E15" s="1348">
        <v>139.09500000000025</v>
      </c>
      <c r="F15" s="1349">
        <v>5.5954857178161745</v>
      </c>
      <c r="H15" s="1350"/>
      <c r="I15" s="1326"/>
    </row>
    <row r="16" spans="1:9" ht="14.25" hidden="1" customHeight="1">
      <c r="A16" s="1346">
        <v>38589</v>
      </c>
      <c r="B16" s="1347">
        <v>144761</v>
      </c>
      <c r="C16" s="1348">
        <v>8442</v>
      </c>
      <c r="D16" s="1348">
        <v>7961.8550000000005</v>
      </c>
      <c r="E16" s="1348">
        <v>480.14499999999953</v>
      </c>
      <c r="F16" s="1349">
        <v>5.8316811848495105</v>
      </c>
      <c r="H16" s="1350"/>
      <c r="I16" s="1326"/>
    </row>
    <row r="17" spans="1:9" ht="14.25" hidden="1" customHeight="1">
      <c r="A17" s="1346">
        <v>38596</v>
      </c>
      <c r="B17" s="1347">
        <v>144530</v>
      </c>
      <c r="C17" s="1348">
        <v>9341</v>
      </c>
      <c r="D17" s="1348">
        <v>7949.15</v>
      </c>
      <c r="E17" s="1348">
        <v>1391.8500000000004</v>
      </c>
      <c r="F17" s="1349">
        <v>6.4630180585345602</v>
      </c>
      <c r="H17" s="1350"/>
      <c r="I17" s="1326"/>
    </row>
    <row r="18" spans="1:9" ht="14.25" hidden="1" customHeight="1">
      <c r="A18" s="1346">
        <v>38603</v>
      </c>
      <c r="B18" s="1347">
        <v>145233</v>
      </c>
      <c r="C18" s="1348">
        <v>9254</v>
      </c>
      <c r="D18" s="1348">
        <v>7987.8149999999996</v>
      </c>
      <c r="E18" s="1348">
        <v>1266.1850000000004</v>
      </c>
      <c r="F18" s="1349">
        <v>6.3718300937114849</v>
      </c>
      <c r="H18" s="1350"/>
      <c r="I18" s="1326"/>
    </row>
    <row r="19" spans="1:9" ht="14.25" hidden="1" customHeight="1">
      <c r="A19" s="1346">
        <v>38610</v>
      </c>
      <c r="B19" s="1347">
        <v>146894</v>
      </c>
      <c r="C19" s="1348">
        <v>9275</v>
      </c>
      <c r="D19" s="1348">
        <v>8079.17</v>
      </c>
      <c r="E19" s="1348">
        <v>1195.83</v>
      </c>
      <c r="F19" s="1349">
        <v>6.3140768172968267</v>
      </c>
      <c r="H19" s="1350"/>
      <c r="I19" s="1326"/>
    </row>
    <row r="20" spans="1:9" ht="14.25" hidden="1" customHeight="1">
      <c r="A20" s="1346">
        <v>38617</v>
      </c>
      <c r="B20" s="1347">
        <v>146802</v>
      </c>
      <c r="C20" s="1348">
        <v>9805</v>
      </c>
      <c r="D20" s="1348">
        <v>8074.11</v>
      </c>
      <c r="E20" s="1348">
        <v>1730.8900000000003</v>
      </c>
      <c r="F20" s="1349">
        <v>6.6790643179248237</v>
      </c>
      <c r="H20" s="1350"/>
      <c r="I20" s="1326"/>
    </row>
    <row r="21" spans="1:9" ht="14.25" hidden="1" customHeight="1">
      <c r="A21" s="1346">
        <v>38624</v>
      </c>
      <c r="B21" s="1347">
        <v>147249</v>
      </c>
      <c r="C21" s="1348">
        <v>9750</v>
      </c>
      <c r="D21" s="1348">
        <v>8098.6949999999997</v>
      </c>
      <c r="E21" s="1348">
        <v>1651.3050000000003</v>
      </c>
      <c r="F21" s="1349">
        <v>6.6214371574679616</v>
      </c>
      <c r="H21" s="1350"/>
      <c r="I21" s="1326"/>
    </row>
    <row r="22" spans="1:9" ht="14.25" hidden="1" customHeight="1">
      <c r="A22" s="1346">
        <v>38631</v>
      </c>
      <c r="B22" s="1347">
        <v>148149</v>
      </c>
      <c r="C22" s="1348">
        <v>8939</v>
      </c>
      <c r="D22" s="1348">
        <v>8148.1949999999997</v>
      </c>
      <c r="E22" s="1348">
        <v>790.80499999999995</v>
      </c>
      <c r="F22" s="1349">
        <v>6.0337903057057423</v>
      </c>
      <c r="H22" s="1350"/>
      <c r="I22" s="1326"/>
    </row>
    <row r="23" spans="1:9" ht="14.25" hidden="1" customHeight="1">
      <c r="A23" s="1346">
        <v>38638</v>
      </c>
      <c r="B23" s="1347">
        <v>149565</v>
      </c>
      <c r="C23" s="1348">
        <v>9047</v>
      </c>
      <c r="D23" s="1348">
        <v>8226.0750000000007</v>
      </c>
      <c r="E23" s="1348">
        <v>820.92499999999927</v>
      </c>
      <c r="F23" s="1349">
        <v>6.0488750710393475</v>
      </c>
      <c r="H23" s="1350"/>
      <c r="I23" s="1326"/>
    </row>
    <row r="24" spans="1:9" ht="14.25" hidden="1" customHeight="1">
      <c r="A24" s="1346">
        <v>38645</v>
      </c>
      <c r="B24" s="1347">
        <v>149717</v>
      </c>
      <c r="C24" s="1348">
        <v>9003</v>
      </c>
      <c r="D24" s="1348">
        <v>8234.4349999999995</v>
      </c>
      <c r="E24" s="1348">
        <v>768.56500000000051</v>
      </c>
      <c r="F24" s="1349">
        <v>6.013345177902309</v>
      </c>
      <c r="H24" s="1350"/>
      <c r="I24" s="1326"/>
    </row>
    <row r="25" spans="1:9" ht="14.25" hidden="1" customHeight="1">
      <c r="A25" s="1346">
        <v>38652</v>
      </c>
      <c r="B25" s="1347">
        <v>149128</v>
      </c>
      <c r="C25" s="1348">
        <v>9538</v>
      </c>
      <c r="D25" s="1348">
        <v>8202.0400000000009</v>
      </c>
      <c r="E25" s="1348">
        <v>1335.96</v>
      </c>
      <c r="F25" s="1349">
        <v>6.3958478622391501</v>
      </c>
      <c r="H25" s="1350"/>
      <c r="I25" s="1326"/>
    </row>
    <row r="26" spans="1:9" ht="14.25" hidden="1" customHeight="1">
      <c r="A26" s="1346">
        <v>38659</v>
      </c>
      <c r="B26" s="1347">
        <v>149956</v>
      </c>
      <c r="C26" s="1348">
        <v>8650</v>
      </c>
      <c r="D26" s="1348">
        <v>8248</v>
      </c>
      <c r="E26" s="1348">
        <v>402</v>
      </c>
      <c r="F26" s="1349">
        <v>5.77</v>
      </c>
      <c r="H26" s="1350"/>
      <c r="I26" s="1326"/>
    </row>
    <row r="27" spans="1:9" ht="14.25" hidden="1" customHeight="1">
      <c r="A27" s="1346">
        <v>38666</v>
      </c>
      <c r="B27" s="1347">
        <v>150523.5</v>
      </c>
      <c r="C27" s="1348">
        <v>9229</v>
      </c>
      <c r="D27" s="1348">
        <v>8279</v>
      </c>
      <c r="E27" s="1348">
        <v>950</v>
      </c>
      <c r="F27" s="1349">
        <v>6.13</v>
      </c>
      <c r="H27" s="1350"/>
      <c r="I27" s="1326"/>
    </row>
    <row r="28" spans="1:9" ht="14.25" hidden="1" customHeight="1">
      <c r="A28" s="1346">
        <v>38673</v>
      </c>
      <c r="B28" s="1347">
        <v>150869</v>
      </c>
      <c r="C28" s="1348">
        <v>9735</v>
      </c>
      <c r="D28" s="1348">
        <v>8298</v>
      </c>
      <c r="E28" s="1348">
        <v>1437</v>
      </c>
      <c r="F28" s="1349">
        <v>6.45</v>
      </c>
      <c r="H28" s="1350"/>
      <c r="I28" s="1326"/>
    </row>
    <row r="29" spans="1:9" ht="14.25" hidden="1" customHeight="1">
      <c r="A29" s="1346">
        <v>38680</v>
      </c>
      <c r="B29" s="1347">
        <v>151086</v>
      </c>
      <c r="C29" s="1348">
        <v>9914</v>
      </c>
      <c r="D29" s="1348">
        <v>8310</v>
      </c>
      <c r="E29" s="1348">
        <v>1604</v>
      </c>
      <c r="F29" s="1349">
        <v>6.56</v>
      </c>
      <c r="H29" s="1350"/>
      <c r="I29" s="1326"/>
    </row>
    <row r="30" spans="1:9" ht="14.25" hidden="1" customHeight="1">
      <c r="A30" s="1346">
        <v>38687</v>
      </c>
      <c r="B30" s="1347">
        <v>152008</v>
      </c>
      <c r="C30" s="1348">
        <v>10406.5</v>
      </c>
      <c r="D30" s="1348">
        <v>8360.5</v>
      </c>
      <c r="E30" s="1348">
        <v>2046</v>
      </c>
      <c r="F30" s="1349">
        <v>6.85</v>
      </c>
      <c r="G30" s="1351"/>
      <c r="H30" s="1350"/>
      <c r="I30" s="1326"/>
    </row>
    <row r="31" spans="1:9" ht="14.25" hidden="1" customHeight="1">
      <c r="A31" s="1346">
        <v>38694</v>
      </c>
      <c r="B31" s="1347">
        <v>153696.6</v>
      </c>
      <c r="C31" s="1348">
        <v>9754.7000000000007</v>
      </c>
      <c r="D31" s="1348">
        <v>8453.2999999999993</v>
      </c>
      <c r="E31" s="1348">
        <v>1302</v>
      </c>
      <c r="F31" s="1349">
        <v>6.35</v>
      </c>
      <c r="G31" s="1351"/>
      <c r="H31" s="1350"/>
      <c r="I31" s="1326"/>
    </row>
    <row r="32" spans="1:9" ht="14.25" hidden="1" customHeight="1">
      <c r="A32" s="1346">
        <v>38701</v>
      </c>
      <c r="B32" s="1347">
        <v>153531.29999999999</v>
      </c>
      <c r="C32" s="1348">
        <v>10647.6</v>
      </c>
      <c r="D32" s="1348">
        <v>8444.2000000000007</v>
      </c>
      <c r="E32" s="1348">
        <v>2204</v>
      </c>
      <c r="F32" s="1349">
        <v>6.94</v>
      </c>
      <c r="G32" s="1351"/>
      <c r="H32" s="1350"/>
      <c r="I32" s="1326"/>
    </row>
    <row r="33" spans="1:9" ht="14.25" hidden="1" customHeight="1">
      <c r="A33" s="1346">
        <v>38708</v>
      </c>
      <c r="B33" s="1347">
        <v>151790.6</v>
      </c>
      <c r="C33" s="1348">
        <v>10498.2</v>
      </c>
      <c r="D33" s="1348">
        <v>8348.2000000000007</v>
      </c>
      <c r="E33" s="1348">
        <v>2150</v>
      </c>
      <c r="F33" s="1349">
        <v>6.92</v>
      </c>
      <c r="G33" s="1351"/>
      <c r="H33" s="1350"/>
      <c r="I33" s="1326"/>
    </row>
    <row r="34" spans="1:9" ht="14.25" hidden="1" customHeight="1">
      <c r="A34" s="1346">
        <v>38715</v>
      </c>
      <c r="B34" s="1347">
        <v>153075.79999999999</v>
      </c>
      <c r="C34" s="1348">
        <v>10203.1</v>
      </c>
      <c r="D34" s="1348">
        <v>8419.2000000000007</v>
      </c>
      <c r="E34" s="1348">
        <v>1784</v>
      </c>
      <c r="F34" s="1349">
        <v>6.67</v>
      </c>
      <c r="G34" s="1351"/>
      <c r="H34" s="1350"/>
      <c r="I34" s="1326"/>
    </row>
    <row r="35" spans="1:9" ht="14.25" hidden="1" customHeight="1">
      <c r="A35" s="1346">
        <v>38722</v>
      </c>
      <c r="B35" s="1347">
        <v>154990.70808513797</v>
      </c>
      <c r="C35" s="1348">
        <v>10097.049401216378</v>
      </c>
      <c r="D35" s="1348">
        <v>8524.4889446825891</v>
      </c>
      <c r="E35" s="1348">
        <v>1572.560456533789</v>
      </c>
      <c r="F35" s="1349">
        <v>6.5146159572804621</v>
      </c>
      <c r="G35" s="1351"/>
      <c r="H35" s="1350"/>
      <c r="I35" s="1326"/>
    </row>
    <row r="36" spans="1:9" ht="14.25" hidden="1" customHeight="1" thickBot="1">
      <c r="A36" s="1352"/>
      <c r="B36" s="1353"/>
      <c r="C36" s="1354"/>
      <c r="D36" s="1354"/>
      <c r="E36" s="1354"/>
      <c r="F36" s="1355"/>
      <c r="G36" s="1351"/>
      <c r="H36" s="1350"/>
      <c r="I36" s="1326"/>
    </row>
    <row r="37" spans="1:9" ht="14.25" hidden="1" customHeight="1" thickTop="1">
      <c r="A37" s="1356" t="s">
        <v>1319</v>
      </c>
      <c r="B37" s="1357"/>
      <c r="C37" s="1358"/>
      <c r="D37" s="1358"/>
      <c r="E37" s="1358"/>
      <c r="F37" s="1359"/>
      <c r="H37" s="1350"/>
      <c r="I37" s="1326"/>
    </row>
    <row r="38" spans="1:9" ht="12.75" hidden="1" customHeight="1">
      <c r="A38" s="1360" t="s">
        <v>1320</v>
      </c>
      <c r="D38" s="1326"/>
    </row>
    <row r="39" spans="1:9" ht="12.75" hidden="1" customHeight="1">
      <c r="A39" s="1360" t="s">
        <v>1321</v>
      </c>
      <c r="D39" s="1326"/>
    </row>
    <row r="40" spans="1:9" ht="15" hidden="1" customHeight="1">
      <c r="A40" s="1361" t="s">
        <v>1322</v>
      </c>
      <c r="D40" s="1326"/>
    </row>
    <row r="41" spans="1:9" ht="15" hidden="1" customHeight="1">
      <c r="A41" s="1360"/>
      <c r="D41" s="1326"/>
    </row>
    <row r="42" spans="1:9" ht="16.5" customHeight="1">
      <c r="A42" s="1362" t="s">
        <v>1323</v>
      </c>
    </row>
    <row r="43" spans="1:9" ht="15" customHeight="1" thickBot="1">
      <c r="A43" s="1327"/>
    </row>
    <row r="44" spans="1:9" ht="15" customHeight="1" thickTop="1">
      <c r="A44" s="1363" t="s">
        <v>1324</v>
      </c>
      <c r="B44" s="1364" t="s">
        <v>1303</v>
      </c>
      <c r="C44" s="1365" t="s">
        <v>1304</v>
      </c>
      <c r="D44" s="1365" t="s">
        <v>1305</v>
      </c>
      <c r="E44" s="1365" t="s">
        <v>1306</v>
      </c>
      <c r="F44" s="1366" t="s">
        <v>1255</v>
      </c>
    </row>
    <row r="45" spans="1:9" ht="15" customHeight="1">
      <c r="A45" s="1367" t="s">
        <v>1307</v>
      </c>
      <c r="B45" s="1368" t="s">
        <v>1308</v>
      </c>
      <c r="C45" s="1369" t="s">
        <v>1309</v>
      </c>
      <c r="D45" s="1369" t="s">
        <v>1310</v>
      </c>
      <c r="E45" s="1369" t="s">
        <v>1311</v>
      </c>
      <c r="F45" s="1370" t="s">
        <v>1311</v>
      </c>
    </row>
    <row r="46" spans="1:9" ht="15" customHeight="1">
      <c r="A46" s="1371"/>
      <c r="B46" s="1368"/>
      <c r="C46" s="1369" t="s">
        <v>1325</v>
      </c>
      <c r="D46" s="1369" t="s">
        <v>1326</v>
      </c>
      <c r="E46" s="1369" t="s">
        <v>1069</v>
      </c>
      <c r="F46" s="1370" t="s">
        <v>1314</v>
      </c>
    </row>
    <row r="47" spans="1:9" ht="15" customHeight="1" thickBot="1">
      <c r="A47" s="1371"/>
      <c r="B47" s="1368" t="s">
        <v>1315</v>
      </c>
      <c r="C47" s="1372">
        <v>2</v>
      </c>
      <c r="D47" s="1372">
        <v>3</v>
      </c>
      <c r="E47" s="1372" t="s">
        <v>1316</v>
      </c>
      <c r="F47" s="1373" t="s">
        <v>1317</v>
      </c>
    </row>
    <row r="48" spans="1:9" ht="15" customHeight="1" thickBot="1">
      <c r="A48" s="1374"/>
      <c r="B48" s="1375" t="s">
        <v>12</v>
      </c>
      <c r="C48" s="1376"/>
      <c r="D48" s="1376"/>
      <c r="E48" s="1376"/>
      <c r="F48" s="1377" t="s">
        <v>16</v>
      </c>
    </row>
    <row r="49" spans="1:9" ht="14.25" hidden="1" customHeight="1" thickTop="1">
      <c r="A49" s="1346"/>
      <c r="B49" s="1347"/>
      <c r="C49" s="1348"/>
      <c r="D49" s="1348"/>
      <c r="E49" s="1348"/>
      <c r="F49" s="1349"/>
      <c r="G49" s="1351"/>
      <c r="H49" s="1350"/>
      <c r="I49" s="1326"/>
    </row>
    <row r="50" spans="1:9" ht="14.25" hidden="1" customHeight="1">
      <c r="A50" s="1346">
        <v>38729</v>
      </c>
      <c r="B50" s="1347">
        <v>153782.29360303676</v>
      </c>
      <c r="C50" s="1348">
        <v>7228.4275840328573</v>
      </c>
      <c r="D50" s="1348">
        <v>6151.2917441214704</v>
      </c>
      <c r="E50" s="1348">
        <v>1077.1358399113869</v>
      </c>
      <c r="F50" s="1349">
        <v>4.7004290381387026</v>
      </c>
      <c r="G50" s="1351"/>
      <c r="H50" s="1350"/>
      <c r="I50" s="1326"/>
    </row>
    <row r="51" spans="1:9" ht="14.25" hidden="1" customHeight="1">
      <c r="A51" s="1346">
        <v>38736</v>
      </c>
      <c r="B51" s="1347">
        <v>154523.87104306812</v>
      </c>
      <c r="C51" s="1348">
        <v>8157.2500000018554</v>
      </c>
      <c r="D51" s="1348">
        <v>6180.9548417227252</v>
      </c>
      <c r="E51" s="1348">
        <v>1976.2951582791302</v>
      </c>
      <c r="F51" s="1349">
        <v>5.278957836701041</v>
      </c>
      <c r="G51" s="1351"/>
      <c r="H51" s="1350"/>
      <c r="I51" s="1326"/>
    </row>
    <row r="52" spans="1:9" ht="14.25" hidden="1" customHeight="1">
      <c r="A52" s="1346">
        <v>38743</v>
      </c>
      <c r="B52" s="1347">
        <v>155377.32746078051</v>
      </c>
      <c r="C52" s="1348">
        <v>8058.3304197925554</v>
      </c>
      <c r="D52" s="1348">
        <v>6215.0930984312208</v>
      </c>
      <c r="E52" s="1348">
        <v>1843.2373213613346</v>
      </c>
      <c r="F52" s="1349">
        <v>5.1862974807740816</v>
      </c>
      <c r="G52" s="1351"/>
      <c r="H52" s="1350"/>
      <c r="I52" s="1326"/>
    </row>
    <row r="53" spans="1:9" ht="14.25" hidden="1" customHeight="1">
      <c r="A53" s="1346">
        <v>38750</v>
      </c>
      <c r="B53" s="1347">
        <v>156903.38801180452</v>
      </c>
      <c r="C53" s="1348">
        <v>7948.6677768985737</v>
      </c>
      <c r="D53" s="1348">
        <v>6276.1355204721813</v>
      </c>
      <c r="E53" s="1348">
        <v>1672.5322564263925</v>
      </c>
      <c r="F53" s="1349">
        <v>5.0659631239451377</v>
      </c>
      <c r="G53" s="1351"/>
      <c r="H53" s="1350"/>
      <c r="I53" s="1326"/>
    </row>
    <row r="54" spans="1:9" ht="14.25" hidden="1" customHeight="1">
      <c r="A54" s="1346">
        <v>38757</v>
      </c>
      <c r="B54" s="1347">
        <v>157942.65144743051</v>
      </c>
      <c r="C54" s="1348">
        <v>7095.3367647868563</v>
      </c>
      <c r="D54" s="1348">
        <v>6317.7060578972205</v>
      </c>
      <c r="E54" s="1348">
        <v>777</v>
      </c>
      <c r="F54" s="1349">
        <v>4.4923500395638607</v>
      </c>
      <c r="G54" s="1351"/>
      <c r="H54" s="1350"/>
      <c r="I54" s="1326"/>
    </row>
    <row r="55" spans="1:9" ht="14.25" hidden="1" customHeight="1">
      <c r="A55" s="1346">
        <v>38764</v>
      </c>
      <c r="B55" s="1347">
        <v>157892.96292783719</v>
      </c>
      <c r="C55" s="1348">
        <v>6892.2547491041414</v>
      </c>
      <c r="D55" s="1348">
        <v>6315.7185171134879</v>
      </c>
      <c r="E55" s="1348">
        <v>576</v>
      </c>
      <c r="F55" s="1349">
        <v>4.3651437159071822</v>
      </c>
      <c r="G55" s="1351"/>
      <c r="H55" s="1350"/>
      <c r="I55" s="1326"/>
    </row>
    <row r="56" spans="1:9" ht="14.25" hidden="1" customHeight="1">
      <c r="A56" s="1346">
        <v>38771</v>
      </c>
      <c r="B56" s="1347">
        <v>156840.653875863</v>
      </c>
      <c r="C56" s="1348">
        <v>8233.083239876476</v>
      </c>
      <c r="D56" s="1348">
        <v>6273.6261550345207</v>
      </c>
      <c r="E56" s="1348">
        <v>1959.4570848419553</v>
      </c>
      <c r="F56" s="1349">
        <v>5.2493298366333239</v>
      </c>
      <c r="G56" s="1351"/>
      <c r="H56" s="1350"/>
      <c r="I56" s="1326"/>
    </row>
    <row r="57" spans="1:9" ht="14.25" hidden="1" customHeight="1">
      <c r="A57" s="1346">
        <v>38778</v>
      </c>
      <c r="B57" s="1347">
        <v>157035.26206326496</v>
      </c>
      <c r="C57" s="1348">
        <v>8415.2168169094275</v>
      </c>
      <c r="D57" s="1348">
        <v>6281.4104825305985</v>
      </c>
      <c r="E57" s="1348">
        <v>2133.806334378829</v>
      </c>
      <c r="F57" s="1349">
        <v>5.3588071279934439</v>
      </c>
      <c r="G57" s="1351"/>
      <c r="H57" s="1350"/>
      <c r="I57" s="1326"/>
    </row>
    <row r="58" spans="1:9" ht="14.25" hidden="1" customHeight="1">
      <c r="A58" s="1346">
        <v>38785</v>
      </c>
      <c r="B58" s="1347">
        <v>159496.62756170644</v>
      </c>
      <c r="C58" s="1348">
        <v>8479.902991244473</v>
      </c>
      <c r="D58" s="1348">
        <v>6379.8651024682576</v>
      </c>
      <c r="E58" s="1348">
        <v>2100.0378887762154</v>
      </c>
      <c r="F58" s="1349">
        <v>5.3166660141223039</v>
      </c>
      <c r="G58" s="1351"/>
      <c r="H58" s="1350"/>
      <c r="I58" s="1326"/>
    </row>
    <row r="59" spans="1:9" ht="14.25" hidden="1" customHeight="1">
      <c r="A59" s="1346">
        <v>38792</v>
      </c>
      <c r="B59" s="1347">
        <v>160653.33505307449</v>
      </c>
      <c r="C59" s="1348">
        <v>8150.7274809736573</v>
      </c>
      <c r="D59" s="1348">
        <v>6426.1334021229795</v>
      </c>
      <c r="E59" s="1348">
        <v>1724.5940788506778</v>
      </c>
      <c r="F59" s="1349">
        <v>5.0734878789045545</v>
      </c>
      <c r="G59" s="1351"/>
      <c r="H59" s="1350"/>
      <c r="I59" s="1326"/>
    </row>
    <row r="60" spans="1:9" ht="14.25" hidden="1" customHeight="1">
      <c r="A60" s="1346">
        <v>38799</v>
      </c>
      <c r="B60" s="1347">
        <v>160906.33715823339</v>
      </c>
      <c r="C60" s="1348">
        <v>8127.6852659412689</v>
      </c>
      <c r="D60" s="1348">
        <v>6436.2534863293358</v>
      </c>
      <c r="E60" s="1348">
        <v>1691.83177961193</v>
      </c>
      <c r="F60" s="1349">
        <v>5.0511902821755239</v>
      </c>
      <c r="G60" s="1351"/>
      <c r="H60" s="1350"/>
      <c r="I60" s="1326"/>
    </row>
    <row r="61" spans="1:9" ht="14.25" hidden="1" customHeight="1">
      <c r="A61" s="1346">
        <v>38806</v>
      </c>
      <c r="B61" s="1347">
        <v>160723.57525876223</v>
      </c>
      <c r="C61" s="1348">
        <v>8134.2152993961672</v>
      </c>
      <c r="D61" s="1348">
        <v>6428.9430103504892</v>
      </c>
      <c r="E61" s="1348">
        <v>1705.272289045678</v>
      </c>
      <c r="F61" s="1349">
        <v>5.0609969858499095</v>
      </c>
      <c r="G61" s="1351"/>
      <c r="H61" s="1350"/>
      <c r="I61" s="1326"/>
    </row>
    <row r="62" spans="1:9" ht="14.25" hidden="1" customHeight="1">
      <c r="A62" s="1346">
        <v>38813</v>
      </c>
      <c r="B62" s="1347">
        <v>161090.5443426948</v>
      </c>
      <c r="C62" s="1348">
        <v>8215.7013735183355</v>
      </c>
      <c r="D62" s="1348">
        <v>6443.6217737077923</v>
      </c>
      <c r="E62" s="1348">
        <v>1772.0795998105432</v>
      </c>
      <c r="F62" s="1349">
        <v>5.1000519037546503</v>
      </c>
      <c r="G62" s="1351"/>
      <c r="H62" s="1350"/>
      <c r="I62" s="1326"/>
    </row>
    <row r="63" spans="1:9" ht="14.25" hidden="1" customHeight="1">
      <c r="A63" s="1346">
        <v>38820</v>
      </c>
      <c r="B63" s="1347">
        <v>162373.00752694369</v>
      </c>
      <c r="C63" s="1348">
        <v>7925.8350080035643</v>
      </c>
      <c r="D63" s="1348">
        <v>6494.9203010777483</v>
      </c>
      <c r="E63" s="1348">
        <v>1430.9147069258161</v>
      </c>
      <c r="F63" s="1349">
        <v>4.881251587760592</v>
      </c>
      <c r="G63" s="1351"/>
      <c r="H63" s="1350"/>
      <c r="I63" s="1326"/>
    </row>
    <row r="64" spans="1:9" ht="14.25" hidden="1" customHeight="1">
      <c r="A64" s="1346">
        <v>38827</v>
      </c>
      <c r="B64" s="1347">
        <v>161097.05880838764</v>
      </c>
      <c r="C64" s="1348">
        <v>8076.0716443789252</v>
      </c>
      <c r="D64" s="1348">
        <v>6443.8823523355059</v>
      </c>
      <c r="E64" s="1348">
        <v>1632.1892920434193</v>
      </c>
      <c r="F64" s="1349">
        <v>5.0131713788671846</v>
      </c>
      <c r="G64" s="1351"/>
      <c r="H64" s="1350"/>
      <c r="I64" s="1326"/>
    </row>
    <row r="65" spans="1:9" ht="14.25" hidden="1" customHeight="1">
      <c r="A65" s="1346">
        <v>38834</v>
      </c>
      <c r="B65" s="1347">
        <v>161113.22089947766</v>
      </c>
      <c r="C65" s="1348">
        <v>7884.0995082156987</v>
      </c>
      <c r="D65" s="1348">
        <v>6444.5288359791066</v>
      </c>
      <c r="E65" s="1348">
        <v>1438.5706722365921</v>
      </c>
      <c r="F65" s="1349">
        <v>4.8935149233561503</v>
      </c>
      <c r="G65" s="1351"/>
      <c r="H65" s="1350"/>
      <c r="I65" s="1326"/>
    </row>
    <row r="66" spans="1:9" ht="14.25" hidden="1" customHeight="1">
      <c r="A66" s="1346">
        <v>38841</v>
      </c>
      <c r="B66" s="1347">
        <v>161698.56550938345</v>
      </c>
      <c r="C66" s="1348">
        <v>7919.582225340705</v>
      </c>
      <c r="D66" s="1348">
        <v>6467.9426203753383</v>
      </c>
      <c r="E66" s="1348">
        <v>1451.6396049653667</v>
      </c>
      <c r="F66" s="1349">
        <v>4.8977442690307154</v>
      </c>
      <c r="G66" s="1351"/>
      <c r="H66" s="1350"/>
      <c r="I66" s="1326"/>
    </row>
    <row r="67" spans="1:9" ht="14.25" hidden="1" customHeight="1">
      <c r="A67" s="1346">
        <v>38848</v>
      </c>
      <c r="B67" s="1347">
        <v>162608.5508347479</v>
      </c>
      <c r="C67" s="1348">
        <v>7549.8429559596707</v>
      </c>
      <c r="D67" s="1348">
        <v>6504.3420333899167</v>
      </c>
      <c r="E67" s="1348">
        <v>1045.500922569754</v>
      </c>
      <c r="F67" s="1349">
        <v>4.6429556854191834</v>
      </c>
      <c r="G67" s="1351"/>
      <c r="H67" s="1350"/>
      <c r="I67" s="1326"/>
    </row>
    <row r="68" spans="1:9" ht="14.25" hidden="1" customHeight="1">
      <c r="A68" s="1346">
        <v>38855</v>
      </c>
      <c r="B68" s="1347">
        <v>162454.26037565761</v>
      </c>
      <c r="C68" s="1348">
        <v>7399.187091392273</v>
      </c>
      <c r="D68" s="1348">
        <v>6498.1704150263049</v>
      </c>
      <c r="E68" s="1348">
        <v>901.01667636596812</v>
      </c>
      <c r="F68" s="1349">
        <v>4.5546279145172717</v>
      </c>
      <c r="G68" s="1351"/>
      <c r="H68" s="1350"/>
      <c r="I68" s="1326"/>
    </row>
    <row r="69" spans="1:9" ht="14.25" hidden="1" customHeight="1">
      <c r="A69" s="1346">
        <v>38862</v>
      </c>
      <c r="B69" s="1347">
        <v>158465.99687259767</v>
      </c>
      <c r="C69" s="1348">
        <v>7796.4720659952136</v>
      </c>
      <c r="D69" s="1348">
        <v>6338.6398749039072</v>
      </c>
      <c r="E69" s="1348">
        <v>1456.8321910913064</v>
      </c>
      <c r="F69" s="1349">
        <v>4.9199653047734682</v>
      </c>
      <c r="G69" s="1351"/>
      <c r="H69" s="1350"/>
      <c r="I69" s="1326"/>
    </row>
    <row r="70" spans="1:9" ht="14.25" hidden="1" customHeight="1">
      <c r="A70" s="1346">
        <v>38869</v>
      </c>
      <c r="B70" s="1347">
        <v>158189.36168942397</v>
      </c>
      <c r="C70" s="1348">
        <v>7274.3285202963025</v>
      </c>
      <c r="D70" s="1348">
        <v>6327.5744675769593</v>
      </c>
      <c r="E70" s="1348">
        <v>945.75405271934324</v>
      </c>
      <c r="F70" s="1349">
        <v>4.5984941355147022</v>
      </c>
      <c r="G70" s="1351"/>
      <c r="H70" s="1350"/>
      <c r="I70" s="1326"/>
    </row>
    <row r="71" spans="1:9" ht="14.25" hidden="1" customHeight="1">
      <c r="A71" s="1346">
        <v>38876</v>
      </c>
      <c r="B71" s="1347">
        <v>159093.19034403467</v>
      </c>
      <c r="C71" s="1348">
        <v>7155.3168934321102</v>
      </c>
      <c r="D71" s="1348">
        <v>6363.7276137613871</v>
      </c>
      <c r="E71" s="1348">
        <v>790.58927967072304</v>
      </c>
      <c r="F71" s="1349">
        <v>4.4975632696527947</v>
      </c>
      <c r="G71" s="1351"/>
      <c r="H71" s="1350"/>
      <c r="I71" s="1326"/>
    </row>
    <row r="72" spans="1:9" ht="14.25" hidden="1" customHeight="1">
      <c r="A72" s="1346">
        <v>38883</v>
      </c>
      <c r="B72" s="1347">
        <v>158591.51480510586</v>
      </c>
      <c r="C72" s="1348">
        <v>7817.6053724801659</v>
      </c>
      <c r="D72" s="1348">
        <v>6343.6605922042345</v>
      </c>
      <c r="E72" s="1348">
        <v>1473.9447802759314</v>
      </c>
      <c r="F72" s="1349">
        <v>4.9293969996359968</v>
      </c>
      <c r="G72" s="1351"/>
      <c r="H72" s="1350"/>
      <c r="I72" s="1326"/>
    </row>
    <row r="73" spans="1:9" ht="14.25" hidden="1" customHeight="1">
      <c r="A73" s="1346">
        <v>38890</v>
      </c>
      <c r="B73" s="1347">
        <v>159947.79499417657</v>
      </c>
      <c r="C73" s="1348">
        <v>7862.3074926993095</v>
      </c>
      <c r="D73" s="1348">
        <v>6397.9117997670628</v>
      </c>
      <c r="E73" s="1348">
        <v>1464.3956929322467</v>
      </c>
      <c r="F73" s="1349">
        <v>4.9155460336202594</v>
      </c>
      <c r="G73" s="1351"/>
      <c r="H73" s="1350"/>
      <c r="I73" s="1326"/>
    </row>
    <row r="74" spans="1:9" ht="14.25" hidden="1" customHeight="1">
      <c r="A74" s="1346">
        <v>38897</v>
      </c>
      <c r="B74" s="1347">
        <v>160467.4700069761</v>
      </c>
      <c r="C74" s="1348">
        <v>8056.7026266599287</v>
      </c>
      <c r="D74" s="1348">
        <v>6418.698800279044</v>
      </c>
      <c r="E74" s="1348">
        <v>1638.0038263808847</v>
      </c>
      <c r="F74" s="1349">
        <v>5.020770020434469</v>
      </c>
      <c r="G74" s="1351"/>
      <c r="H74" s="1350"/>
      <c r="I74" s="1326"/>
    </row>
    <row r="75" spans="1:9" ht="14.25" hidden="1" customHeight="1">
      <c r="A75" s="1346">
        <v>38904</v>
      </c>
      <c r="B75" s="1347">
        <v>161149.77941564805</v>
      </c>
      <c r="C75" s="1348">
        <v>9014.3925631275943</v>
      </c>
      <c r="D75" s="1348">
        <v>6445.991176625922</v>
      </c>
      <c r="E75" s="1348">
        <v>2568.4013865016723</v>
      </c>
      <c r="F75" s="1349">
        <v>5.5937976432949892</v>
      </c>
      <c r="G75" s="1351"/>
      <c r="H75" s="1350"/>
      <c r="I75" s="1326"/>
    </row>
    <row r="76" spans="1:9" ht="14.25" hidden="1" customHeight="1">
      <c r="A76" s="1346">
        <v>38911</v>
      </c>
      <c r="B76" s="1347">
        <v>165064.69805548631</v>
      </c>
      <c r="C76" s="1348">
        <v>8904.4394299534488</v>
      </c>
      <c r="D76" s="1348">
        <v>6602.5879222194526</v>
      </c>
      <c r="E76" s="1348">
        <v>2300.8515077339962</v>
      </c>
      <c r="F76" s="1349">
        <v>5.3945147174717096</v>
      </c>
      <c r="G76" s="1351"/>
      <c r="H76" s="1350"/>
      <c r="I76" s="1326"/>
    </row>
    <row r="77" spans="1:9" ht="14.25" hidden="1" customHeight="1">
      <c r="A77" s="1346">
        <v>38918</v>
      </c>
      <c r="B77" s="1347">
        <v>170488.70489670167</v>
      </c>
      <c r="C77" s="1348">
        <v>8712.0113657588627</v>
      </c>
      <c r="D77" s="1348">
        <v>6819.5481958680675</v>
      </c>
      <c r="E77" s="1348">
        <v>1892.4631698907951</v>
      </c>
      <c r="F77" s="1349">
        <v>5.1100226088510849</v>
      </c>
      <c r="G77" s="1351"/>
      <c r="H77" s="1350"/>
      <c r="I77" s="1326"/>
    </row>
    <row r="78" spans="1:9" ht="14.25" hidden="1" customHeight="1">
      <c r="A78" s="1346">
        <v>38925</v>
      </c>
      <c r="B78" s="1347">
        <v>171285.85861932192</v>
      </c>
      <c r="C78" s="1348">
        <v>8189.6413357018964</v>
      </c>
      <c r="D78" s="1348">
        <v>6851.434344772877</v>
      </c>
      <c r="E78" s="1348">
        <v>1339.2069909290194</v>
      </c>
      <c r="F78" s="1349">
        <v>4.781271146208951</v>
      </c>
      <c r="G78" s="1351"/>
      <c r="H78" s="1350"/>
      <c r="I78" s="1326"/>
    </row>
    <row r="79" spans="1:9" ht="14.25" hidden="1" customHeight="1">
      <c r="A79" s="1346">
        <v>38932</v>
      </c>
      <c r="B79" s="1347">
        <v>173271.54989305936</v>
      </c>
      <c r="C79" s="1348">
        <v>7993.0646982967537</v>
      </c>
      <c r="D79" s="1348">
        <v>6930.8619957223746</v>
      </c>
      <c r="E79" s="1348">
        <v>1062.2027025743791</v>
      </c>
      <c r="F79" s="1349">
        <v>4.6130277608932078</v>
      </c>
      <c r="G79" s="1351"/>
      <c r="H79" s="1350"/>
      <c r="I79" s="1326"/>
    </row>
    <row r="80" spans="1:9" ht="14.25" hidden="1" customHeight="1">
      <c r="A80" s="1346">
        <v>38939</v>
      </c>
      <c r="B80" s="1347">
        <v>174234.69392788576</v>
      </c>
      <c r="C80" s="1348">
        <v>7686.0319239756782</v>
      </c>
      <c r="D80" s="1348">
        <v>6969.3877571154308</v>
      </c>
      <c r="E80" s="1348">
        <v>716.64416686024742</v>
      </c>
      <c r="F80" s="1349">
        <v>4.4113096827643634</v>
      </c>
      <c r="G80" s="1351"/>
      <c r="H80" s="1350"/>
      <c r="I80" s="1326"/>
    </row>
    <row r="81" spans="1:9" ht="14.25" hidden="1" customHeight="1">
      <c r="A81" s="1346">
        <v>38946</v>
      </c>
      <c r="B81" s="1347">
        <v>174004.14017262176</v>
      </c>
      <c r="C81" s="1348">
        <v>7290.47508382661</v>
      </c>
      <c r="D81" s="1348">
        <v>6960.1656069048704</v>
      </c>
      <c r="E81" s="1348">
        <v>330.30947692173959</v>
      </c>
      <c r="F81" s="1349">
        <v>4.189828515915802</v>
      </c>
      <c r="G81" s="1351"/>
      <c r="H81" s="1350"/>
      <c r="I81" s="1326"/>
    </row>
    <row r="82" spans="1:9" ht="14.25" hidden="1" customHeight="1">
      <c r="A82" s="1346">
        <v>38953</v>
      </c>
      <c r="B82" s="1347">
        <v>173721.48505651942</v>
      </c>
      <c r="C82" s="1348">
        <v>7563.4244622118276</v>
      </c>
      <c r="D82" s="1348">
        <v>6948.8594022607767</v>
      </c>
      <c r="E82" s="1348">
        <v>613.5650599510509</v>
      </c>
      <c r="F82" s="1349">
        <v>4.3537645673194101</v>
      </c>
      <c r="G82" s="1351"/>
      <c r="H82" s="1350"/>
      <c r="I82" s="1326"/>
    </row>
    <row r="83" spans="1:9" ht="14.25" hidden="1" customHeight="1">
      <c r="A83" s="1346">
        <v>38960</v>
      </c>
      <c r="B83" s="1347">
        <v>174605.59156800696</v>
      </c>
      <c r="C83" s="1348">
        <v>7051.4789576627199</v>
      </c>
      <c r="D83" s="1348">
        <v>6984.2236627202783</v>
      </c>
      <c r="E83" s="1348">
        <v>67.255294942441651</v>
      </c>
      <c r="F83" s="1349">
        <v>4.0385184084532861</v>
      </c>
      <c r="G83" s="1351"/>
      <c r="H83" s="1350"/>
      <c r="I83" s="1326"/>
    </row>
    <row r="84" spans="1:9" ht="14.25" hidden="1" customHeight="1">
      <c r="A84" s="1346">
        <v>38967</v>
      </c>
      <c r="B84" s="1347">
        <v>175519.41155745526</v>
      </c>
      <c r="C84" s="1348">
        <v>7183.5427712820001</v>
      </c>
      <c r="D84" s="1348">
        <v>7020.7764622982104</v>
      </c>
      <c r="E84" s="1348">
        <v>162.76630898378971</v>
      </c>
      <c r="F84" s="1349">
        <v>4.092734078549773</v>
      </c>
      <c r="G84" s="1351"/>
      <c r="H84" s="1350"/>
      <c r="I84" s="1326"/>
    </row>
    <row r="85" spans="1:9" ht="14.25" hidden="1" customHeight="1">
      <c r="A85" s="1346">
        <v>38974</v>
      </c>
      <c r="B85" s="1347">
        <v>176291.68867709188</v>
      </c>
      <c r="C85" s="1348">
        <v>7328.0753868838956</v>
      </c>
      <c r="D85" s="1348">
        <v>7051.6675470836753</v>
      </c>
      <c r="E85" s="1348">
        <v>276.40783980022024</v>
      </c>
      <c r="F85" s="1349">
        <v>4.1567900573614152</v>
      </c>
      <c r="G85" s="1351"/>
      <c r="H85" s="1350"/>
      <c r="I85" s="1326"/>
    </row>
    <row r="86" spans="1:9" ht="14.25" hidden="1" customHeight="1">
      <c r="A86" s="1346">
        <v>38981</v>
      </c>
      <c r="B86" s="1347">
        <v>175326.74342566461</v>
      </c>
      <c r="C86" s="1348">
        <v>7748.410919611707</v>
      </c>
      <c r="D86" s="1348">
        <v>7013.0697370265843</v>
      </c>
      <c r="E86" s="1348">
        <v>735.34118258512262</v>
      </c>
      <c r="F86" s="1349">
        <v>4.4194118753462703</v>
      </c>
      <c r="G86" s="1351"/>
      <c r="H86" s="1350"/>
      <c r="I86" s="1326"/>
    </row>
    <row r="87" spans="1:9" ht="14.25" hidden="1" customHeight="1">
      <c r="A87" s="1346">
        <v>38988</v>
      </c>
      <c r="B87" s="1347">
        <v>176297.54468759859</v>
      </c>
      <c r="C87" s="1348">
        <v>7878.3848199870326</v>
      </c>
      <c r="D87" s="1348">
        <v>7051.9017875039435</v>
      </c>
      <c r="E87" s="1348">
        <v>826.48303248308912</v>
      </c>
      <c r="F87" s="1349">
        <v>4.4688000811058526</v>
      </c>
      <c r="G87" s="1351"/>
      <c r="H87" s="1350"/>
      <c r="I87" s="1326"/>
    </row>
    <row r="88" spans="1:9" ht="14.25" hidden="1" customHeight="1">
      <c r="A88" s="1346">
        <v>38995</v>
      </c>
      <c r="B88" s="1347">
        <v>175017.23956124578</v>
      </c>
      <c r="C88" s="1348">
        <v>7553.232730269342</v>
      </c>
      <c r="D88" s="1348">
        <v>7000.6895824498315</v>
      </c>
      <c r="E88" s="1348">
        <v>551.54314781951052</v>
      </c>
      <c r="F88" s="1349">
        <v>4.3157078406702629</v>
      </c>
      <c r="G88" s="1351"/>
      <c r="H88" s="1350"/>
      <c r="I88" s="1326"/>
    </row>
    <row r="89" spans="1:9" ht="14.25" hidden="1" customHeight="1">
      <c r="A89" s="1346">
        <v>39002</v>
      </c>
      <c r="B89" s="1378">
        <v>177148.8601876598</v>
      </c>
      <c r="C89" s="1348">
        <v>7218.0139377776186</v>
      </c>
      <c r="D89" s="1348">
        <v>7085.9544075063923</v>
      </c>
      <c r="E89" s="1348">
        <v>132.05953027122632</v>
      </c>
      <c r="F89" s="1379">
        <v>4.0745472085630876</v>
      </c>
      <c r="G89" s="1351"/>
      <c r="H89" s="1350"/>
      <c r="I89" s="1326"/>
    </row>
    <row r="90" spans="1:9" ht="14.25" hidden="1" customHeight="1">
      <c r="A90" s="1346">
        <v>39009</v>
      </c>
      <c r="B90" s="1378">
        <v>175199.79006843019</v>
      </c>
      <c r="C90" s="1348">
        <v>7419.4180475158346</v>
      </c>
      <c r="D90" s="1348">
        <v>7007.9916027372074</v>
      </c>
      <c r="E90" s="1348">
        <v>411.42644477862723</v>
      </c>
      <c r="F90" s="1379">
        <v>4.234832727035764</v>
      </c>
      <c r="G90" s="1351"/>
      <c r="H90" s="1350"/>
      <c r="I90" s="1326"/>
    </row>
    <row r="91" spans="1:9" ht="14.25" hidden="1" customHeight="1">
      <c r="A91" s="1346">
        <v>39016</v>
      </c>
      <c r="B91" s="1378">
        <v>174732.85078069891</v>
      </c>
      <c r="C91" s="1348">
        <v>7311.6011365986033</v>
      </c>
      <c r="D91" s="1348">
        <v>6989.3140312279565</v>
      </c>
      <c r="E91" s="1348">
        <v>323.28710537064671</v>
      </c>
      <c r="F91" s="1379">
        <v>4.1844456288160368</v>
      </c>
      <c r="G91" s="1351"/>
      <c r="H91" s="1350"/>
      <c r="I91" s="1326"/>
    </row>
    <row r="92" spans="1:9" ht="14.25" hidden="1" customHeight="1">
      <c r="A92" s="1346">
        <v>39023</v>
      </c>
      <c r="B92" s="1378">
        <v>173700.15988749266</v>
      </c>
      <c r="C92" s="1348">
        <v>7495.0508483375625</v>
      </c>
      <c r="D92" s="1348">
        <v>6948.0063954997067</v>
      </c>
      <c r="E92" s="1348">
        <v>547.04445283785572</v>
      </c>
      <c r="F92" s="1379">
        <v>4.3149360675270438</v>
      </c>
      <c r="G92" s="1351"/>
      <c r="H92" s="1350"/>
      <c r="I92" s="1326"/>
    </row>
    <row r="93" spans="1:9" ht="14.25" hidden="1" customHeight="1">
      <c r="A93" s="1346">
        <v>39030</v>
      </c>
      <c r="B93" s="1378">
        <v>175300.75223542133</v>
      </c>
      <c r="C93" s="1348">
        <v>7633.7547077063891</v>
      </c>
      <c r="D93" s="1348">
        <v>7012.0300894168531</v>
      </c>
      <c r="E93" s="1348">
        <v>621.72461828953601</v>
      </c>
      <c r="F93" s="1379">
        <v>4.3546616944658556</v>
      </c>
      <c r="G93" s="1351"/>
      <c r="H93" s="1350"/>
      <c r="I93" s="1326"/>
    </row>
    <row r="94" spans="1:9" ht="14.25" hidden="1" customHeight="1">
      <c r="A94" s="1346">
        <v>39037</v>
      </c>
      <c r="B94" s="1378">
        <v>175128.61295668042</v>
      </c>
      <c r="C94" s="1348">
        <v>7718.7052684523051</v>
      </c>
      <c r="D94" s="1348">
        <v>7005.1445182672169</v>
      </c>
      <c r="E94" s="1348">
        <v>713.56075018508818</v>
      </c>
      <c r="F94" s="1379">
        <v>4.4074495527247706</v>
      </c>
      <c r="G94" s="1351"/>
      <c r="H94" s="1350"/>
      <c r="I94" s="1326"/>
    </row>
    <row r="95" spans="1:9" ht="14.25" hidden="1" customHeight="1">
      <c r="A95" s="1346">
        <v>39044</v>
      </c>
      <c r="B95" s="1378">
        <v>173699.00701796435</v>
      </c>
      <c r="C95" s="1348">
        <v>7633.6855278628136</v>
      </c>
      <c r="D95" s="1348">
        <v>6947.9602807185738</v>
      </c>
      <c r="E95" s="1348">
        <v>685.7252471442398</v>
      </c>
      <c r="F95" s="1379">
        <v>4.3947778740458316</v>
      </c>
      <c r="G95" s="1351"/>
      <c r="H95" s="1350"/>
      <c r="I95" s="1326"/>
    </row>
    <row r="96" spans="1:9" s="1386" customFormat="1" ht="14.25" hidden="1" customHeight="1">
      <c r="A96" s="1380">
        <v>39051</v>
      </c>
      <c r="B96" s="1381">
        <v>175348.59575334334</v>
      </c>
      <c r="C96" s="1382">
        <v>7406.1914208299995</v>
      </c>
      <c r="D96" s="1382">
        <v>7013.9438301337341</v>
      </c>
      <c r="E96" s="1382">
        <v>392.24759069626543</v>
      </c>
      <c r="F96" s="1383">
        <v>4.2236958836260241</v>
      </c>
      <c r="G96" s="1384"/>
      <c r="H96" s="1350"/>
      <c r="I96" s="1385"/>
    </row>
    <row r="97" spans="1:9" s="1386" customFormat="1" ht="14.25" hidden="1" customHeight="1">
      <c r="A97" s="1380">
        <v>39058</v>
      </c>
      <c r="B97" s="1387">
        <v>174123.62203482338</v>
      </c>
      <c r="C97" s="1382">
        <v>7165.379617132382</v>
      </c>
      <c r="D97" s="1382">
        <v>6964.9448813929348</v>
      </c>
      <c r="E97" s="1382">
        <v>200.43473573944721</v>
      </c>
      <c r="F97" s="1388">
        <v>4.115110594069403</v>
      </c>
      <c r="G97" s="1384"/>
      <c r="H97" s="1350"/>
      <c r="I97" s="1385"/>
    </row>
    <row r="98" spans="1:9" s="1386" customFormat="1" ht="14.25" hidden="1" customHeight="1">
      <c r="A98" s="1380">
        <v>39065</v>
      </c>
      <c r="B98" s="1387">
        <v>175467.18460444771</v>
      </c>
      <c r="C98" s="1382">
        <v>7566.2687555857128</v>
      </c>
      <c r="D98" s="1382">
        <v>7018.6873841779088</v>
      </c>
      <c r="E98" s="1382">
        <v>546.581371407804</v>
      </c>
      <c r="F98" s="1388">
        <v>4.3120705291090218</v>
      </c>
      <c r="G98" s="1384"/>
      <c r="H98" s="1350"/>
      <c r="I98" s="1385"/>
    </row>
    <row r="99" spans="1:9" s="1386" customFormat="1" ht="14.25" hidden="1" customHeight="1">
      <c r="A99" s="1380">
        <v>39072</v>
      </c>
      <c r="B99" s="1387">
        <v>174464.36429310087</v>
      </c>
      <c r="C99" s="1382">
        <v>8333.5843580790479</v>
      </c>
      <c r="D99" s="1382">
        <v>6978.5745717240352</v>
      </c>
      <c r="E99" s="1382">
        <v>1355.0097863550127</v>
      </c>
      <c r="F99" s="1388">
        <v>4.7766685144242933</v>
      </c>
      <c r="G99" s="1384"/>
      <c r="H99" s="1350"/>
      <c r="I99" s="1385"/>
    </row>
    <row r="100" spans="1:9" s="1386" customFormat="1" ht="14.25" hidden="1" customHeight="1">
      <c r="A100" s="1380">
        <v>39079</v>
      </c>
      <c r="B100" s="1381">
        <v>176164.39974517582</v>
      </c>
      <c r="C100" s="1382">
        <v>8176.6953529888096</v>
      </c>
      <c r="D100" s="1382">
        <v>7046.5759898070328</v>
      </c>
      <c r="E100" s="1382">
        <v>1130.1193631817769</v>
      </c>
      <c r="F100" s="1383">
        <v>4.6415140430282786</v>
      </c>
      <c r="G100" s="1384"/>
      <c r="H100" s="1350"/>
      <c r="I100" s="1385"/>
    </row>
    <row r="101" spans="1:9" s="1386" customFormat="1" ht="14.25" hidden="1" customHeight="1">
      <c r="A101" s="1380">
        <v>39086</v>
      </c>
      <c r="B101" s="1387">
        <v>178527.73221328968</v>
      </c>
      <c r="C101" s="1382">
        <v>8093.7594466471419</v>
      </c>
      <c r="D101" s="1382">
        <v>7141.1092885315875</v>
      </c>
      <c r="E101" s="1382">
        <v>952.6501581155544</v>
      </c>
      <c r="F101" s="1388">
        <v>4.5336146638424832</v>
      </c>
      <c r="G101" s="1384"/>
      <c r="H101" s="1350"/>
      <c r="I101" s="1385"/>
    </row>
    <row r="102" spans="1:9" s="1386" customFormat="1" ht="14.25" hidden="1" customHeight="1">
      <c r="A102" s="1380">
        <v>39093</v>
      </c>
      <c r="B102" s="1387">
        <v>178995.59129482164</v>
      </c>
      <c r="C102" s="1382">
        <v>8582.761108815288</v>
      </c>
      <c r="D102" s="1382">
        <v>7159.8236517928663</v>
      </c>
      <c r="E102" s="1382">
        <v>1422.9374570224218</v>
      </c>
      <c r="F102" s="1388">
        <v>4.7949567063239664</v>
      </c>
      <c r="G102" s="1384"/>
      <c r="H102" s="1350"/>
      <c r="I102" s="1385"/>
    </row>
    <row r="103" spans="1:9" s="1386" customFormat="1" ht="14.25" hidden="1" customHeight="1">
      <c r="A103" s="1380">
        <v>39100</v>
      </c>
      <c r="B103" s="1387">
        <v>179818.41122461425</v>
      </c>
      <c r="C103" s="1382">
        <v>7688.4964276509045</v>
      </c>
      <c r="D103" s="1382">
        <v>7192.7364489845704</v>
      </c>
      <c r="E103" s="1382">
        <v>494.75997866633406</v>
      </c>
      <c r="F103" s="1388">
        <v>4.2757003441917147</v>
      </c>
      <c r="G103" s="1384"/>
      <c r="H103" s="1350"/>
      <c r="I103" s="1385"/>
    </row>
    <row r="104" spans="1:9" s="1386" customFormat="1" ht="14.25" hidden="1" customHeight="1" thickTop="1">
      <c r="A104" s="1389" t="s">
        <v>1327</v>
      </c>
      <c r="B104" s="1387">
        <v>180088.80514806672</v>
      </c>
      <c r="C104" s="1382">
        <v>7897.0850861200397</v>
      </c>
      <c r="D104" s="1382">
        <v>7203.5522059226687</v>
      </c>
      <c r="E104" s="1382">
        <v>693</v>
      </c>
      <c r="F104" s="1388">
        <v>4.3851060478896269</v>
      </c>
      <c r="G104" s="1384"/>
      <c r="H104" s="1350"/>
      <c r="I104" s="1385"/>
    </row>
    <row r="105" spans="1:9" s="1386" customFormat="1" ht="14.25" hidden="1" customHeight="1">
      <c r="A105" s="1380">
        <v>39128</v>
      </c>
      <c r="B105" s="1387">
        <v>180907.51140721224</v>
      </c>
      <c r="C105" s="1382">
        <v>7671.4459046173251</v>
      </c>
      <c r="D105" s="1382">
        <v>7236.3004562884898</v>
      </c>
      <c r="E105" s="1382">
        <v>435.1454483288353</v>
      </c>
      <c r="F105" s="1388">
        <v>4.2405347599687824</v>
      </c>
      <c r="G105" s="1384"/>
      <c r="H105" s="1350"/>
      <c r="I105" s="1385"/>
    </row>
    <row r="106" spans="1:9" s="1386" customFormat="1" ht="14.25" hidden="1" customHeight="1">
      <c r="A106" s="1380">
        <v>39142</v>
      </c>
      <c r="B106" s="1387">
        <v>179981.79809869052</v>
      </c>
      <c r="C106" s="1382">
        <v>7635.8967125198715</v>
      </c>
      <c r="D106" s="1382">
        <v>7199.271923947621</v>
      </c>
      <c r="E106" s="1382">
        <v>436.62478857225051</v>
      </c>
      <c r="F106" s="1388">
        <v>4.2425938584816416</v>
      </c>
      <c r="G106" s="1384"/>
      <c r="H106" s="1350"/>
      <c r="I106" s="1385"/>
    </row>
    <row r="107" spans="1:9" s="1386" customFormat="1" ht="14.25" hidden="1" customHeight="1">
      <c r="A107" s="1380">
        <v>39156</v>
      </c>
      <c r="B107" s="1387">
        <v>181648.64252537178</v>
      </c>
      <c r="C107" s="1382">
        <v>8491.6806607922299</v>
      </c>
      <c r="D107" s="1382">
        <v>7265.9457010148708</v>
      </c>
      <c r="E107" s="1382">
        <v>1225.7349597773591</v>
      </c>
      <c r="F107" s="1388">
        <v>4.6747834405677731</v>
      </c>
      <c r="G107" s="1384"/>
      <c r="H107" s="1350"/>
      <c r="I107" s="1385"/>
    </row>
    <row r="108" spans="1:9" s="1386" customFormat="1" ht="14.25" hidden="1" customHeight="1">
      <c r="A108" s="1380">
        <v>39170</v>
      </c>
      <c r="B108" s="1387">
        <v>182004.52363176932</v>
      </c>
      <c r="C108" s="1382">
        <v>8210.5656804087248</v>
      </c>
      <c r="D108" s="1382">
        <v>7280.180945270773</v>
      </c>
      <c r="E108" s="1382">
        <v>931.38473513795179</v>
      </c>
      <c r="F108" s="1388">
        <v>4.5111876982905672</v>
      </c>
      <c r="G108" s="1384"/>
      <c r="H108" s="1350"/>
      <c r="I108" s="1385"/>
    </row>
    <row r="109" spans="1:9" s="1386" customFormat="1" ht="14.25" hidden="1" customHeight="1">
      <c r="A109" s="1380">
        <v>39184</v>
      </c>
      <c r="B109" s="1387">
        <v>183784.21395314398</v>
      </c>
      <c r="C109" s="1382">
        <v>8325.2714346789344</v>
      </c>
      <c r="D109" s="1382">
        <v>7351.3685581257596</v>
      </c>
      <c r="E109" s="1382">
        <v>973.90287655317479</v>
      </c>
      <c r="F109" s="1388">
        <v>4.5299165013168503</v>
      </c>
      <c r="G109" s="1384"/>
      <c r="H109" s="1350"/>
      <c r="I109" s="1385"/>
    </row>
    <row r="110" spans="1:9" s="1386" customFormat="1" ht="14.25" hidden="1" customHeight="1">
      <c r="A110" s="1380">
        <v>39198</v>
      </c>
      <c r="B110" s="1387">
        <v>183933.15060789618</v>
      </c>
      <c r="C110" s="1382">
        <v>7971.8589464998822</v>
      </c>
      <c r="D110" s="1382">
        <v>7357.3260243158475</v>
      </c>
      <c r="E110" s="1382">
        <v>614.53292218403476</v>
      </c>
      <c r="F110" s="1388">
        <v>4.3341066687288361</v>
      </c>
      <c r="G110" s="1384"/>
      <c r="H110" s="1350"/>
      <c r="I110" s="1385"/>
    </row>
    <row r="111" spans="1:9" s="1386" customFormat="1" ht="14.25" hidden="1" customHeight="1">
      <c r="A111" s="1380">
        <v>39212</v>
      </c>
      <c r="B111" s="1387">
        <v>183584.19710951409</v>
      </c>
      <c r="C111" s="1382">
        <v>8344.9238992592946</v>
      </c>
      <c r="D111" s="1382">
        <v>7343.3678843805637</v>
      </c>
      <c r="E111" s="1382">
        <v>1001.5560148787308</v>
      </c>
      <c r="F111" s="1388">
        <v>4.5455567693995302</v>
      </c>
      <c r="G111" s="1384"/>
      <c r="H111" s="1350"/>
      <c r="I111" s="1385"/>
    </row>
    <row r="112" spans="1:9" s="1386" customFormat="1" ht="14.25" hidden="1" customHeight="1">
      <c r="A112" s="1380">
        <v>39226</v>
      </c>
      <c r="B112" s="1387">
        <v>184639.3446117274</v>
      </c>
      <c r="C112" s="1382">
        <v>8296.1740094879442</v>
      </c>
      <c r="D112" s="1382">
        <v>7385.5737844690957</v>
      </c>
      <c r="E112" s="1382">
        <v>909.6002250188485</v>
      </c>
      <c r="F112" s="1388">
        <v>4.4931777823051329</v>
      </c>
      <c r="G112" s="1384"/>
      <c r="H112" s="1350"/>
      <c r="I112" s="1385"/>
    </row>
    <row r="113" spans="1:9" s="1386" customFormat="1" ht="14.25" hidden="1" customHeight="1">
      <c r="A113" s="1380">
        <v>39240</v>
      </c>
      <c r="B113" s="1387">
        <v>183888.09524092436</v>
      </c>
      <c r="C113" s="1382">
        <v>8470.4872320605191</v>
      </c>
      <c r="D113" s="1382">
        <v>7355.5238096369749</v>
      </c>
      <c r="E113" s="1382">
        <v>1113.9634224235442</v>
      </c>
      <c r="F113" s="1388">
        <v>4.6063271366005258</v>
      </c>
      <c r="G113" s="1384"/>
      <c r="H113" s="1350"/>
      <c r="I113" s="1385"/>
    </row>
    <row r="114" spans="1:9" s="1386" customFormat="1" ht="14.25" hidden="1" customHeight="1">
      <c r="A114" s="1380">
        <v>39254</v>
      </c>
      <c r="B114" s="1387">
        <v>186213.04903233086</v>
      </c>
      <c r="C114" s="1382">
        <v>8893.229922606226</v>
      </c>
      <c r="D114" s="1382">
        <v>7448.5219612932342</v>
      </c>
      <c r="E114" s="1382">
        <v>1443.7079613129918</v>
      </c>
      <c r="F114" s="1388">
        <v>4.7758360484512323</v>
      </c>
      <c r="G114" s="1384"/>
      <c r="H114" s="1350"/>
      <c r="I114" s="1385"/>
    </row>
    <row r="115" spans="1:9" s="1386" customFormat="1" ht="14.25" hidden="1" customHeight="1">
      <c r="A115" s="1380">
        <v>39268</v>
      </c>
      <c r="B115" s="1387">
        <v>185814.30506692821</v>
      </c>
      <c r="C115" s="1382">
        <v>8924.7716441645953</v>
      </c>
      <c r="D115" s="1382">
        <v>7432.5722026771282</v>
      </c>
      <c r="E115" s="1382">
        <v>1492.1994414874671</v>
      </c>
      <c r="F115" s="1388">
        <v>4.8030595066133328</v>
      </c>
      <c r="G115" s="1384"/>
      <c r="H115" s="1350"/>
      <c r="I115" s="1385"/>
    </row>
    <row r="116" spans="1:9" s="1386" customFormat="1" ht="14.25" hidden="1" customHeight="1">
      <c r="A116" s="1380">
        <v>39282</v>
      </c>
      <c r="B116" s="1387">
        <v>187405.27884961045</v>
      </c>
      <c r="C116" s="1382">
        <v>9425.3110291993708</v>
      </c>
      <c r="D116" s="1382">
        <v>7496.2111539844182</v>
      </c>
      <c r="E116" s="1382">
        <v>1929.0998752149526</v>
      </c>
      <c r="F116" s="1388">
        <v>5.0293732850305792</v>
      </c>
      <c r="G116" s="1384"/>
      <c r="H116" s="1350"/>
      <c r="I116" s="1385"/>
    </row>
    <row r="117" spans="1:9" s="1386" customFormat="1" ht="14.25" hidden="1" customHeight="1">
      <c r="A117" s="1380">
        <v>39296</v>
      </c>
      <c r="B117" s="1387">
        <v>186554.36715842265</v>
      </c>
      <c r="C117" s="1382">
        <v>9445.5938117446167</v>
      </c>
      <c r="D117" s="1382">
        <v>7462.1746863369062</v>
      </c>
      <c r="E117" s="1382">
        <v>1982.4191254077105</v>
      </c>
      <c r="F117" s="1388">
        <v>5.063185577276454</v>
      </c>
      <c r="G117" s="1384"/>
      <c r="H117" s="1350"/>
      <c r="I117" s="1385"/>
    </row>
    <row r="118" spans="1:9" s="1386" customFormat="1" ht="14.25" hidden="1" customHeight="1">
      <c r="A118" s="1380">
        <v>39310</v>
      </c>
      <c r="B118" s="1387">
        <v>187553.49595401279</v>
      </c>
      <c r="C118" s="1382">
        <v>8894.4741634151906</v>
      </c>
      <c r="D118" s="1382">
        <v>7502.1398381605113</v>
      </c>
      <c r="E118" s="1382">
        <v>1392.3343252546792</v>
      </c>
      <c r="F118" s="1388">
        <v>4.7423665009134632</v>
      </c>
      <c r="G118" s="1384"/>
      <c r="H118" s="1350"/>
      <c r="I118" s="1385"/>
    </row>
    <row r="119" spans="1:9" s="1386" customFormat="1" ht="14.25" hidden="1" customHeight="1">
      <c r="A119" s="1380">
        <v>39324</v>
      </c>
      <c r="B119" s="1387">
        <v>188868.01526178926</v>
      </c>
      <c r="C119" s="1382">
        <v>9128.9697003747751</v>
      </c>
      <c r="D119" s="1382">
        <v>7554.7206104715706</v>
      </c>
      <c r="E119" s="1382">
        <v>1574.2490899032045</v>
      </c>
      <c r="F119" s="1388">
        <v>4.8335180987215569</v>
      </c>
      <c r="G119" s="1384"/>
      <c r="H119" s="1350"/>
      <c r="I119" s="1385"/>
    </row>
    <row r="120" spans="1:9" s="1386" customFormat="1" ht="14.25" hidden="1" customHeight="1">
      <c r="A120" s="1380">
        <v>39338</v>
      </c>
      <c r="B120" s="1387">
        <v>189737.69689326899</v>
      </c>
      <c r="C120" s="1382">
        <v>8799.9877071608735</v>
      </c>
      <c r="D120" s="1382">
        <v>7589.5078757307601</v>
      </c>
      <c r="E120" s="1382">
        <v>1210.4798314301133</v>
      </c>
      <c r="F120" s="1388">
        <v>4.6379754003818396</v>
      </c>
      <c r="G120" s="1384"/>
      <c r="H120" s="1350"/>
      <c r="I120" s="1385"/>
    </row>
    <row r="121" spans="1:9" s="1386" customFormat="1" ht="14.25" hidden="1" customHeight="1">
      <c r="A121" s="1380">
        <v>39352</v>
      </c>
      <c r="B121" s="1387">
        <v>192194.07155918182</v>
      </c>
      <c r="C121" s="1382">
        <v>9633.6256414249146</v>
      </c>
      <c r="D121" s="1382">
        <v>7687.7628623672726</v>
      </c>
      <c r="E121" s="1382">
        <v>1945.862779057642</v>
      </c>
      <c r="F121" s="1388">
        <v>5.0124468269347515</v>
      </c>
      <c r="G121" s="1384"/>
      <c r="H121" s="1350"/>
      <c r="I121" s="1385"/>
    </row>
    <row r="122" spans="1:9" s="1386" customFormat="1" ht="14.25" hidden="1" customHeight="1">
      <c r="A122" s="1380">
        <v>39366</v>
      </c>
      <c r="B122" s="1387">
        <v>192798</v>
      </c>
      <c r="C122" s="1382">
        <v>10036</v>
      </c>
      <c r="D122" s="1382">
        <v>7712</v>
      </c>
      <c r="E122" s="1382">
        <v>2324</v>
      </c>
      <c r="F122" s="1388">
        <v>5.21</v>
      </c>
      <c r="G122" s="1384"/>
      <c r="H122" s="1350"/>
      <c r="I122" s="1385"/>
    </row>
    <row r="123" spans="1:9" s="1386" customFormat="1" ht="14.25" hidden="1" customHeight="1">
      <c r="A123" s="1380">
        <v>39380</v>
      </c>
      <c r="B123" s="1387">
        <v>193721</v>
      </c>
      <c r="C123" s="1382">
        <v>11155</v>
      </c>
      <c r="D123" s="1382">
        <v>7749</v>
      </c>
      <c r="E123" s="1382">
        <v>3406</v>
      </c>
      <c r="F123" s="1388">
        <v>5.76</v>
      </c>
      <c r="G123" s="1384"/>
      <c r="H123" s="1350"/>
      <c r="I123" s="1385"/>
    </row>
    <row r="124" spans="1:9" s="1386" customFormat="1" ht="14.25" hidden="1" customHeight="1">
      <c r="A124" s="1380">
        <v>39394</v>
      </c>
      <c r="B124" s="1387">
        <v>194592.3</v>
      </c>
      <c r="C124" s="1382">
        <v>11111.2</v>
      </c>
      <c r="D124" s="1382">
        <v>7783.7</v>
      </c>
      <c r="E124" s="1382">
        <v>3327</v>
      </c>
      <c r="F124" s="1388">
        <v>5.71</v>
      </c>
      <c r="G124" s="1384"/>
      <c r="H124" s="1350"/>
      <c r="I124" s="1385"/>
    </row>
    <row r="125" spans="1:9" s="1386" customFormat="1" ht="14.25" hidden="1" customHeight="1">
      <c r="A125" s="1380">
        <v>39408</v>
      </c>
      <c r="B125" s="1387">
        <v>198335.7</v>
      </c>
      <c r="C125" s="1382">
        <v>10728.6</v>
      </c>
      <c r="D125" s="1382">
        <v>7934</v>
      </c>
      <c r="E125" s="1382">
        <v>2795.1</v>
      </c>
      <c r="F125" s="1388">
        <v>5.41</v>
      </c>
      <c r="G125" s="1384"/>
      <c r="H125" s="1350"/>
      <c r="I125" s="1385"/>
    </row>
    <row r="126" spans="1:9" s="1386" customFormat="1" ht="14.25" hidden="1" customHeight="1">
      <c r="A126" s="1380">
        <v>39422</v>
      </c>
      <c r="B126" s="1387">
        <v>200755</v>
      </c>
      <c r="C126" s="1382">
        <v>9535</v>
      </c>
      <c r="D126" s="1382">
        <v>8030</v>
      </c>
      <c r="E126" s="1382">
        <v>1505</v>
      </c>
      <c r="F126" s="1388">
        <v>4.75</v>
      </c>
      <c r="G126" s="1384"/>
      <c r="H126" s="1350"/>
      <c r="I126" s="1385"/>
    </row>
    <row r="127" spans="1:9" s="1386" customFormat="1" ht="14.25" hidden="1" customHeight="1">
      <c r="A127" s="1380">
        <v>39436</v>
      </c>
      <c r="B127" s="1387">
        <v>203041</v>
      </c>
      <c r="C127" s="1382">
        <v>10964</v>
      </c>
      <c r="D127" s="1382">
        <v>8122</v>
      </c>
      <c r="E127" s="1382">
        <v>2842</v>
      </c>
      <c r="F127" s="1388">
        <v>5.4</v>
      </c>
      <c r="G127" s="1384"/>
      <c r="H127" s="1350"/>
      <c r="I127" s="1385"/>
    </row>
    <row r="128" spans="1:9" s="1386" customFormat="1" ht="14.25" hidden="1" customHeight="1" thickTop="1">
      <c r="A128" s="1390">
        <v>39450</v>
      </c>
      <c r="B128" s="1387">
        <v>208638</v>
      </c>
      <c r="C128" s="1382">
        <v>10268</v>
      </c>
      <c r="D128" s="1382">
        <v>8345</v>
      </c>
      <c r="E128" s="1382">
        <v>1923</v>
      </c>
      <c r="F128" s="1388">
        <v>4.92</v>
      </c>
      <c r="G128" s="1384"/>
      <c r="H128" s="1350"/>
      <c r="I128" s="1385"/>
    </row>
    <row r="129" spans="1:9" s="1386" customFormat="1" ht="14.25" hidden="1" customHeight="1">
      <c r="A129" s="1390">
        <v>39464</v>
      </c>
      <c r="B129" s="1387">
        <v>210356</v>
      </c>
      <c r="C129" s="1382">
        <v>11245</v>
      </c>
      <c r="D129" s="1382">
        <v>8414</v>
      </c>
      <c r="E129" s="1382">
        <v>2831</v>
      </c>
      <c r="F129" s="1388">
        <v>5.35</v>
      </c>
      <c r="G129" s="1384"/>
      <c r="H129" s="1350"/>
      <c r="I129" s="1385"/>
    </row>
    <row r="130" spans="1:9" s="1386" customFormat="1" ht="14.25" hidden="1" customHeight="1">
      <c r="A130" s="1390">
        <v>39478</v>
      </c>
      <c r="B130" s="1387">
        <v>210771</v>
      </c>
      <c r="C130" s="1382">
        <v>11357</v>
      </c>
      <c r="D130" s="1382">
        <v>8431</v>
      </c>
      <c r="E130" s="1382">
        <v>2926</v>
      </c>
      <c r="F130" s="1388">
        <v>5.39</v>
      </c>
      <c r="G130" s="1384"/>
      <c r="H130" s="1350"/>
      <c r="I130" s="1385"/>
    </row>
    <row r="131" spans="1:9" s="1386" customFormat="1" ht="14.25" hidden="1" customHeight="1">
      <c r="A131" s="1390">
        <v>39492</v>
      </c>
      <c r="B131" s="1387">
        <v>211310</v>
      </c>
      <c r="C131" s="1382">
        <v>10221</v>
      </c>
      <c r="D131" s="1382">
        <v>8452</v>
      </c>
      <c r="E131" s="1382">
        <v>1769</v>
      </c>
      <c r="F131" s="1388">
        <v>4.84</v>
      </c>
      <c r="G131" s="1384"/>
      <c r="H131" s="1350"/>
      <c r="I131" s="1385"/>
    </row>
    <row r="132" spans="1:9" s="1386" customFormat="1" ht="14.25" hidden="1" customHeight="1">
      <c r="A132" s="1390">
        <v>39506</v>
      </c>
      <c r="B132" s="1387">
        <v>211420</v>
      </c>
      <c r="C132" s="1382">
        <v>10683</v>
      </c>
      <c r="D132" s="1382">
        <v>8457</v>
      </c>
      <c r="E132" s="1382">
        <v>2226</v>
      </c>
      <c r="F132" s="1388">
        <v>5.05</v>
      </c>
      <c r="G132" s="1384"/>
      <c r="H132" s="1350"/>
      <c r="I132" s="1385"/>
    </row>
    <row r="133" spans="1:9" s="1386" customFormat="1" ht="14.25" hidden="1" customHeight="1">
      <c r="A133" s="1390">
        <v>39520</v>
      </c>
      <c r="B133" s="1387">
        <v>213067</v>
      </c>
      <c r="C133" s="1382">
        <v>9448.9</v>
      </c>
      <c r="D133" s="1382">
        <v>8522.7000000000007</v>
      </c>
      <c r="E133" s="1382">
        <v>926.2</v>
      </c>
      <c r="F133" s="1388">
        <v>4.43</v>
      </c>
      <c r="G133" s="1384"/>
      <c r="H133" s="1350"/>
      <c r="I133" s="1385"/>
    </row>
    <row r="134" spans="1:9" s="1386" customFormat="1" ht="14.25" hidden="1" customHeight="1">
      <c r="A134" s="1390">
        <v>39534</v>
      </c>
      <c r="B134" s="1387">
        <v>215975</v>
      </c>
      <c r="C134" s="1382">
        <v>11184</v>
      </c>
      <c r="D134" s="1382">
        <v>8639</v>
      </c>
      <c r="E134" s="1382">
        <v>2545</v>
      </c>
      <c r="F134" s="1388">
        <v>5.18</v>
      </c>
      <c r="G134" s="1384"/>
      <c r="H134" s="1350"/>
      <c r="I134" s="1385"/>
    </row>
    <row r="135" spans="1:9" s="1386" customFormat="1" ht="14.25" hidden="1" customHeight="1">
      <c r="A135" s="1390">
        <v>39548</v>
      </c>
      <c r="B135" s="1387">
        <v>213909</v>
      </c>
      <c r="C135" s="1382">
        <v>10320</v>
      </c>
      <c r="D135" s="1382">
        <v>8556</v>
      </c>
      <c r="E135" s="1382">
        <v>1764</v>
      </c>
      <c r="F135" s="1388">
        <v>4.82</v>
      </c>
      <c r="G135" s="1384"/>
      <c r="H135" s="1350"/>
      <c r="I135" s="1385"/>
    </row>
    <row r="136" spans="1:9" s="1386" customFormat="1" ht="14.25" hidden="1" customHeight="1">
      <c r="A136" s="1390">
        <v>39562</v>
      </c>
      <c r="B136" s="1387">
        <v>213244</v>
      </c>
      <c r="C136" s="1382">
        <v>10618</v>
      </c>
      <c r="D136" s="1382">
        <v>8530</v>
      </c>
      <c r="E136" s="1382">
        <v>2088</v>
      </c>
      <c r="F136" s="1388">
        <v>4.9800000000000004</v>
      </c>
      <c r="G136" s="1384"/>
      <c r="H136" s="1350"/>
      <c r="I136" s="1385"/>
    </row>
    <row r="137" spans="1:9" s="1386" customFormat="1" ht="14.25" hidden="1" customHeight="1">
      <c r="A137" s="1390">
        <v>39576</v>
      </c>
      <c r="B137" s="1387">
        <v>214288</v>
      </c>
      <c r="C137" s="1382">
        <v>9848</v>
      </c>
      <c r="D137" s="1382">
        <v>8572</v>
      </c>
      <c r="E137" s="1382">
        <v>1276</v>
      </c>
      <c r="F137" s="1388">
        <v>4.5999999999999996</v>
      </c>
      <c r="G137" s="1384"/>
      <c r="H137" s="1350"/>
      <c r="I137" s="1385"/>
    </row>
    <row r="138" spans="1:9" s="1386" customFormat="1" ht="14.25" hidden="1" customHeight="1">
      <c r="A138" s="1390">
        <v>39590</v>
      </c>
      <c r="B138" s="1387">
        <v>214734</v>
      </c>
      <c r="C138" s="1382">
        <v>10195</v>
      </c>
      <c r="D138" s="1382">
        <v>8589</v>
      </c>
      <c r="E138" s="1382">
        <v>1606</v>
      </c>
      <c r="F138" s="1388">
        <v>4.75</v>
      </c>
      <c r="G138" s="1384"/>
      <c r="H138" s="1350"/>
      <c r="I138" s="1385"/>
    </row>
    <row r="139" spans="1:9" s="1386" customFormat="1" ht="14.25" hidden="1" customHeight="1" thickTop="1">
      <c r="A139" s="1390">
        <v>39604</v>
      </c>
      <c r="B139" s="1387">
        <v>217284</v>
      </c>
      <c r="C139" s="1382">
        <v>10025</v>
      </c>
      <c r="D139" s="1382">
        <v>8691</v>
      </c>
      <c r="E139" s="1382">
        <v>1334</v>
      </c>
      <c r="F139" s="1388">
        <v>4.6100000000000003</v>
      </c>
      <c r="G139" s="1384"/>
      <c r="H139" s="1350"/>
      <c r="I139" s="1385"/>
    </row>
    <row r="140" spans="1:9" s="1386" customFormat="1" ht="14.25" hidden="1" customHeight="1">
      <c r="A140" s="1390">
        <v>39618</v>
      </c>
      <c r="B140" s="1387">
        <v>220286</v>
      </c>
      <c r="C140" s="1382">
        <v>10956</v>
      </c>
      <c r="D140" s="1382">
        <v>8811</v>
      </c>
      <c r="E140" s="1382">
        <v>2145</v>
      </c>
      <c r="F140" s="1388">
        <v>4.97</v>
      </c>
      <c r="G140" s="1384"/>
      <c r="H140" s="1350"/>
      <c r="I140" s="1385"/>
    </row>
    <row r="141" spans="1:9" s="1386" customFormat="1" ht="14.25" hidden="1" customHeight="1">
      <c r="A141" s="1390">
        <v>39632</v>
      </c>
      <c r="B141" s="1387">
        <v>220018</v>
      </c>
      <c r="C141" s="1382">
        <v>10966</v>
      </c>
      <c r="D141" s="1382">
        <v>8801</v>
      </c>
      <c r="E141" s="1382">
        <v>2165</v>
      </c>
      <c r="F141" s="1388">
        <v>4.9800000000000004</v>
      </c>
      <c r="G141" s="1384"/>
      <c r="H141" s="1350"/>
      <c r="I141" s="1385"/>
    </row>
    <row r="142" spans="1:9" s="1386" customFormat="1" ht="14.25" hidden="1" customHeight="1">
      <c r="A142" s="1390">
        <v>39646</v>
      </c>
      <c r="B142" s="1387">
        <v>222013</v>
      </c>
      <c r="C142" s="1382">
        <v>11724</v>
      </c>
      <c r="D142" s="1382">
        <v>8881</v>
      </c>
      <c r="E142" s="1382">
        <v>2843</v>
      </c>
      <c r="F142" s="1388">
        <v>5.28</v>
      </c>
      <c r="G142" s="1384"/>
      <c r="H142" s="1350"/>
      <c r="I142" s="1385"/>
    </row>
    <row r="143" spans="1:9" s="1386" customFormat="1" ht="14.25" hidden="1" customHeight="1">
      <c r="A143" s="1390">
        <v>39660</v>
      </c>
      <c r="B143" s="1387">
        <v>225500</v>
      </c>
      <c r="C143" s="1382">
        <v>11021</v>
      </c>
      <c r="D143" s="1382">
        <v>9020</v>
      </c>
      <c r="E143" s="1382">
        <v>2001</v>
      </c>
      <c r="F143" s="1388">
        <v>4.8899999999999997</v>
      </c>
      <c r="G143" s="1384"/>
      <c r="H143" s="1350"/>
      <c r="I143" s="1385"/>
    </row>
    <row r="144" spans="1:9" s="1386" customFormat="1" ht="14.25" hidden="1" customHeight="1" thickTop="1">
      <c r="A144" s="1391" t="s">
        <v>1328</v>
      </c>
      <c r="B144" s="1387">
        <v>227806</v>
      </c>
      <c r="C144" s="1382">
        <v>11532</v>
      </c>
      <c r="D144" s="1382">
        <v>9112</v>
      </c>
      <c r="E144" s="1382">
        <v>2420</v>
      </c>
      <c r="F144" s="1388">
        <v>5.0599999999999996</v>
      </c>
      <c r="G144" s="1384"/>
      <c r="H144" s="1350"/>
      <c r="I144" s="1385"/>
    </row>
    <row r="145" spans="1:9" ht="15" hidden="1" thickTop="1">
      <c r="A145" s="1391" t="s">
        <v>1329</v>
      </c>
      <c r="B145" s="1387">
        <v>226337</v>
      </c>
      <c r="C145" s="1382">
        <v>14936</v>
      </c>
      <c r="D145" s="1382">
        <v>13580</v>
      </c>
      <c r="E145" s="1382">
        <v>1356</v>
      </c>
      <c r="F145" s="1388">
        <v>6.6</v>
      </c>
      <c r="I145" s="1326"/>
    </row>
    <row r="146" spans="1:9" ht="13.5" hidden="1" thickTop="1">
      <c r="A146" s="1390">
        <v>39702</v>
      </c>
      <c r="B146" s="1387">
        <v>227229</v>
      </c>
      <c r="C146" s="1382">
        <v>14033</v>
      </c>
      <c r="D146" s="1382">
        <v>13634</v>
      </c>
      <c r="E146" s="1382">
        <v>399</v>
      </c>
      <c r="F146" s="1388">
        <v>6.18</v>
      </c>
      <c r="I146" s="1326"/>
    </row>
    <row r="147" spans="1:9" ht="13.5" hidden="1" thickTop="1">
      <c r="A147" s="1390">
        <v>39716</v>
      </c>
      <c r="B147" s="1387">
        <v>228419</v>
      </c>
      <c r="C147" s="1382">
        <v>14515</v>
      </c>
      <c r="D147" s="1382">
        <v>13705</v>
      </c>
      <c r="E147" s="1382">
        <v>810</v>
      </c>
      <c r="F147" s="1388">
        <v>6.35</v>
      </c>
      <c r="I147" s="1326"/>
    </row>
    <row r="148" spans="1:9" ht="13.5" hidden="1" thickTop="1">
      <c r="A148" s="1390">
        <v>39730</v>
      </c>
      <c r="B148" s="1387">
        <v>229588</v>
      </c>
      <c r="C148" s="1382">
        <v>15199.1</v>
      </c>
      <c r="D148" s="1382">
        <v>13775</v>
      </c>
      <c r="E148" s="1382">
        <v>1423.9</v>
      </c>
      <c r="F148" s="1388">
        <v>6.62</v>
      </c>
      <c r="I148" s="1326"/>
    </row>
    <row r="149" spans="1:9" ht="13.5" hidden="1" thickTop="1">
      <c r="A149" s="1390">
        <v>39744</v>
      </c>
      <c r="B149" s="1387">
        <v>230830</v>
      </c>
      <c r="C149" s="1382">
        <v>16362</v>
      </c>
      <c r="D149" s="1382">
        <v>13850</v>
      </c>
      <c r="E149" s="1382">
        <v>2512</v>
      </c>
      <c r="F149" s="1388">
        <v>7.09</v>
      </c>
      <c r="I149" s="1326"/>
    </row>
    <row r="150" spans="1:9" ht="13.5" hidden="1" thickTop="1">
      <c r="A150" s="1391" t="s">
        <v>1330</v>
      </c>
      <c r="B150" s="1387">
        <v>230371</v>
      </c>
      <c r="C150" s="1382">
        <v>14668</v>
      </c>
      <c r="D150" s="1382">
        <v>13822</v>
      </c>
      <c r="E150" s="1382">
        <v>846</v>
      </c>
      <c r="F150" s="1388">
        <v>6.37</v>
      </c>
      <c r="I150" s="1326"/>
    </row>
    <row r="151" spans="1:9" ht="15" hidden="1" thickTop="1">
      <c r="A151" s="1391" t="s">
        <v>1331</v>
      </c>
      <c r="B151" s="1387">
        <v>232852</v>
      </c>
      <c r="C151" s="1382">
        <v>13146</v>
      </c>
      <c r="D151" s="1382">
        <v>11643</v>
      </c>
      <c r="E151" s="1382">
        <v>1503</v>
      </c>
      <c r="F151" s="1388">
        <v>5.65</v>
      </c>
    </row>
    <row r="152" spans="1:9" ht="13.5" hidden="1" thickTop="1">
      <c r="A152" s="1390">
        <v>39786</v>
      </c>
      <c r="B152" s="1387">
        <v>233352</v>
      </c>
      <c r="C152" s="1382">
        <v>12522</v>
      </c>
      <c r="D152" s="1382">
        <v>11668</v>
      </c>
      <c r="E152" s="1382">
        <v>854</v>
      </c>
      <c r="F152" s="1388">
        <v>5.37</v>
      </c>
    </row>
    <row r="153" spans="1:9" ht="13.5" hidden="1" thickTop="1">
      <c r="A153" s="1391" t="s">
        <v>1332</v>
      </c>
      <c r="B153" s="1387">
        <v>236070</v>
      </c>
      <c r="C153" s="1382">
        <v>13781</v>
      </c>
      <c r="D153" s="1382">
        <v>11804</v>
      </c>
      <c r="E153" s="1382">
        <v>1977</v>
      </c>
      <c r="F153" s="1388">
        <v>5.84</v>
      </c>
    </row>
    <row r="154" spans="1:9" ht="15" hidden="1" thickTop="1">
      <c r="A154" s="1391" t="s">
        <v>1333</v>
      </c>
      <c r="B154" s="1387">
        <v>238077</v>
      </c>
      <c r="C154" s="1382">
        <v>13045.2</v>
      </c>
      <c r="D154" s="1382">
        <v>10713.7</v>
      </c>
      <c r="E154" s="1382">
        <v>2331.4</v>
      </c>
      <c r="F154" s="1388">
        <v>5.48</v>
      </c>
    </row>
    <row r="155" spans="1:9" ht="13.5" hidden="1" thickTop="1">
      <c r="A155" s="1390">
        <v>39828</v>
      </c>
      <c r="B155" s="1387">
        <v>243515</v>
      </c>
      <c r="C155" s="1382">
        <v>14479</v>
      </c>
      <c r="D155" s="1382">
        <v>10958</v>
      </c>
      <c r="E155" s="1382">
        <v>3521</v>
      </c>
      <c r="F155" s="1388">
        <v>5.95</v>
      </c>
    </row>
    <row r="156" spans="1:9" ht="13.5" hidden="1" thickTop="1">
      <c r="A156" s="1390">
        <v>39842</v>
      </c>
      <c r="B156" s="1387">
        <v>242838</v>
      </c>
      <c r="C156" s="1382">
        <v>14710</v>
      </c>
      <c r="D156" s="1382">
        <v>10928</v>
      </c>
      <c r="E156" s="1382">
        <v>3782</v>
      </c>
      <c r="F156" s="1388">
        <v>6.06</v>
      </c>
    </row>
    <row r="157" spans="1:9" ht="13.5" hidden="1" thickTop="1">
      <c r="A157" s="1390">
        <v>39856</v>
      </c>
      <c r="B157" s="1387">
        <v>242719</v>
      </c>
      <c r="C157" s="1382">
        <v>13556</v>
      </c>
      <c r="D157" s="1382">
        <v>10922</v>
      </c>
      <c r="E157" s="1382">
        <v>2634</v>
      </c>
      <c r="F157" s="1388">
        <v>5.59</v>
      </c>
    </row>
    <row r="158" spans="1:9" ht="13.5" hidden="1" thickTop="1">
      <c r="A158" s="1390">
        <v>39870</v>
      </c>
      <c r="B158" s="1387">
        <v>244289</v>
      </c>
      <c r="C158" s="1382">
        <v>13427</v>
      </c>
      <c r="D158" s="1382">
        <v>10993</v>
      </c>
      <c r="E158" s="1382">
        <v>2434</v>
      </c>
      <c r="F158" s="1388">
        <v>5.5</v>
      </c>
    </row>
    <row r="159" spans="1:9" ht="13.5" hidden="1" thickTop="1">
      <c r="A159" s="1390">
        <v>39884</v>
      </c>
      <c r="B159" s="1387">
        <v>245313</v>
      </c>
      <c r="C159" s="1382">
        <v>12869</v>
      </c>
      <c r="D159" s="1382">
        <v>11039</v>
      </c>
      <c r="E159" s="1382">
        <v>1829.7</v>
      </c>
      <c r="F159" s="1388">
        <v>5.25</v>
      </c>
    </row>
    <row r="160" spans="1:9" ht="13.5" hidden="1" thickTop="1">
      <c r="A160" s="1390">
        <v>39898</v>
      </c>
      <c r="B160" s="1387">
        <v>248637</v>
      </c>
      <c r="C160" s="1382">
        <v>13626</v>
      </c>
      <c r="D160" s="1382">
        <v>11189</v>
      </c>
      <c r="E160" s="1382">
        <v>2437</v>
      </c>
      <c r="F160" s="1388">
        <v>5.48</v>
      </c>
    </row>
    <row r="161" spans="1:6" ht="13.5" hidden="1" thickTop="1">
      <c r="A161" s="1390">
        <v>39912</v>
      </c>
      <c r="B161" s="1387">
        <v>249016</v>
      </c>
      <c r="C161" s="1382">
        <v>13101</v>
      </c>
      <c r="D161" s="1382">
        <v>11206</v>
      </c>
      <c r="E161" s="1382">
        <v>1895</v>
      </c>
      <c r="F161" s="1388">
        <v>5.26</v>
      </c>
    </row>
    <row r="162" spans="1:6" ht="13.5" hidden="1" thickTop="1">
      <c r="A162" s="1390">
        <v>39926</v>
      </c>
      <c r="B162" s="1387">
        <v>250123</v>
      </c>
      <c r="C162" s="1382">
        <v>13271</v>
      </c>
      <c r="D162" s="1382">
        <v>11255</v>
      </c>
      <c r="E162" s="1382">
        <v>2016</v>
      </c>
      <c r="F162" s="1388">
        <v>5.31</v>
      </c>
    </row>
    <row r="163" spans="1:6" ht="13.5" hidden="1" thickTop="1">
      <c r="A163" s="1390">
        <v>39940</v>
      </c>
      <c r="B163" s="1387">
        <v>250490</v>
      </c>
      <c r="C163" s="1382">
        <v>12173</v>
      </c>
      <c r="D163" s="1382">
        <v>11272</v>
      </c>
      <c r="E163" s="1382">
        <v>901</v>
      </c>
      <c r="F163" s="1388">
        <v>4.8600000000000003</v>
      </c>
    </row>
    <row r="164" spans="1:6" ht="13.5" hidden="1" thickTop="1">
      <c r="A164" s="1390">
        <v>39954</v>
      </c>
      <c r="B164" s="1387">
        <v>249804</v>
      </c>
      <c r="C164" s="1382">
        <v>12739</v>
      </c>
      <c r="D164" s="1382">
        <v>11241</v>
      </c>
      <c r="E164" s="1382">
        <v>1498</v>
      </c>
      <c r="F164" s="1388">
        <v>5.0999999999999996</v>
      </c>
    </row>
    <row r="165" spans="1:6" ht="13.5" hidden="1" thickTop="1">
      <c r="A165" s="1390">
        <v>39968</v>
      </c>
      <c r="B165" s="1387">
        <v>252211</v>
      </c>
      <c r="C165" s="1382">
        <v>12296</v>
      </c>
      <c r="D165" s="1382">
        <v>11350</v>
      </c>
      <c r="E165" s="1382">
        <v>946</v>
      </c>
      <c r="F165" s="1388">
        <v>4.88</v>
      </c>
    </row>
    <row r="166" spans="1:6" ht="13.5" hidden="1" thickTop="1">
      <c r="A166" s="1390">
        <v>39982</v>
      </c>
      <c r="B166" s="1387">
        <v>253062</v>
      </c>
      <c r="C166" s="1382">
        <v>16909</v>
      </c>
      <c r="D166" s="1382">
        <v>11388</v>
      </c>
      <c r="E166" s="1382">
        <v>5521</v>
      </c>
      <c r="F166" s="1388">
        <v>6.68</v>
      </c>
    </row>
    <row r="167" spans="1:6" ht="13.5" hidden="1" thickTop="1">
      <c r="A167" s="1390">
        <v>39996</v>
      </c>
      <c r="B167" s="1387">
        <v>256812.6</v>
      </c>
      <c r="C167" s="1382">
        <v>14772.5</v>
      </c>
      <c r="D167" s="1382">
        <v>11556.6</v>
      </c>
      <c r="E167" s="1382">
        <v>3216</v>
      </c>
      <c r="F167" s="1388">
        <v>5.75</v>
      </c>
    </row>
    <row r="168" spans="1:6" ht="13.5" hidden="1" thickTop="1">
      <c r="A168" s="1390">
        <v>40010</v>
      </c>
      <c r="B168" s="1387">
        <v>261743.3</v>
      </c>
      <c r="C168" s="1382">
        <v>14100.9</v>
      </c>
      <c r="D168" s="1382">
        <v>11778.4</v>
      </c>
      <c r="E168" s="1382">
        <v>2322.5</v>
      </c>
      <c r="F168" s="1388">
        <v>5.39</v>
      </c>
    </row>
    <row r="169" spans="1:6" ht="13.5" hidden="1" thickTop="1">
      <c r="A169" s="1390">
        <v>40024</v>
      </c>
      <c r="B169" s="1387">
        <v>260676</v>
      </c>
      <c r="C169" s="1382">
        <v>13972</v>
      </c>
      <c r="D169" s="1382">
        <v>11730</v>
      </c>
      <c r="E169" s="1382">
        <v>2242</v>
      </c>
      <c r="F169" s="1388">
        <v>5.36</v>
      </c>
    </row>
    <row r="170" spans="1:6" ht="13.5" hidden="1" thickTop="1">
      <c r="A170" s="1390">
        <v>40038</v>
      </c>
      <c r="B170" s="1387">
        <v>260252</v>
      </c>
      <c r="C170" s="1382">
        <v>12778</v>
      </c>
      <c r="D170" s="1382">
        <v>11711</v>
      </c>
      <c r="E170" s="1382">
        <v>1067</v>
      </c>
      <c r="F170" s="1388">
        <v>4.91</v>
      </c>
    </row>
    <row r="171" spans="1:6" ht="13.5" hidden="1" thickTop="1">
      <c r="A171" s="1390">
        <v>40052</v>
      </c>
      <c r="B171" s="1387">
        <v>258676</v>
      </c>
      <c r="C171" s="1382">
        <v>13255</v>
      </c>
      <c r="D171" s="1382">
        <v>11640</v>
      </c>
      <c r="E171" s="1382">
        <v>1615</v>
      </c>
      <c r="F171" s="1388">
        <v>5.12</v>
      </c>
    </row>
    <row r="172" spans="1:6" ht="13.5" hidden="1" thickTop="1">
      <c r="A172" s="1390">
        <v>40066</v>
      </c>
      <c r="B172" s="1387">
        <v>256295</v>
      </c>
      <c r="C172" s="1382">
        <v>12827</v>
      </c>
      <c r="D172" s="1382">
        <v>11533</v>
      </c>
      <c r="E172" s="1382">
        <v>1294</v>
      </c>
      <c r="F172" s="1388">
        <v>5.01</v>
      </c>
    </row>
    <row r="173" spans="1:6" ht="13.5" hidden="1" thickTop="1">
      <c r="A173" s="1390">
        <v>40080</v>
      </c>
      <c r="B173" s="1387">
        <v>255445</v>
      </c>
      <c r="C173" s="1382">
        <v>13810</v>
      </c>
      <c r="D173" s="1382">
        <v>11495</v>
      </c>
      <c r="E173" s="1382">
        <v>2315</v>
      </c>
      <c r="F173" s="1388">
        <v>5.41</v>
      </c>
    </row>
    <row r="174" spans="1:6" ht="13.5" hidden="1" thickTop="1">
      <c r="A174" s="1390">
        <v>40094</v>
      </c>
      <c r="B174" s="1387">
        <v>253997</v>
      </c>
      <c r="C174" s="1382">
        <v>12834</v>
      </c>
      <c r="D174" s="1382">
        <v>11430</v>
      </c>
      <c r="E174" s="1382">
        <v>1404</v>
      </c>
      <c r="F174" s="1388">
        <v>5.05</v>
      </c>
    </row>
    <row r="175" spans="1:6" ht="13.5" hidden="1" thickTop="1">
      <c r="A175" s="1390">
        <v>40108</v>
      </c>
      <c r="B175" s="1387">
        <v>253658</v>
      </c>
      <c r="C175" s="1382">
        <v>12912</v>
      </c>
      <c r="D175" s="1382">
        <v>11415</v>
      </c>
      <c r="E175" s="1382">
        <v>1497</v>
      </c>
      <c r="F175" s="1388">
        <v>5.09</v>
      </c>
    </row>
    <row r="176" spans="1:6" ht="13.5" hidden="1" thickTop="1">
      <c r="A176" s="1390">
        <v>40122</v>
      </c>
      <c r="B176" s="1387">
        <v>254063</v>
      </c>
      <c r="C176" s="1382">
        <v>12448</v>
      </c>
      <c r="D176" s="1382">
        <v>11433</v>
      </c>
      <c r="E176" s="1382">
        <v>1015</v>
      </c>
      <c r="F176" s="1388">
        <v>4.9000000000000004</v>
      </c>
    </row>
    <row r="177" spans="1:6" ht="13.5" hidden="1" thickTop="1">
      <c r="A177" s="1390">
        <v>40136</v>
      </c>
      <c r="B177" s="1387">
        <v>254313</v>
      </c>
      <c r="C177" s="1382">
        <v>13075</v>
      </c>
      <c r="D177" s="1382">
        <v>11444</v>
      </c>
      <c r="E177" s="1382">
        <v>1631</v>
      </c>
      <c r="F177" s="1388">
        <v>5.14</v>
      </c>
    </row>
    <row r="178" spans="1:6" ht="13.5" hidden="1" thickTop="1">
      <c r="A178" s="1390">
        <v>40150</v>
      </c>
      <c r="B178" s="1387">
        <v>253774</v>
      </c>
      <c r="C178" s="1382">
        <v>12711</v>
      </c>
      <c r="D178" s="1382">
        <v>11420</v>
      </c>
      <c r="E178" s="1382">
        <v>1291</v>
      </c>
      <c r="F178" s="1388">
        <v>5.01</v>
      </c>
    </row>
    <row r="179" spans="1:6" ht="13.5" hidden="1" thickTop="1">
      <c r="A179" s="1390">
        <v>40164</v>
      </c>
      <c r="B179" s="1387">
        <v>256159</v>
      </c>
      <c r="C179" s="1382">
        <v>13206</v>
      </c>
      <c r="D179" s="1382">
        <v>11527</v>
      </c>
      <c r="E179" s="1382">
        <v>1679</v>
      </c>
      <c r="F179" s="1388">
        <v>5.16</v>
      </c>
    </row>
    <row r="180" spans="1:6" ht="13.5" hidden="1" thickTop="1">
      <c r="A180" s="1390">
        <v>40178</v>
      </c>
      <c r="B180" s="1387">
        <v>259197</v>
      </c>
      <c r="C180" s="1382">
        <v>13223</v>
      </c>
      <c r="D180" s="1382">
        <v>11664</v>
      </c>
      <c r="E180" s="1382">
        <v>1559</v>
      </c>
      <c r="F180" s="1388">
        <v>5.0999999999999996</v>
      </c>
    </row>
    <row r="181" spans="1:6" ht="18.95" hidden="1" customHeight="1" thickTop="1">
      <c r="A181" s="1392">
        <v>40192</v>
      </c>
      <c r="B181" s="1387">
        <v>263116</v>
      </c>
      <c r="C181" s="1382">
        <v>15672</v>
      </c>
      <c r="D181" s="1382">
        <v>11840</v>
      </c>
      <c r="E181" s="1382">
        <v>3832</v>
      </c>
      <c r="F181" s="1388">
        <v>5.96</v>
      </c>
    </row>
    <row r="182" spans="1:6" ht="18.95" hidden="1" customHeight="1">
      <c r="A182" s="1392">
        <v>40206</v>
      </c>
      <c r="B182" s="1387">
        <v>266268</v>
      </c>
      <c r="C182" s="1382">
        <v>14976</v>
      </c>
      <c r="D182" s="1382">
        <v>11982</v>
      </c>
      <c r="E182" s="1382">
        <v>2994</v>
      </c>
      <c r="F182" s="1388">
        <v>5.62</v>
      </c>
    </row>
    <row r="183" spans="1:6" ht="18.95" hidden="1" customHeight="1">
      <c r="A183" s="1392">
        <v>40220</v>
      </c>
      <c r="B183" s="1387">
        <v>262935</v>
      </c>
      <c r="C183" s="1382">
        <v>13361</v>
      </c>
      <c r="D183" s="1382">
        <v>11832</v>
      </c>
      <c r="E183" s="1382">
        <v>1529</v>
      </c>
      <c r="F183" s="1388">
        <v>5.08</v>
      </c>
    </row>
    <row r="184" spans="1:6" ht="18.95" hidden="1" customHeight="1">
      <c r="A184" s="1392" t="s">
        <v>1334</v>
      </c>
      <c r="B184" s="1387">
        <v>261810</v>
      </c>
      <c r="C184" s="1382">
        <v>14158</v>
      </c>
      <c r="D184" s="1382">
        <v>11781</v>
      </c>
      <c r="E184" s="1382">
        <v>2377</v>
      </c>
      <c r="F184" s="1388">
        <v>5.41</v>
      </c>
    </row>
    <row r="185" spans="1:6" ht="18.95" hidden="1" customHeight="1">
      <c r="A185" s="1392">
        <v>40248</v>
      </c>
      <c r="B185" s="1387">
        <v>263041</v>
      </c>
      <c r="C185" s="1382">
        <v>15396</v>
      </c>
      <c r="D185" s="1382">
        <v>11837</v>
      </c>
      <c r="E185" s="1382">
        <v>3559</v>
      </c>
      <c r="F185" s="1388">
        <v>5.85</v>
      </c>
    </row>
    <row r="186" spans="1:6" ht="18.95" hidden="1" customHeight="1">
      <c r="A186" s="1392">
        <v>40262</v>
      </c>
      <c r="B186" s="1387">
        <v>266778</v>
      </c>
      <c r="C186" s="1382">
        <v>17050</v>
      </c>
      <c r="D186" s="1382">
        <v>12005</v>
      </c>
      <c r="E186" s="1382">
        <v>5045</v>
      </c>
      <c r="F186" s="1388">
        <v>6.39</v>
      </c>
    </row>
    <row r="187" spans="1:6" ht="18.95" hidden="1" customHeight="1">
      <c r="A187" s="1392">
        <v>40276</v>
      </c>
      <c r="B187" s="1387">
        <v>268115</v>
      </c>
      <c r="C187" s="1382">
        <v>15262</v>
      </c>
      <c r="D187" s="1382">
        <v>12065</v>
      </c>
      <c r="E187" s="1382">
        <v>3497</v>
      </c>
      <c r="F187" s="1388">
        <v>5.8</v>
      </c>
    </row>
    <row r="188" spans="1:6" ht="18.95" hidden="1" customHeight="1">
      <c r="A188" s="1392">
        <v>40290</v>
      </c>
      <c r="B188" s="1387">
        <v>269478</v>
      </c>
      <c r="C188" s="1382">
        <v>16204</v>
      </c>
      <c r="D188" s="1382">
        <v>12126</v>
      </c>
      <c r="E188" s="1382">
        <v>4078</v>
      </c>
      <c r="F188" s="1388">
        <v>6.01</v>
      </c>
    </row>
    <row r="189" spans="1:6" ht="18.95" hidden="1" customHeight="1">
      <c r="A189" s="1392">
        <v>40304</v>
      </c>
      <c r="B189" s="1387">
        <v>267804</v>
      </c>
      <c r="C189" s="1382">
        <v>15599</v>
      </c>
      <c r="D189" s="1382">
        <v>12051</v>
      </c>
      <c r="E189" s="1382">
        <v>3548</v>
      </c>
      <c r="F189" s="1388">
        <v>5.82</v>
      </c>
    </row>
    <row r="190" spans="1:6" ht="18.95" hidden="1" customHeight="1">
      <c r="A190" s="1392">
        <v>40318</v>
      </c>
      <c r="B190" s="1387">
        <v>268531</v>
      </c>
      <c r="C190" s="1382">
        <v>16094</v>
      </c>
      <c r="D190" s="1382">
        <v>12084</v>
      </c>
      <c r="E190" s="1382">
        <v>4010</v>
      </c>
      <c r="F190" s="1388">
        <v>5.99</v>
      </c>
    </row>
    <row r="191" spans="1:6" ht="18.95" hidden="1" customHeight="1">
      <c r="A191" s="1392">
        <v>40332</v>
      </c>
      <c r="B191" s="1387">
        <v>269953</v>
      </c>
      <c r="C191" s="1382">
        <v>17039</v>
      </c>
      <c r="D191" s="1382">
        <v>12148</v>
      </c>
      <c r="E191" s="1382">
        <v>4891</v>
      </c>
      <c r="F191" s="1388">
        <v>6.31</v>
      </c>
    </row>
    <row r="192" spans="1:6" ht="18.95" hidden="1" customHeight="1">
      <c r="A192" s="1392">
        <v>40346</v>
      </c>
      <c r="B192" s="1387">
        <v>273110</v>
      </c>
      <c r="C192" s="1382">
        <v>16832</v>
      </c>
      <c r="D192" s="1382">
        <v>12290</v>
      </c>
      <c r="E192" s="1382">
        <v>4542</v>
      </c>
      <c r="F192" s="1388">
        <v>6.16</v>
      </c>
    </row>
    <row r="193" spans="1:6" ht="18.95" hidden="1" customHeight="1" thickTop="1">
      <c r="A193" s="1392" t="s">
        <v>1335</v>
      </c>
      <c r="B193" s="1387">
        <v>274796</v>
      </c>
      <c r="C193" s="1382">
        <v>17935</v>
      </c>
      <c r="D193" s="1382">
        <v>13740</v>
      </c>
      <c r="E193" s="1382">
        <v>4195</v>
      </c>
      <c r="F193" s="1388">
        <v>6.53</v>
      </c>
    </row>
    <row r="194" spans="1:6" ht="18.95" hidden="1" customHeight="1">
      <c r="A194" s="1392">
        <v>40374</v>
      </c>
      <c r="B194" s="1387">
        <v>276772</v>
      </c>
      <c r="C194" s="1382">
        <v>17780</v>
      </c>
      <c r="D194" s="1382">
        <v>13839</v>
      </c>
      <c r="E194" s="1382">
        <v>3941</v>
      </c>
      <c r="F194" s="1388">
        <v>6.42</v>
      </c>
    </row>
    <row r="195" spans="1:6" ht="18.95" hidden="1" customHeight="1">
      <c r="A195" s="1392">
        <v>40388</v>
      </c>
      <c r="B195" s="1387">
        <v>275835</v>
      </c>
      <c r="C195" s="1382">
        <v>18510</v>
      </c>
      <c r="D195" s="1382">
        <v>13792</v>
      </c>
      <c r="E195" s="1382">
        <v>4718</v>
      </c>
      <c r="F195" s="1388">
        <v>6.71</v>
      </c>
    </row>
    <row r="196" spans="1:6" ht="18.95" hidden="1" customHeight="1">
      <c r="A196" s="1392">
        <v>40402</v>
      </c>
      <c r="B196" s="1387">
        <v>274120</v>
      </c>
      <c r="C196" s="1382">
        <v>19159</v>
      </c>
      <c r="D196" s="1382">
        <v>13706</v>
      </c>
      <c r="E196" s="1382">
        <v>5453</v>
      </c>
      <c r="F196" s="1388">
        <v>6.99</v>
      </c>
    </row>
    <row r="197" spans="1:6" ht="18.95" hidden="1" customHeight="1">
      <c r="A197" s="1392">
        <v>40416</v>
      </c>
      <c r="B197" s="1387">
        <v>273813</v>
      </c>
      <c r="C197" s="1382">
        <v>20434</v>
      </c>
      <c r="D197" s="1382">
        <v>13691</v>
      </c>
      <c r="E197" s="1382">
        <v>6743</v>
      </c>
      <c r="F197" s="1388">
        <v>7.46</v>
      </c>
    </row>
    <row r="198" spans="1:6" ht="18.95" hidden="1" customHeight="1">
      <c r="A198" s="1392">
        <v>40430</v>
      </c>
      <c r="B198" s="1387">
        <v>273429</v>
      </c>
      <c r="C198" s="1382">
        <v>17834</v>
      </c>
      <c r="D198" s="1382">
        <v>13671</v>
      </c>
      <c r="E198" s="1382">
        <v>4163</v>
      </c>
      <c r="F198" s="1388">
        <v>6.52</v>
      </c>
    </row>
    <row r="199" spans="1:6" ht="18.95" hidden="1" customHeight="1">
      <c r="A199" s="1392">
        <v>40444</v>
      </c>
      <c r="B199" s="1387">
        <v>274674</v>
      </c>
      <c r="C199" s="1382">
        <v>17763</v>
      </c>
      <c r="D199" s="1382">
        <v>13734</v>
      </c>
      <c r="E199" s="1382">
        <v>4029</v>
      </c>
      <c r="F199" s="1388">
        <v>6.47</v>
      </c>
    </row>
    <row r="200" spans="1:6" ht="18.95" hidden="1" customHeight="1">
      <c r="A200" s="1392">
        <v>40458</v>
      </c>
      <c r="B200" s="1387">
        <v>276592</v>
      </c>
      <c r="C200" s="1382">
        <v>17950</v>
      </c>
      <c r="D200" s="1382">
        <v>13830</v>
      </c>
      <c r="E200" s="1382">
        <v>4120</v>
      </c>
      <c r="F200" s="1388">
        <v>6.49</v>
      </c>
    </row>
    <row r="201" spans="1:6" ht="18.95" hidden="1" customHeight="1">
      <c r="A201" s="1392" t="s">
        <v>1336</v>
      </c>
      <c r="B201" s="1387">
        <v>277399</v>
      </c>
      <c r="C201" s="1382">
        <v>19435</v>
      </c>
      <c r="D201" s="1382">
        <v>16644</v>
      </c>
      <c r="E201" s="1382">
        <v>2791</v>
      </c>
      <c r="F201" s="1388">
        <v>7.01</v>
      </c>
    </row>
    <row r="202" spans="1:6" ht="18.95" hidden="1" customHeight="1" thickTop="1">
      <c r="A202" s="1392">
        <v>40486</v>
      </c>
      <c r="B202" s="1387">
        <v>277740</v>
      </c>
      <c r="C202" s="1382">
        <v>19670</v>
      </c>
      <c r="D202" s="1382">
        <v>16665</v>
      </c>
      <c r="E202" s="1382">
        <v>3005</v>
      </c>
      <c r="F202" s="1388">
        <v>7.08</v>
      </c>
    </row>
    <row r="203" spans="1:6" ht="18.95" hidden="1" customHeight="1">
      <c r="A203" s="1392">
        <v>40500</v>
      </c>
      <c r="B203" s="1387">
        <v>278718</v>
      </c>
      <c r="C203" s="1382">
        <v>19801</v>
      </c>
      <c r="D203" s="1382">
        <v>16723</v>
      </c>
      <c r="E203" s="1382">
        <v>3078</v>
      </c>
      <c r="F203" s="1388">
        <v>7.1</v>
      </c>
    </row>
    <row r="204" spans="1:6" ht="18.95" hidden="1" customHeight="1">
      <c r="A204" s="1392">
        <v>40514</v>
      </c>
      <c r="B204" s="1387">
        <v>280046</v>
      </c>
      <c r="C204" s="1382">
        <v>20809</v>
      </c>
      <c r="D204" s="1382">
        <v>16803</v>
      </c>
      <c r="E204" s="1382">
        <v>4006</v>
      </c>
      <c r="F204" s="1388">
        <v>7.43</v>
      </c>
    </row>
    <row r="205" spans="1:6" ht="18.95" hidden="1" customHeight="1">
      <c r="A205" s="1392">
        <v>40528</v>
      </c>
      <c r="B205" s="1387">
        <v>282723</v>
      </c>
      <c r="C205" s="1382">
        <v>20939</v>
      </c>
      <c r="D205" s="1382">
        <v>16963</v>
      </c>
      <c r="E205" s="1382">
        <v>3976</v>
      </c>
      <c r="F205" s="1388">
        <v>7.41</v>
      </c>
    </row>
    <row r="206" spans="1:6" ht="15" hidden="1" customHeight="1" thickTop="1">
      <c r="A206" s="1392">
        <v>40542</v>
      </c>
      <c r="B206" s="1387">
        <v>284395</v>
      </c>
      <c r="C206" s="1382">
        <v>22146</v>
      </c>
      <c r="D206" s="1382">
        <v>17064</v>
      </c>
      <c r="E206" s="1382">
        <v>5082</v>
      </c>
      <c r="F206" s="1388">
        <v>7.79</v>
      </c>
    </row>
    <row r="207" spans="1:6" ht="18.95" hidden="1" customHeight="1" thickTop="1">
      <c r="A207" s="1392">
        <v>40556</v>
      </c>
      <c r="B207" s="1387">
        <v>288891</v>
      </c>
      <c r="C207" s="1382">
        <v>22077</v>
      </c>
      <c r="D207" s="1382">
        <v>17333</v>
      </c>
      <c r="E207" s="1382">
        <v>4744</v>
      </c>
      <c r="F207" s="1388">
        <v>7.64</v>
      </c>
    </row>
    <row r="208" spans="1:6" ht="18.95" hidden="1" customHeight="1">
      <c r="A208" s="1392">
        <v>40570</v>
      </c>
      <c r="B208" s="1387">
        <v>290395</v>
      </c>
      <c r="C208" s="1382">
        <v>23653</v>
      </c>
      <c r="D208" s="1382">
        <v>17424</v>
      </c>
      <c r="E208" s="1382">
        <v>6229</v>
      </c>
      <c r="F208" s="1388">
        <v>8.15</v>
      </c>
    </row>
    <row r="209" spans="1:9" ht="18.95" hidden="1" customHeight="1">
      <c r="A209" s="1392">
        <v>40584</v>
      </c>
      <c r="B209" s="1387">
        <v>289585</v>
      </c>
      <c r="C209" s="1382">
        <v>23044</v>
      </c>
      <c r="D209" s="1382">
        <v>17375</v>
      </c>
      <c r="E209" s="1382">
        <v>5669</v>
      </c>
      <c r="F209" s="1388">
        <v>7.96</v>
      </c>
    </row>
    <row r="210" spans="1:9" ht="18.95" hidden="1" customHeight="1">
      <c r="A210" s="1392">
        <v>40598</v>
      </c>
      <c r="B210" s="1387">
        <v>288172</v>
      </c>
      <c r="C210" s="1382">
        <v>24186</v>
      </c>
      <c r="D210" s="1382">
        <v>17290</v>
      </c>
      <c r="E210" s="1382">
        <v>6896</v>
      </c>
      <c r="F210" s="1388">
        <v>8.39</v>
      </c>
    </row>
    <row r="211" spans="1:9" ht="18.95" hidden="1" customHeight="1">
      <c r="A211" s="1392" t="s">
        <v>1337</v>
      </c>
      <c r="B211" s="1387">
        <v>287134</v>
      </c>
      <c r="C211" s="1382">
        <v>23464</v>
      </c>
      <c r="D211" s="1382">
        <v>20099</v>
      </c>
      <c r="E211" s="1382">
        <v>3365</v>
      </c>
      <c r="F211" s="1388">
        <v>8.17</v>
      </c>
      <c r="I211" s="1351"/>
    </row>
    <row r="212" spans="1:9" ht="18.95" hidden="1" customHeight="1">
      <c r="A212" s="1392">
        <v>40626</v>
      </c>
      <c r="B212" s="1387">
        <v>287246</v>
      </c>
      <c r="C212" s="1382">
        <v>24326</v>
      </c>
      <c r="D212" s="1382">
        <v>20107</v>
      </c>
      <c r="E212" s="1382">
        <v>4219</v>
      </c>
      <c r="F212" s="1388">
        <v>8.4700000000000006</v>
      </c>
      <c r="I212" s="1351"/>
    </row>
    <row r="213" spans="1:9" ht="18.95" hidden="1" customHeight="1">
      <c r="A213" s="1392" t="s">
        <v>1338</v>
      </c>
      <c r="B213" s="1387">
        <v>286005</v>
      </c>
      <c r="C213" s="1382">
        <v>23476</v>
      </c>
      <c r="D213" s="1382">
        <v>20020</v>
      </c>
      <c r="E213" s="1382">
        <v>3456</v>
      </c>
      <c r="F213" s="1388">
        <v>8.2100000000000009</v>
      </c>
      <c r="G213" s="1393"/>
      <c r="I213" s="1351"/>
    </row>
    <row r="214" spans="1:9" ht="18.95" hidden="1" customHeight="1">
      <c r="A214" s="1392">
        <v>40654</v>
      </c>
      <c r="B214" s="1387">
        <v>286741</v>
      </c>
      <c r="C214" s="1382">
        <v>24180</v>
      </c>
      <c r="D214" s="1382">
        <v>20072</v>
      </c>
      <c r="E214" s="1382">
        <v>4108</v>
      </c>
      <c r="F214" s="1388">
        <v>8.43</v>
      </c>
      <c r="G214" s="1393"/>
      <c r="I214" s="1351"/>
    </row>
    <row r="215" spans="1:9" ht="18.95" hidden="1" customHeight="1">
      <c r="A215" s="1392">
        <v>40668</v>
      </c>
      <c r="B215" s="1387">
        <v>284572</v>
      </c>
      <c r="C215" s="1382">
        <v>22981</v>
      </c>
      <c r="D215" s="1382">
        <v>19920</v>
      </c>
      <c r="E215" s="1382">
        <v>3061</v>
      </c>
      <c r="F215" s="1388">
        <v>8.08</v>
      </c>
      <c r="G215" s="1393"/>
      <c r="I215" s="1351"/>
    </row>
    <row r="216" spans="1:9" ht="18.95" hidden="1" customHeight="1">
      <c r="A216" s="1392">
        <v>40682</v>
      </c>
      <c r="B216" s="1387">
        <v>284906</v>
      </c>
      <c r="C216" s="1382">
        <v>23797</v>
      </c>
      <c r="D216" s="1382">
        <v>19943</v>
      </c>
      <c r="E216" s="1382">
        <v>3854</v>
      </c>
      <c r="F216" s="1388">
        <v>8.35</v>
      </c>
      <c r="G216" s="1393"/>
      <c r="I216" s="1351"/>
    </row>
    <row r="217" spans="1:9" ht="18.95" customHeight="1" thickTop="1">
      <c r="A217" s="1392">
        <v>40696</v>
      </c>
      <c r="B217" s="1387">
        <v>284733</v>
      </c>
      <c r="C217" s="1382">
        <v>21702</v>
      </c>
      <c r="D217" s="1382">
        <v>19931</v>
      </c>
      <c r="E217" s="1382">
        <v>1771</v>
      </c>
      <c r="F217" s="1388">
        <v>7.62</v>
      </c>
      <c r="G217" s="1393"/>
      <c r="I217" s="1351"/>
    </row>
    <row r="218" spans="1:9" ht="18.95" customHeight="1">
      <c r="A218" s="1392">
        <v>40710</v>
      </c>
      <c r="B218" s="1387">
        <v>285256</v>
      </c>
      <c r="C218" s="1382">
        <v>22688</v>
      </c>
      <c r="D218" s="1382">
        <v>19968</v>
      </c>
      <c r="E218" s="1382">
        <v>2720</v>
      </c>
      <c r="F218" s="1388">
        <v>7.95</v>
      </c>
      <c r="G218" s="1393"/>
      <c r="I218" s="1351"/>
    </row>
    <row r="219" spans="1:9" ht="18.95" customHeight="1">
      <c r="A219" s="1392">
        <v>40724</v>
      </c>
      <c r="B219" s="1387">
        <v>285872</v>
      </c>
      <c r="C219" s="1382">
        <v>23530</v>
      </c>
      <c r="D219" s="1382">
        <v>20011</v>
      </c>
      <c r="E219" s="1382">
        <v>3519</v>
      </c>
      <c r="F219" s="1388">
        <v>8.23</v>
      </c>
      <c r="G219" s="1393"/>
      <c r="I219" s="1351"/>
    </row>
    <row r="220" spans="1:9" ht="18.95" customHeight="1">
      <c r="A220" s="1392">
        <v>40738</v>
      </c>
      <c r="B220" s="1387">
        <v>289142</v>
      </c>
      <c r="C220" s="1382">
        <v>21972</v>
      </c>
      <c r="D220" s="1382">
        <v>20240</v>
      </c>
      <c r="E220" s="1382">
        <v>1732</v>
      </c>
      <c r="F220" s="1388">
        <v>7.6</v>
      </c>
      <c r="G220" s="1393"/>
      <c r="I220" s="1351"/>
    </row>
    <row r="221" spans="1:9" ht="18.95" customHeight="1">
      <c r="A221" s="1392">
        <v>40752</v>
      </c>
      <c r="B221" s="1387">
        <v>285832</v>
      </c>
      <c r="C221" s="1382">
        <v>21384</v>
      </c>
      <c r="D221" s="1382">
        <v>20008</v>
      </c>
      <c r="E221" s="1382">
        <v>1376</v>
      </c>
      <c r="F221" s="1388">
        <v>7.48</v>
      </c>
      <c r="G221" s="1393"/>
      <c r="I221" s="1351"/>
    </row>
    <row r="222" spans="1:9" ht="18.95" customHeight="1">
      <c r="A222" s="1392">
        <v>40766</v>
      </c>
      <c r="B222" s="1387">
        <v>285455</v>
      </c>
      <c r="C222" s="1382">
        <v>20817</v>
      </c>
      <c r="D222" s="1382">
        <v>19982</v>
      </c>
      <c r="E222" s="1382">
        <v>835</v>
      </c>
      <c r="F222" s="1388">
        <v>7.29</v>
      </c>
      <c r="G222" s="1393"/>
      <c r="I222" s="1351"/>
    </row>
    <row r="223" spans="1:9" ht="18.95" customHeight="1">
      <c r="A223" s="1392">
        <v>40780</v>
      </c>
      <c r="B223" s="1387">
        <v>284668</v>
      </c>
      <c r="C223" s="1382">
        <v>21975</v>
      </c>
      <c r="D223" s="1382">
        <v>19927</v>
      </c>
      <c r="E223" s="1382">
        <v>2048</v>
      </c>
      <c r="F223" s="1388">
        <v>7.72</v>
      </c>
      <c r="G223" s="1393"/>
      <c r="I223" s="1351"/>
    </row>
    <row r="224" spans="1:9" ht="18.95" customHeight="1">
      <c r="A224" s="1392">
        <v>40794</v>
      </c>
      <c r="B224" s="1387">
        <v>284880</v>
      </c>
      <c r="C224" s="1382">
        <v>21902</v>
      </c>
      <c r="D224" s="1382">
        <v>19942</v>
      </c>
      <c r="E224" s="1382">
        <v>1960</v>
      </c>
      <c r="F224" s="1388">
        <v>7.69</v>
      </c>
      <c r="G224" s="1393"/>
      <c r="I224" s="1351"/>
    </row>
    <row r="225" spans="1:9" ht="18.95" customHeight="1">
      <c r="A225" s="1392">
        <v>40808</v>
      </c>
      <c r="B225" s="1387">
        <v>287761</v>
      </c>
      <c r="C225" s="1382">
        <v>24062</v>
      </c>
      <c r="D225" s="1382">
        <v>20143</v>
      </c>
      <c r="E225" s="1382">
        <v>3919</v>
      </c>
      <c r="F225" s="1388">
        <v>8.36</v>
      </c>
      <c r="G225" s="1393"/>
      <c r="I225" s="1351"/>
    </row>
    <row r="226" spans="1:9" ht="18.95" customHeight="1">
      <c r="A226" s="1392">
        <v>40822</v>
      </c>
      <c r="B226" s="1387">
        <v>286084</v>
      </c>
      <c r="C226" s="1382">
        <v>22766</v>
      </c>
      <c r="D226" s="1382">
        <v>20026</v>
      </c>
      <c r="E226" s="1382">
        <v>2740</v>
      </c>
      <c r="F226" s="1388">
        <v>7.96</v>
      </c>
      <c r="G226" s="1393"/>
      <c r="I226" s="1351"/>
    </row>
    <row r="227" spans="1:9" ht="18.95" customHeight="1">
      <c r="A227" s="1392">
        <v>40836</v>
      </c>
      <c r="B227" s="1387">
        <v>287324</v>
      </c>
      <c r="C227" s="1382">
        <v>22206</v>
      </c>
      <c r="D227" s="1382">
        <v>20113</v>
      </c>
      <c r="E227" s="1382">
        <v>2093</v>
      </c>
      <c r="F227" s="1388">
        <v>7.73</v>
      </c>
      <c r="G227" s="1393"/>
      <c r="I227" s="1351"/>
    </row>
    <row r="228" spans="1:9" ht="18.95" customHeight="1">
      <c r="A228" s="1392">
        <v>40850</v>
      </c>
      <c r="B228" s="1387">
        <v>289607</v>
      </c>
      <c r="C228" s="1382">
        <v>21163</v>
      </c>
      <c r="D228" s="1382">
        <v>20272</v>
      </c>
      <c r="E228" s="1382">
        <v>891</v>
      </c>
      <c r="F228" s="1388">
        <v>7.31</v>
      </c>
      <c r="G228" s="1393"/>
      <c r="I228" s="1351"/>
    </row>
    <row r="229" spans="1:9" ht="18.95" customHeight="1">
      <c r="A229" s="1392">
        <v>40864</v>
      </c>
      <c r="B229" s="1387">
        <v>284710</v>
      </c>
      <c r="C229" s="1382">
        <v>21312</v>
      </c>
      <c r="D229" s="1382">
        <v>19930</v>
      </c>
      <c r="E229" s="1382">
        <v>1382</v>
      </c>
      <c r="F229" s="1388">
        <v>7.49</v>
      </c>
      <c r="G229" s="1393"/>
      <c r="I229" s="1351"/>
    </row>
    <row r="230" spans="1:9" ht="18.95" customHeight="1">
      <c r="A230" s="1392">
        <v>40878</v>
      </c>
      <c r="B230" s="1387">
        <v>286353</v>
      </c>
      <c r="C230" s="1382">
        <v>21613</v>
      </c>
      <c r="D230" s="1382">
        <v>20045</v>
      </c>
      <c r="E230" s="1382">
        <v>1568</v>
      </c>
      <c r="F230" s="1388">
        <v>7.55</v>
      </c>
      <c r="G230" s="1393"/>
      <c r="I230" s="1351"/>
    </row>
    <row r="231" spans="1:9" ht="18.95" customHeight="1">
      <c r="A231" s="1392">
        <v>40892</v>
      </c>
      <c r="B231" s="1387">
        <v>286057</v>
      </c>
      <c r="C231" s="1382">
        <v>21193</v>
      </c>
      <c r="D231" s="1382">
        <v>20024</v>
      </c>
      <c r="E231" s="1382">
        <v>1169</v>
      </c>
      <c r="F231" s="1388">
        <v>7.41</v>
      </c>
      <c r="G231" s="1393"/>
      <c r="I231" s="1351"/>
    </row>
    <row r="232" spans="1:9" ht="18.95" customHeight="1">
      <c r="A232" s="1392">
        <v>40906</v>
      </c>
      <c r="B232" s="1387">
        <v>288226</v>
      </c>
      <c r="C232" s="1382">
        <v>24074</v>
      </c>
      <c r="D232" s="1382">
        <v>20176</v>
      </c>
      <c r="E232" s="1382">
        <v>3898</v>
      </c>
      <c r="F232" s="1388">
        <v>8.35</v>
      </c>
      <c r="G232" s="1393"/>
      <c r="I232" s="1351"/>
    </row>
    <row r="233" spans="1:9" ht="18.95" customHeight="1">
      <c r="A233" s="1392">
        <v>40920</v>
      </c>
      <c r="B233" s="1387">
        <v>294084</v>
      </c>
      <c r="C233" s="1382">
        <v>24262</v>
      </c>
      <c r="D233" s="1382">
        <v>20586</v>
      </c>
      <c r="E233" s="1382">
        <v>3676</v>
      </c>
      <c r="F233" s="1388">
        <v>8.25</v>
      </c>
      <c r="G233" s="1393"/>
      <c r="I233" s="1351"/>
    </row>
    <row r="234" spans="1:9" ht="18.95" customHeight="1">
      <c r="A234" s="1392">
        <v>40934</v>
      </c>
      <c r="B234" s="1387">
        <v>295071</v>
      </c>
      <c r="C234" s="1382">
        <v>23736</v>
      </c>
      <c r="D234" s="1382">
        <v>20655</v>
      </c>
      <c r="E234" s="1382">
        <v>3081</v>
      </c>
      <c r="F234" s="1388">
        <v>8.0399999999999991</v>
      </c>
      <c r="G234" s="1393"/>
      <c r="I234" s="1351"/>
    </row>
    <row r="235" spans="1:9" ht="18.95" customHeight="1">
      <c r="A235" s="1392">
        <v>40948</v>
      </c>
      <c r="B235" s="1387">
        <v>296350</v>
      </c>
      <c r="C235" s="1382">
        <v>22160</v>
      </c>
      <c r="D235" s="1382">
        <v>20744</v>
      </c>
      <c r="E235" s="1382">
        <v>1416</v>
      </c>
      <c r="F235" s="1388">
        <v>7.48</v>
      </c>
      <c r="G235" s="1393"/>
      <c r="I235" s="1351"/>
    </row>
    <row r="236" spans="1:9" ht="18.95" customHeight="1">
      <c r="A236" s="1392">
        <v>40962</v>
      </c>
      <c r="B236" s="1387">
        <v>295119</v>
      </c>
      <c r="C236" s="1382">
        <v>23246</v>
      </c>
      <c r="D236" s="1382">
        <v>20658</v>
      </c>
      <c r="E236" s="1382">
        <v>2588</v>
      </c>
      <c r="F236" s="1388">
        <v>7.88</v>
      </c>
      <c r="G236" s="1393"/>
      <c r="I236" s="1351"/>
    </row>
    <row r="237" spans="1:9" ht="18.95" customHeight="1">
      <c r="A237" s="1392">
        <v>40976</v>
      </c>
      <c r="B237" s="1387">
        <v>291715</v>
      </c>
      <c r="C237" s="1382">
        <v>23136</v>
      </c>
      <c r="D237" s="1382">
        <v>20420</v>
      </c>
      <c r="E237" s="1382">
        <v>2716</v>
      </c>
      <c r="F237" s="1388">
        <v>7.93</v>
      </c>
      <c r="G237" s="1393"/>
      <c r="I237" s="1351"/>
    </row>
    <row r="238" spans="1:9" ht="18.95" customHeight="1">
      <c r="A238" s="1392">
        <v>40990</v>
      </c>
      <c r="B238" s="1387">
        <v>291814</v>
      </c>
      <c r="C238" s="1382">
        <v>23420</v>
      </c>
      <c r="D238" s="1382">
        <v>20427</v>
      </c>
      <c r="E238" s="1382">
        <v>2993</v>
      </c>
      <c r="F238" s="1388">
        <v>8.0299999999999994</v>
      </c>
      <c r="G238" s="1393"/>
      <c r="I238" s="1351"/>
    </row>
    <row r="239" spans="1:9" ht="18.95" customHeight="1">
      <c r="A239" s="1392">
        <v>41004</v>
      </c>
      <c r="B239" s="1387">
        <v>293662</v>
      </c>
      <c r="C239" s="1382">
        <v>23285</v>
      </c>
      <c r="D239" s="1382">
        <v>20556</v>
      </c>
      <c r="E239" s="1382">
        <v>2729</v>
      </c>
      <c r="F239" s="1388">
        <v>7.93</v>
      </c>
      <c r="G239" s="1393"/>
      <c r="I239" s="1351"/>
    </row>
    <row r="240" spans="1:9" ht="18.95" customHeight="1">
      <c r="A240" s="1392">
        <v>41018</v>
      </c>
      <c r="B240" s="1387">
        <v>294377</v>
      </c>
      <c r="C240" s="1382">
        <v>22617</v>
      </c>
      <c r="D240" s="1382">
        <v>20606</v>
      </c>
      <c r="E240" s="1382">
        <v>2011</v>
      </c>
      <c r="F240" s="1388">
        <v>7.68</v>
      </c>
      <c r="G240" s="1393"/>
      <c r="I240" s="1351"/>
    </row>
    <row r="241" spans="1:9" ht="18.95" customHeight="1">
      <c r="A241" s="1392">
        <v>41032</v>
      </c>
      <c r="B241" s="1387">
        <v>292516</v>
      </c>
      <c r="C241" s="1382">
        <v>23050</v>
      </c>
      <c r="D241" s="1382">
        <v>20476</v>
      </c>
      <c r="E241" s="1382">
        <v>2574</v>
      </c>
      <c r="F241" s="1388">
        <v>7.88</v>
      </c>
      <c r="G241" s="1393"/>
      <c r="I241" s="1351"/>
    </row>
    <row r="242" spans="1:9" ht="18.95" customHeight="1">
      <c r="A242" s="1392">
        <v>41046</v>
      </c>
      <c r="B242" s="1387">
        <v>294307</v>
      </c>
      <c r="C242" s="1382">
        <v>24033</v>
      </c>
      <c r="D242" s="1382">
        <v>20601</v>
      </c>
      <c r="E242" s="1382">
        <v>3432</v>
      </c>
      <c r="F242" s="1388">
        <v>8.17</v>
      </c>
      <c r="G242" s="1393"/>
      <c r="I242" s="1351"/>
    </row>
    <row r="243" spans="1:9" ht="18.95" customHeight="1">
      <c r="A243" s="1392">
        <v>41060</v>
      </c>
      <c r="B243" s="1387">
        <v>296267</v>
      </c>
      <c r="C243" s="1382">
        <v>24967</v>
      </c>
      <c r="D243" s="1382">
        <v>20739</v>
      </c>
      <c r="E243" s="1382">
        <v>4228</v>
      </c>
      <c r="F243" s="1388">
        <v>8.43</v>
      </c>
      <c r="G243" s="1393"/>
      <c r="I243" s="1351"/>
    </row>
    <row r="244" spans="1:9" ht="18.95" customHeight="1">
      <c r="A244" s="1392">
        <v>41074</v>
      </c>
      <c r="B244" s="1387">
        <v>298111</v>
      </c>
      <c r="C244" s="1382">
        <v>24242</v>
      </c>
      <c r="D244" s="1382">
        <v>20868</v>
      </c>
      <c r="E244" s="1382">
        <v>3374</v>
      </c>
      <c r="F244" s="1388">
        <v>8.1300000000000008</v>
      </c>
      <c r="G244" s="1393"/>
      <c r="I244" s="1351"/>
    </row>
    <row r="245" spans="1:9" ht="18.95" customHeight="1">
      <c r="A245" s="1392">
        <v>41088</v>
      </c>
      <c r="B245" s="1387">
        <v>299964</v>
      </c>
      <c r="C245" s="1382">
        <v>25777</v>
      </c>
      <c r="D245" s="1382">
        <v>20997</v>
      </c>
      <c r="E245" s="1382">
        <v>4780</v>
      </c>
      <c r="F245" s="1388">
        <v>8.59</v>
      </c>
      <c r="G245" s="1393"/>
      <c r="I245" s="1351"/>
    </row>
    <row r="246" spans="1:9" ht="18.95" customHeight="1">
      <c r="A246" s="1392">
        <v>41102</v>
      </c>
      <c r="B246" s="1387">
        <v>301568</v>
      </c>
      <c r="C246" s="1382">
        <v>23265</v>
      </c>
      <c r="D246" s="1382">
        <v>21110</v>
      </c>
      <c r="E246" s="1382">
        <v>2155</v>
      </c>
      <c r="F246" s="1388">
        <v>7.71</v>
      </c>
      <c r="G246" s="1393"/>
      <c r="I246" s="1351"/>
    </row>
    <row r="247" spans="1:9" ht="18.95" customHeight="1">
      <c r="A247" s="1392">
        <v>41116</v>
      </c>
      <c r="B247" s="1387">
        <v>302297</v>
      </c>
      <c r="C247" s="1382">
        <v>24363</v>
      </c>
      <c r="D247" s="1382">
        <v>21161</v>
      </c>
      <c r="E247" s="1382">
        <v>3202</v>
      </c>
      <c r="F247" s="1388">
        <v>8.06</v>
      </c>
      <c r="G247" s="1393"/>
      <c r="I247" s="1351"/>
    </row>
    <row r="248" spans="1:9" ht="18.95" customHeight="1">
      <c r="A248" s="1392">
        <v>41130</v>
      </c>
      <c r="B248" s="1387">
        <v>301015</v>
      </c>
      <c r="C248" s="1382">
        <v>23719</v>
      </c>
      <c r="D248" s="1382">
        <v>21071</v>
      </c>
      <c r="E248" s="1382">
        <v>2648</v>
      </c>
      <c r="F248" s="1388">
        <v>7.88</v>
      </c>
      <c r="G248" s="1393"/>
      <c r="I248" s="1351"/>
    </row>
    <row r="249" spans="1:9" ht="18.95" customHeight="1">
      <c r="A249" s="1392">
        <v>41144</v>
      </c>
      <c r="B249" s="1387">
        <v>304295</v>
      </c>
      <c r="C249" s="1382">
        <v>23218</v>
      </c>
      <c r="D249" s="1382">
        <v>21301</v>
      </c>
      <c r="E249" s="1382">
        <v>1917</v>
      </c>
      <c r="F249" s="1388">
        <v>7.63</v>
      </c>
      <c r="G249" s="1393"/>
      <c r="I249" s="1351"/>
    </row>
    <row r="250" spans="1:9" ht="18.95" customHeight="1">
      <c r="A250" s="1392">
        <v>41158</v>
      </c>
      <c r="B250" s="1387">
        <v>302928</v>
      </c>
      <c r="C250" s="1382">
        <v>25141</v>
      </c>
      <c r="D250" s="1382">
        <v>21205</v>
      </c>
      <c r="E250" s="1382">
        <v>3936</v>
      </c>
      <c r="F250" s="1388">
        <v>8.3000000000000007</v>
      </c>
      <c r="G250" s="1393"/>
      <c r="I250" s="1351"/>
    </row>
    <row r="251" spans="1:9" ht="18.95" customHeight="1">
      <c r="A251" s="1392">
        <v>41172</v>
      </c>
      <c r="B251" s="1387">
        <v>304716</v>
      </c>
      <c r="C251" s="1382">
        <v>25137</v>
      </c>
      <c r="D251" s="1382">
        <v>21330</v>
      </c>
      <c r="E251" s="1382">
        <v>3807</v>
      </c>
      <c r="F251" s="1388">
        <v>8.25</v>
      </c>
      <c r="G251" s="1393"/>
      <c r="I251" s="1351"/>
    </row>
    <row r="252" spans="1:9" ht="18.95" customHeight="1">
      <c r="A252" s="1392">
        <v>41186</v>
      </c>
      <c r="B252" s="1387">
        <v>303975</v>
      </c>
      <c r="C252" s="1382">
        <v>25443</v>
      </c>
      <c r="D252" s="1382">
        <v>21278</v>
      </c>
      <c r="E252" s="1382">
        <v>4165</v>
      </c>
      <c r="F252" s="1388">
        <v>8.3699999999999992</v>
      </c>
      <c r="G252" s="1393"/>
      <c r="I252" s="1351"/>
    </row>
    <row r="253" spans="1:9" ht="18.95" customHeight="1">
      <c r="A253" s="1392">
        <v>41200</v>
      </c>
      <c r="B253" s="1387">
        <v>305238</v>
      </c>
      <c r="C253" s="1382">
        <v>25580</v>
      </c>
      <c r="D253" s="1382">
        <v>21367</v>
      </c>
      <c r="E253" s="1382">
        <v>4213</v>
      </c>
      <c r="F253" s="1388">
        <v>8.3800000000000008</v>
      </c>
      <c r="G253" s="1393"/>
      <c r="I253" s="1351"/>
    </row>
    <row r="254" spans="1:9" ht="18.95" customHeight="1">
      <c r="A254" s="1392">
        <v>41214</v>
      </c>
      <c r="B254" s="1387">
        <v>306094</v>
      </c>
      <c r="C254" s="1382">
        <v>25110</v>
      </c>
      <c r="D254" s="1382">
        <v>21427</v>
      </c>
      <c r="E254" s="1382">
        <v>3683</v>
      </c>
      <c r="F254" s="1388">
        <v>8.1999999999999993</v>
      </c>
      <c r="G254" s="1393"/>
      <c r="I254" s="1351"/>
    </row>
    <row r="255" spans="1:9" ht="18.95" customHeight="1">
      <c r="A255" s="1392">
        <v>41228</v>
      </c>
      <c r="B255" s="1387">
        <v>309041</v>
      </c>
      <c r="C255" s="1382">
        <v>23508</v>
      </c>
      <c r="D255" s="1382">
        <v>21633</v>
      </c>
      <c r="E255" s="1382">
        <v>1875</v>
      </c>
      <c r="F255" s="1388">
        <v>7.61</v>
      </c>
      <c r="G255" s="1393"/>
      <c r="I255" s="1351"/>
    </row>
    <row r="256" spans="1:9" ht="18.95" customHeight="1">
      <c r="A256" s="1392">
        <v>41242</v>
      </c>
      <c r="B256" s="1387">
        <v>309747</v>
      </c>
      <c r="C256" s="1382">
        <v>23651</v>
      </c>
      <c r="D256" s="1382">
        <v>21682</v>
      </c>
      <c r="E256" s="1382">
        <v>1969</v>
      </c>
      <c r="F256" s="1388">
        <v>7.64</v>
      </c>
      <c r="G256" s="1393"/>
      <c r="I256" s="1351"/>
    </row>
    <row r="257" spans="1:13" ht="18.95" customHeight="1">
      <c r="A257" s="1392">
        <v>41256</v>
      </c>
      <c r="B257" s="1387">
        <v>310163</v>
      </c>
      <c r="C257" s="1382">
        <v>23853</v>
      </c>
      <c r="D257" s="1382">
        <v>21711</v>
      </c>
      <c r="E257" s="1382">
        <v>2142</v>
      </c>
      <c r="F257" s="1388">
        <v>7.69</v>
      </c>
      <c r="G257" s="1393"/>
      <c r="I257" s="1351"/>
    </row>
    <row r="258" spans="1:13" ht="18.95" customHeight="1">
      <c r="A258" s="1392">
        <v>41270</v>
      </c>
      <c r="B258" s="1387">
        <v>311633</v>
      </c>
      <c r="C258" s="1382">
        <v>25617</v>
      </c>
      <c r="D258" s="1382">
        <v>21814</v>
      </c>
      <c r="E258" s="1382">
        <v>3803</v>
      </c>
      <c r="F258" s="1388">
        <v>8.2200000000000006</v>
      </c>
      <c r="G258" s="1393"/>
      <c r="I258" s="1351"/>
    </row>
    <row r="259" spans="1:13" ht="18.95" customHeight="1">
      <c r="A259" s="1392">
        <v>41284</v>
      </c>
      <c r="B259" s="1387">
        <v>316797</v>
      </c>
      <c r="C259" s="1382">
        <v>25308</v>
      </c>
      <c r="D259" s="1382">
        <v>22176</v>
      </c>
      <c r="E259" s="1382">
        <v>3132</v>
      </c>
      <c r="F259" s="1388">
        <v>7.99</v>
      </c>
      <c r="G259" s="1393"/>
      <c r="I259" s="1351"/>
    </row>
    <row r="260" spans="1:13" ht="18.95" customHeight="1">
      <c r="A260" s="1392">
        <v>41298</v>
      </c>
      <c r="B260" s="1387">
        <v>319883</v>
      </c>
      <c r="C260" s="1382">
        <v>26017</v>
      </c>
      <c r="D260" s="1382">
        <v>22392</v>
      </c>
      <c r="E260" s="1382">
        <v>3625</v>
      </c>
      <c r="F260" s="1388">
        <v>8.1300000000000008</v>
      </c>
      <c r="G260" s="1393"/>
      <c r="I260" s="1351"/>
    </row>
    <row r="261" spans="1:13" ht="18.95" customHeight="1">
      <c r="A261" s="1392">
        <v>41312</v>
      </c>
      <c r="B261" s="1387">
        <v>319301</v>
      </c>
      <c r="C261" s="1382">
        <v>26052</v>
      </c>
      <c r="D261" s="1382">
        <v>22351</v>
      </c>
      <c r="E261" s="1382">
        <v>3701</v>
      </c>
      <c r="F261" s="1388">
        <v>8.16</v>
      </c>
      <c r="G261" s="1393"/>
      <c r="I261" s="1351"/>
    </row>
    <row r="262" spans="1:13" ht="18.95" customHeight="1">
      <c r="A262" s="1392">
        <v>41326</v>
      </c>
      <c r="B262" s="1387">
        <v>316559</v>
      </c>
      <c r="C262" s="1382">
        <v>25562</v>
      </c>
      <c r="D262" s="1382">
        <v>22159</v>
      </c>
      <c r="E262" s="1382">
        <v>3403</v>
      </c>
      <c r="F262" s="1388">
        <v>8.07</v>
      </c>
      <c r="G262" s="1393"/>
      <c r="I262" s="1351"/>
    </row>
    <row r="263" spans="1:13" ht="5.25" customHeight="1" thickBot="1">
      <c r="A263" s="1394"/>
      <c r="B263" s="1395"/>
      <c r="C263" s="1396"/>
      <c r="D263" s="1396"/>
      <c r="E263" s="1396"/>
      <c r="F263" s="1397"/>
    </row>
    <row r="264" spans="1:13" s="1398" customFormat="1" ht="14.25" customHeight="1" thickTop="1">
      <c r="A264" s="3386" t="s">
        <v>1339</v>
      </c>
      <c r="B264" s="3386"/>
      <c r="C264" s="3386"/>
      <c r="D264" s="3386"/>
      <c r="E264" s="3386"/>
      <c r="F264" s="3386"/>
      <c r="H264" s="1399"/>
      <c r="I264" s="1400"/>
      <c r="J264" s="1400"/>
      <c r="K264" s="1400"/>
      <c r="L264" s="1400"/>
      <c r="M264" s="1400"/>
    </row>
    <row r="265" spans="1:13" s="1398" customFormat="1" ht="13.5" customHeight="1">
      <c r="A265" s="3386" t="s">
        <v>1340</v>
      </c>
      <c r="B265" s="3386"/>
      <c r="C265" s="3386"/>
      <c r="D265" s="3386"/>
      <c r="E265" s="3386"/>
      <c r="F265" s="3386"/>
      <c r="H265" s="1399"/>
      <c r="I265" s="1400"/>
      <c r="J265" s="1400"/>
      <c r="K265" s="1400"/>
      <c r="L265" s="1400"/>
      <c r="M265" s="1400"/>
    </row>
    <row r="266" spans="1:13" s="1398" customFormat="1" ht="27" hidden="1" customHeight="1">
      <c r="A266" s="3386" t="s">
        <v>1341</v>
      </c>
      <c r="B266" s="3386"/>
      <c r="C266" s="3386"/>
      <c r="D266" s="3386"/>
      <c r="E266" s="3386"/>
      <c r="F266" s="3386"/>
      <c r="H266" s="1401"/>
    </row>
    <row r="267" spans="1:13" s="1398" customFormat="1" ht="24" hidden="1" customHeight="1">
      <c r="A267" s="3386" t="s">
        <v>1342</v>
      </c>
      <c r="B267" s="3386"/>
      <c r="C267" s="3386"/>
      <c r="D267" s="3386"/>
      <c r="E267" s="3386"/>
      <c r="F267" s="3386"/>
      <c r="H267" s="1401"/>
    </row>
    <row r="268" spans="1:13" s="1400" customFormat="1" ht="26.25" hidden="1" customHeight="1">
      <c r="A268" s="3386" t="s">
        <v>1343</v>
      </c>
      <c r="B268" s="3386"/>
      <c r="C268" s="3386"/>
      <c r="D268" s="3386"/>
      <c r="E268" s="3386"/>
      <c r="F268" s="3386"/>
      <c r="H268" s="1399"/>
    </row>
    <row r="269" spans="1:13" s="1400" customFormat="1" ht="12.75" hidden="1" customHeight="1">
      <c r="A269" s="1402" t="s">
        <v>1344</v>
      </c>
      <c r="B269" s="1403"/>
      <c r="C269" s="1403"/>
      <c r="D269" s="1403"/>
      <c r="E269" s="1403"/>
      <c r="F269" s="1403"/>
      <c r="H269" s="1399"/>
    </row>
    <row r="270" spans="1:13" s="1400" customFormat="1" ht="11.25" hidden="1">
      <c r="A270" s="1403" t="s">
        <v>1345</v>
      </c>
      <c r="B270" s="1403"/>
      <c r="C270" s="1403"/>
      <c r="D270" s="1403"/>
      <c r="E270" s="1403"/>
      <c r="F270" s="1403"/>
      <c r="H270" s="1399"/>
    </row>
    <row r="271" spans="1:13" s="1400" customFormat="1" ht="12" hidden="1" customHeight="1">
      <c r="A271" s="1402" t="s">
        <v>1346</v>
      </c>
      <c r="B271" s="1403"/>
      <c r="C271" s="1403"/>
      <c r="D271" s="1403"/>
      <c r="E271" s="1403"/>
      <c r="F271" s="1403"/>
      <c r="H271" s="1399"/>
    </row>
    <row r="272" spans="1:13" s="1400" customFormat="1" ht="11.25" hidden="1">
      <c r="A272" s="1403" t="s">
        <v>1347</v>
      </c>
      <c r="B272" s="1403"/>
      <c r="C272" s="1403"/>
      <c r="D272" s="1403"/>
      <c r="E272" s="1403"/>
      <c r="F272" s="1403"/>
      <c r="H272" s="1399"/>
    </row>
    <row r="273" spans="1:8" s="1400" customFormat="1" ht="12" hidden="1" customHeight="1">
      <c r="A273" s="1402" t="s">
        <v>1348</v>
      </c>
      <c r="B273" s="1403"/>
      <c r="C273" s="1403"/>
      <c r="D273" s="1403"/>
      <c r="E273" s="1403"/>
      <c r="F273" s="1403"/>
      <c r="H273" s="1399"/>
    </row>
    <row r="274" spans="1:8" s="1400" customFormat="1" ht="11.25" hidden="1">
      <c r="A274" s="1403" t="s">
        <v>1349</v>
      </c>
      <c r="B274" s="1403"/>
      <c r="C274" s="1403"/>
      <c r="D274" s="1403"/>
      <c r="E274" s="1403"/>
      <c r="F274" s="1403"/>
      <c r="H274" s="1399"/>
    </row>
    <row r="275" spans="1:8" s="1404" customFormat="1" ht="14.25" customHeight="1">
      <c r="A275" s="3386" t="s">
        <v>303</v>
      </c>
      <c r="B275" s="3386"/>
      <c r="C275" s="3386"/>
      <c r="D275" s="3386"/>
      <c r="E275" s="3386"/>
      <c r="F275" s="3386"/>
      <c r="H275" s="1405"/>
    </row>
    <row r="277" spans="1:8" ht="28.5" customHeight="1"/>
    <row r="279" spans="1:8" ht="25.5" customHeight="1"/>
  </sheetData>
  <mergeCells count="6">
    <mergeCell ref="A275:F275"/>
    <mergeCell ref="A264:F264"/>
    <mergeCell ref="A265:F265"/>
    <mergeCell ref="A266:F266"/>
    <mergeCell ref="A267:F267"/>
    <mergeCell ref="A268:F268"/>
  </mergeCells>
  <printOptions horizontalCentered="1"/>
  <pageMargins left="1" right="0.25" top="0.39370078740157499" bottom="0.39370078740157499" header="0" footer="0"/>
  <pageSetup paperSize="9" scale="7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
  <sheetViews>
    <sheetView zoomScaleNormal="100" workbookViewId="0">
      <pane xSplit="1" ySplit="5" topLeftCell="B6" activePane="bottomRight" state="frozen"/>
      <selection pane="topRight" activeCell="B1" sqref="B1"/>
      <selection pane="bottomLeft" activeCell="A6" sqref="A6"/>
      <selection pane="bottomRight" activeCell="C96" sqref="C96"/>
    </sheetView>
  </sheetViews>
  <sheetFormatPr defaultRowHeight="12.75"/>
  <cols>
    <col min="1" max="1" width="13" style="1413" customWidth="1"/>
    <col min="2" max="2" width="13.5703125" style="1413" customWidth="1"/>
    <col min="3" max="3" width="15.5703125" style="1413" customWidth="1"/>
    <col min="4" max="4" width="19.5703125" style="1413" customWidth="1"/>
    <col min="5" max="5" width="12.42578125" style="1413" customWidth="1"/>
    <col min="6" max="6" width="10.42578125" style="1413" customWidth="1"/>
    <col min="7" max="7" width="3.5703125" style="1413" customWidth="1"/>
    <col min="8" max="8" width="5.140625" style="1413" bestFit="1" customWidth="1"/>
    <col min="9" max="10" width="7.140625" style="1413" bestFit="1" customWidth="1"/>
    <col min="11" max="11" width="7.28515625" style="1413" bestFit="1" customWidth="1"/>
    <col min="12" max="256" width="9.140625" style="1413"/>
    <col min="257" max="257" width="13" style="1413" customWidth="1"/>
    <col min="258" max="258" width="13.5703125" style="1413" customWidth="1"/>
    <col min="259" max="259" width="15.5703125" style="1413" customWidth="1"/>
    <col min="260" max="260" width="19.5703125" style="1413" customWidth="1"/>
    <col min="261" max="261" width="12.42578125" style="1413" customWidth="1"/>
    <col min="262" max="262" width="10.42578125" style="1413" customWidth="1"/>
    <col min="263" max="263" width="3.5703125" style="1413" customWidth="1"/>
    <col min="264" max="264" width="5.140625" style="1413" bestFit="1" customWidth="1"/>
    <col min="265" max="266" width="7.140625" style="1413" bestFit="1" customWidth="1"/>
    <col min="267" max="267" width="7.28515625" style="1413" bestFit="1" customWidth="1"/>
    <col min="268" max="512" width="9.140625" style="1413"/>
    <col min="513" max="513" width="13" style="1413" customWidth="1"/>
    <col min="514" max="514" width="13.5703125" style="1413" customWidth="1"/>
    <col min="515" max="515" width="15.5703125" style="1413" customWidth="1"/>
    <col min="516" max="516" width="19.5703125" style="1413" customWidth="1"/>
    <col min="517" max="517" width="12.42578125" style="1413" customWidth="1"/>
    <col min="518" max="518" width="10.42578125" style="1413" customWidth="1"/>
    <col min="519" max="519" width="3.5703125" style="1413" customWidth="1"/>
    <col min="520" max="520" width="5.140625" style="1413" bestFit="1" customWidth="1"/>
    <col min="521" max="522" width="7.140625" style="1413" bestFit="1" customWidth="1"/>
    <col min="523" max="523" width="7.28515625" style="1413" bestFit="1" customWidth="1"/>
    <col min="524" max="768" width="9.140625" style="1413"/>
    <col min="769" max="769" width="13" style="1413" customWidth="1"/>
    <col min="770" max="770" width="13.5703125" style="1413" customWidth="1"/>
    <col min="771" max="771" width="15.5703125" style="1413" customWidth="1"/>
    <col min="772" max="772" width="19.5703125" style="1413" customWidth="1"/>
    <col min="773" max="773" width="12.42578125" style="1413" customWidth="1"/>
    <col min="774" max="774" width="10.42578125" style="1413" customWidth="1"/>
    <col min="775" max="775" width="3.5703125" style="1413" customWidth="1"/>
    <col min="776" max="776" width="5.140625" style="1413" bestFit="1" customWidth="1"/>
    <col min="777" max="778" width="7.140625" style="1413" bestFit="1" customWidth="1"/>
    <col min="779" max="779" width="7.28515625" style="1413" bestFit="1" customWidth="1"/>
    <col min="780" max="1024" width="9.140625" style="1413"/>
    <col min="1025" max="1025" width="13" style="1413" customWidth="1"/>
    <col min="1026" max="1026" width="13.5703125" style="1413" customWidth="1"/>
    <col min="1027" max="1027" width="15.5703125" style="1413" customWidth="1"/>
    <col min="1028" max="1028" width="19.5703125" style="1413" customWidth="1"/>
    <col min="1029" max="1029" width="12.42578125" style="1413" customWidth="1"/>
    <col min="1030" max="1030" width="10.42578125" style="1413" customWidth="1"/>
    <col min="1031" max="1031" width="3.5703125" style="1413" customWidth="1"/>
    <col min="1032" max="1032" width="5.140625" style="1413" bestFit="1" customWidth="1"/>
    <col min="1033" max="1034" width="7.140625" style="1413" bestFit="1" customWidth="1"/>
    <col min="1035" max="1035" width="7.28515625" style="1413" bestFit="1" customWidth="1"/>
    <col min="1036" max="1280" width="9.140625" style="1413"/>
    <col min="1281" max="1281" width="13" style="1413" customWidth="1"/>
    <col min="1282" max="1282" width="13.5703125" style="1413" customWidth="1"/>
    <col min="1283" max="1283" width="15.5703125" style="1413" customWidth="1"/>
    <col min="1284" max="1284" width="19.5703125" style="1413" customWidth="1"/>
    <col min="1285" max="1285" width="12.42578125" style="1413" customWidth="1"/>
    <col min="1286" max="1286" width="10.42578125" style="1413" customWidth="1"/>
    <col min="1287" max="1287" width="3.5703125" style="1413" customWidth="1"/>
    <col min="1288" max="1288" width="5.140625" style="1413" bestFit="1" customWidth="1"/>
    <col min="1289" max="1290" width="7.140625" style="1413" bestFit="1" customWidth="1"/>
    <col min="1291" max="1291" width="7.28515625" style="1413" bestFit="1" customWidth="1"/>
    <col min="1292" max="1536" width="9.140625" style="1413"/>
    <col min="1537" max="1537" width="13" style="1413" customWidth="1"/>
    <col min="1538" max="1538" width="13.5703125" style="1413" customWidth="1"/>
    <col min="1539" max="1539" width="15.5703125" style="1413" customWidth="1"/>
    <col min="1540" max="1540" width="19.5703125" style="1413" customWidth="1"/>
    <col min="1541" max="1541" width="12.42578125" style="1413" customWidth="1"/>
    <col min="1542" max="1542" width="10.42578125" style="1413" customWidth="1"/>
    <col min="1543" max="1543" width="3.5703125" style="1413" customWidth="1"/>
    <col min="1544" max="1544" width="5.140625" style="1413" bestFit="1" customWidth="1"/>
    <col min="1545" max="1546" width="7.140625" style="1413" bestFit="1" customWidth="1"/>
    <col min="1547" max="1547" width="7.28515625" style="1413" bestFit="1" customWidth="1"/>
    <col min="1548" max="1792" width="9.140625" style="1413"/>
    <col min="1793" max="1793" width="13" style="1413" customWidth="1"/>
    <col min="1794" max="1794" width="13.5703125" style="1413" customWidth="1"/>
    <col min="1795" max="1795" width="15.5703125" style="1413" customWidth="1"/>
    <col min="1796" max="1796" width="19.5703125" style="1413" customWidth="1"/>
    <col min="1797" max="1797" width="12.42578125" style="1413" customWidth="1"/>
    <col min="1798" max="1798" width="10.42578125" style="1413" customWidth="1"/>
    <col min="1799" max="1799" width="3.5703125" style="1413" customWidth="1"/>
    <col min="1800" max="1800" width="5.140625" style="1413" bestFit="1" customWidth="1"/>
    <col min="1801" max="1802" width="7.140625" style="1413" bestFit="1" customWidth="1"/>
    <col min="1803" max="1803" width="7.28515625" style="1413" bestFit="1" customWidth="1"/>
    <col min="1804" max="2048" width="9.140625" style="1413"/>
    <col min="2049" max="2049" width="13" style="1413" customWidth="1"/>
    <col min="2050" max="2050" width="13.5703125" style="1413" customWidth="1"/>
    <col min="2051" max="2051" width="15.5703125" style="1413" customWidth="1"/>
    <col min="2052" max="2052" width="19.5703125" style="1413" customWidth="1"/>
    <col min="2053" max="2053" width="12.42578125" style="1413" customWidth="1"/>
    <col min="2054" max="2054" width="10.42578125" style="1413" customWidth="1"/>
    <col min="2055" max="2055" width="3.5703125" style="1413" customWidth="1"/>
    <col min="2056" max="2056" width="5.140625" style="1413" bestFit="1" customWidth="1"/>
    <col min="2057" max="2058" width="7.140625" style="1413" bestFit="1" customWidth="1"/>
    <col min="2059" max="2059" width="7.28515625" style="1413" bestFit="1" customWidth="1"/>
    <col min="2060" max="2304" width="9.140625" style="1413"/>
    <col min="2305" max="2305" width="13" style="1413" customWidth="1"/>
    <col min="2306" max="2306" width="13.5703125" style="1413" customWidth="1"/>
    <col min="2307" max="2307" width="15.5703125" style="1413" customWidth="1"/>
    <col min="2308" max="2308" width="19.5703125" style="1413" customWidth="1"/>
    <col min="2309" max="2309" width="12.42578125" style="1413" customWidth="1"/>
    <col min="2310" max="2310" width="10.42578125" style="1413" customWidth="1"/>
    <col min="2311" max="2311" width="3.5703125" style="1413" customWidth="1"/>
    <col min="2312" max="2312" width="5.140625" style="1413" bestFit="1" customWidth="1"/>
    <col min="2313" max="2314" width="7.140625" style="1413" bestFit="1" customWidth="1"/>
    <col min="2315" max="2315" width="7.28515625" style="1413" bestFit="1" customWidth="1"/>
    <col min="2316" max="2560" width="9.140625" style="1413"/>
    <col min="2561" max="2561" width="13" style="1413" customWidth="1"/>
    <col min="2562" max="2562" width="13.5703125" style="1413" customWidth="1"/>
    <col min="2563" max="2563" width="15.5703125" style="1413" customWidth="1"/>
    <col min="2564" max="2564" width="19.5703125" style="1413" customWidth="1"/>
    <col min="2565" max="2565" width="12.42578125" style="1413" customWidth="1"/>
    <col min="2566" max="2566" width="10.42578125" style="1413" customWidth="1"/>
    <col min="2567" max="2567" width="3.5703125" style="1413" customWidth="1"/>
    <col min="2568" max="2568" width="5.140625" style="1413" bestFit="1" customWidth="1"/>
    <col min="2569" max="2570" width="7.140625" style="1413" bestFit="1" customWidth="1"/>
    <col min="2571" max="2571" width="7.28515625" style="1413" bestFit="1" customWidth="1"/>
    <col min="2572" max="2816" width="9.140625" style="1413"/>
    <col min="2817" max="2817" width="13" style="1413" customWidth="1"/>
    <col min="2818" max="2818" width="13.5703125" style="1413" customWidth="1"/>
    <col min="2819" max="2819" width="15.5703125" style="1413" customWidth="1"/>
    <col min="2820" max="2820" width="19.5703125" style="1413" customWidth="1"/>
    <col min="2821" max="2821" width="12.42578125" style="1413" customWidth="1"/>
    <col min="2822" max="2822" width="10.42578125" style="1413" customWidth="1"/>
    <col min="2823" max="2823" width="3.5703125" style="1413" customWidth="1"/>
    <col min="2824" max="2824" width="5.140625" style="1413" bestFit="1" customWidth="1"/>
    <col min="2825" max="2826" width="7.140625" style="1413" bestFit="1" customWidth="1"/>
    <col min="2827" max="2827" width="7.28515625" style="1413" bestFit="1" customWidth="1"/>
    <col min="2828" max="3072" width="9.140625" style="1413"/>
    <col min="3073" max="3073" width="13" style="1413" customWidth="1"/>
    <col min="3074" max="3074" width="13.5703125" style="1413" customWidth="1"/>
    <col min="3075" max="3075" width="15.5703125" style="1413" customWidth="1"/>
    <col min="3076" max="3076" width="19.5703125" style="1413" customWidth="1"/>
    <col min="3077" max="3077" width="12.42578125" style="1413" customWidth="1"/>
    <col min="3078" max="3078" width="10.42578125" style="1413" customWidth="1"/>
    <col min="3079" max="3079" width="3.5703125" style="1413" customWidth="1"/>
    <col min="3080" max="3080" width="5.140625" style="1413" bestFit="1" customWidth="1"/>
    <col min="3081" max="3082" width="7.140625" style="1413" bestFit="1" customWidth="1"/>
    <col min="3083" max="3083" width="7.28515625" style="1413" bestFit="1" customWidth="1"/>
    <col min="3084" max="3328" width="9.140625" style="1413"/>
    <col min="3329" max="3329" width="13" style="1413" customWidth="1"/>
    <col min="3330" max="3330" width="13.5703125" style="1413" customWidth="1"/>
    <col min="3331" max="3331" width="15.5703125" style="1413" customWidth="1"/>
    <col min="3332" max="3332" width="19.5703125" style="1413" customWidth="1"/>
    <col min="3333" max="3333" width="12.42578125" style="1413" customWidth="1"/>
    <col min="3334" max="3334" width="10.42578125" style="1413" customWidth="1"/>
    <col min="3335" max="3335" width="3.5703125" style="1413" customWidth="1"/>
    <col min="3336" max="3336" width="5.140625" style="1413" bestFit="1" customWidth="1"/>
    <col min="3337" max="3338" width="7.140625" style="1413" bestFit="1" customWidth="1"/>
    <col min="3339" max="3339" width="7.28515625" style="1413" bestFit="1" customWidth="1"/>
    <col min="3340" max="3584" width="9.140625" style="1413"/>
    <col min="3585" max="3585" width="13" style="1413" customWidth="1"/>
    <col min="3586" max="3586" width="13.5703125" style="1413" customWidth="1"/>
    <col min="3587" max="3587" width="15.5703125" style="1413" customWidth="1"/>
    <col min="3588" max="3588" width="19.5703125" style="1413" customWidth="1"/>
    <col min="3589" max="3589" width="12.42578125" style="1413" customWidth="1"/>
    <col min="3590" max="3590" width="10.42578125" style="1413" customWidth="1"/>
    <col min="3591" max="3591" width="3.5703125" style="1413" customWidth="1"/>
    <col min="3592" max="3592" width="5.140625" style="1413" bestFit="1" customWidth="1"/>
    <col min="3593" max="3594" width="7.140625" style="1413" bestFit="1" customWidth="1"/>
    <col min="3595" max="3595" width="7.28515625" style="1413" bestFit="1" customWidth="1"/>
    <col min="3596" max="3840" width="9.140625" style="1413"/>
    <col min="3841" max="3841" width="13" style="1413" customWidth="1"/>
    <col min="3842" max="3842" width="13.5703125" style="1413" customWidth="1"/>
    <col min="3843" max="3843" width="15.5703125" style="1413" customWidth="1"/>
    <col min="3844" max="3844" width="19.5703125" style="1413" customWidth="1"/>
    <col min="3845" max="3845" width="12.42578125" style="1413" customWidth="1"/>
    <col min="3846" max="3846" width="10.42578125" style="1413" customWidth="1"/>
    <col min="3847" max="3847" width="3.5703125" style="1413" customWidth="1"/>
    <col min="3848" max="3848" width="5.140625" style="1413" bestFit="1" customWidth="1"/>
    <col min="3849" max="3850" width="7.140625" style="1413" bestFit="1" customWidth="1"/>
    <col min="3851" max="3851" width="7.28515625" style="1413" bestFit="1" customWidth="1"/>
    <col min="3852" max="4096" width="9.140625" style="1413"/>
    <col min="4097" max="4097" width="13" style="1413" customWidth="1"/>
    <col min="4098" max="4098" width="13.5703125" style="1413" customWidth="1"/>
    <col min="4099" max="4099" width="15.5703125" style="1413" customWidth="1"/>
    <col min="4100" max="4100" width="19.5703125" style="1413" customWidth="1"/>
    <col min="4101" max="4101" width="12.42578125" style="1413" customWidth="1"/>
    <col min="4102" max="4102" width="10.42578125" style="1413" customWidth="1"/>
    <col min="4103" max="4103" width="3.5703125" style="1413" customWidth="1"/>
    <col min="4104" max="4104" width="5.140625" style="1413" bestFit="1" customWidth="1"/>
    <col min="4105" max="4106" width="7.140625" style="1413" bestFit="1" customWidth="1"/>
    <col min="4107" max="4107" width="7.28515625" style="1413" bestFit="1" customWidth="1"/>
    <col min="4108" max="4352" width="9.140625" style="1413"/>
    <col min="4353" max="4353" width="13" style="1413" customWidth="1"/>
    <col min="4354" max="4354" width="13.5703125" style="1413" customWidth="1"/>
    <col min="4355" max="4355" width="15.5703125" style="1413" customWidth="1"/>
    <col min="4356" max="4356" width="19.5703125" style="1413" customWidth="1"/>
    <col min="4357" max="4357" width="12.42578125" style="1413" customWidth="1"/>
    <col min="4358" max="4358" width="10.42578125" style="1413" customWidth="1"/>
    <col min="4359" max="4359" width="3.5703125" style="1413" customWidth="1"/>
    <col min="4360" max="4360" width="5.140625" style="1413" bestFit="1" customWidth="1"/>
    <col min="4361" max="4362" width="7.140625" style="1413" bestFit="1" customWidth="1"/>
    <col min="4363" max="4363" width="7.28515625" style="1413" bestFit="1" customWidth="1"/>
    <col min="4364" max="4608" width="9.140625" style="1413"/>
    <col min="4609" max="4609" width="13" style="1413" customWidth="1"/>
    <col min="4610" max="4610" width="13.5703125" style="1413" customWidth="1"/>
    <col min="4611" max="4611" width="15.5703125" style="1413" customWidth="1"/>
    <col min="4612" max="4612" width="19.5703125" style="1413" customWidth="1"/>
    <col min="4613" max="4613" width="12.42578125" style="1413" customWidth="1"/>
    <col min="4614" max="4614" width="10.42578125" style="1413" customWidth="1"/>
    <col min="4615" max="4615" width="3.5703125" style="1413" customWidth="1"/>
    <col min="4616" max="4616" width="5.140625" style="1413" bestFit="1" customWidth="1"/>
    <col min="4617" max="4618" width="7.140625" style="1413" bestFit="1" customWidth="1"/>
    <col min="4619" max="4619" width="7.28515625" style="1413" bestFit="1" customWidth="1"/>
    <col min="4620" max="4864" width="9.140625" style="1413"/>
    <col min="4865" max="4865" width="13" style="1413" customWidth="1"/>
    <col min="4866" max="4866" width="13.5703125" style="1413" customWidth="1"/>
    <col min="4867" max="4867" width="15.5703125" style="1413" customWidth="1"/>
    <col min="4868" max="4868" width="19.5703125" style="1413" customWidth="1"/>
    <col min="4869" max="4869" width="12.42578125" style="1413" customWidth="1"/>
    <col min="4870" max="4870" width="10.42578125" style="1413" customWidth="1"/>
    <col min="4871" max="4871" width="3.5703125" style="1413" customWidth="1"/>
    <col min="4872" max="4872" width="5.140625" style="1413" bestFit="1" customWidth="1"/>
    <col min="4873" max="4874" width="7.140625" style="1413" bestFit="1" customWidth="1"/>
    <col min="4875" max="4875" width="7.28515625" style="1413" bestFit="1" customWidth="1"/>
    <col min="4876" max="5120" width="9.140625" style="1413"/>
    <col min="5121" max="5121" width="13" style="1413" customWidth="1"/>
    <col min="5122" max="5122" width="13.5703125" style="1413" customWidth="1"/>
    <col min="5123" max="5123" width="15.5703125" style="1413" customWidth="1"/>
    <col min="5124" max="5124" width="19.5703125" style="1413" customWidth="1"/>
    <col min="5125" max="5125" width="12.42578125" style="1413" customWidth="1"/>
    <col min="5126" max="5126" width="10.42578125" style="1413" customWidth="1"/>
    <col min="5127" max="5127" width="3.5703125" style="1413" customWidth="1"/>
    <col min="5128" max="5128" width="5.140625" style="1413" bestFit="1" customWidth="1"/>
    <col min="5129" max="5130" width="7.140625" style="1413" bestFit="1" customWidth="1"/>
    <col min="5131" max="5131" width="7.28515625" style="1413" bestFit="1" customWidth="1"/>
    <col min="5132" max="5376" width="9.140625" style="1413"/>
    <col min="5377" max="5377" width="13" style="1413" customWidth="1"/>
    <col min="5378" max="5378" width="13.5703125" style="1413" customWidth="1"/>
    <col min="5379" max="5379" width="15.5703125" style="1413" customWidth="1"/>
    <col min="5380" max="5380" width="19.5703125" style="1413" customWidth="1"/>
    <col min="5381" max="5381" width="12.42578125" style="1413" customWidth="1"/>
    <col min="5382" max="5382" width="10.42578125" style="1413" customWidth="1"/>
    <col min="5383" max="5383" width="3.5703125" style="1413" customWidth="1"/>
    <col min="5384" max="5384" width="5.140625" style="1413" bestFit="1" customWidth="1"/>
    <col min="5385" max="5386" width="7.140625" style="1413" bestFit="1" customWidth="1"/>
    <col min="5387" max="5387" width="7.28515625" style="1413" bestFit="1" customWidth="1"/>
    <col min="5388" max="5632" width="9.140625" style="1413"/>
    <col min="5633" max="5633" width="13" style="1413" customWidth="1"/>
    <col min="5634" max="5634" width="13.5703125" style="1413" customWidth="1"/>
    <col min="5635" max="5635" width="15.5703125" style="1413" customWidth="1"/>
    <col min="5636" max="5636" width="19.5703125" style="1413" customWidth="1"/>
    <col min="5637" max="5637" width="12.42578125" style="1413" customWidth="1"/>
    <col min="5638" max="5638" width="10.42578125" style="1413" customWidth="1"/>
    <col min="5639" max="5639" width="3.5703125" style="1413" customWidth="1"/>
    <col min="5640" max="5640" width="5.140625" style="1413" bestFit="1" customWidth="1"/>
    <col min="5641" max="5642" width="7.140625" style="1413" bestFit="1" customWidth="1"/>
    <col min="5643" max="5643" width="7.28515625" style="1413" bestFit="1" customWidth="1"/>
    <col min="5644" max="5888" width="9.140625" style="1413"/>
    <col min="5889" max="5889" width="13" style="1413" customWidth="1"/>
    <col min="5890" max="5890" width="13.5703125" style="1413" customWidth="1"/>
    <col min="5891" max="5891" width="15.5703125" style="1413" customWidth="1"/>
    <col min="5892" max="5892" width="19.5703125" style="1413" customWidth="1"/>
    <col min="5893" max="5893" width="12.42578125" style="1413" customWidth="1"/>
    <col min="5894" max="5894" width="10.42578125" style="1413" customWidth="1"/>
    <col min="5895" max="5895" width="3.5703125" style="1413" customWidth="1"/>
    <col min="5896" max="5896" width="5.140625" style="1413" bestFit="1" customWidth="1"/>
    <col min="5897" max="5898" width="7.140625" style="1413" bestFit="1" customWidth="1"/>
    <col min="5899" max="5899" width="7.28515625" style="1413" bestFit="1" customWidth="1"/>
    <col min="5900" max="6144" width="9.140625" style="1413"/>
    <col min="6145" max="6145" width="13" style="1413" customWidth="1"/>
    <col min="6146" max="6146" width="13.5703125" style="1413" customWidth="1"/>
    <col min="6147" max="6147" width="15.5703125" style="1413" customWidth="1"/>
    <col min="6148" max="6148" width="19.5703125" style="1413" customWidth="1"/>
    <col min="6149" max="6149" width="12.42578125" style="1413" customWidth="1"/>
    <col min="6150" max="6150" width="10.42578125" style="1413" customWidth="1"/>
    <col min="6151" max="6151" width="3.5703125" style="1413" customWidth="1"/>
    <col min="6152" max="6152" width="5.140625" style="1413" bestFit="1" customWidth="1"/>
    <col min="6153" max="6154" width="7.140625" style="1413" bestFit="1" customWidth="1"/>
    <col min="6155" max="6155" width="7.28515625" style="1413" bestFit="1" customWidth="1"/>
    <col min="6156" max="6400" width="9.140625" style="1413"/>
    <col min="6401" max="6401" width="13" style="1413" customWidth="1"/>
    <col min="6402" max="6402" width="13.5703125" style="1413" customWidth="1"/>
    <col min="6403" max="6403" width="15.5703125" style="1413" customWidth="1"/>
    <col min="6404" max="6404" width="19.5703125" style="1413" customWidth="1"/>
    <col min="6405" max="6405" width="12.42578125" style="1413" customWidth="1"/>
    <col min="6406" max="6406" width="10.42578125" style="1413" customWidth="1"/>
    <col min="6407" max="6407" width="3.5703125" style="1413" customWidth="1"/>
    <col min="6408" max="6408" width="5.140625" style="1413" bestFit="1" customWidth="1"/>
    <col min="6409" max="6410" width="7.140625" style="1413" bestFit="1" customWidth="1"/>
    <col min="6411" max="6411" width="7.28515625" style="1413" bestFit="1" customWidth="1"/>
    <col min="6412" max="6656" width="9.140625" style="1413"/>
    <col min="6657" max="6657" width="13" style="1413" customWidth="1"/>
    <col min="6658" max="6658" width="13.5703125" style="1413" customWidth="1"/>
    <col min="6659" max="6659" width="15.5703125" style="1413" customWidth="1"/>
    <col min="6660" max="6660" width="19.5703125" style="1413" customWidth="1"/>
    <col min="6661" max="6661" width="12.42578125" style="1413" customWidth="1"/>
    <col min="6662" max="6662" width="10.42578125" style="1413" customWidth="1"/>
    <col min="6663" max="6663" width="3.5703125" style="1413" customWidth="1"/>
    <col min="6664" max="6664" width="5.140625" style="1413" bestFit="1" customWidth="1"/>
    <col min="6665" max="6666" width="7.140625" style="1413" bestFit="1" customWidth="1"/>
    <col min="6667" max="6667" width="7.28515625" style="1413" bestFit="1" customWidth="1"/>
    <col min="6668" max="6912" width="9.140625" style="1413"/>
    <col min="6913" max="6913" width="13" style="1413" customWidth="1"/>
    <col min="6914" max="6914" width="13.5703125" style="1413" customWidth="1"/>
    <col min="6915" max="6915" width="15.5703125" style="1413" customWidth="1"/>
    <col min="6916" max="6916" width="19.5703125" style="1413" customWidth="1"/>
    <col min="6917" max="6917" width="12.42578125" style="1413" customWidth="1"/>
    <col min="6918" max="6918" width="10.42578125" style="1413" customWidth="1"/>
    <col min="6919" max="6919" width="3.5703125" style="1413" customWidth="1"/>
    <col min="6920" max="6920" width="5.140625" style="1413" bestFit="1" customWidth="1"/>
    <col min="6921" max="6922" width="7.140625" style="1413" bestFit="1" customWidth="1"/>
    <col min="6923" max="6923" width="7.28515625" style="1413" bestFit="1" customWidth="1"/>
    <col min="6924" max="7168" width="9.140625" style="1413"/>
    <col min="7169" max="7169" width="13" style="1413" customWidth="1"/>
    <col min="7170" max="7170" width="13.5703125" style="1413" customWidth="1"/>
    <col min="7171" max="7171" width="15.5703125" style="1413" customWidth="1"/>
    <col min="7172" max="7172" width="19.5703125" style="1413" customWidth="1"/>
    <col min="7173" max="7173" width="12.42578125" style="1413" customWidth="1"/>
    <col min="7174" max="7174" width="10.42578125" style="1413" customWidth="1"/>
    <col min="7175" max="7175" width="3.5703125" style="1413" customWidth="1"/>
    <col min="7176" max="7176" width="5.140625" style="1413" bestFit="1" customWidth="1"/>
    <col min="7177" max="7178" width="7.140625" style="1413" bestFit="1" customWidth="1"/>
    <col min="7179" max="7179" width="7.28515625" style="1413" bestFit="1" customWidth="1"/>
    <col min="7180" max="7424" width="9.140625" style="1413"/>
    <col min="7425" max="7425" width="13" style="1413" customWidth="1"/>
    <col min="7426" max="7426" width="13.5703125" style="1413" customWidth="1"/>
    <col min="7427" max="7427" width="15.5703125" style="1413" customWidth="1"/>
    <col min="7428" max="7428" width="19.5703125" style="1413" customWidth="1"/>
    <col min="7429" max="7429" width="12.42578125" style="1413" customWidth="1"/>
    <col min="7430" max="7430" width="10.42578125" style="1413" customWidth="1"/>
    <col min="7431" max="7431" width="3.5703125" style="1413" customWidth="1"/>
    <col min="7432" max="7432" width="5.140625" style="1413" bestFit="1" customWidth="1"/>
    <col min="7433" max="7434" width="7.140625" style="1413" bestFit="1" customWidth="1"/>
    <col min="7435" max="7435" width="7.28515625" style="1413" bestFit="1" customWidth="1"/>
    <col min="7436" max="7680" width="9.140625" style="1413"/>
    <col min="7681" max="7681" width="13" style="1413" customWidth="1"/>
    <col min="7682" max="7682" width="13.5703125" style="1413" customWidth="1"/>
    <col min="7683" max="7683" width="15.5703125" style="1413" customWidth="1"/>
    <col min="7684" max="7684" width="19.5703125" style="1413" customWidth="1"/>
    <col min="7685" max="7685" width="12.42578125" style="1413" customWidth="1"/>
    <col min="7686" max="7686" width="10.42578125" style="1413" customWidth="1"/>
    <col min="7687" max="7687" width="3.5703125" style="1413" customWidth="1"/>
    <col min="7688" max="7688" width="5.140625" style="1413" bestFit="1" customWidth="1"/>
    <col min="7689" max="7690" width="7.140625" style="1413" bestFit="1" customWidth="1"/>
    <col min="7691" max="7691" width="7.28515625" style="1413" bestFit="1" customWidth="1"/>
    <col min="7692" max="7936" width="9.140625" style="1413"/>
    <col min="7937" max="7937" width="13" style="1413" customWidth="1"/>
    <col min="7938" max="7938" width="13.5703125" style="1413" customWidth="1"/>
    <col min="7939" max="7939" width="15.5703125" style="1413" customWidth="1"/>
    <col min="7940" max="7940" width="19.5703125" style="1413" customWidth="1"/>
    <col min="7941" max="7941" width="12.42578125" style="1413" customWidth="1"/>
    <col min="7942" max="7942" width="10.42578125" style="1413" customWidth="1"/>
    <col min="7943" max="7943" width="3.5703125" style="1413" customWidth="1"/>
    <col min="7944" max="7944" width="5.140625" style="1413" bestFit="1" customWidth="1"/>
    <col min="7945" max="7946" width="7.140625" style="1413" bestFit="1" customWidth="1"/>
    <col min="7947" max="7947" width="7.28515625" style="1413" bestFit="1" customWidth="1"/>
    <col min="7948" max="8192" width="9.140625" style="1413"/>
    <col min="8193" max="8193" width="13" style="1413" customWidth="1"/>
    <col min="8194" max="8194" width="13.5703125" style="1413" customWidth="1"/>
    <col min="8195" max="8195" width="15.5703125" style="1413" customWidth="1"/>
    <col min="8196" max="8196" width="19.5703125" style="1413" customWidth="1"/>
    <col min="8197" max="8197" width="12.42578125" style="1413" customWidth="1"/>
    <col min="8198" max="8198" width="10.42578125" style="1413" customWidth="1"/>
    <col min="8199" max="8199" width="3.5703125" style="1413" customWidth="1"/>
    <col min="8200" max="8200" width="5.140625" style="1413" bestFit="1" customWidth="1"/>
    <col min="8201" max="8202" width="7.140625" style="1413" bestFit="1" customWidth="1"/>
    <col min="8203" max="8203" width="7.28515625" style="1413" bestFit="1" customWidth="1"/>
    <col min="8204" max="8448" width="9.140625" style="1413"/>
    <col min="8449" max="8449" width="13" style="1413" customWidth="1"/>
    <col min="8450" max="8450" width="13.5703125" style="1413" customWidth="1"/>
    <col min="8451" max="8451" width="15.5703125" style="1413" customWidth="1"/>
    <col min="8452" max="8452" width="19.5703125" style="1413" customWidth="1"/>
    <col min="8453" max="8453" width="12.42578125" style="1413" customWidth="1"/>
    <col min="8454" max="8454" width="10.42578125" style="1413" customWidth="1"/>
    <col min="8455" max="8455" width="3.5703125" style="1413" customWidth="1"/>
    <col min="8456" max="8456" width="5.140625" style="1413" bestFit="1" customWidth="1"/>
    <col min="8457" max="8458" width="7.140625" style="1413" bestFit="1" customWidth="1"/>
    <col min="8459" max="8459" width="7.28515625" style="1413" bestFit="1" customWidth="1"/>
    <col min="8460" max="8704" width="9.140625" style="1413"/>
    <col min="8705" max="8705" width="13" style="1413" customWidth="1"/>
    <col min="8706" max="8706" width="13.5703125" style="1413" customWidth="1"/>
    <col min="8707" max="8707" width="15.5703125" style="1413" customWidth="1"/>
    <col min="8708" max="8708" width="19.5703125" style="1413" customWidth="1"/>
    <col min="8709" max="8709" width="12.42578125" style="1413" customWidth="1"/>
    <col min="8710" max="8710" width="10.42578125" style="1413" customWidth="1"/>
    <col min="8711" max="8711" width="3.5703125" style="1413" customWidth="1"/>
    <col min="8712" max="8712" width="5.140625" style="1413" bestFit="1" customWidth="1"/>
    <col min="8713" max="8714" width="7.140625" style="1413" bestFit="1" customWidth="1"/>
    <col min="8715" max="8715" width="7.28515625" style="1413" bestFit="1" customWidth="1"/>
    <col min="8716" max="8960" width="9.140625" style="1413"/>
    <col min="8961" max="8961" width="13" style="1413" customWidth="1"/>
    <col min="8962" max="8962" width="13.5703125" style="1413" customWidth="1"/>
    <col min="8963" max="8963" width="15.5703125" style="1413" customWidth="1"/>
    <col min="8964" max="8964" width="19.5703125" style="1413" customWidth="1"/>
    <col min="8965" max="8965" width="12.42578125" style="1413" customWidth="1"/>
    <col min="8966" max="8966" width="10.42578125" style="1413" customWidth="1"/>
    <col min="8967" max="8967" width="3.5703125" style="1413" customWidth="1"/>
    <col min="8968" max="8968" width="5.140625" style="1413" bestFit="1" customWidth="1"/>
    <col min="8969" max="8970" width="7.140625" style="1413" bestFit="1" customWidth="1"/>
    <col min="8971" max="8971" width="7.28515625" style="1413" bestFit="1" customWidth="1"/>
    <col min="8972" max="9216" width="9.140625" style="1413"/>
    <col min="9217" max="9217" width="13" style="1413" customWidth="1"/>
    <col min="9218" max="9218" width="13.5703125" style="1413" customWidth="1"/>
    <col min="9219" max="9219" width="15.5703125" style="1413" customWidth="1"/>
    <col min="9220" max="9220" width="19.5703125" style="1413" customWidth="1"/>
    <col min="9221" max="9221" width="12.42578125" style="1413" customWidth="1"/>
    <col min="9222" max="9222" width="10.42578125" style="1413" customWidth="1"/>
    <col min="9223" max="9223" width="3.5703125" style="1413" customWidth="1"/>
    <col min="9224" max="9224" width="5.140625" style="1413" bestFit="1" customWidth="1"/>
    <col min="9225" max="9226" width="7.140625" style="1413" bestFit="1" customWidth="1"/>
    <col min="9227" max="9227" width="7.28515625" style="1413" bestFit="1" customWidth="1"/>
    <col min="9228" max="9472" width="9.140625" style="1413"/>
    <col min="9473" max="9473" width="13" style="1413" customWidth="1"/>
    <col min="9474" max="9474" width="13.5703125" style="1413" customWidth="1"/>
    <col min="9475" max="9475" width="15.5703125" style="1413" customWidth="1"/>
    <col min="9476" max="9476" width="19.5703125" style="1413" customWidth="1"/>
    <col min="9477" max="9477" width="12.42578125" style="1413" customWidth="1"/>
    <col min="9478" max="9478" width="10.42578125" style="1413" customWidth="1"/>
    <col min="9479" max="9479" width="3.5703125" style="1413" customWidth="1"/>
    <col min="9480" max="9480" width="5.140625" style="1413" bestFit="1" customWidth="1"/>
    <col min="9481" max="9482" width="7.140625" style="1413" bestFit="1" customWidth="1"/>
    <col min="9483" max="9483" width="7.28515625" style="1413" bestFit="1" customWidth="1"/>
    <col min="9484" max="9728" width="9.140625" style="1413"/>
    <col min="9729" max="9729" width="13" style="1413" customWidth="1"/>
    <col min="9730" max="9730" width="13.5703125" style="1413" customWidth="1"/>
    <col min="9731" max="9731" width="15.5703125" style="1413" customWidth="1"/>
    <col min="9732" max="9732" width="19.5703125" style="1413" customWidth="1"/>
    <col min="9733" max="9733" width="12.42578125" style="1413" customWidth="1"/>
    <col min="9734" max="9734" width="10.42578125" style="1413" customWidth="1"/>
    <col min="9735" max="9735" width="3.5703125" style="1413" customWidth="1"/>
    <col min="9736" max="9736" width="5.140625" style="1413" bestFit="1" customWidth="1"/>
    <col min="9737" max="9738" width="7.140625" style="1413" bestFit="1" customWidth="1"/>
    <col min="9739" max="9739" width="7.28515625" style="1413" bestFit="1" customWidth="1"/>
    <col min="9740" max="9984" width="9.140625" style="1413"/>
    <col min="9985" max="9985" width="13" style="1413" customWidth="1"/>
    <col min="9986" max="9986" width="13.5703125" style="1413" customWidth="1"/>
    <col min="9987" max="9987" width="15.5703125" style="1413" customWidth="1"/>
    <col min="9988" max="9988" width="19.5703125" style="1413" customWidth="1"/>
    <col min="9989" max="9989" width="12.42578125" style="1413" customWidth="1"/>
    <col min="9990" max="9990" width="10.42578125" style="1413" customWidth="1"/>
    <col min="9991" max="9991" width="3.5703125" style="1413" customWidth="1"/>
    <col min="9992" max="9992" width="5.140625" style="1413" bestFit="1" customWidth="1"/>
    <col min="9993" max="9994" width="7.140625" style="1413" bestFit="1" customWidth="1"/>
    <col min="9995" max="9995" width="7.28515625" style="1413" bestFit="1" customWidth="1"/>
    <col min="9996" max="10240" width="9.140625" style="1413"/>
    <col min="10241" max="10241" width="13" style="1413" customWidth="1"/>
    <col min="10242" max="10242" width="13.5703125" style="1413" customWidth="1"/>
    <col min="10243" max="10243" width="15.5703125" style="1413" customWidth="1"/>
    <col min="10244" max="10244" width="19.5703125" style="1413" customWidth="1"/>
    <col min="10245" max="10245" width="12.42578125" style="1413" customWidth="1"/>
    <col min="10246" max="10246" width="10.42578125" style="1413" customWidth="1"/>
    <col min="10247" max="10247" width="3.5703125" style="1413" customWidth="1"/>
    <col min="10248" max="10248" width="5.140625" style="1413" bestFit="1" customWidth="1"/>
    <col min="10249" max="10250" width="7.140625" style="1413" bestFit="1" customWidth="1"/>
    <col min="10251" max="10251" width="7.28515625" style="1413" bestFit="1" customWidth="1"/>
    <col min="10252" max="10496" width="9.140625" style="1413"/>
    <col min="10497" max="10497" width="13" style="1413" customWidth="1"/>
    <col min="10498" max="10498" width="13.5703125" style="1413" customWidth="1"/>
    <col min="10499" max="10499" width="15.5703125" style="1413" customWidth="1"/>
    <col min="10500" max="10500" width="19.5703125" style="1413" customWidth="1"/>
    <col min="10501" max="10501" width="12.42578125" style="1413" customWidth="1"/>
    <col min="10502" max="10502" width="10.42578125" style="1413" customWidth="1"/>
    <col min="10503" max="10503" width="3.5703125" style="1413" customWidth="1"/>
    <col min="10504" max="10504" width="5.140625" style="1413" bestFit="1" customWidth="1"/>
    <col min="10505" max="10506" width="7.140625" style="1413" bestFit="1" customWidth="1"/>
    <col min="10507" max="10507" width="7.28515625" style="1413" bestFit="1" customWidth="1"/>
    <col min="10508" max="10752" width="9.140625" style="1413"/>
    <col min="10753" max="10753" width="13" style="1413" customWidth="1"/>
    <col min="10754" max="10754" width="13.5703125" style="1413" customWidth="1"/>
    <col min="10755" max="10755" width="15.5703125" style="1413" customWidth="1"/>
    <col min="10756" max="10756" width="19.5703125" style="1413" customWidth="1"/>
    <col min="10757" max="10757" width="12.42578125" style="1413" customWidth="1"/>
    <col min="10758" max="10758" width="10.42578125" style="1413" customWidth="1"/>
    <col min="10759" max="10759" width="3.5703125" style="1413" customWidth="1"/>
    <col min="10760" max="10760" width="5.140625" style="1413" bestFit="1" customWidth="1"/>
    <col min="10761" max="10762" width="7.140625" style="1413" bestFit="1" customWidth="1"/>
    <col min="10763" max="10763" width="7.28515625" style="1413" bestFit="1" customWidth="1"/>
    <col min="10764" max="11008" width="9.140625" style="1413"/>
    <col min="11009" max="11009" width="13" style="1413" customWidth="1"/>
    <col min="11010" max="11010" width="13.5703125" style="1413" customWidth="1"/>
    <col min="11011" max="11011" width="15.5703125" style="1413" customWidth="1"/>
    <col min="11012" max="11012" width="19.5703125" style="1413" customWidth="1"/>
    <col min="11013" max="11013" width="12.42578125" style="1413" customWidth="1"/>
    <col min="11014" max="11014" width="10.42578125" style="1413" customWidth="1"/>
    <col min="11015" max="11015" width="3.5703125" style="1413" customWidth="1"/>
    <col min="11016" max="11016" width="5.140625" style="1413" bestFit="1" customWidth="1"/>
    <col min="11017" max="11018" width="7.140625" style="1413" bestFit="1" customWidth="1"/>
    <col min="11019" max="11019" width="7.28515625" style="1413" bestFit="1" customWidth="1"/>
    <col min="11020" max="11264" width="9.140625" style="1413"/>
    <col min="11265" max="11265" width="13" style="1413" customWidth="1"/>
    <col min="11266" max="11266" width="13.5703125" style="1413" customWidth="1"/>
    <col min="11267" max="11267" width="15.5703125" style="1413" customWidth="1"/>
    <col min="11268" max="11268" width="19.5703125" style="1413" customWidth="1"/>
    <col min="11269" max="11269" width="12.42578125" style="1413" customWidth="1"/>
    <col min="11270" max="11270" width="10.42578125" style="1413" customWidth="1"/>
    <col min="11271" max="11271" width="3.5703125" style="1413" customWidth="1"/>
    <col min="11272" max="11272" width="5.140625" style="1413" bestFit="1" customWidth="1"/>
    <col min="11273" max="11274" width="7.140625" style="1413" bestFit="1" customWidth="1"/>
    <col min="11275" max="11275" width="7.28515625" style="1413" bestFit="1" customWidth="1"/>
    <col min="11276" max="11520" width="9.140625" style="1413"/>
    <col min="11521" max="11521" width="13" style="1413" customWidth="1"/>
    <col min="11522" max="11522" width="13.5703125" style="1413" customWidth="1"/>
    <col min="11523" max="11523" width="15.5703125" style="1413" customWidth="1"/>
    <col min="11524" max="11524" width="19.5703125" style="1413" customWidth="1"/>
    <col min="11525" max="11525" width="12.42578125" style="1413" customWidth="1"/>
    <col min="11526" max="11526" width="10.42578125" style="1413" customWidth="1"/>
    <col min="11527" max="11527" width="3.5703125" style="1413" customWidth="1"/>
    <col min="11528" max="11528" width="5.140625" style="1413" bestFit="1" customWidth="1"/>
    <col min="11529" max="11530" width="7.140625" style="1413" bestFit="1" customWidth="1"/>
    <col min="11531" max="11531" width="7.28515625" style="1413" bestFit="1" customWidth="1"/>
    <col min="11532" max="11776" width="9.140625" style="1413"/>
    <col min="11777" max="11777" width="13" style="1413" customWidth="1"/>
    <col min="11778" max="11778" width="13.5703125" style="1413" customWidth="1"/>
    <col min="11779" max="11779" width="15.5703125" style="1413" customWidth="1"/>
    <col min="11780" max="11780" width="19.5703125" style="1413" customWidth="1"/>
    <col min="11781" max="11781" width="12.42578125" style="1413" customWidth="1"/>
    <col min="11782" max="11782" width="10.42578125" style="1413" customWidth="1"/>
    <col min="11783" max="11783" width="3.5703125" style="1413" customWidth="1"/>
    <col min="11784" max="11784" width="5.140625" style="1413" bestFit="1" customWidth="1"/>
    <col min="11785" max="11786" width="7.140625" style="1413" bestFit="1" customWidth="1"/>
    <col min="11787" max="11787" width="7.28515625" style="1413" bestFit="1" customWidth="1"/>
    <col min="11788" max="12032" width="9.140625" style="1413"/>
    <col min="12033" max="12033" width="13" style="1413" customWidth="1"/>
    <col min="12034" max="12034" width="13.5703125" style="1413" customWidth="1"/>
    <col min="12035" max="12035" width="15.5703125" style="1413" customWidth="1"/>
    <col min="12036" max="12036" width="19.5703125" style="1413" customWidth="1"/>
    <col min="12037" max="12037" width="12.42578125" style="1413" customWidth="1"/>
    <col min="12038" max="12038" width="10.42578125" style="1413" customWidth="1"/>
    <col min="12039" max="12039" width="3.5703125" style="1413" customWidth="1"/>
    <col min="12040" max="12040" width="5.140625" style="1413" bestFit="1" customWidth="1"/>
    <col min="12041" max="12042" width="7.140625" style="1413" bestFit="1" customWidth="1"/>
    <col min="12043" max="12043" width="7.28515625" style="1413" bestFit="1" customWidth="1"/>
    <col min="12044" max="12288" width="9.140625" style="1413"/>
    <col min="12289" max="12289" width="13" style="1413" customWidth="1"/>
    <col min="12290" max="12290" width="13.5703125" style="1413" customWidth="1"/>
    <col min="12291" max="12291" width="15.5703125" style="1413" customWidth="1"/>
    <col min="12292" max="12292" width="19.5703125" style="1413" customWidth="1"/>
    <col min="12293" max="12293" width="12.42578125" style="1413" customWidth="1"/>
    <col min="12294" max="12294" width="10.42578125" style="1413" customWidth="1"/>
    <col min="12295" max="12295" width="3.5703125" style="1413" customWidth="1"/>
    <col min="12296" max="12296" width="5.140625" style="1413" bestFit="1" customWidth="1"/>
    <col min="12297" max="12298" width="7.140625" style="1413" bestFit="1" customWidth="1"/>
    <col min="12299" max="12299" width="7.28515625" style="1413" bestFit="1" customWidth="1"/>
    <col min="12300" max="12544" width="9.140625" style="1413"/>
    <col min="12545" max="12545" width="13" style="1413" customWidth="1"/>
    <col min="12546" max="12546" width="13.5703125" style="1413" customWidth="1"/>
    <col min="12547" max="12547" width="15.5703125" style="1413" customWidth="1"/>
    <col min="12548" max="12548" width="19.5703125" style="1413" customWidth="1"/>
    <col min="12549" max="12549" width="12.42578125" style="1413" customWidth="1"/>
    <col min="12550" max="12550" width="10.42578125" style="1413" customWidth="1"/>
    <col min="12551" max="12551" width="3.5703125" style="1413" customWidth="1"/>
    <col min="12552" max="12552" width="5.140625" style="1413" bestFit="1" customWidth="1"/>
    <col min="12553" max="12554" width="7.140625" style="1413" bestFit="1" customWidth="1"/>
    <col min="12555" max="12555" width="7.28515625" style="1413" bestFit="1" customWidth="1"/>
    <col min="12556" max="12800" width="9.140625" style="1413"/>
    <col min="12801" max="12801" width="13" style="1413" customWidth="1"/>
    <col min="12802" max="12802" width="13.5703125" style="1413" customWidth="1"/>
    <col min="12803" max="12803" width="15.5703125" style="1413" customWidth="1"/>
    <col min="12804" max="12804" width="19.5703125" style="1413" customWidth="1"/>
    <col min="12805" max="12805" width="12.42578125" style="1413" customWidth="1"/>
    <col min="12806" max="12806" width="10.42578125" style="1413" customWidth="1"/>
    <col min="12807" max="12807" width="3.5703125" style="1413" customWidth="1"/>
    <col min="12808" max="12808" width="5.140625" style="1413" bestFit="1" customWidth="1"/>
    <col min="12809" max="12810" width="7.140625" style="1413" bestFit="1" customWidth="1"/>
    <col min="12811" max="12811" width="7.28515625" style="1413" bestFit="1" customWidth="1"/>
    <col min="12812" max="13056" width="9.140625" style="1413"/>
    <col min="13057" max="13057" width="13" style="1413" customWidth="1"/>
    <col min="13058" max="13058" width="13.5703125" style="1413" customWidth="1"/>
    <col min="13059" max="13059" width="15.5703125" style="1413" customWidth="1"/>
    <col min="13060" max="13060" width="19.5703125" style="1413" customWidth="1"/>
    <col min="13061" max="13061" width="12.42578125" style="1413" customWidth="1"/>
    <col min="13062" max="13062" width="10.42578125" style="1413" customWidth="1"/>
    <col min="13063" max="13063" width="3.5703125" style="1413" customWidth="1"/>
    <col min="13064" max="13064" width="5.140625" style="1413" bestFit="1" customWidth="1"/>
    <col min="13065" max="13066" width="7.140625" style="1413" bestFit="1" customWidth="1"/>
    <col min="13067" max="13067" width="7.28515625" style="1413" bestFit="1" customWidth="1"/>
    <col min="13068" max="13312" width="9.140625" style="1413"/>
    <col min="13313" max="13313" width="13" style="1413" customWidth="1"/>
    <col min="13314" max="13314" width="13.5703125" style="1413" customWidth="1"/>
    <col min="13315" max="13315" width="15.5703125" style="1413" customWidth="1"/>
    <col min="13316" max="13316" width="19.5703125" style="1413" customWidth="1"/>
    <col min="13317" max="13317" width="12.42578125" style="1413" customWidth="1"/>
    <col min="13318" max="13318" width="10.42578125" style="1413" customWidth="1"/>
    <col min="13319" max="13319" width="3.5703125" style="1413" customWidth="1"/>
    <col min="13320" max="13320" width="5.140625" style="1413" bestFit="1" customWidth="1"/>
    <col min="13321" max="13322" width="7.140625" style="1413" bestFit="1" customWidth="1"/>
    <col min="13323" max="13323" width="7.28515625" style="1413" bestFit="1" customWidth="1"/>
    <col min="13324" max="13568" width="9.140625" style="1413"/>
    <col min="13569" max="13569" width="13" style="1413" customWidth="1"/>
    <col min="13570" max="13570" width="13.5703125" style="1413" customWidth="1"/>
    <col min="13571" max="13571" width="15.5703125" style="1413" customWidth="1"/>
    <col min="13572" max="13572" width="19.5703125" style="1413" customWidth="1"/>
    <col min="13573" max="13573" width="12.42578125" style="1413" customWidth="1"/>
    <col min="13574" max="13574" width="10.42578125" style="1413" customWidth="1"/>
    <col min="13575" max="13575" width="3.5703125" style="1413" customWidth="1"/>
    <col min="13576" max="13576" width="5.140625" style="1413" bestFit="1" customWidth="1"/>
    <col min="13577" max="13578" width="7.140625" style="1413" bestFit="1" customWidth="1"/>
    <col min="13579" max="13579" width="7.28515625" style="1413" bestFit="1" customWidth="1"/>
    <col min="13580" max="13824" width="9.140625" style="1413"/>
    <col min="13825" max="13825" width="13" style="1413" customWidth="1"/>
    <col min="13826" max="13826" width="13.5703125" style="1413" customWidth="1"/>
    <col min="13827" max="13827" width="15.5703125" style="1413" customWidth="1"/>
    <col min="13828" max="13828" width="19.5703125" style="1413" customWidth="1"/>
    <col min="13829" max="13829" width="12.42578125" style="1413" customWidth="1"/>
    <col min="13830" max="13830" width="10.42578125" style="1413" customWidth="1"/>
    <col min="13831" max="13831" width="3.5703125" style="1413" customWidth="1"/>
    <col min="13832" max="13832" width="5.140625" style="1413" bestFit="1" customWidth="1"/>
    <col min="13833" max="13834" width="7.140625" style="1413" bestFit="1" customWidth="1"/>
    <col min="13835" max="13835" width="7.28515625" style="1413" bestFit="1" customWidth="1"/>
    <col min="13836" max="14080" width="9.140625" style="1413"/>
    <col min="14081" max="14081" width="13" style="1413" customWidth="1"/>
    <col min="14082" max="14082" width="13.5703125" style="1413" customWidth="1"/>
    <col min="14083" max="14083" width="15.5703125" style="1413" customWidth="1"/>
    <col min="14084" max="14084" width="19.5703125" style="1413" customWidth="1"/>
    <col min="14085" max="14085" width="12.42578125" style="1413" customWidth="1"/>
    <col min="14086" max="14086" width="10.42578125" style="1413" customWidth="1"/>
    <col min="14087" max="14087" width="3.5703125" style="1413" customWidth="1"/>
    <col min="14088" max="14088" width="5.140625" style="1413" bestFit="1" customWidth="1"/>
    <col min="14089" max="14090" width="7.140625" style="1413" bestFit="1" customWidth="1"/>
    <col min="14091" max="14091" width="7.28515625" style="1413" bestFit="1" customWidth="1"/>
    <col min="14092" max="14336" width="9.140625" style="1413"/>
    <col min="14337" max="14337" width="13" style="1413" customWidth="1"/>
    <col min="14338" max="14338" width="13.5703125" style="1413" customWidth="1"/>
    <col min="14339" max="14339" width="15.5703125" style="1413" customWidth="1"/>
    <col min="14340" max="14340" width="19.5703125" style="1413" customWidth="1"/>
    <col min="14341" max="14341" width="12.42578125" style="1413" customWidth="1"/>
    <col min="14342" max="14342" width="10.42578125" style="1413" customWidth="1"/>
    <col min="14343" max="14343" width="3.5703125" style="1413" customWidth="1"/>
    <col min="14344" max="14344" width="5.140625" style="1413" bestFit="1" customWidth="1"/>
    <col min="14345" max="14346" width="7.140625" style="1413" bestFit="1" customWidth="1"/>
    <col min="14347" max="14347" width="7.28515625" style="1413" bestFit="1" customWidth="1"/>
    <col min="14348" max="14592" width="9.140625" style="1413"/>
    <col min="14593" max="14593" width="13" style="1413" customWidth="1"/>
    <col min="14594" max="14594" width="13.5703125" style="1413" customWidth="1"/>
    <col min="14595" max="14595" width="15.5703125" style="1413" customWidth="1"/>
    <col min="14596" max="14596" width="19.5703125" style="1413" customWidth="1"/>
    <col min="14597" max="14597" width="12.42578125" style="1413" customWidth="1"/>
    <col min="14598" max="14598" width="10.42578125" style="1413" customWidth="1"/>
    <col min="14599" max="14599" width="3.5703125" style="1413" customWidth="1"/>
    <col min="14600" max="14600" width="5.140625" style="1413" bestFit="1" customWidth="1"/>
    <col min="14601" max="14602" width="7.140625" style="1413" bestFit="1" customWidth="1"/>
    <col min="14603" max="14603" width="7.28515625" style="1413" bestFit="1" customWidth="1"/>
    <col min="14604" max="14848" width="9.140625" style="1413"/>
    <col min="14849" max="14849" width="13" style="1413" customWidth="1"/>
    <col min="14850" max="14850" width="13.5703125" style="1413" customWidth="1"/>
    <col min="14851" max="14851" width="15.5703125" style="1413" customWidth="1"/>
    <col min="14852" max="14852" width="19.5703125" style="1413" customWidth="1"/>
    <col min="14853" max="14853" width="12.42578125" style="1413" customWidth="1"/>
    <col min="14854" max="14854" width="10.42578125" style="1413" customWidth="1"/>
    <col min="14855" max="14855" width="3.5703125" style="1413" customWidth="1"/>
    <col min="14856" max="14856" width="5.140625" style="1413" bestFit="1" customWidth="1"/>
    <col min="14857" max="14858" width="7.140625" style="1413" bestFit="1" customWidth="1"/>
    <col min="14859" max="14859" width="7.28515625" style="1413" bestFit="1" customWidth="1"/>
    <col min="14860" max="15104" width="9.140625" style="1413"/>
    <col min="15105" max="15105" width="13" style="1413" customWidth="1"/>
    <col min="15106" max="15106" width="13.5703125" style="1413" customWidth="1"/>
    <col min="15107" max="15107" width="15.5703125" style="1413" customWidth="1"/>
    <col min="15108" max="15108" width="19.5703125" style="1413" customWidth="1"/>
    <col min="15109" max="15109" width="12.42578125" style="1413" customWidth="1"/>
    <col min="15110" max="15110" width="10.42578125" style="1413" customWidth="1"/>
    <col min="15111" max="15111" width="3.5703125" style="1413" customWidth="1"/>
    <col min="15112" max="15112" width="5.140625" style="1413" bestFit="1" customWidth="1"/>
    <col min="15113" max="15114" width="7.140625" style="1413" bestFit="1" customWidth="1"/>
    <col min="15115" max="15115" width="7.28515625" style="1413" bestFit="1" customWidth="1"/>
    <col min="15116" max="15360" width="9.140625" style="1413"/>
    <col min="15361" max="15361" width="13" style="1413" customWidth="1"/>
    <col min="15362" max="15362" width="13.5703125" style="1413" customWidth="1"/>
    <col min="15363" max="15363" width="15.5703125" style="1413" customWidth="1"/>
    <col min="15364" max="15364" width="19.5703125" style="1413" customWidth="1"/>
    <col min="15365" max="15365" width="12.42578125" style="1413" customWidth="1"/>
    <col min="15366" max="15366" width="10.42578125" style="1413" customWidth="1"/>
    <col min="15367" max="15367" width="3.5703125" style="1413" customWidth="1"/>
    <col min="15368" max="15368" width="5.140625" style="1413" bestFit="1" customWidth="1"/>
    <col min="15369" max="15370" width="7.140625" style="1413" bestFit="1" customWidth="1"/>
    <col min="15371" max="15371" width="7.28515625" style="1413" bestFit="1" customWidth="1"/>
    <col min="15372" max="15616" width="9.140625" style="1413"/>
    <col min="15617" max="15617" width="13" style="1413" customWidth="1"/>
    <col min="15618" max="15618" width="13.5703125" style="1413" customWidth="1"/>
    <col min="15619" max="15619" width="15.5703125" style="1413" customWidth="1"/>
    <col min="15620" max="15620" width="19.5703125" style="1413" customWidth="1"/>
    <col min="15621" max="15621" width="12.42578125" style="1413" customWidth="1"/>
    <col min="15622" max="15622" width="10.42578125" style="1413" customWidth="1"/>
    <col min="15623" max="15623" width="3.5703125" style="1413" customWidth="1"/>
    <col min="15624" max="15624" width="5.140625" style="1413" bestFit="1" customWidth="1"/>
    <col min="15625" max="15626" width="7.140625" style="1413" bestFit="1" customWidth="1"/>
    <col min="15627" max="15627" width="7.28515625" style="1413" bestFit="1" customWidth="1"/>
    <col min="15628" max="15872" width="9.140625" style="1413"/>
    <col min="15873" max="15873" width="13" style="1413" customWidth="1"/>
    <col min="15874" max="15874" width="13.5703125" style="1413" customWidth="1"/>
    <col min="15875" max="15875" width="15.5703125" style="1413" customWidth="1"/>
    <col min="15876" max="15876" width="19.5703125" style="1413" customWidth="1"/>
    <col min="15877" max="15877" width="12.42578125" style="1413" customWidth="1"/>
    <col min="15878" max="15878" width="10.42578125" style="1413" customWidth="1"/>
    <col min="15879" max="15879" width="3.5703125" style="1413" customWidth="1"/>
    <col min="15880" max="15880" width="5.140625" style="1413" bestFit="1" customWidth="1"/>
    <col min="15881" max="15882" width="7.140625" style="1413" bestFit="1" customWidth="1"/>
    <col min="15883" max="15883" width="7.28515625" style="1413" bestFit="1" customWidth="1"/>
    <col min="15884" max="16128" width="9.140625" style="1413"/>
    <col min="16129" max="16129" width="13" style="1413" customWidth="1"/>
    <col min="16130" max="16130" width="13.5703125" style="1413" customWidth="1"/>
    <col min="16131" max="16131" width="15.5703125" style="1413" customWidth="1"/>
    <col min="16132" max="16132" width="19.5703125" style="1413" customWidth="1"/>
    <col min="16133" max="16133" width="12.42578125" style="1413" customWidth="1"/>
    <col min="16134" max="16134" width="10.42578125" style="1413" customWidth="1"/>
    <col min="16135" max="16135" width="3.5703125" style="1413" customWidth="1"/>
    <col min="16136" max="16136" width="5.140625" style="1413" bestFit="1" customWidth="1"/>
    <col min="16137" max="16138" width="7.140625" style="1413" bestFit="1" customWidth="1"/>
    <col min="16139" max="16139" width="7.28515625" style="1413" bestFit="1" customWidth="1"/>
    <col min="16140" max="16384" width="9.140625" style="1413"/>
  </cols>
  <sheetData>
    <row r="1" spans="1:7" s="1410" customFormat="1" ht="17.25" customHeight="1">
      <c r="A1" s="1406" t="s">
        <v>1350</v>
      </c>
      <c r="B1" s="1407"/>
      <c r="C1" s="1407"/>
      <c r="D1" s="1408"/>
      <c r="E1" s="1407"/>
      <c r="F1" s="1409"/>
    </row>
    <row r="2" spans="1:7" ht="3.75" customHeight="1" thickBot="1">
      <c r="A2" s="1411"/>
      <c r="B2" s="1411"/>
      <c r="C2" s="1411"/>
      <c r="D2" s="1411"/>
      <c r="E2" s="1411"/>
      <c r="F2" s="1412"/>
    </row>
    <row r="3" spans="1:7" ht="14.25" customHeight="1" thickTop="1" thickBot="1">
      <c r="A3" s="1414"/>
      <c r="B3" s="1415" t="s">
        <v>1351</v>
      </c>
      <c r="C3" s="1416" t="s">
        <v>862</v>
      </c>
      <c r="D3" s="1416" t="s">
        <v>1351</v>
      </c>
      <c r="E3" s="1417" t="s">
        <v>1352</v>
      </c>
      <c r="F3" s="1418"/>
    </row>
    <row r="4" spans="1:7" ht="15" customHeight="1">
      <c r="A4" s="1419"/>
      <c r="B4" s="1420" t="s">
        <v>315</v>
      </c>
      <c r="C4" s="1421" t="s">
        <v>1353</v>
      </c>
      <c r="D4" s="1421" t="s">
        <v>315</v>
      </c>
      <c r="E4" s="1422" t="s">
        <v>1354</v>
      </c>
      <c r="F4" s="1423" t="s">
        <v>862</v>
      </c>
    </row>
    <row r="5" spans="1:7" ht="14.25" customHeight="1" thickBot="1">
      <c r="A5" s="1424"/>
      <c r="B5" s="1425" t="s">
        <v>1355</v>
      </c>
      <c r="C5" s="1426"/>
      <c r="D5" s="1426" t="s">
        <v>1356</v>
      </c>
      <c r="E5" s="1426" t="s">
        <v>1355</v>
      </c>
      <c r="F5" s="1427" t="s">
        <v>1357</v>
      </c>
    </row>
    <row r="6" spans="1:7" ht="16.5" hidden="1" customHeight="1" thickTop="1">
      <c r="A6" s="1428">
        <v>36678</v>
      </c>
      <c r="B6" s="1429">
        <v>497217</v>
      </c>
      <c r="C6" s="1430">
        <v>21225888</v>
      </c>
      <c r="D6" s="1430">
        <v>22</v>
      </c>
      <c r="E6" s="1431">
        <v>22601</v>
      </c>
      <c r="F6" s="1432">
        <v>964813</v>
      </c>
    </row>
    <row r="7" spans="1:7" ht="13.5" hidden="1" thickTop="1">
      <c r="A7" s="1428">
        <v>36770</v>
      </c>
      <c r="B7" s="1429">
        <v>428957</v>
      </c>
      <c r="C7" s="1430">
        <v>15781900</v>
      </c>
      <c r="D7" s="1430">
        <v>19</v>
      </c>
      <c r="E7" s="1431">
        <v>22577</v>
      </c>
      <c r="F7" s="1432">
        <v>830626</v>
      </c>
      <c r="G7" s="1413" t="s">
        <v>1358</v>
      </c>
    </row>
    <row r="8" spans="1:7" ht="13.5" hidden="1" thickTop="1">
      <c r="A8" s="1428">
        <v>36861</v>
      </c>
      <c r="B8" s="1429">
        <v>494888</v>
      </c>
      <c r="C8" s="1430">
        <v>20741345</v>
      </c>
      <c r="D8" s="1430">
        <v>19</v>
      </c>
      <c r="E8" s="1431">
        <v>26047</v>
      </c>
      <c r="F8" s="1432">
        <v>1091650</v>
      </c>
      <c r="G8" s="1433"/>
    </row>
    <row r="9" spans="1:7" ht="13.5" hidden="1" thickTop="1">
      <c r="A9" s="1428">
        <v>36951</v>
      </c>
      <c r="B9" s="1434">
        <v>445587</v>
      </c>
      <c r="C9" s="1434">
        <v>15169553</v>
      </c>
      <c r="D9" s="1430">
        <v>20</v>
      </c>
      <c r="E9" s="1431">
        <v>22279</v>
      </c>
      <c r="F9" s="1435">
        <v>758478</v>
      </c>
      <c r="G9" s="1433"/>
    </row>
    <row r="10" spans="1:7" ht="13.5" hidden="1" thickTop="1">
      <c r="A10" s="1428">
        <v>37043</v>
      </c>
      <c r="B10" s="1434">
        <v>486126</v>
      </c>
      <c r="C10" s="1434">
        <v>15117852</v>
      </c>
      <c r="D10" s="1430">
        <v>21</v>
      </c>
      <c r="E10" s="1431">
        <v>23149</v>
      </c>
      <c r="F10" s="1435">
        <v>719898</v>
      </c>
      <c r="G10" s="1433"/>
    </row>
    <row r="11" spans="1:7" ht="13.5" hidden="1" thickTop="1">
      <c r="A11" s="1428">
        <v>37135</v>
      </c>
      <c r="B11" s="1434">
        <v>426367</v>
      </c>
      <c r="C11" s="1434">
        <v>12684623</v>
      </c>
      <c r="D11" s="1430">
        <v>20</v>
      </c>
      <c r="E11" s="1431">
        <v>21318</v>
      </c>
      <c r="F11" s="1435">
        <v>634231</v>
      </c>
      <c r="G11" s="1433"/>
    </row>
    <row r="12" spans="1:7" ht="13.5" hidden="1" thickTop="1">
      <c r="A12" s="1428">
        <v>37226</v>
      </c>
      <c r="B12" s="1434">
        <v>478934</v>
      </c>
      <c r="C12" s="1434">
        <v>16785285</v>
      </c>
      <c r="D12" s="1430">
        <v>19</v>
      </c>
      <c r="E12" s="1431">
        <v>25207</v>
      </c>
      <c r="F12" s="1435">
        <v>883436</v>
      </c>
      <c r="G12" s="1433"/>
    </row>
    <row r="13" spans="1:7" ht="13.5" hidden="1" thickTop="1">
      <c r="A13" s="1428">
        <v>37316</v>
      </c>
      <c r="B13" s="1434">
        <v>442251</v>
      </c>
      <c r="C13" s="1434">
        <v>14143507</v>
      </c>
      <c r="D13" s="1430">
        <v>20</v>
      </c>
      <c r="E13" s="1431">
        <v>22113</v>
      </c>
      <c r="F13" s="1435">
        <v>707175</v>
      </c>
      <c r="G13" s="1433"/>
    </row>
    <row r="14" spans="1:7" ht="13.5" hidden="1" thickTop="1">
      <c r="A14" s="1428">
        <v>37408</v>
      </c>
      <c r="B14" s="1434">
        <v>414995</v>
      </c>
      <c r="C14" s="1434">
        <v>16102595</v>
      </c>
      <c r="D14" s="1430">
        <v>20</v>
      </c>
      <c r="E14" s="1431">
        <f>B14/D14</f>
        <v>20749.75</v>
      </c>
      <c r="F14" s="1432">
        <f>C14/D14</f>
        <v>805129.75</v>
      </c>
      <c r="G14" s="1433"/>
    </row>
    <row r="15" spans="1:7" ht="13.5" hidden="1" thickTop="1">
      <c r="A15" s="1428">
        <v>37500</v>
      </c>
      <c r="B15" s="1434">
        <v>424513</v>
      </c>
      <c r="C15" s="1434">
        <v>15091277</v>
      </c>
      <c r="D15" s="1430">
        <v>20</v>
      </c>
      <c r="E15" s="1431">
        <v>21226</v>
      </c>
      <c r="F15" s="1435">
        <v>754564</v>
      </c>
    </row>
    <row r="16" spans="1:7" ht="13.5" hidden="1" thickTop="1">
      <c r="A16" s="1428">
        <v>37591</v>
      </c>
      <c r="B16" s="1434">
        <v>500649</v>
      </c>
      <c r="C16" s="1434">
        <v>18572024</v>
      </c>
      <c r="D16" s="1430">
        <v>20</v>
      </c>
      <c r="E16" s="1431">
        <v>25032</v>
      </c>
      <c r="F16" s="1435">
        <v>928601</v>
      </c>
    </row>
    <row r="17" spans="1:6" ht="13.5" hidden="1" thickTop="1">
      <c r="A17" s="1428">
        <v>37681</v>
      </c>
      <c r="B17" s="1429">
        <v>430385</v>
      </c>
      <c r="C17" s="1430">
        <v>13565418</v>
      </c>
      <c r="D17" s="1430">
        <v>20</v>
      </c>
      <c r="E17" s="1431">
        <v>21541</v>
      </c>
      <c r="F17" s="1435">
        <v>678524</v>
      </c>
    </row>
    <row r="18" spans="1:6" ht="13.5" hidden="1" thickTop="1">
      <c r="A18" s="1428">
        <v>37773</v>
      </c>
      <c r="B18" s="1434">
        <v>426360</v>
      </c>
      <c r="C18" s="1430">
        <v>14887585</v>
      </c>
      <c r="D18" s="1430">
        <v>21</v>
      </c>
      <c r="E18" s="1431">
        <v>20303</v>
      </c>
      <c r="F18" s="1435">
        <v>708933</v>
      </c>
    </row>
    <row r="19" spans="1:6" ht="13.5" hidden="1" thickTop="1">
      <c r="A19" s="1428">
        <v>37805</v>
      </c>
      <c r="B19" s="1434">
        <v>472573</v>
      </c>
      <c r="C19" s="1430">
        <v>16384246</v>
      </c>
      <c r="D19" s="1430">
        <v>23</v>
      </c>
      <c r="E19" s="1431">
        <v>20547</v>
      </c>
      <c r="F19" s="1435">
        <v>712359</v>
      </c>
    </row>
    <row r="20" spans="1:6" ht="13.5" hidden="1" thickTop="1">
      <c r="A20" s="1428">
        <v>37836</v>
      </c>
      <c r="B20" s="1434">
        <v>401221</v>
      </c>
      <c r="C20" s="1430">
        <v>13016996</v>
      </c>
      <c r="D20" s="1430">
        <v>21</v>
      </c>
      <c r="E20" s="1431">
        <v>19106</v>
      </c>
      <c r="F20" s="1435">
        <v>619857</v>
      </c>
    </row>
    <row r="21" spans="1:6" ht="13.5" hidden="1" thickTop="1">
      <c r="A21" s="1428">
        <v>37867</v>
      </c>
      <c r="B21" s="1434">
        <v>438657</v>
      </c>
      <c r="C21" s="1430">
        <v>14222486</v>
      </c>
      <c r="D21" s="1430">
        <v>21</v>
      </c>
      <c r="E21" s="1431">
        <v>20888</v>
      </c>
      <c r="F21" s="1435">
        <v>677261</v>
      </c>
    </row>
    <row r="22" spans="1:6" ht="13.5" hidden="1" thickTop="1">
      <c r="A22" s="1428">
        <v>37897</v>
      </c>
      <c r="B22" s="1434">
        <v>477576</v>
      </c>
      <c r="C22" s="1430">
        <v>16586710</v>
      </c>
      <c r="D22" s="1430">
        <v>23</v>
      </c>
      <c r="E22" s="1431">
        <v>20764</v>
      </c>
      <c r="F22" s="1435">
        <v>721161</v>
      </c>
    </row>
    <row r="23" spans="1:6" ht="13.5" hidden="1" thickTop="1">
      <c r="A23" s="1428">
        <v>37928</v>
      </c>
      <c r="B23" s="1434">
        <v>397415</v>
      </c>
      <c r="C23" s="1430">
        <v>12996403</v>
      </c>
      <c r="D23" s="1430">
        <v>19</v>
      </c>
      <c r="E23" s="1431">
        <v>20917</v>
      </c>
      <c r="F23" s="1435">
        <v>684021</v>
      </c>
    </row>
    <row r="24" spans="1:6" ht="13.5" hidden="1" thickTop="1">
      <c r="A24" s="1428">
        <v>37958</v>
      </c>
      <c r="B24" s="1434">
        <v>530767</v>
      </c>
      <c r="C24" s="1430">
        <v>19904556</v>
      </c>
      <c r="D24" s="1430">
        <v>22</v>
      </c>
      <c r="E24" s="1431">
        <v>24126</v>
      </c>
      <c r="F24" s="1435">
        <v>904753</v>
      </c>
    </row>
    <row r="25" spans="1:6" ht="13.5" hidden="1" thickTop="1">
      <c r="A25" s="1428">
        <v>38047</v>
      </c>
      <c r="B25" s="1434">
        <v>465674</v>
      </c>
      <c r="C25" s="1430">
        <v>15820113</v>
      </c>
      <c r="D25" s="1430">
        <v>22</v>
      </c>
      <c r="E25" s="1431">
        <v>21167</v>
      </c>
      <c r="F25" s="1435">
        <v>719096</v>
      </c>
    </row>
    <row r="26" spans="1:6" ht="13.5" hidden="1" thickTop="1">
      <c r="A26" s="1428">
        <v>38078</v>
      </c>
      <c r="B26" s="1434">
        <v>425931</v>
      </c>
      <c r="C26" s="1430">
        <v>14827378</v>
      </c>
      <c r="D26" s="1430">
        <v>22</v>
      </c>
      <c r="E26" s="1431">
        <v>19361</v>
      </c>
      <c r="F26" s="1435">
        <v>673972</v>
      </c>
    </row>
    <row r="27" spans="1:6" ht="13.5" hidden="1" thickTop="1">
      <c r="A27" s="1428">
        <v>38108</v>
      </c>
      <c r="B27" s="1434">
        <v>422107</v>
      </c>
      <c r="C27" s="1430">
        <v>14312690</v>
      </c>
      <c r="D27" s="1430">
        <v>21</v>
      </c>
      <c r="E27" s="1431">
        <v>20100</v>
      </c>
      <c r="F27" s="1435">
        <v>681557</v>
      </c>
    </row>
    <row r="28" spans="1:6" s="1436" customFormat="1" ht="13.5" hidden="1" thickTop="1">
      <c r="A28" s="1428">
        <v>38139</v>
      </c>
      <c r="B28" s="1434">
        <v>438906</v>
      </c>
      <c r="C28" s="1430">
        <v>15754463</v>
      </c>
      <c r="D28" s="1430">
        <v>22</v>
      </c>
      <c r="E28" s="1431">
        <v>19950</v>
      </c>
      <c r="F28" s="1435">
        <v>716112</v>
      </c>
    </row>
    <row r="29" spans="1:6" ht="13.5" hidden="1" thickTop="1">
      <c r="A29" s="1428">
        <v>38169</v>
      </c>
      <c r="B29" s="1434">
        <v>444116</v>
      </c>
      <c r="C29" s="1430">
        <v>15720737</v>
      </c>
      <c r="D29" s="1430">
        <v>22</v>
      </c>
      <c r="E29" s="1431">
        <v>20187</v>
      </c>
      <c r="F29" s="1435">
        <v>714579</v>
      </c>
    </row>
    <row r="30" spans="1:6" ht="13.5" hidden="1" thickTop="1">
      <c r="A30" s="1428">
        <v>38200</v>
      </c>
      <c r="B30" s="1434">
        <v>429733</v>
      </c>
      <c r="C30" s="1430">
        <v>16167982</v>
      </c>
      <c r="D30" s="1430">
        <v>22</v>
      </c>
      <c r="E30" s="1431">
        <v>19533</v>
      </c>
      <c r="F30" s="1435">
        <v>734908</v>
      </c>
    </row>
    <row r="31" spans="1:6" ht="13.5" hidden="1" thickTop="1">
      <c r="A31" s="1428">
        <v>38231</v>
      </c>
      <c r="B31" s="1434">
        <v>426858</v>
      </c>
      <c r="C31" s="1430">
        <v>14871719</v>
      </c>
      <c r="D31" s="1430">
        <v>22</v>
      </c>
      <c r="E31" s="1431">
        <v>19403</v>
      </c>
      <c r="F31" s="1435">
        <v>675987</v>
      </c>
    </row>
    <row r="32" spans="1:6" ht="13.5" hidden="1" thickTop="1">
      <c r="A32" s="1428">
        <v>38261</v>
      </c>
      <c r="B32" s="1434">
        <v>439062</v>
      </c>
      <c r="C32" s="1430">
        <v>15907659</v>
      </c>
      <c r="D32" s="1430">
        <v>21</v>
      </c>
      <c r="E32" s="1431">
        <v>20908</v>
      </c>
      <c r="F32" s="1435">
        <v>757508</v>
      </c>
    </row>
    <row r="33" spans="1:6" ht="13.5" hidden="1" thickTop="1">
      <c r="A33" s="1428">
        <v>38292</v>
      </c>
      <c r="B33" s="1434">
        <v>443598</v>
      </c>
      <c r="C33" s="1430">
        <v>15836126</v>
      </c>
      <c r="D33" s="1430">
        <v>20</v>
      </c>
      <c r="E33" s="1431">
        <v>22180</v>
      </c>
      <c r="F33" s="1435">
        <v>791806</v>
      </c>
    </row>
    <row r="34" spans="1:6" ht="13.5" hidden="1" thickTop="1">
      <c r="A34" s="1428">
        <v>38322</v>
      </c>
      <c r="B34" s="1434">
        <v>529467</v>
      </c>
      <c r="C34" s="1430">
        <v>20577511</v>
      </c>
      <c r="D34" s="1430">
        <v>23</v>
      </c>
      <c r="E34" s="1431">
        <v>23020</v>
      </c>
      <c r="F34" s="1435">
        <v>894674</v>
      </c>
    </row>
    <row r="35" spans="1:6" ht="13.5" hidden="1" thickTop="1">
      <c r="A35" s="1428">
        <v>38353</v>
      </c>
      <c r="B35" s="1434">
        <v>371508</v>
      </c>
      <c r="C35" s="1430">
        <v>12777719</v>
      </c>
      <c r="D35" s="1430">
        <v>19</v>
      </c>
      <c r="E35" s="1431">
        <v>19553</v>
      </c>
      <c r="F35" s="1435">
        <v>672512</v>
      </c>
    </row>
    <row r="36" spans="1:6" ht="13.5" hidden="1" thickTop="1">
      <c r="A36" s="1428">
        <v>38384</v>
      </c>
      <c r="B36" s="1434">
        <v>387450</v>
      </c>
      <c r="C36" s="1430">
        <v>14822347</v>
      </c>
      <c r="D36" s="1430">
        <v>18</v>
      </c>
      <c r="E36" s="1431">
        <v>21525</v>
      </c>
      <c r="F36" s="1435">
        <v>823464</v>
      </c>
    </row>
    <row r="37" spans="1:6" ht="13.5" hidden="1" thickTop="1">
      <c r="A37" s="1428">
        <v>38412</v>
      </c>
      <c r="B37" s="1434">
        <v>431387</v>
      </c>
      <c r="C37" s="1430">
        <v>14506987</v>
      </c>
      <c r="D37" s="1430" t="s">
        <v>1359</v>
      </c>
      <c r="E37" s="1431">
        <v>21558</v>
      </c>
      <c r="F37" s="1435">
        <v>725228</v>
      </c>
    </row>
    <row r="38" spans="1:6" ht="13.5" hidden="1" thickTop="1">
      <c r="A38" s="1428">
        <v>38443</v>
      </c>
      <c r="B38" s="1434">
        <v>420322</v>
      </c>
      <c r="C38" s="1430">
        <v>14794050</v>
      </c>
      <c r="D38" s="1430">
        <v>21</v>
      </c>
      <c r="E38" s="1431">
        <v>20015</v>
      </c>
      <c r="F38" s="1435">
        <v>704479</v>
      </c>
    </row>
    <row r="39" spans="1:6" ht="13.5" hidden="1" thickTop="1">
      <c r="A39" s="1428">
        <v>38473</v>
      </c>
      <c r="B39" s="1434">
        <v>456496</v>
      </c>
      <c r="C39" s="1430">
        <v>15098777</v>
      </c>
      <c r="D39" s="1430">
        <v>22</v>
      </c>
      <c r="E39" s="1437">
        <f t="shared" ref="E39:E61" si="0">B39/D39</f>
        <v>20749.81818181818</v>
      </c>
      <c r="F39" s="1438">
        <f t="shared" ref="F39:F64" si="1">C39/D39</f>
        <v>686308.04545454541</v>
      </c>
    </row>
    <row r="40" spans="1:6" ht="13.5" hidden="1" thickTop="1">
      <c r="A40" s="1428">
        <v>38504</v>
      </c>
      <c r="B40" s="1434">
        <v>440302</v>
      </c>
      <c r="C40" s="1430">
        <v>15662152</v>
      </c>
      <c r="D40" s="1430">
        <v>22</v>
      </c>
      <c r="E40" s="1437">
        <f t="shared" si="0"/>
        <v>20013.727272727272</v>
      </c>
      <c r="F40" s="1438">
        <f t="shared" si="1"/>
        <v>711916</v>
      </c>
    </row>
    <row r="41" spans="1:6" ht="13.5" hidden="1" thickTop="1">
      <c r="A41" s="1428">
        <v>38534</v>
      </c>
      <c r="B41" s="1434">
        <v>430522</v>
      </c>
      <c r="C41" s="1430">
        <v>15436409</v>
      </c>
      <c r="D41" s="1430">
        <v>21</v>
      </c>
      <c r="E41" s="1437">
        <f t="shared" si="0"/>
        <v>20501.047619047618</v>
      </c>
      <c r="F41" s="1438">
        <f t="shared" si="1"/>
        <v>735067.09523809527</v>
      </c>
    </row>
    <row r="42" spans="1:6" ht="13.5" hidden="1" thickTop="1">
      <c r="A42" s="1428">
        <v>38565</v>
      </c>
      <c r="B42" s="1434">
        <v>461262</v>
      </c>
      <c r="C42" s="1430">
        <v>15799768</v>
      </c>
      <c r="D42" s="1430">
        <v>23</v>
      </c>
      <c r="E42" s="1437">
        <f t="shared" si="0"/>
        <v>20054.869565217392</v>
      </c>
      <c r="F42" s="1438">
        <f t="shared" si="1"/>
        <v>686946.43478260865</v>
      </c>
    </row>
    <row r="43" spans="1:6" ht="13.5" hidden="1" thickTop="1">
      <c r="A43" s="1428">
        <v>38596</v>
      </c>
      <c r="B43" s="1434">
        <v>433512</v>
      </c>
      <c r="C43" s="1430">
        <v>16297517</v>
      </c>
      <c r="D43" s="1430">
        <v>21</v>
      </c>
      <c r="E43" s="1437">
        <f t="shared" si="0"/>
        <v>20643.428571428572</v>
      </c>
      <c r="F43" s="1438">
        <f t="shared" si="1"/>
        <v>776072.23809523811</v>
      </c>
    </row>
    <row r="44" spans="1:6" ht="13.5" hidden="1" thickTop="1">
      <c r="A44" s="1428">
        <v>38626</v>
      </c>
      <c r="B44" s="1434">
        <v>456504</v>
      </c>
      <c r="C44" s="1430">
        <v>17204923</v>
      </c>
      <c r="D44" s="1430">
        <v>21</v>
      </c>
      <c r="E44" s="1437">
        <f t="shared" si="0"/>
        <v>21738.285714285714</v>
      </c>
      <c r="F44" s="1438">
        <f t="shared" si="1"/>
        <v>819282.04761904757</v>
      </c>
    </row>
    <row r="45" spans="1:6" ht="13.5" hidden="1" thickTop="1">
      <c r="A45" s="1428">
        <v>38657</v>
      </c>
      <c r="B45" s="1434">
        <v>437853</v>
      </c>
      <c r="C45" s="1430">
        <v>15295120</v>
      </c>
      <c r="D45" s="1430">
        <v>19</v>
      </c>
      <c r="E45" s="1437">
        <f t="shared" si="0"/>
        <v>23044.894736842107</v>
      </c>
      <c r="F45" s="1438">
        <f t="shared" si="1"/>
        <v>805006.31578947371</v>
      </c>
    </row>
    <row r="46" spans="1:6" ht="13.5" hidden="1" thickTop="1">
      <c r="A46" s="1428">
        <v>38687</v>
      </c>
      <c r="B46" s="1434">
        <v>517651</v>
      </c>
      <c r="C46" s="1430">
        <v>19673266</v>
      </c>
      <c r="D46" s="1430">
        <v>22</v>
      </c>
      <c r="E46" s="1437">
        <f t="shared" si="0"/>
        <v>23529.590909090908</v>
      </c>
      <c r="F46" s="1438">
        <f t="shared" si="1"/>
        <v>894239.36363636365</v>
      </c>
    </row>
    <row r="47" spans="1:6" ht="13.5" hidden="1" thickTop="1">
      <c r="A47" s="1428">
        <v>38718</v>
      </c>
      <c r="B47" s="1434">
        <v>415257</v>
      </c>
      <c r="C47" s="1430">
        <v>15089958</v>
      </c>
      <c r="D47" s="1430">
        <v>21</v>
      </c>
      <c r="E47" s="1437">
        <f t="shared" si="0"/>
        <v>19774.142857142859</v>
      </c>
      <c r="F47" s="1438">
        <f t="shared" si="1"/>
        <v>718569.42857142852</v>
      </c>
    </row>
    <row r="48" spans="1:6" ht="13.5" hidden="1" thickTop="1">
      <c r="A48" s="1428">
        <v>38749</v>
      </c>
      <c r="B48" s="1434">
        <v>393028</v>
      </c>
      <c r="C48" s="1430">
        <v>15556794</v>
      </c>
      <c r="D48" s="1430">
        <v>19</v>
      </c>
      <c r="E48" s="1437">
        <f t="shared" si="0"/>
        <v>20685.684210526317</v>
      </c>
      <c r="F48" s="1438">
        <f t="shared" si="1"/>
        <v>818778.63157894742</v>
      </c>
    </row>
    <row r="49" spans="1:6" ht="13.5" hidden="1" thickTop="1">
      <c r="A49" s="1428">
        <v>38777</v>
      </c>
      <c r="B49" s="1434">
        <v>440973</v>
      </c>
      <c r="C49" s="1430">
        <v>15512484</v>
      </c>
      <c r="D49" s="1430">
        <v>22</v>
      </c>
      <c r="E49" s="1437">
        <f t="shared" si="0"/>
        <v>20044.227272727272</v>
      </c>
      <c r="F49" s="1438">
        <f t="shared" si="1"/>
        <v>705112.90909090906</v>
      </c>
    </row>
    <row r="50" spans="1:6" ht="13.5" hidden="1" thickTop="1">
      <c r="A50" s="1428">
        <v>38808</v>
      </c>
      <c r="B50" s="1434">
        <v>407807</v>
      </c>
      <c r="C50" s="1430">
        <v>14854989</v>
      </c>
      <c r="D50" s="1430">
        <v>20</v>
      </c>
      <c r="E50" s="1437">
        <f t="shared" si="0"/>
        <v>20390.349999999999</v>
      </c>
      <c r="F50" s="1438">
        <f t="shared" si="1"/>
        <v>742749.45</v>
      </c>
    </row>
    <row r="51" spans="1:6" ht="13.5" hidden="1" thickTop="1">
      <c r="A51" s="1428">
        <v>38838</v>
      </c>
      <c r="B51" s="1434">
        <v>465729</v>
      </c>
      <c r="C51" s="1430">
        <v>16211566</v>
      </c>
      <c r="D51" s="1430">
        <v>22</v>
      </c>
      <c r="E51" s="1437">
        <f t="shared" si="0"/>
        <v>21169.5</v>
      </c>
      <c r="F51" s="1438">
        <f t="shared" si="1"/>
        <v>736889.36363636365</v>
      </c>
    </row>
    <row r="52" spans="1:6" ht="13.5" hidden="1" thickTop="1">
      <c r="A52" s="1428">
        <v>38869</v>
      </c>
      <c r="B52" s="1434">
        <v>440302</v>
      </c>
      <c r="C52" s="1430">
        <v>16544426</v>
      </c>
      <c r="D52" s="1430">
        <v>22</v>
      </c>
      <c r="E52" s="1437">
        <f t="shared" si="0"/>
        <v>20013.727272727272</v>
      </c>
      <c r="F52" s="1438">
        <f t="shared" si="1"/>
        <v>752019.36363636365</v>
      </c>
    </row>
    <row r="53" spans="1:6" ht="13.5" hidden="1" thickTop="1">
      <c r="A53" s="1428">
        <v>38899</v>
      </c>
      <c r="B53" s="1434">
        <v>439834</v>
      </c>
      <c r="C53" s="1430">
        <v>16863937</v>
      </c>
      <c r="D53" s="1430">
        <v>21</v>
      </c>
      <c r="E53" s="1437">
        <f t="shared" si="0"/>
        <v>20944.476190476191</v>
      </c>
      <c r="F53" s="1438">
        <f t="shared" si="1"/>
        <v>803044.61904761905</v>
      </c>
    </row>
    <row r="54" spans="1:6" ht="13.5" hidden="1" thickTop="1">
      <c r="A54" s="1428">
        <v>38930</v>
      </c>
      <c r="B54" s="1434">
        <v>429785</v>
      </c>
      <c r="C54" s="1430">
        <v>16294314</v>
      </c>
      <c r="D54" s="1430">
        <v>21</v>
      </c>
      <c r="E54" s="1437">
        <f t="shared" si="0"/>
        <v>20465.952380952382</v>
      </c>
      <c r="F54" s="1438">
        <f t="shared" si="1"/>
        <v>775919.71428571432</v>
      </c>
    </row>
    <row r="55" spans="1:6" ht="13.5" hidden="1" thickTop="1">
      <c r="A55" s="1428">
        <v>38961</v>
      </c>
      <c r="B55" s="1434">
        <v>421650</v>
      </c>
      <c r="C55" s="1430">
        <v>17104810</v>
      </c>
      <c r="D55" s="1430">
        <v>21</v>
      </c>
      <c r="E55" s="1437">
        <f t="shared" si="0"/>
        <v>20078.571428571428</v>
      </c>
      <c r="F55" s="1438">
        <f t="shared" si="1"/>
        <v>814514.76190476189</v>
      </c>
    </row>
    <row r="56" spans="1:6" ht="13.5" hidden="1" thickTop="1">
      <c r="A56" s="1428">
        <v>38991</v>
      </c>
      <c r="B56" s="1434">
        <v>455243</v>
      </c>
      <c r="C56" s="1430">
        <v>19217504</v>
      </c>
      <c r="D56" s="1430">
        <v>21</v>
      </c>
      <c r="E56" s="1437">
        <f t="shared" si="0"/>
        <v>21678.238095238095</v>
      </c>
      <c r="F56" s="1438">
        <f t="shared" si="1"/>
        <v>915119.23809523811</v>
      </c>
    </row>
    <row r="57" spans="1:6" ht="13.5" hidden="1" thickTop="1">
      <c r="A57" s="1428">
        <v>39022</v>
      </c>
      <c r="B57" s="1434">
        <v>451305</v>
      </c>
      <c r="C57" s="1430">
        <v>17925915</v>
      </c>
      <c r="D57" s="1430">
        <v>21</v>
      </c>
      <c r="E57" s="1437">
        <f t="shared" si="0"/>
        <v>21490.714285714286</v>
      </c>
      <c r="F57" s="1438">
        <f t="shared" si="1"/>
        <v>853615</v>
      </c>
    </row>
    <row r="58" spans="1:6" ht="13.5" hidden="1" thickTop="1">
      <c r="A58" s="1428">
        <v>39052</v>
      </c>
      <c r="B58" s="1439">
        <v>479019</v>
      </c>
      <c r="C58" s="1440">
        <v>20631281</v>
      </c>
      <c r="D58" s="1440">
        <v>20</v>
      </c>
      <c r="E58" s="1441">
        <f t="shared" si="0"/>
        <v>23950.95</v>
      </c>
      <c r="F58" s="1442">
        <f t="shared" si="1"/>
        <v>1031564.05</v>
      </c>
    </row>
    <row r="59" spans="1:6" ht="13.5" hidden="1" thickTop="1">
      <c r="A59" s="1428">
        <v>39083</v>
      </c>
      <c r="B59" s="1439">
        <v>437741</v>
      </c>
      <c r="C59" s="1440">
        <v>17539887</v>
      </c>
      <c r="D59" s="1440">
        <v>21</v>
      </c>
      <c r="E59" s="1441">
        <f t="shared" si="0"/>
        <v>20844.809523809523</v>
      </c>
      <c r="F59" s="1442">
        <f t="shared" si="1"/>
        <v>835232.71428571432</v>
      </c>
    </row>
    <row r="60" spans="1:6" ht="13.5" hidden="1" thickTop="1">
      <c r="A60" s="1428">
        <v>39114</v>
      </c>
      <c r="B60" s="1439">
        <v>367348</v>
      </c>
      <c r="C60" s="1440">
        <v>16776704</v>
      </c>
      <c r="D60" s="1440">
        <v>18</v>
      </c>
      <c r="E60" s="1441">
        <f t="shared" si="0"/>
        <v>20408.222222222223</v>
      </c>
      <c r="F60" s="1442">
        <f t="shared" si="1"/>
        <v>932039.11111111112</v>
      </c>
    </row>
    <row r="61" spans="1:6" ht="13.5" hidden="1" thickTop="1">
      <c r="A61" s="1428">
        <v>39142</v>
      </c>
      <c r="B61" s="1439">
        <v>426744</v>
      </c>
      <c r="C61" s="1440">
        <v>16885412</v>
      </c>
      <c r="D61" s="1440">
        <v>20</v>
      </c>
      <c r="E61" s="1441">
        <f t="shared" si="0"/>
        <v>21337.200000000001</v>
      </c>
      <c r="F61" s="1442">
        <f t="shared" si="1"/>
        <v>844270.6</v>
      </c>
    </row>
    <row r="62" spans="1:6" ht="13.5" hidden="1" thickTop="1">
      <c r="A62" s="1428">
        <v>39173</v>
      </c>
      <c r="B62" s="1439">
        <v>431502</v>
      </c>
      <c r="C62" s="1440">
        <v>17141597</v>
      </c>
      <c r="D62" s="1440">
        <v>21</v>
      </c>
      <c r="E62" s="1441">
        <v>20548</v>
      </c>
      <c r="F62" s="1442">
        <v>816266.52380952379</v>
      </c>
    </row>
    <row r="63" spans="1:6" ht="13.5" hidden="1" thickTop="1">
      <c r="A63" s="1428">
        <v>39203</v>
      </c>
      <c r="B63" s="1439">
        <v>457204</v>
      </c>
      <c r="C63" s="1440">
        <v>18282014</v>
      </c>
      <c r="D63" s="1440">
        <v>22</v>
      </c>
      <c r="E63" s="1441">
        <v>20782</v>
      </c>
      <c r="F63" s="1442">
        <f>C63/D63</f>
        <v>831000.63636363635</v>
      </c>
    </row>
    <row r="64" spans="1:6" ht="13.5" hidden="1" thickTop="1">
      <c r="A64" s="1428">
        <v>39234</v>
      </c>
      <c r="B64" s="1439">
        <v>427464</v>
      </c>
      <c r="C64" s="1440">
        <v>18099615</v>
      </c>
      <c r="D64" s="1440">
        <v>21</v>
      </c>
      <c r="E64" s="1441">
        <v>20355</v>
      </c>
      <c r="F64" s="1442">
        <f t="shared" si="1"/>
        <v>861886.42857142852</v>
      </c>
    </row>
    <row r="65" spans="1:6" ht="13.5" hidden="1" thickTop="1">
      <c r="A65" s="1428">
        <v>39264</v>
      </c>
      <c r="B65" s="1439">
        <v>474344</v>
      </c>
      <c r="C65" s="1440">
        <v>20740537</v>
      </c>
      <c r="D65" s="1440">
        <v>22</v>
      </c>
      <c r="E65" s="1441">
        <v>21561</v>
      </c>
      <c r="F65" s="1442">
        <f>C65/D65</f>
        <v>942751.68181818177</v>
      </c>
    </row>
    <row r="66" spans="1:6" ht="13.5" hidden="1" thickTop="1">
      <c r="A66" s="1428">
        <v>39295</v>
      </c>
      <c r="B66" s="1439">
        <v>444750</v>
      </c>
      <c r="C66" s="1440">
        <v>19705954</v>
      </c>
      <c r="D66" s="1440">
        <v>23</v>
      </c>
      <c r="E66" s="1441">
        <v>19337</v>
      </c>
      <c r="F66" s="1442">
        <f>C66/D66</f>
        <v>856780.60869565222</v>
      </c>
    </row>
    <row r="67" spans="1:6" ht="13.5" hidden="1" thickTop="1">
      <c r="A67" s="1428">
        <v>39326</v>
      </c>
      <c r="B67" s="1439">
        <v>404700</v>
      </c>
      <c r="C67" s="1440">
        <v>17871445</v>
      </c>
      <c r="D67" s="1440">
        <v>20</v>
      </c>
      <c r="E67" s="1441">
        <v>20235</v>
      </c>
      <c r="F67" s="1442">
        <f>C67/D67</f>
        <v>893572.25</v>
      </c>
    </row>
    <row r="68" spans="1:6" ht="13.5" hidden="1" thickTop="1">
      <c r="A68" s="1428">
        <v>39356</v>
      </c>
      <c r="B68" s="1439">
        <v>490804</v>
      </c>
      <c r="C68" s="1440">
        <v>23212481</v>
      </c>
      <c r="D68" s="1440">
        <v>23</v>
      </c>
      <c r="E68" s="1441">
        <v>21339</v>
      </c>
      <c r="F68" s="1442">
        <f>C68/D68</f>
        <v>1009238.3043478261</v>
      </c>
    </row>
    <row r="69" spans="1:6" ht="13.5" hidden="1" thickTop="1">
      <c r="A69" s="1428">
        <v>39387</v>
      </c>
      <c r="B69" s="1440">
        <v>427337</v>
      </c>
      <c r="C69" s="1440">
        <v>19312528</v>
      </c>
      <c r="D69" s="1440">
        <v>19</v>
      </c>
      <c r="E69" s="1441">
        <v>22491</v>
      </c>
      <c r="F69" s="1442">
        <v>1016449</v>
      </c>
    </row>
    <row r="70" spans="1:6" ht="13.5" thickTop="1">
      <c r="A70" s="1428">
        <v>39417</v>
      </c>
      <c r="B70" s="1443">
        <v>484124</v>
      </c>
      <c r="C70" s="1444">
        <v>23838298</v>
      </c>
      <c r="D70" s="1444">
        <v>20</v>
      </c>
      <c r="E70" s="1445">
        <v>24206</v>
      </c>
      <c r="F70" s="1446">
        <v>1191915</v>
      </c>
    </row>
    <row r="71" spans="1:6" hidden="1">
      <c r="A71" s="1428">
        <v>39448</v>
      </c>
      <c r="B71" s="1443">
        <v>430119</v>
      </c>
      <c r="C71" s="1444">
        <v>19187604</v>
      </c>
      <c r="D71" s="1444">
        <v>20</v>
      </c>
      <c r="E71" s="1445">
        <v>21506</v>
      </c>
      <c r="F71" s="1446">
        <v>959380</v>
      </c>
    </row>
    <row r="72" spans="1:6" hidden="1">
      <c r="A72" s="1428">
        <v>39479</v>
      </c>
      <c r="B72" s="1443">
        <v>413877</v>
      </c>
      <c r="C72" s="1444">
        <v>20763724</v>
      </c>
      <c r="D72" s="1444">
        <v>19</v>
      </c>
      <c r="E72" s="1445">
        <v>21783</v>
      </c>
      <c r="F72" s="1446">
        <v>1092828</v>
      </c>
    </row>
    <row r="73" spans="1:6" hidden="1">
      <c r="A73" s="1428">
        <v>39508</v>
      </c>
      <c r="B73" s="1443">
        <v>405151</v>
      </c>
      <c r="C73" s="1444">
        <v>18406914</v>
      </c>
      <c r="D73" s="1444">
        <v>19</v>
      </c>
      <c r="E73" s="1445">
        <v>21324</v>
      </c>
      <c r="F73" s="1446">
        <v>968784</v>
      </c>
    </row>
    <row r="74" spans="1:6" hidden="1">
      <c r="A74" s="1428">
        <v>39539</v>
      </c>
      <c r="B74" s="1443">
        <v>455041</v>
      </c>
      <c r="C74" s="1444">
        <v>20642760</v>
      </c>
      <c r="D74" s="1444">
        <v>21</v>
      </c>
      <c r="E74" s="1445">
        <v>21669</v>
      </c>
      <c r="F74" s="1446">
        <v>982988</v>
      </c>
    </row>
    <row r="75" spans="1:6" hidden="1">
      <c r="A75" s="1428">
        <v>39576</v>
      </c>
      <c r="B75" s="1443">
        <v>441049</v>
      </c>
      <c r="C75" s="1444">
        <v>19695699</v>
      </c>
      <c r="D75" s="1444">
        <v>21</v>
      </c>
      <c r="E75" s="1445">
        <v>21002</v>
      </c>
      <c r="F75" s="1446">
        <v>937890</v>
      </c>
    </row>
    <row r="76" spans="1:6" hidden="1">
      <c r="A76" s="1428">
        <v>39607</v>
      </c>
      <c r="B76" s="1443">
        <v>444346</v>
      </c>
      <c r="C76" s="1444">
        <v>20402506</v>
      </c>
      <c r="D76" s="1444">
        <v>21</v>
      </c>
      <c r="E76" s="1445">
        <v>21159</v>
      </c>
      <c r="F76" s="1446">
        <v>971548</v>
      </c>
    </row>
    <row r="77" spans="1:6" hidden="1">
      <c r="A77" s="1428">
        <v>39637</v>
      </c>
      <c r="B77" s="1443">
        <v>483425</v>
      </c>
      <c r="C77" s="1444">
        <v>23063314</v>
      </c>
      <c r="D77" s="1444">
        <v>23</v>
      </c>
      <c r="E77" s="1445">
        <v>21018</v>
      </c>
      <c r="F77" s="1446">
        <v>1002753</v>
      </c>
    </row>
    <row r="78" spans="1:6" hidden="1">
      <c r="A78" s="1428">
        <v>39668</v>
      </c>
      <c r="B78" s="1443">
        <v>405418</v>
      </c>
      <c r="C78" s="1444">
        <v>20108980</v>
      </c>
      <c r="D78" s="1444">
        <v>20</v>
      </c>
      <c r="E78" s="1445">
        <v>20271</v>
      </c>
      <c r="F78" s="1446">
        <v>1005449</v>
      </c>
    </row>
    <row r="79" spans="1:6" hidden="1">
      <c r="A79" s="1428">
        <v>39699</v>
      </c>
      <c r="B79" s="1443">
        <v>452194</v>
      </c>
      <c r="C79" s="1444">
        <v>21600402</v>
      </c>
      <c r="D79" s="1444">
        <v>21</v>
      </c>
      <c r="E79" s="1445">
        <v>21533</v>
      </c>
      <c r="F79" s="1446">
        <v>1028591</v>
      </c>
    </row>
    <row r="80" spans="1:6" hidden="1">
      <c r="A80" s="1447">
        <v>39729</v>
      </c>
      <c r="B80" s="1443">
        <v>482076</v>
      </c>
      <c r="C80" s="1444">
        <v>22907327</v>
      </c>
      <c r="D80" s="1444">
        <v>21</v>
      </c>
      <c r="E80" s="1445">
        <v>22956</v>
      </c>
      <c r="F80" s="1446">
        <v>1090825</v>
      </c>
    </row>
    <row r="81" spans="1:6" hidden="1">
      <c r="A81" s="1447">
        <v>39760</v>
      </c>
      <c r="B81" s="1443">
        <v>431216</v>
      </c>
      <c r="C81" s="1444">
        <v>20855940</v>
      </c>
      <c r="D81" s="1444">
        <v>20</v>
      </c>
      <c r="E81" s="1445">
        <v>21561</v>
      </c>
      <c r="F81" s="1446">
        <v>1042797</v>
      </c>
    </row>
    <row r="82" spans="1:6">
      <c r="A82" s="1447">
        <v>39790</v>
      </c>
      <c r="B82" s="1443">
        <v>520472</v>
      </c>
      <c r="C82" s="1444">
        <v>26248191</v>
      </c>
      <c r="D82" s="1444">
        <v>22</v>
      </c>
      <c r="E82" s="1445">
        <v>23658</v>
      </c>
      <c r="F82" s="1446">
        <v>1193100</v>
      </c>
    </row>
    <row r="83" spans="1:6">
      <c r="A83" s="1447">
        <v>39821</v>
      </c>
      <c r="B83" s="1443">
        <v>392185</v>
      </c>
      <c r="C83" s="1444">
        <v>18079619</v>
      </c>
      <c r="D83" s="1444">
        <v>19</v>
      </c>
      <c r="E83" s="1445">
        <v>20641</v>
      </c>
      <c r="F83" s="1446">
        <v>951559</v>
      </c>
    </row>
    <row r="84" spans="1:6">
      <c r="A84" s="1447">
        <v>39852</v>
      </c>
      <c r="B84" s="1443">
        <v>388058</v>
      </c>
      <c r="C84" s="1444">
        <v>18337916</v>
      </c>
      <c r="D84" s="1444">
        <v>19</v>
      </c>
      <c r="E84" s="1445">
        <v>20424</v>
      </c>
      <c r="F84" s="1446">
        <v>965153</v>
      </c>
    </row>
    <row r="85" spans="1:6">
      <c r="A85" s="1447">
        <v>39880</v>
      </c>
      <c r="B85" s="1443">
        <v>441384</v>
      </c>
      <c r="C85" s="1444">
        <v>19931842</v>
      </c>
      <c r="D85" s="1444">
        <v>20</v>
      </c>
      <c r="E85" s="1445">
        <v>22069</v>
      </c>
      <c r="F85" s="1446">
        <v>996592</v>
      </c>
    </row>
    <row r="86" spans="1:6">
      <c r="A86" s="1447">
        <v>39911</v>
      </c>
      <c r="B86" s="1443">
        <v>453960</v>
      </c>
      <c r="C86" s="1444">
        <v>20653623</v>
      </c>
      <c r="D86" s="1444">
        <v>22</v>
      </c>
      <c r="E86" s="1445">
        <v>20635</v>
      </c>
      <c r="F86" s="1446">
        <v>938801</v>
      </c>
    </row>
    <row r="87" spans="1:6">
      <c r="A87" s="1447">
        <v>39934</v>
      </c>
      <c r="B87" s="1443">
        <v>417748</v>
      </c>
      <c r="C87" s="1444">
        <v>19194431</v>
      </c>
      <c r="D87" s="1444">
        <v>20</v>
      </c>
      <c r="E87" s="1445">
        <v>20887</v>
      </c>
      <c r="F87" s="1446">
        <v>959722</v>
      </c>
    </row>
    <row r="88" spans="1:6">
      <c r="A88" s="1447">
        <v>39965</v>
      </c>
      <c r="B88" s="1443">
        <v>462299</v>
      </c>
      <c r="C88" s="1444">
        <v>21171540</v>
      </c>
      <c r="D88" s="1444">
        <v>22</v>
      </c>
      <c r="E88" s="1445">
        <v>21014</v>
      </c>
      <c r="F88" s="1446">
        <v>962343</v>
      </c>
    </row>
    <row r="89" spans="1:6">
      <c r="A89" s="1447">
        <v>39995</v>
      </c>
      <c r="B89" s="1443">
        <v>471934</v>
      </c>
      <c r="C89" s="1444">
        <v>22729095</v>
      </c>
      <c r="D89" s="1444">
        <v>23</v>
      </c>
      <c r="E89" s="1445">
        <v>20519</v>
      </c>
      <c r="F89" s="1446">
        <v>988221</v>
      </c>
    </row>
    <row r="90" spans="1:6">
      <c r="A90" s="1447">
        <v>40026</v>
      </c>
      <c r="B90" s="1443">
        <v>409731</v>
      </c>
      <c r="C90" s="1444">
        <v>18283683</v>
      </c>
      <c r="D90" s="1444">
        <v>20</v>
      </c>
      <c r="E90" s="1445">
        <v>20487</v>
      </c>
      <c r="F90" s="1446">
        <v>913857</v>
      </c>
    </row>
    <row r="91" spans="1:6">
      <c r="A91" s="1447">
        <v>40057</v>
      </c>
      <c r="B91" s="1443">
        <v>444898</v>
      </c>
      <c r="C91" s="1444">
        <v>19799795</v>
      </c>
      <c r="D91" s="1444">
        <v>21</v>
      </c>
      <c r="E91" s="1445">
        <v>21186</v>
      </c>
      <c r="F91" s="1446">
        <v>942847</v>
      </c>
    </row>
    <row r="92" spans="1:6">
      <c r="A92" s="1447">
        <v>40087</v>
      </c>
      <c r="B92" s="1443">
        <v>483879</v>
      </c>
      <c r="C92" s="1444">
        <v>21905207</v>
      </c>
      <c r="D92" s="1444">
        <v>22</v>
      </c>
      <c r="E92" s="1445">
        <v>21995</v>
      </c>
      <c r="F92" s="1446">
        <v>995691</v>
      </c>
    </row>
    <row r="93" spans="1:6">
      <c r="A93" s="1447">
        <v>40118</v>
      </c>
      <c r="B93" s="1443">
        <v>431066</v>
      </c>
      <c r="C93" s="1444">
        <v>19822919</v>
      </c>
      <c r="D93" s="1444">
        <v>20</v>
      </c>
      <c r="E93" s="1445">
        <v>21554</v>
      </c>
      <c r="F93" s="1446">
        <v>991146</v>
      </c>
    </row>
    <row r="94" spans="1:6">
      <c r="A94" s="1447">
        <v>40148</v>
      </c>
      <c r="B94" s="1443">
        <v>526376</v>
      </c>
      <c r="C94" s="1444">
        <v>25728294</v>
      </c>
      <c r="D94" s="1444">
        <v>22</v>
      </c>
      <c r="E94" s="1445">
        <v>23926</v>
      </c>
      <c r="F94" s="1446">
        <v>1169468</v>
      </c>
    </row>
    <row r="95" spans="1:6">
      <c r="A95" s="1447">
        <v>40179</v>
      </c>
      <c r="B95" s="1443">
        <v>403964</v>
      </c>
      <c r="C95" s="1444">
        <v>19483893</v>
      </c>
      <c r="D95" s="1444">
        <v>20</v>
      </c>
      <c r="E95" s="1445">
        <v>20198</v>
      </c>
      <c r="F95" s="1446">
        <v>974195</v>
      </c>
    </row>
    <row r="96" spans="1:6">
      <c r="A96" s="1447">
        <v>40210</v>
      </c>
      <c r="B96" s="1443">
        <v>381478</v>
      </c>
      <c r="C96" s="1444">
        <v>17757496</v>
      </c>
      <c r="D96" s="1444">
        <v>18</v>
      </c>
      <c r="E96" s="1445">
        <v>21193</v>
      </c>
      <c r="F96" s="1446">
        <v>986528</v>
      </c>
    </row>
    <row r="97" spans="1:6">
      <c r="A97" s="1447">
        <v>40238</v>
      </c>
      <c r="B97" s="1443">
        <v>476460</v>
      </c>
      <c r="C97" s="1444">
        <v>21813844</v>
      </c>
      <c r="D97" s="1444">
        <v>21</v>
      </c>
      <c r="E97" s="1445">
        <v>22688</v>
      </c>
      <c r="F97" s="1446">
        <v>1038755</v>
      </c>
    </row>
    <row r="98" spans="1:6">
      <c r="A98" s="1447">
        <v>40269</v>
      </c>
      <c r="B98" s="1443">
        <v>478241</v>
      </c>
      <c r="C98" s="1444">
        <v>22600161</v>
      </c>
      <c r="D98" s="1444">
        <v>22</v>
      </c>
      <c r="E98" s="1445">
        <v>21738</v>
      </c>
      <c r="F98" s="1446">
        <v>1027280</v>
      </c>
    </row>
    <row r="99" spans="1:6">
      <c r="A99" s="1447">
        <v>40299</v>
      </c>
      <c r="B99" s="1443">
        <v>419366</v>
      </c>
      <c r="C99" s="1444">
        <v>20193361</v>
      </c>
      <c r="D99" s="1444">
        <v>20</v>
      </c>
      <c r="E99" s="1445">
        <v>20969</v>
      </c>
      <c r="F99" s="1446">
        <v>1009668</v>
      </c>
    </row>
    <row r="100" spans="1:6">
      <c r="A100" s="1447">
        <v>40330</v>
      </c>
      <c r="B100" s="1443">
        <v>448294</v>
      </c>
      <c r="C100" s="1444">
        <v>21051307</v>
      </c>
      <c r="D100" s="1444">
        <v>22</v>
      </c>
      <c r="E100" s="1445">
        <v>20377</v>
      </c>
      <c r="F100" s="1446">
        <v>956878</v>
      </c>
    </row>
    <row r="101" spans="1:6">
      <c r="A101" s="1447">
        <v>40360</v>
      </c>
      <c r="B101" s="1443">
        <v>447586</v>
      </c>
      <c r="C101" s="1444">
        <v>21884958</v>
      </c>
      <c r="D101" s="1444">
        <v>22</v>
      </c>
      <c r="E101" s="1445">
        <v>20345</v>
      </c>
      <c r="F101" s="1446">
        <v>994771</v>
      </c>
    </row>
    <row r="102" spans="1:6">
      <c r="A102" s="1428">
        <v>40391</v>
      </c>
      <c r="B102" s="1448">
        <v>435490</v>
      </c>
      <c r="C102" s="1444">
        <v>21023041</v>
      </c>
      <c r="D102" s="1444">
        <v>22</v>
      </c>
      <c r="E102" s="1445">
        <v>19795</v>
      </c>
      <c r="F102" s="1446">
        <v>955593</v>
      </c>
    </row>
    <row r="103" spans="1:6">
      <c r="A103" s="1428">
        <v>40422</v>
      </c>
      <c r="B103" s="1448">
        <v>431049</v>
      </c>
      <c r="C103" s="1444">
        <v>20726682</v>
      </c>
      <c r="D103" s="1444">
        <v>21</v>
      </c>
      <c r="E103" s="1445">
        <v>20526</v>
      </c>
      <c r="F103" s="1446">
        <v>986985</v>
      </c>
    </row>
    <row r="104" spans="1:6">
      <c r="A104" s="1428">
        <v>40452</v>
      </c>
      <c r="B104" s="1448">
        <v>443872</v>
      </c>
      <c r="C104" s="1444">
        <v>21052303</v>
      </c>
      <c r="D104" s="1444">
        <v>21</v>
      </c>
      <c r="E104" s="1445">
        <v>21137</v>
      </c>
      <c r="F104" s="1446">
        <v>1002491</v>
      </c>
    </row>
    <row r="105" spans="1:6">
      <c r="A105" s="1428">
        <v>40483</v>
      </c>
      <c r="B105" s="1448">
        <f>474238+4149</f>
        <v>478387</v>
      </c>
      <c r="C105" s="1444">
        <f>(22010411613.16+83993532.03)/1000</f>
        <v>22094405.145189997</v>
      </c>
      <c r="D105" s="1444">
        <v>20</v>
      </c>
      <c r="E105" s="1445">
        <f>B105/D105</f>
        <v>23919.35</v>
      </c>
      <c r="F105" s="1446">
        <f>C105/20</f>
        <v>1104720.2572594997</v>
      </c>
    </row>
    <row r="106" spans="1:6">
      <c r="A106" s="1428">
        <v>40513</v>
      </c>
      <c r="B106" s="1448">
        <v>562286</v>
      </c>
      <c r="C106" s="1444">
        <v>29385611</v>
      </c>
      <c r="D106" s="1444">
        <v>23</v>
      </c>
      <c r="E106" s="1445">
        <v>26776</v>
      </c>
      <c r="F106" s="1446">
        <v>1399315</v>
      </c>
    </row>
    <row r="107" spans="1:6">
      <c r="A107" s="1428">
        <v>40544</v>
      </c>
      <c r="B107" s="1449">
        <v>404261</v>
      </c>
      <c r="C107" s="1450">
        <v>18665282</v>
      </c>
      <c r="D107" s="1450">
        <v>19</v>
      </c>
      <c r="E107" s="1451">
        <v>21277</v>
      </c>
      <c r="F107" s="1452">
        <v>982383</v>
      </c>
    </row>
    <row r="108" spans="1:6">
      <c r="A108" s="1428">
        <v>40575</v>
      </c>
      <c r="B108" s="1449">
        <v>410417</v>
      </c>
      <c r="C108" s="1450">
        <v>20754567</v>
      </c>
      <c r="D108" s="1450">
        <v>18</v>
      </c>
      <c r="E108" s="1451">
        <v>22801</v>
      </c>
      <c r="F108" s="1452">
        <v>1153032</v>
      </c>
    </row>
    <row r="109" spans="1:6">
      <c r="A109" s="1428">
        <v>40603</v>
      </c>
      <c r="B109" s="1449">
        <v>480048</v>
      </c>
      <c r="C109" s="1450">
        <v>22665919</v>
      </c>
      <c r="D109" s="1450">
        <v>22</v>
      </c>
      <c r="E109" s="1451">
        <v>21820</v>
      </c>
      <c r="F109" s="1452">
        <v>1030269</v>
      </c>
    </row>
    <row r="110" spans="1:6">
      <c r="A110" s="1428">
        <v>40634</v>
      </c>
      <c r="B110" s="1449">
        <v>429435</v>
      </c>
      <c r="C110" s="1450">
        <v>20514130</v>
      </c>
      <c r="D110" s="1450">
        <v>20</v>
      </c>
      <c r="E110" s="1451">
        <v>21472</v>
      </c>
      <c r="F110" s="1452">
        <v>1025707</v>
      </c>
    </row>
    <row r="111" spans="1:6">
      <c r="A111" s="1428">
        <v>40664</v>
      </c>
      <c r="B111" s="1449">
        <v>472258</v>
      </c>
      <c r="C111" s="1450">
        <v>22338190</v>
      </c>
      <c r="D111" s="1450">
        <v>22</v>
      </c>
      <c r="E111" s="1451">
        <v>21466</v>
      </c>
      <c r="F111" s="1452">
        <v>1015372</v>
      </c>
    </row>
    <row r="112" spans="1:6">
      <c r="A112" s="1428">
        <v>40695</v>
      </c>
      <c r="B112" s="1449">
        <v>459609</v>
      </c>
      <c r="C112" s="1450">
        <v>23452306</v>
      </c>
      <c r="D112" s="1450">
        <v>22</v>
      </c>
      <c r="E112" s="1451">
        <v>20891</v>
      </c>
      <c r="F112" s="1452">
        <v>1066014</v>
      </c>
    </row>
    <row r="113" spans="1:6">
      <c r="A113" s="1428">
        <v>40725</v>
      </c>
      <c r="B113" s="1449">
        <v>436511</v>
      </c>
      <c r="C113" s="1450">
        <v>22202850</v>
      </c>
      <c r="D113" s="1450">
        <v>21</v>
      </c>
      <c r="E113" s="1451">
        <v>20786</v>
      </c>
      <c r="F113" s="1452">
        <v>1057279</v>
      </c>
    </row>
    <row r="114" spans="1:6">
      <c r="A114" s="1428">
        <v>40756</v>
      </c>
      <c r="B114" s="1449">
        <v>446499</v>
      </c>
      <c r="C114" s="1450">
        <v>21637527</v>
      </c>
      <c r="D114" s="1450">
        <v>22</v>
      </c>
      <c r="E114" s="1451">
        <v>20295</v>
      </c>
      <c r="F114" s="1452">
        <v>983524</v>
      </c>
    </row>
    <row r="115" spans="1:6">
      <c r="A115" s="1428">
        <v>40787</v>
      </c>
      <c r="B115" s="1449">
        <v>439837</v>
      </c>
      <c r="C115" s="1450">
        <v>20864985</v>
      </c>
      <c r="D115" s="1450">
        <v>21</v>
      </c>
      <c r="E115" s="1451">
        <v>20945</v>
      </c>
      <c r="F115" s="1452">
        <v>993571</v>
      </c>
    </row>
    <row r="116" spans="1:6">
      <c r="A116" s="1428">
        <v>40817</v>
      </c>
      <c r="B116" s="1449">
        <v>429409</v>
      </c>
      <c r="C116" s="1450">
        <v>21844470</v>
      </c>
      <c r="D116" s="1450">
        <v>20</v>
      </c>
      <c r="E116" s="1451">
        <v>21470</v>
      </c>
      <c r="F116" s="1452">
        <v>1092223</v>
      </c>
    </row>
    <row r="117" spans="1:6">
      <c r="A117" s="1428">
        <v>40848</v>
      </c>
      <c r="B117" s="1449">
        <v>441789</v>
      </c>
      <c r="C117" s="1450">
        <v>21637089</v>
      </c>
      <c r="D117" s="1450">
        <v>20</v>
      </c>
      <c r="E117" s="1451">
        <v>22089</v>
      </c>
      <c r="F117" s="1452">
        <v>1081854</v>
      </c>
    </row>
    <row r="118" spans="1:6">
      <c r="A118" s="1428">
        <v>40878</v>
      </c>
      <c r="B118" s="1449">
        <v>509153</v>
      </c>
      <c r="C118" s="1450">
        <v>26909768</v>
      </c>
      <c r="D118" s="1450">
        <v>22</v>
      </c>
      <c r="E118" s="1451">
        <v>23143</v>
      </c>
      <c r="F118" s="1452">
        <v>1223171</v>
      </c>
    </row>
    <row r="119" spans="1:6">
      <c r="A119" s="1428">
        <v>40909</v>
      </c>
      <c r="B119" s="1449">
        <v>411557</v>
      </c>
      <c r="C119" s="1450">
        <v>20402574</v>
      </c>
      <c r="D119" s="1450">
        <v>20</v>
      </c>
      <c r="E119" s="1451">
        <v>20578</v>
      </c>
      <c r="F119" s="1452">
        <v>1020129</v>
      </c>
    </row>
    <row r="120" spans="1:6">
      <c r="A120" s="1428">
        <v>40940</v>
      </c>
      <c r="B120" s="1449">
        <v>401302</v>
      </c>
      <c r="C120" s="1450">
        <v>20239873</v>
      </c>
      <c r="D120" s="1450">
        <v>18</v>
      </c>
      <c r="E120" s="1451">
        <v>22295</v>
      </c>
      <c r="F120" s="1452">
        <v>1124437</v>
      </c>
    </row>
    <row r="121" spans="1:6">
      <c r="A121" s="1428">
        <v>40969</v>
      </c>
      <c r="B121" s="1449">
        <v>432715</v>
      </c>
      <c r="C121" s="1450">
        <v>21349071</v>
      </c>
      <c r="D121" s="1450">
        <v>20</v>
      </c>
      <c r="E121" s="1451">
        <v>21636</v>
      </c>
      <c r="F121" s="1452">
        <v>1067454</v>
      </c>
    </row>
    <row r="122" spans="1:6">
      <c r="A122" s="1428">
        <v>41000</v>
      </c>
      <c r="B122" s="1449">
        <v>436837</v>
      </c>
      <c r="C122" s="1450">
        <v>21910904</v>
      </c>
      <c r="D122" s="1450">
        <v>21</v>
      </c>
      <c r="E122" s="1451">
        <v>20802</v>
      </c>
      <c r="F122" s="1452">
        <v>1043376</v>
      </c>
    </row>
    <row r="123" spans="1:6" ht="12" customHeight="1">
      <c r="A123" s="1428">
        <v>41030</v>
      </c>
      <c r="B123" s="1449">
        <v>470150</v>
      </c>
      <c r="C123" s="1450">
        <v>22379207</v>
      </c>
      <c r="D123" s="1450">
        <v>22</v>
      </c>
      <c r="E123" s="1451">
        <v>21370</v>
      </c>
      <c r="F123" s="1452">
        <v>1017237</v>
      </c>
    </row>
    <row r="124" spans="1:6" ht="12" customHeight="1">
      <c r="A124" s="1428">
        <v>41061</v>
      </c>
      <c r="B124" s="1453">
        <v>423483</v>
      </c>
      <c r="C124" s="1450">
        <v>21139261</v>
      </c>
      <c r="D124" s="1450">
        <v>21</v>
      </c>
      <c r="E124" s="1451">
        <v>20166</v>
      </c>
      <c r="F124" s="1452">
        <v>1006631</v>
      </c>
    </row>
    <row r="125" spans="1:6" ht="12" customHeight="1">
      <c r="A125" s="1428">
        <v>41091</v>
      </c>
      <c r="B125" s="1453">
        <v>453418</v>
      </c>
      <c r="C125" s="1450">
        <v>23746073</v>
      </c>
      <c r="D125" s="1450">
        <v>22</v>
      </c>
      <c r="E125" s="1451">
        <v>20610</v>
      </c>
      <c r="F125" s="1452">
        <v>1079367</v>
      </c>
    </row>
    <row r="126" spans="1:6" ht="12" customHeight="1">
      <c r="A126" s="1428">
        <v>41122</v>
      </c>
      <c r="B126" s="1454">
        <v>428256</v>
      </c>
      <c r="C126" s="1450">
        <v>21776630</v>
      </c>
      <c r="D126" s="1450">
        <v>21</v>
      </c>
      <c r="E126" s="1451">
        <v>20393</v>
      </c>
      <c r="F126" s="1455">
        <v>1036982</v>
      </c>
    </row>
    <row r="127" spans="1:6" ht="12" customHeight="1">
      <c r="A127" s="1428">
        <v>41153</v>
      </c>
      <c r="B127" s="1454">
        <v>397667</v>
      </c>
      <c r="C127" s="1450">
        <v>20543860</v>
      </c>
      <c r="D127" s="1450">
        <v>19</v>
      </c>
      <c r="E127" s="1451">
        <v>20930</v>
      </c>
      <c r="F127" s="1455">
        <v>1081256</v>
      </c>
    </row>
    <row r="128" spans="1:6" ht="12" customHeight="1">
      <c r="A128" s="1428">
        <v>41183</v>
      </c>
      <c r="B128" s="1454">
        <v>476909</v>
      </c>
      <c r="C128" s="1450">
        <v>25001750</v>
      </c>
      <c r="D128" s="1450">
        <v>23</v>
      </c>
      <c r="E128" s="1451">
        <v>20735</v>
      </c>
      <c r="F128" s="1455">
        <v>1087033</v>
      </c>
    </row>
    <row r="129" spans="1:8" ht="12" customHeight="1">
      <c r="A129" s="1428">
        <v>41214</v>
      </c>
      <c r="B129" s="1454">
        <v>423120</v>
      </c>
      <c r="C129" s="1450">
        <v>21648556</v>
      </c>
      <c r="D129" s="1450">
        <v>20</v>
      </c>
      <c r="E129" s="1451">
        <v>21156</v>
      </c>
      <c r="F129" s="1455">
        <v>1082428</v>
      </c>
    </row>
    <row r="130" spans="1:8" ht="12" customHeight="1">
      <c r="A130" s="1428">
        <v>41244</v>
      </c>
      <c r="B130" s="1454">
        <v>458402</v>
      </c>
      <c r="C130" s="1450">
        <v>25455656</v>
      </c>
      <c r="D130" s="1450">
        <v>20</v>
      </c>
      <c r="E130" s="1451">
        <v>22920</v>
      </c>
      <c r="F130" s="1455">
        <v>1272783</v>
      </c>
    </row>
    <row r="131" spans="1:8" ht="12" customHeight="1">
      <c r="A131" s="1428">
        <v>41275</v>
      </c>
      <c r="B131" s="1454">
        <v>419313</v>
      </c>
      <c r="C131" s="1450">
        <v>21859942</v>
      </c>
      <c r="D131" s="1450">
        <v>21</v>
      </c>
      <c r="E131" s="1451">
        <v>19967</v>
      </c>
      <c r="F131" s="1455">
        <v>1040950</v>
      </c>
    </row>
    <row r="132" spans="1:8" ht="12" customHeight="1" thickBot="1">
      <c r="A132" s="1456">
        <v>41306</v>
      </c>
      <c r="B132" s="1457">
        <v>369245</v>
      </c>
      <c r="C132" s="1458">
        <v>19588068</v>
      </c>
      <c r="D132" s="1458">
        <v>19</v>
      </c>
      <c r="E132" s="1459">
        <v>19434</v>
      </c>
      <c r="F132" s="1460">
        <v>1030951</v>
      </c>
    </row>
    <row r="133" spans="1:8" s="1462" customFormat="1" ht="13.5" thickTop="1">
      <c r="A133" s="1461" t="s">
        <v>1360</v>
      </c>
      <c r="B133" s="1461"/>
      <c r="C133" s="1461"/>
      <c r="D133" s="1461"/>
      <c r="E133" s="1461"/>
      <c r="F133" s="1461"/>
    </row>
    <row r="134" spans="1:8">
      <c r="A134" s="1463"/>
      <c r="B134" s="1464"/>
      <c r="C134" s="1464"/>
      <c r="D134" s="1464"/>
      <c r="E134" s="1464"/>
      <c r="F134" s="1464"/>
    </row>
    <row r="135" spans="1:8">
      <c r="A135" s="1463"/>
      <c r="B135" s="1463"/>
      <c r="D135" s="1465"/>
      <c r="E135" s="1463"/>
      <c r="F135" s="1463"/>
    </row>
    <row r="136" spans="1:8">
      <c r="A136" s="1463"/>
      <c r="B136" s="1463"/>
      <c r="C136" s="1465"/>
      <c r="D136" s="1463"/>
      <c r="E136" s="1463"/>
      <c r="F136" s="1463"/>
    </row>
    <row r="137" spans="1:8">
      <c r="A137" s="1463"/>
      <c r="B137" s="1463"/>
      <c r="C137" s="1463"/>
      <c r="D137" s="1463"/>
      <c r="E137" s="1463"/>
      <c r="F137" s="1463"/>
    </row>
    <row r="138" spans="1:8">
      <c r="A138" s="1463"/>
      <c r="B138" s="1463"/>
      <c r="C138" s="1466"/>
      <c r="D138" s="1453"/>
      <c r="E138" s="1453"/>
      <c r="F138" s="1453"/>
      <c r="G138" s="1467"/>
      <c r="H138" s="1467"/>
    </row>
    <row r="139" spans="1:8">
      <c r="A139" s="1463"/>
      <c r="B139" s="1463"/>
      <c r="C139" s="1463"/>
      <c r="D139" s="1463"/>
      <c r="E139" s="1463"/>
      <c r="F139" s="1463"/>
    </row>
    <row r="140" spans="1:8">
      <c r="A140" s="1463"/>
      <c r="B140" s="1463"/>
      <c r="C140" s="1463"/>
      <c r="D140" s="1463"/>
      <c r="E140" s="1463"/>
      <c r="F140" s="1463"/>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65"/>
  <sheetViews>
    <sheetView zoomScaleNormal="100" workbookViewId="0">
      <pane xSplit="36" ySplit="4" topLeftCell="CB5" activePane="bottomRight" state="frozen"/>
      <selection pane="topRight" activeCell="AK1" sqref="AK1"/>
      <selection pane="bottomLeft" activeCell="A5" sqref="A5"/>
      <selection pane="bottomRight" activeCell="A11" sqref="A11"/>
    </sheetView>
  </sheetViews>
  <sheetFormatPr defaultRowHeight="12.75"/>
  <cols>
    <col min="1" max="1" width="55.7109375" style="350" customWidth="1"/>
    <col min="2" max="3" width="11" style="350" hidden="1" customWidth="1"/>
    <col min="4" max="4" width="10.140625" style="350" hidden="1" customWidth="1"/>
    <col min="5" max="6" width="9.140625" style="350" hidden="1" customWidth="1"/>
    <col min="7" max="7" width="10.42578125" style="350" hidden="1" customWidth="1"/>
    <col min="8" max="8" width="11.42578125" style="350" hidden="1" customWidth="1"/>
    <col min="9" max="9" width="10" style="350" hidden="1" customWidth="1"/>
    <col min="10" max="10" width="10.42578125" style="350" hidden="1" customWidth="1"/>
    <col min="11" max="11" width="11.28515625" style="350" hidden="1" customWidth="1"/>
    <col min="12" max="12" width="10.5703125" style="350" hidden="1" customWidth="1"/>
    <col min="13" max="13" width="10.42578125" style="350" hidden="1" customWidth="1"/>
    <col min="14" max="14" width="10.140625" style="350" hidden="1" customWidth="1"/>
    <col min="15" max="15" width="11.85546875" style="350" hidden="1" customWidth="1"/>
    <col min="16" max="16" width="12.5703125" style="350" hidden="1" customWidth="1"/>
    <col min="17" max="17" width="10.5703125" style="350" hidden="1" customWidth="1"/>
    <col min="18" max="48" width="11" style="350" hidden="1" customWidth="1"/>
    <col min="49" max="49" width="10" style="350" hidden="1" customWidth="1"/>
    <col min="50" max="51" width="11" style="350" hidden="1" customWidth="1"/>
    <col min="52" max="52" width="10.42578125" style="350" hidden="1" customWidth="1"/>
    <col min="53" max="54" width="11" style="350" hidden="1" customWidth="1"/>
    <col min="55" max="55" width="10" style="350" hidden="1" customWidth="1"/>
    <col min="56" max="58" width="11" style="350" hidden="1" customWidth="1"/>
    <col min="59" max="59" width="10.42578125" style="350" hidden="1" customWidth="1"/>
    <col min="60" max="60" width="10.42578125" style="129" hidden="1" customWidth="1"/>
    <col min="61" max="61" width="12.85546875" style="129" hidden="1" customWidth="1"/>
    <col min="62" max="65" width="10" style="129" hidden="1" customWidth="1"/>
    <col min="66" max="67" width="10" style="350" hidden="1" customWidth="1"/>
    <col min="68" max="70" width="11.5703125" style="350" hidden="1" customWidth="1"/>
    <col min="71" max="72" width="11.140625" style="350" hidden="1" customWidth="1"/>
    <col min="73" max="79" width="10.7109375" style="350" hidden="1" customWidth="1"/>
    <col min="80" max="80" width="9.7109375" style="350" customWidth="1"/>
    <col min="81" max="82" width="9.85546875" style="350" customWidth="1"/>
    <col min="83" max="83" width="9.28515625" style="350" customWidth="1"/>
    <col min="84" max="84" width="9.85546875" style="350" customWidth="1"/>
    <col min="85" max="85" width="9.5703125" style="350" customWidth="1"/>
    <col min="86" max="86" width="9.140625" style="350"/>
    <col min="87" max="87" width="9.42578125" style="350" customWidth="1"/>
    <col min="88" max="90" width="9.140625" style="350"/>
    <col min="91" max="91" width="9.140625" style="350" customWidth="1"/>
    <col min="92" max="92" width="9.28515625" style="350" customWidth="1"/>
    <col min="93" max="16384" width="9.140625" style="350"/>
  </cols>
  <sheetData>
    <row r="1" spans="1:92">
      <c r="A1" s="143"/>
    </row>
    <row r="2" spans="1:92" ht="16.5">
      <c r="A2" s="164" t="s">
        <v>2591</v>
      </c>
      <c r="B2" s="129"/>
      <c r="C2" s="129"/>
    </row>
    <row r="3" spans="1:92" ht="13.5" thickBo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F3" s="142"/>
      <c r="AH3" s="354" t="s">
        <v>2590</v>
      </c>
      <c r="AI3" s="354"/>
      <c r="AL3" s="353"/>
      <c r="AM3" s="353"/>
      <c r="AO3" s="353"/>
      <c r="AP3" s="353"/>
      <c r="AQ3" s="353"/>
      <c r="AR3" s="353" t="s">
        <v>2589</v>
      </c>
      <c r="AS3" s="353"/>
      <c r="AT3" s="353"/>
      <c r="AU3" s="167"/>
      <c r="AV3" s="167"/>
      <c r="AW3" s="167"/>
      <c r="AX3" s="167"/>
      <c r="AY3" s="167"/>
      <c r="AZ3" s="167"/>
      <c r="BA3" s="167"/>
      <c r="BB3" s="167" t="s">
        <v>2589</v>
      </c>
      <c r="BC3" s="353"/>
      <c r="BD3" s="353"/>
      <c r="BE3" s="353"/>
      <c r="BF3" s="353"/>
      <c r="BG3" s="353"/>
      <c r="BH3" s="353"/>
      <c r="BI3" s="353"/>
      <c r="BJ3" s="353"/>
      <c r="BK3" s="353"/>
      <c r="BL3" s="353"/>
      <c r="BM3" s="353"/>
      <c r="BO3" s="353"/>
      <c r="BP3" s="167"/>
      <c r="BQ3" s="167" t="s">
        <v>2589</v>
      </c>
      <c r="BR3" s="353"/>
      <c r="BS3" s="353"/>
      <c r="CG3" s="353" t="s">
        <v>2588</v>
      </c>
    </row>
    <row r="4" spans="1:92" ht="14.25" thickTop="1" thickBot="1">
      <c r="A4" s="1533"/>
      <c r="B4" s="1532">
        <v>38534</v>
      </c>
      <c r="C4" s="1531">
        <v>38565</v>
      </c>
      <c r="D4" s="1531">
        <v>38596</v>
      </c>
      <c r="E4" s="1531">
        <v>38626</v>
      </c>
      <c r="F4" s="1532">
        <v>38657</v>
      </c>
      <c r="G4" s="1531">
        <v>38687</v>
      </c>
      <c r="H4" s="1531">
        <v>38718</v>
      </c>
      <c r="I4" s="1531">
        <v>38749</v>
      </c>
      <c r="J4" s="1531">
        <v>38777</v>
      </c>
      <c r="K4" s="1531">
        <v>38808</v>
      </c>
      <c r="L4" s="1531">
        <v>38838</v>
      </c>
      <c r="M4" s="1531">
        <v>38869</v>
      </c>
      <c r="N4" s="1532">
        <v>38899</v>
      </c>
      <c r="O4" s="1531">
        <v>38930</v>
      </c>
      <c r="P4" s="1531">
        <v>38961</v>
      </c>
      <c r="Q4" s="1532">
        <v>38991</v>
      </c>
      <c r="R4" s="1531">
        <v>39022</v>
      </c>
      <c r="S4" s="1531">
        <v>39052</v>
      </c>
      <c r="T4" s="1530">
        <v>39083</v>
      </c>
      <c r="U4" s="1530">
        <v>39114</v>
      </c>
      <c r="V4" s="1530">
        <v>39142</v>
      </c>
      <c r="W4" s="1530">
        <v>39173</v>
      </c>
      <c r="X4" s="1530">
        <v>39203</v>
      </c>
      <c r="Y4" s="1530">
        <v>39234</v>
      </c>
      <c r="Z4" s="1530">
        <v>39264</v>
      </c>
      <c r="AA4" s="1530">
        <v>39295</v>
      </c>
      <c r="AB4" s="1530">
        <v>39326</v>
      </c>
      <c r="AC4" s="1530">
        <v>39356</v>
      </c>
      <c r="AD4" s="1530">
        <v>39387</v>
      </c>
      <c r="AE4" s="1530">
        <v>39417</v>
      </c>
      <c r="AF4" s="1530">
        <v>39455</v>
      </c>
      <c r="AG4" s="1530">
        <v>39486</v>
      </c>
      <c r="AH4" s="1530">
        <v>39515</v>
      </c>
      <c r="AI4" s="1530">
        <v>39546</v>
      </c>
      <c r="AJ4" s="1530">
        <v>39576</v>
      </c>
      <c r="AK4" s="1530">
        <v>39607</v>
      </c>
      <c r="AL4" s="1530">
        <v>39637</v>
      </c>
      <c r="AM4" s="1530">
        <v>39668</v>
      </c>
      <c r="AN4" s="1530">
        <v>39699</v>
      </c>
      <c r="AO4" s="1530">
        <v>39729</v>
      </c>
      <c r="AP4" s="1530">
        <v>39760</v>
      </c>
      <c r="AQ4" s="1530">
        <v>39790</v>
      </c>
      <c r="AR4" s="1530">
        <v>39821</v>
      </c>
      <c r="AS4" s="1530">
        <v>39852</v>
      </c>
      <c r="AT4" s="1530">
        <v>39880</v>
      </c>
      <c r="AU4" s="1530">
        <v>39911</v>
      </c>
      <c r="AV4" s="1530">
        <v>39941</v>
      </c>
      <c r="AW4" s="1530">
        <v>39972</v>
      </c>
      <c r="AX4" s="1530">
        <v>40002</v>
      </c>
      <c r="AY4" s="1530">
        <v>40033</v>
      </c>
      <c r="AZ4" s="1530">
        <v>40064</v>
      </c>
      <c r="BA4" s="1530">
        <v>40094</v>
      </c>
      <c r="BB4" s="1530">
        <v>40125</v>
      </c>
      <c r="BC4" s="1530">
        <v>40155</v>
      </c>
      <c r="BD4" s="1530">
        <v>40186</v>
      </c>
      <c r="BE4" s="1530">
        <v>40217</v>
      </c>
      <c r="BF4" s="1530">
        <v>40245</v>
      </c>
      <c r="BG4" s="1530">
        <v>40276</v>
      </c>
      <c r="BH4" s="1530">
        <v>40306</v>
      </c>
      <c r="BI4" s="1530">
        <v>40337</v>
      </c>
      <c r="BJ4" s="1530">
        <v>40367</v>
      </c>
      <c r="BK4" s="1530">
        <v>40398</v>
      </c>
      <c r="BL4" s="1530">
        <v>40429</v>
      </c>
      <c r="BM4" s="1528" t="s">
        <v>356</v>
      </c>
      <c r="BN4" s="1528" t="s">
        <v>497</v>
      </c>
      <c r="BO4" s="1528" t="s">
        <v>2587</v>
      </c>
      <c r="BP4" s="1528" t="s">
        <v>2586</v>
      </c>
      <c r="BQ4" s="1528" t="s">
        <v>2585</v>
      </c>
      <c r="BR4" s="1528" t="s">
        <v>2584</v>
      </c>
      <c r="BS4" s="1528" t="s">
        <v>2583</v>
      </c>
      <c r="BT4" s="1528">
        <v>40664</v>
      </c>
      <c r="BU4" s="1528">
        <v>40695</v>
      </c>
      <c r="BV4" s="1528">
        <v>40725</v>
      </c>
      <c r="BW4" s="1528" t="s">
        <v>2582</v>
      </c>
      <c r="BX4" s="1528" t="s">
        <v>2581</v>
      </c>
      <c r="BY4" s="1528" t="s">
        <v>2580</v>
      </c>
      <c r="BZ4" s="1529" t="s">
        <v>2579</v>
      </c>
      <c r="CA4" s="1528" t="s">
        <v>2578</v>
      </c>
      <c r="CB4" s="1528" t="s">
        <v>2577</v>
      </c>
      <c r="CC4" s="1528" t="s">
        <v>2576</v>
      </c>
      <c r="CD4" s="1528" t="s">
        <v>2575</v>
      </c>
      <c r="CE4" s="1528" t="s">
        <v>2574</v>
      </c>
      <c r="CF4" s="1528" t="s">
        <v>2573</v>
      </c>
      <c r="CG4" s="1528" t="s">
        <v>2572</v>
      </c>
      <c r="CH4" s="1528" t="s">
        <v>2571</v>
      </c>
      <c r="CI4" s="1528" t="s">
        <v>2570</v>
      </c>
      <c r="CJ4" s="1528" t="s">
        <v>2569</v>
      </c>
      <c r="CK4" s="1528" t="s">
        <v>2568</v>
      </c>
      <c r="CL4" s="1528" t="s">
        <v>2567</v>
      </c>
      <c r="CM4" s="1528" t="s">
        <v>2566</v>
      </c>
      <c r="CN4" s="1528" t="s">
        <v>2565</v>
      </c>
    </row>
    <row r="5" spans="1:92" ht="13.5" thickTop="1">
      <c r="A5" s="1509"/>
      <c r="B5" s="386"/>
      <c r="C5" s="1527"/>
      <c r="D5" s="1527"/>
      <c r="E5" s="1527"/>
      <c r="F5" s="1526"/>
      <c r="G5" s="1525"/>
      <c r="H5" s="1525"/>
      <c r="I5" s="1525"/>
      <c r="J5" s="1525"/>
      <c r="K5" s="1525"/>
      <c r="L5" s="1525"/>
      <c r="M5" s="1525"/>
      <c r="N5" s="1526"/>
      <c r="O5" s="1525"/>
      <c r="P5" s="1525"/>
      <c r="Q5" s="1526"/>
      <c r="R5" s="1525"/>
      <c r="S5" s="1525"/>
      <c r="T5" s="1522"/>
      <c r="U5" s="1522"/>
      <c r="V5" s="1521"/>
      <c r="W5" s="1521"/>
      <c r="X5" s="1521"/>
      <c r="Y5" s="1521"/>
      <c r="Z5" s="1521"/>
      <c r="AA5" s="1521"/>
      <c r="AB5" s="1521"/>
      <c r="AC5" s="1521"/>
      <c r="AD5" s="1521"/>
      <c r="AE5" s="1521"/>
      <c r="AF5" s="1521"/>
      <c r="AG5" s="1521"/>
      <c r="AH5" s="1521"/>
      <c r="AI5" s="1521"/>
      <c r="AJ5" s="1521"/>
      <c r="AK5" s="1521"/>
      <c r="AL5" s="1521"/>
      <c r="AM5" s="1521"/>
      <c r="AN5" s="1524"/>
      <c r="AO5" s="1521"/>
      <c r="AP5" s="1521"/>
      <c r="AQ5" s="1521"/>
      <c r="AR5" s="1521"/>
      <c r="AS5" s="1521"/>
      <c r="AT5" s="1521"/>
      <c r="AU5" s="1521"/>
      <c r="AV5" s="1521"/>
      <c r="AW5" s="1521"/>
      <c r="AX5" s="1521"/>
      <c r="AY5" s="1521"/>
      <c r="AZ5" s="1521"/>
      <c r="BA5" s="1521"/>
      <c r="BB5" s="1521"/>
      <c r="BC5" s="1521"/>
      <c r="BD5" s="1521"/>
      <c r="BE5" s="1521"/>
      <c r="BF5" s="1521"/>
      <c r="BG5" s="1521"/>
      <c r="BH5" s="1524"/>
      <c r="BI5" s="1524"/>
      <c r="BJ5" s="1524"/>
      <c r="BK5" s="1524"/>
      <c r="BL5" s="1524"/>
      <c r="BM5" s="1524"/>
      <c r="BN5" s="1524"/>
      <c r="BO5" s="1524"/>
      <c r="BP5" s="1523"/>
      <c r="BQ5" s="1523"/>
      <c r="BR5" s="1523"/>
      <c r="BS5" s="1523"/>
      <c r="BT5" s="1523"/>
      <c r="BU5" s="1523"/>
      <c r="BV5" s="1523"/>
      <c r="BW5" s="1523"/>
      <c r="BX5" s="1522"/>
      <c r="BY5" s="1522"/>
      <c r="BZ5" s="1521"/>
      <c r="CA5" s="1522"/>
      <c r="CB5" s="1522"/>
      <c r="CC5" s="1521"/>
      <c r="CD5" s="1521"/>
      <c r="CE5" s="1521"/>
      <c r="CF5" s="1521"/>
      <c r="CG5" s="1521"/>
      <c r="CH5" s="1521"/>
      <c r="CI5" s="1521"/>
      <c r="CJ5" s="1521"/>
      <c r="CK5" s="1521"/>
      <c r="CL5" s="1521"/>
      <c r="CM5" s="1521"/>
      <c r="CN5" s="1521"/>
    </row>
    <row r="6" spans="1:92">
      <c r="A6" s="1520" t="s">
        <v>2564</v>
      </c>
      <c r="B6" s="135"/>
      <c r="C6" s="1492"/>
      <c r="D6" s="1492"/>
      <c r="E6" s="1492"/>
      <c r="F6" s="387"/>
      <c r="G6" s="1508"/>
      <c r="H6" s="1508"/>
      <c r="I6" s="1508"/>
      <c r="J6" s="1508"/>
      <c r="K6" s="1508"/>
      <c r="L6" s="1508"/>
      <c r="M6" s="1508"/>
      <c r="N6" s="387"/>
      <c r="O6" s="1508"/>
      <c r="P6" s="1508"/>
      <c r="Q6" s="387"/>
      <c r="R6" s="1508"/>
      <c r="S6" s="1508"/>
      <c r="T6" s="1507"/>
      <c r="U6" s="1507"/>
      <c r="V6" s="1506"/>
      <c r="W6" s="1506"/>
      <c r="X6" s="1506"/>
      <c r="Y6" s="1506"/>
      <c r="Z6" s="1506"/>
      <c r="AA6" s="1506"/>
      <c r="AB6" s="1506"/>
      <c r="AC6" s="1506"/>
      <c r="AD6" s="1506"/>
      <c r="AE6" s="1506"/>
      <c r="AF6" s="1506"/>
      <c r="AG6" s="1506"/>
      <c r="AH6" s="1506"/>
      <c r="AI6" s="1506"/>
      <c r="AJ6" s="1506"/>
      <c r="AK6" s="1506"/>
      <c r="AL6" s="1506"/>
      <c r="AM6" s="1506"/>
      <c r="AN6" s="1505"/>
      <c r="AO6" s="1506"/>
      <c r="AP6" s="1506"/>
      <c r="AQ6" s="1506"/>
      <c r="AR6" s="1506"/>
      <c r="AS6" s="1506"/>
      <c r="AT6" s="1506"/>
      <c r="AU6" s="1506"/>
      <c r="AV6" s="1506"/>
      <c r="AW6" s="1506"/>
      <c r="AX6" s="1506"/>
      <c r="AY6" s="1506"/>
      <c r="AZ6" s="1506"/>
      <c r="BA6" s="1506"/>
      <c r="BB6" s="1506"/>
      <c r="BC6" s="1506"/>
      <c r="BD6" s="1506"/>
      <c r="BE6" s="1506"/>
      <c r="BF6" s="1506"/>
      <c r="BG6" s="1506"/>
      <c r="BH6" s="1505"/>
      <c r="BI6" s="1505"/>
      <c r="BJ6" s="1505"/>
      <c r="BK6" s="1505"/>
      <c r="BL6" s="1505"/>
      <c r="BM6" s="1505"/>
      <c r="BN6" s="1505"/>
      <c r="BO6" s="1505"/>
      <c r="BP6" s="1490"/>
      <c r="BQ6" s="1490"/>
      <c r="BR6" s="1490"/>
      <c r="BS6" s="1490"/>
      <c r="BT6" s="1490"/>
      <c r="BU6" s="1490"/>
      <c r="BV6" s="1490"/>
      <c r="BW6" s="1490"/>
      <c r="BX6" s="1507"/>
      <c r="BY6" s="1507"/>
      <c r="BZ6" s="1506"/>
      <c r="CA6" s="1507"/>
      <c r="CB6" s="1507"/>
      <c r="CC6" s="1506"/>
      <c r="CD6" s="1506"/>
      <c r="CE6" s="1506"/>
      <c r="CF6" s="1506"/>
      <c r="CG6" s="1506"/>
      <c r="CH6" s="1506"/>
      <c r="CI6" s="1506"/>
      <c r="CJ6" s="1506"/>
      <c r="CK6" s="1506"/>
      <c r="CL6" s="1506"/>
      <c r="CM6" s="1506"/>
      <c r="CN6" s="1506"/>
    </row>
    <row r="7" spans="1:92">
      <c r="A7" s="1509"/>
      <c r="B7" s="135"/>
      <c r="C7" s="1492"/>
      <c r="D7" s="1492"/>
      <c r="E7" s="1492"/>
      <c r="F7" s="387"/>
      <c r="G7" s="1508"/>
      <c r="H7" s="1508"/>
      <c r="I7" s="1508"/>
      <c r="J7" s="1508"/>
      <c r="K7" s="1508"/>
      <c r="L7" s="1508"/>
      <c r="M7" s="1508"/>
      <c r="N7" s="387"/>
      <c r="O7" s="1508"/>
      <c r="P7" s="1508"/>
      <c r="Q7" s="387"/>
      <c r="R7" s="1508"/>
      <c r="S7" s="1508"/>
      <c r="T7" s="1507"/>
      <c r="U7" s="1507"/>
      <c r="V7" s="1506"/>
      <c r="W7" s="1506"/>
      <c r="X7" s="1506"/>
      <c r="Y7" s="1506"/>
      <c r="Z7" s="1506"/>
      <c r="AA7" s="1506"/>
      <c r="AB7" s="1506"/>
      <c r="AC7" s="1506"/>
      <c r="AD7" s="1506"/>
      <c r="AE7" s="1506"/>
      <c r="AF7" s="1506"/>
      <c r="AG7" s="1506"/>
      <c r="AH7" s="1506"/>
      <c r="AI7" s="1506"/>
      <c r="AJ7" s="1506"/>
      <c r="AK7" s="1506"/>
      <c r="AL7" s="1506"/>
      <c r="AM7" s="1506"/>
      <c r="AN7" s="1505"/>
      <c r="AO7" s="1506"/>
      <c r="AP7" s="1506"/>
      <c r="AQ7" s="1506"/>
      <c r="AR7" s="1506"/>
      <c r="AS7" s="1506"/>
      <c r="AT7" s="1506"/>
      <c r="AU7" s="1506"/>
      <c r="AV7" s="1506"/>
      <c r="AW7" s="1506"/>
      <c r="AX7" s="1506"/>
      <c r="AY7" s="1506"/>
      <c r="AZ7" s="1506"/>
      <c r="BA7" s="1506"/>
      <c r="BB7" s="1506"/>
      <c r="BC7" s="1506"/>
      <c r="BD7" s="1506"/>
      <c r="BE7" s="1506"/>
      <c r="BF7" s="1506"/>
      <c r="BG7" s="1506"/>
      <c r="BH7" s="1505"/>
      <c r="BI7" s="1505"/>
      <c r="BJ7" s="1505"/>
      <c r="BK7" s="1505"/>
      <c r="BL7" s="1505"/>
      <c r="BM7" s="1505"/>
      <c r="BN7" s="1505"/>
      <c r="BO7" s="1505"/>
      <c r="BP7" s="1490"/>
      <c r="BQ7" s="1490"/>
      <c r="BR7" s="1490"/>
      <c r="BS7" s="1490"/>
      <c r="BT7" s="1490"/>
      <c r="BU7" s="1490"/>
      <c r="BV7" s="1490"/>
      <c r="BW7" s="1490"/>
      <c r="BX7" s="1507"/>
      <c r="BY7" s="1507"/>
      <c r="BZ7" s="1506"/>
      <c r="CA7" s="1507"/>
      <c r="CB7" s="1507"/>
      <c r="CC7" s="1506"/>
      <c r="CD7" s="1506"/>
      <c r="CE7" s="1506"/>
      <c r="CF7" s="1506"/>
      <c r="CG7" s="1506"/>
      <c r="CH7" s="1506"/>
      <c r="CI7" s="1506"/>
      <c r="CJ7" s="1506"/>
      <c r="CK7" s="1506"/>
      <c r="CL7" s="1506"/>
      <c r="CM7" s="1506"/>
      <c r="CN7" s="1506"/>
    </row>
    <row r="8" spans="1:92">
      <c r="A8" s="1509" t="s">
        <v>702</v>
      </c>
      <c r="B8" s="135"/>
      <c r="C8" s="1492"/>
      <c r="D8" s="1492"/>
      <c r="E8" s="1492"/>
      <c r="F8" s="387"/>
      <c r="G8" s="1508"/>
      <c r="H8" s="1508"/>
      <c r="I8" s="1508"/>
      <c r="J8" s="1508"/>
      <c r="K8" s="1508"/>
      <c r="L8" s="1508"/>
      <c r="M8" s="1508"/>
      <c r="N8" s="387"/>
      <c r="O8" s="1508"/>
      <c r="P8" s="1508"/>
      <c r="Q8" s="387"/>
      <c r="R8" s="1508"/>
      <c r="S8" s="1508"/>
      <c r="T8" s="1507"/>
      <c r="U8" s="1507"/>
      <c r="V8" s="1506"/>
      <c r="W8" s="1506"/>
      <c r="X8" s="1506"/>
      <c r="Y8" s="1506"/>
      <c r="Z8" s="1506"/>
      <c r="AA8" s="1506"/>
      <c r="AB8" s="1506"/>
      <c r="AC8" s="1506"/>
      <c r="AD8" s="1506"/>
      <c r="AE8" s="1506"/>
      <c r="AF8" s="1506"/>
      <c r="AG8" s="1506"/>
      <c r="AH8" s="1506"/>
      <c r="AI8" s="1506"/>
      <c r="AJ8" s="1506"/>
      <c r="AK8" s="1506"/>
      <c r="AL8" s="1506"/>
      <c r="AM8" s="1506"/>
      <c r="AN8" s="1505"/>
      <c r="AO8" s="1506"/>
      <c r="AP8" s="1506"/>
      <c r="AQ8" s="1506"/>
      <c r="AR8" s="1506"/>
      <c r="AS8" s="1506"/>
      <c r="AT8" s="1506"/>
      <c r="AU8" s="1506"/>
      <c r="AV8" s="1506"/>
      <c r="AW8" s="1506"/>
      <c r="AX8" s="1506"/>
      <c r="AY8" s="1506"/>
      <c r="AZ8" s="1506"/>
      <c r="BA8" s="1506"/>
      <c r="BB8" s="1506"/>
      <c r="BC8" s="1506"/>
      <c r="BD8" s="1506"/>
      <c r="BE8" s="1506"/>
      <c r="BF8" s="1506"/>
      <c r="BG8" s="1506"/>
      <c r="BH8" s="1505"/>
      <c r="BI8" s="1505"/>
      <c r="BJ8" s="1505"/>
      <c r="BK8" s="1505"/>
      <c r="BL8" s="1505"/>
      <c r="BM8" s="1505"/>
      <c r="BN8" s="1505"/>
      <c r="BO8" s="1505"/>
      <c r="BP8" s="1490"/>
      <c r="BQ8" s="1490"/>
      <c r="BR8" s="1490"/>
      <c r="BS8" s="1490"/>
      <c r="BT8" s="1490"/>
      <c r="BU8" s="1490"/>
      <c r="BV8" s="1490"/>
      <c r="BW8" s="1490"/>
      <c r="BX8" s="1507"/>
      <c r="BY8" s="1507"/>
      <c r="BZ8" s="1506"/>
      <c r="CA8" s="1507"/>
      <c r="CB8" s="1507"/>
      <c r="CC8" s="1506"/>
      <c r="CD8" s="1506"/>
      <c r="CE8" s="1506"/>
      <c r="CF8" s="1506"/>
      <c r="CG8" s="1506"/>
      <c r="CH8" s="1506"/>
      <c r="CI8" s="1506"/>
      <c r="CJ8" s="1506"/>
      <c r="CK8" s="1506"/>
      <c r="CL8" s="1506"/>
      <c r="CM8" s="1506"/>
      <c r="CN8" s="1506"/>
    </row>
    <row r="9" spans="1:92" hidden="1">
      <c r="A9" s="1479" t="s">
        <v>2563</v>
      </c>
      <c r="B9" s="1519">
        <v>10</v>
      </c>
      <c r="C9" s="1517">
        <v>10.5</v>
      </c>
      <c r="D9" s="1517">
        <v>10.5</v>
      </c>
      <c r="E9" s="1517">
        <v>10.5</v>
      </c>
      <c r="F9" s="1518">
        <v>10.5</v>
      </c>
      <c r="G9" s="1517">
        <v>11.5</v>
      </c>
      <c r="H9" s="1517">
        <v>11.5</v>
      </c>
      <c r="I9" s="1517">
        <v>11.5</v>
      </c>
      <c r="J9" s="1517">
        <v>11.5</v>
      </c>
      <c r="K9" s="1517">
        <v>11.5</v>
      </c>
      <c r="L9" s="1517">
        <v>11.5</v>
      </c>
      <c r="M9" s="1517">
        <v>11.5</v>
      </c>
      <c r="N9" s="1518">
        <v>12</v>
      </c>
      <c r="O9" s="1517">
        <v>12</v>
      </c>
      <c r="P9" s="1517">
        <v>13</v>
      </c>
      <c r="Q9" s="1518">
        <v>13</v>
      </c>
      <c r="R9" s="1517">
        <v>13</v>
      </c>
      <c r="S9" s="1517">
        <v>13</v>
      </c>
      <c r="T9" s="1516"/>
      <c r="U9" s="1516"/>
      <c r="V9" s="1506"/>
      <c r="W9" s="1506"/>
      <c r="X9" s="1506"/>
      <c r="Y9" s="1506"/>
      <c r="Z9" s="1506"/>
      <c r="AA9" s="1506"/>
      <c r="AB9" s="1506"/>
      <c r="AC9" s="1506"/>
      <c r="AD9" s="1506"/>
      <c r="AE9" s="1506"/>
      <c r="AF9" s="1506"/>
      <c r="AG9" s="1506"/>
      <c r="AH9" s="1506"/>
      <c r="AI9" s="1506"/>
      <c r="AJ9" s="1506"/>
      <c r="AK9" s="1506"/>
      <c r="AL9" s="1506"/>
      <c r="AM9" s="1506"/>
      <c r="AN9" s="1505"/>
      <c r="AO9" s="1506"/>
      <c r="AP9" s="1506"/>
      <c r="AQ9" s="1506"/>
      <c r="AR9" s="1506"/>
      <c r="AS9" s="1506"/>
      <c r="AT9" s="1506"/>
      <c r="AU9" s="1506"/>
      <c r="AV9" s="1506"/>
      <c r="AW9" s="1506"/>
      <c r="AX9" s="1506"/>
      <c r="AY9" s="1506"/>
      <c r="AZ9" s="1506"/>
      <c r="BA9" s="1506"/>
      <c r="BB9" s="1506"/>
      <c r="BC9" s="1506"/>
      <c r="BD9" s="1506"/>
      <c r="BE9" s="1506"/>
      <c r="BF9" s="1506"/>
      <c r="BG9" s="1506"/>
      <c r="BH9" s="1505"/>
      <c r="BI9" s="1505"/>
      <c r="BJ9" s="1505"/>
      <c r="BK9" s="1505"/>
      <c r="BL9" s="1505"/>
      <c r="BM9" s="1505"/>
      <c r="BN9" s="1505"/>
      <c r="BO9" s="1505"/>
      <c r="BP9" s="1490"/>
      <c r="BQ9" s="1490"/>
      <c r="BR9" s="1490"/>
      <c r="BS9" s="1490"/>
      <c r="BT9" s="1490"/>
      <c r="BU9" s="1490"/>
      <c r="BV9" s="1490"/>
      <c r="BX9" s="1507"/>
      <c r="BY9" s="1507"/>
      <c r="BZ9" s="1506"/>
      <c r="CA9" s="1507"/>
      <c r="CB9" s="1507"/>
      <c r="CC9" s="1506"/>
      <c r="CD9" s="1506"/>
      <c r="CE9" s="1506"/>
      <c r="CF9" s="1506"/>
      <c r="CG9" s="1506"/>
      <c r="CH9" s="1506"/>
      <c r="CI9" s="1506"/>
      <c r="CJ9" s="1506"/>
      <c r="CK9" s="1506"/>
      <c r="CL9" s="1506"/>
      <c r="CM9" s="1506"/>
      <c r="CN9" s="1506"/>
    </row>
    <row r="10" spans="1:92">
      <c r="A10" s="1479" t="s">
        <v>2562</v>
      </c>
      <c r="B10" s="1518">
        <v>5.74</v>
      </c>
      <c r="C10" s="1517">
        <v>6.54</v>
      </c>
      <c r="D10" s="1517">
        <v>6.27</v>
      </c>
      <c r="E10" s="1517">
        <v>6.5</v>
      </c>
      <c r="F10" s="1518">
        <v>6.39</v>
      </c>
      <c r="G10" s="1517">
        <v>7.66</v>
      </c>
      <c r="H10" s="1517">
        <v>7.4</v>
      </c>
      <c r="I10" s="1517">
        <v>7.53</v>
      </c>
      <c r="J10" s="1517">
        <v>7.57</v>
      </c>
      <c r="K10" s="1517">
        <v>7.49</v>
      </c>
      <c r="L10" s="1517">
        <v>7.46</v>
      </c>
      <c r="M10" s="1517">
        <v>7.3</v>
      </c>
      <c r="N10" s="1518">
        <v>7.31</v>
      </c>
      <c r="O10" s="1517">
        <v>7.34</v>
      </c>
      <c r="P10" s="1517">
        <v>10.02</v>
      </c>
      <c r="Q10" s="1518">
        <v>10.46</v>
      </c>
      <c r="R10" s="1517">
        <v>11.06</v>
      </c>
      <c r="S10" s="1517">
        <v>12.45</v>
      </c>
      <c r="T10" s="1516">
        <v>13.31</v>
      </c>
      <c r="U10" s="1516">
        <v>12.86</v>
      </c>
      <c r="V10" s="1515">
        <v>11.35</v>
      </c>
      <c r="W10" s="1515">
        <v>11.86</v>
      </c>
      <c r="X10" s="1515">
        <v>11.54</v>
      </c>
      <c r="Y10" s="1515">
        <v>10.98</v>
      </c>
      <c r="Z10" s="1515">
        <v>10.99</v>
      </c>
      <c r="AA10" s="1515">
        <v>9.4600000000000009</v>
      </c>
      <c r="AB10" s="1515">
        <v>9.43</v>
      </c>
      <c r="AC10" s="1515">
        <v>9.4600000000000009</v>
      </c>
      <c r="AD10" s="1515">
        <v>9.4600000000000009</v>
      </c>
      <c r="AE10" s="1515">
        <v>10.050000000000001</v>
      </c>
      <c r="AF10" s="1515">
        <v>9.51</v>
      </c>
      <c r="AG10" s="1515">
        <v>7.86</v>
      </c>
      <c r="AH10" s="1515">
        <v>7.21</v>
      </c>
      <c r="AI10" s="1515">
        <v>7.64</v>
      </c>
      <c r="AJ10" s="1515">
        <v>7.26</v>
      </c>
      <c r="AK10" s="1515">
        <v>7.45</v>
      </c>
      <c r="AL10" s="1515">
        <v>7.47</v>
      </c>
      <c r="AM10" s="1515">
        <v>8.07</v>
      </c>
      <c r="AN10" s="1515">
        <v>9.2899999999999991</v>
      </c>
      <c r="AO10" s="1515">
        <v>9.41</v>
      </c>
      <c r="AP10" s="1515">
        <v>9.36</v>
      </c>
      <c r="AQ10" s="1515">
        <v>8.83</v>
      </c>
      <c r="AR10" s="1515">
        <v>7.53</v>
      </c>
      <c r="AS10" s="1515">
        <v>6.84</v>
      </c>
      <c r="AT10" s="1515">
        <v>5.28</v>
      </c>
      <c r="AU10" s="1515">
        <v>4.9800000000000004</v>
      </c>
      <c r="AV10" s="1515">
        <v>4.7699999999999996</v>
      </c>
      <c r="AW10" s="1515">
        <v>4.76</v>
      </c>
      <c r="AX10" s="1515">
        <v>4.49</v>
      </c>
      <c r="AY10" s="1515">
        <v>4.45</v>
      </c>
      <c r="AZ10" s="1515">
        <v>4.67</v>
      </c>
      <c r="BA10" s="1515">
        <v>4.62</v>
      </c>
      <c r="BB10" s="1515">
        <v>4.41</v>
      </c>
      <c r="BC10" s="1515">
        <v>4.38</v>
      </c>
      <c r="BD10" s="1515">
        <v>4.5599999999999996</v>
      </c>
      <c r="BE10" s="1515">
        <v>4.4400000000000004</v>
      </c>
      <c r="BF10" s="1515">
        <v>4.38</v>
      </c>
      <c r="BG10" s="1515">
        <v>4.33</v>
      </c>
      <c r="BH10" s="1515">
        <v>3.62</v>
      </c>
      <c r="BI10" s="1515">
        <v>3.96</v>
      </c>
      <c r="BJ10" s="1515">
        <v>3.47</v>
      </c>
      <c r="BK10" s="1515">
        <v>2.7</v>
      </c>
      <c r="BL10" s="1515">
        <v>3.21</v>
      </c>
      <c r="BM10" s="1515">
        <v>4.42</v>
      </c>
      <c r="BN10" s="1515">
        <v>3.26</v>
      </c>
      <c r="BO10" s="1515">
        <v>2.89</v>
      </c>
      <c r="BP10" s="1515">
        <v>3.01</v>
      </c>
      <c r="BQ10" s="1515">
        <v>2.54</v>
      </c>
      <c r="BR10" s="1515">
        <v>2.25</v>
      </c>
      <c r="BS10" s="1515">
        <v>4.07</v>
      </c>
      <c r="BT10" s="1515">
        <v>4.1500000000000004</v>
      </c>
      <c r="BU10" s="1515">
        <v>4.47</v>
      </c>
      <c r="BV10" s="1515">
        <v>4.3099999999999996</v>
      </c>
      <c r="BW10" s="1515">
        <v>4.47</v>
      </c>
      <c r="BX10" s="1515">
        <v>4.45</v>
      </c>
      <c r="BY10" s="1515">
        <v>4.28</v>
      </c>
      <c r="BZ10" s="1515">
        <v>4.54</v>
      </c>
      <c r="CA10" s="1515">
        <v>4.4400000000000004</v>
      </c>
      <c r="CB10" s="1515">
        <v>4.21</v>
      </c>
      <c r="CC10" s="1514">
        <v>4.22</v>
      </c>
      <c r="CD10" s="1514">
        <v>3.74</v>
      </c>
      <c r="CE10" s="1514">
        <v>3.67</v>
      </c>
      <c r="CF10" s="1514">
        <v>3.61</v>
      </c>
      <c r="CG10" s="1514">
        <v>3.39</v>
      </c>
      <c r="CH10" s="1514">
        <v>3.4</v>
      </c>
      <c r="CI10" s="1514">
        <v>3.45</v>
      </c>
      <c r="CJ10" s="1514">
        <v>3.44</v>
      </c>
      <c r="CK10" s="1514">
        <v>3.13</v>
      </c>
      <c r="CL10" s="1514">
        <v>2.98</v>
      </c>
      <c r="CM10" s="1514">
        <v>2.89</v>
      </c>
      <c r="CN10" s="1514">
        <v>2.76</v>
      </c>
    </row>
    <row r="11" spans="1:92" ht="13.5">
      <c r="A11" s="1479" t="s">
        <v>2561</v>
      </c>
      <c r="B11" s="1518"/>
      <c r="C11" s="1517"/>
      <c r="D11" s="1517"/>
      <c r="E11" s="1517"/>
      <c r="F11" s="1518"/>
      <c r="G11" s="1517"/>
      <c r="H11" s="1517"/>
      <c r="I11" s="1517"/>
      <c r="J11" s="1517"/>
      <c r="K11" s="1517"/>
      <c r="L11" s="1517"/>
      <c r="M11" s="1517"/>
      <c r="N11" s="1518"/>
      <c r="O11" s="1517"/>
      <c r="P11" s="1517"/>
      <c r="Q11" s="1518"/>
      <c r="R11" s="1517"/>
      <c r="S11" s="1517">
        <v>8.5</v>
      </c>
      <c r="T11" s="1516">
        <v>8.5</v>
      </c>
      <c r="U11" s="1516">
        <v>8.5</v>
      </c>
      <c r="V11" s="1515">
        <v>8.5</v>
      </c>
      <c r="W11" s="1515">
        <v>8.5</v>
      </c>
      <c r="X11" s="1515">
        <v>8.5</v>
      </c>
      <c r="Y11" s="1515">
        <v>8.5</v>
      </c>
      <c r="Z11" s="1515">
        <v>9.25</v>
      </c>
      <c r="AA11" s="1515">
        <v>9.25</v>
      </c>
      <c r="AB11" s="1515">
        <v>9.25</v>
      </c>
      <c r="AC11" s="1515">
        <v>9.25</v>
      </c>
      <c r="AD11" s="1515">
        <v>9.25</v>
      </c>
      <c r="AE11" s="1515">
        <v>9.25</v>
      </c>
      <c r="AF11" s="1515">
        <v>9.25</v>
      </c>
      <c r="AG11" s="1515">
        <v>9</v>
      </c>
      <c r="AH11" s="1515">
        <v>8.5</v>
      </c>
      <c r="AI11" s="1515">
        <v>8.5</v>
      </c>
      <c r="AJ11" s="1515">
        <v>8</v>
      </c>
      <c r="AK11" s="1515">
        <v>8</v>
      </c>
      <c r="AL11" s="1515">
        <v>8.25</v>
      </c>
      <c r="AM11" s="1515">
        <v>8.25</v>
      </c>
      <c r="AN11" s="1515">
        <v>8.25</v>
      </c>
      <c r="AO11" s="1515">
        <v>7.75</v>
      </c>
      <c r="AP11" s="1515">
        <v>7.75</v>
      </c>
      <c r="AQ11" s="1515">
        <v>6.75</v>
      </c>
      <c r="AR11" s="1515">
        <v>6.75</v>
      </c>
      <c r="AS11" s="1515">
        <v>6.75</v>
      </c>
      <c r="AT11" s="1515">
        <v>5.75</v>
      </c>
      <c r="AU11" s="1515">
        <v>5.75</v>
      </c>
      <c r="AV11" s="1515">
        <v>5.75</v>
      </c>
      <c r="AW11" s="1515">
        <v>5.75</v>
      </c>
      <c r="AX11" s="1515">
        <v>5.75</v>
      </c>
      <c r="AY11" s="1515">
        <v>5.75</v>
      </c>
      <c r="AZ11" s="1515">
        <v>5.75</v>
      </c>
      <c r="BA11" s="1515">
        <v>5.75</v>
      </c>
      <c r="BB11" s="1515">
        <v>5.75</v>
      </c>
      <c r="BC11" s="1515">
        <v>5.75</v>
      </c>
      <c r="BD11" s="1515">
        <v>5.75</v>
      </c>
      <c r="BE11" s="1515">
        <v>5.75</v>
      </c>
      <c r="BF11" s="1515">
        <v>5.75</v>
      </c>
      <c r="BG11" s="1515">
        <v>5.75</v>
      </c>
      <c r="BH11" s="1515">
        <v>5.75</v>
      </c>
      <c r="BI11" s="1515">
        <v>5.75</v>
      </c>
      <c r="BJ11" s="1515">
        <v>5.75</v>
      </c>
      <c r="BK11" s="1515">
        <v>5.75</v>
      </c>
      <c r="BL11" s="1515">
        <v>4.75</v>
      </c>
      <c r="BM11" s="1515">
        <v>4.75</v>
      </c>
      <c r="BN11" s="1515">
        <v>4.75</v>
      </c>
      <c r="BO11" s="1515">
        <v>4.75</v>
      </c>
      <c r="BP11" s="1515">
        <v>4.75</v>
      </c>
      <c r="BQ11" s="1515">
        <v>4.75</v>
      </c>
      <c r="BR11" s="1515">
        <v>5.25</v>
      </c>
      <c r="BS11" s="1515">
        <v>5.25</v>
      </c>
      <c r="BT11" s="1515">
        <v>5.25</v>
      </c>
      <c r="BU11" s="1515">
        <v>5.5</v>
      </c>
      <c r="BV11" s="1515">
        <v>5.5</v>
      </c>
      <c r="BW11" s="1515">
        <v>5.5</v>
      </c>
      <c r="BX11" s="1515">
        <v>5.5</v>
      </c>
      <c r="BY11" s="1515">
        <v>5.5</v>
      </c>
      <c r="BZ11" s="1515">
        <v>5.5</v>
      </c>
      <c r="CA11" s="1515">
        <v>5.4</v>
      </c>
      <c r="CB11" s="1515">
        <v>5.4</v>
      </c>
      <c r="CC11" s="1514">
        <v>5.4</v>
      </c>
      <c r="CD11" s="1514">
        <v>4.9000000000000004</v>
      </c>
      <c r="CE11" s="1514">
        <v>4.9000000000000004</v>
      </c>
      <c r="CF11" s="1514">
        <v>4.9000000000000004</v>
      </c>
      <c r="CG11" s="1514">
        <v>4.9000000000000004</v>
      </c>
      <c r="CH11" s="1514">
        <v>4.9000000000000004</v>
      </c>
      <c r="CI11" s="1514">
        <v>4.9000000000000004</v>
      </c>
      <c r="CJ11" s="1514">
        <v>4.9000000000000004</v>
      </c>
      <c r="CK11" s="1514">
        <v>4.9000000000000004</v>
      </c>
      <c r="CL11" s="1514">
        <v>4.9000000000000004</v>
      </c>
      <c r="CM11" s="1514">
        <v>4.9000000000000004</v>
      </c>
      <c r="CN11" s="1514">
        <v>4.9000000000000004</v>
      </c>
    </row>
    <row r="12" spans="1:92">
      <c r="A12" s="1479"/>
      <c r="B12" s="135"/>
      <c r="C12" s="1492"/>
      <c r="D12" s="1492"/>
      <c r="E12" s="1492"/>
      <c r="F12" s="387"/>
      <c r="G12" s="1508"/>
      <c r="H12" s="1508"/>
      <c r="I12" s="1508"/>
      <c r="J12" s="1508"/>
      <c r="K12" s="1508"/>
      <c r="L12" s="1508"/>
      <c r="M12" s="1508"/>
      <c r="N12" s="387"/>
      <c r="O12" s="1508"/>
      <c r="P12" s="1508"/>
      <c r="Q12" s="387"/>
      <c r="R12" s="1508"/>
      <c r="S12" s="1508"/>
      <c r="T12" s="1507"/>
      <c r="U12" s="1507"/>
      <c r="V12" s="1506"/>
      <c r="W12" s="1506"/>
      <c r="X12" s="1506"/>
      <c r="Y12" s="1506"/>
      <c r="Z12" s="1506"/>
      <c r="AA12" s="1506"/>
      <c r="AB12" s="1506"/>
      <c r="AC12" s="1506"/>
      <c r="AD12" s="1506"/>
      <c r="AE12" s="1506"/>
      <c r="AF12" s="1506"/>
      <c r="AG12" s="1506"/>
      <c r="AH12" s="1506"/>
      <c r="AI12" s="1506"/>
      <c r="AJ12" s="1506"/>
      <c r="AK12" s="1506"/>
      <c r="AL12" s="1506"/>
      <c r="AM12" s="1506"/>
      <c r="AN12" s="1505"/>
      <c r="AO12" s="1506"/>
      <c r="AP12" s="1506"/>
      <c r="AQ12" s="1506"/>
      <c r="AR12" s="1506"/>
      <c r="AS12" s="1506"/>
      <c r="AT12" s="1506"/>
      <c r="AU12" s="1506"/>
      <c r="AV12" s="1506"/>
      <c r="AW12" s="1506"/>
      <c r="AX12" s="1506"/>
      <c r="AY12" s="1506"/>
      <c r="AZ12" s="1506"/>
      <c r="BA12" s="1506"/>
      <c r="BB12" s="1506"/>
      <c r="BC12" s="1506"/>
      <c r="BD12" s="1506"/>
      <c r="BE12" s="1506"/>
      <c r="BF12" s="1506"/>
      <c r="BG12" s="1506"/>
      <c r="BH12" s="1505"/>
      <c r="BI12" s="1505"/>
      <c r="BJ12" s="1505"/>
      <c r="BK12" s="1505"/>
      <c r="BL12" s="1505"/>
      <c r="BM12" s="1505"/>
      <c r="BN12" s="1505"/>
      <c r="BO12" s="1505"/>
      <c r="BP12" s="1490"/>
      <c r="BQ12" s="1490"/>
      <c r="BR12" s="1490"/>
      <c r="BS12" s="1490"/>
      <c r="BT12" s="1490"/>
      <c r="BU12" s="1490"/>
      <c r="BV12" s="1490"/>
      <c r="BW12" s="1490"/>
      <c r="BX12" s="1490"/>
      <c r="BY12" s="1490"/>
      <c r="BZ12" s="1490"/>
      <c r="CA12" s="1490"/>
      <c r="CB12" s="1490"/>
      <c r="CC12" s="1506"/>
      <c r="CD12" s="1506"/>
      <c r="CE12" s="1506"/>
      <c r="CF12" s="1506"/>
      <c r="CG12" s="1506"/>
      <c r="CH12" s="1506"/>
      <c r="CI12" s="1506"/>
      <c r="CJ12" s="1506"/>
      <c r="CK12" s="1506"/>
      <c r="CL12" s="1506"/>
      <c r="CM12" s="1506"/>
      <c r="CN12" s="1506"/>
    </row>
    <row r="13" spans="1:92">
      <c r="A13" s="1509" t="s">
        <v>2560</v>
      </c>
      <c r="B13" s="135"/>
      <c r="C13" s="1492"/>
      <c r="D13" s="1492"/>
      <c r="E13" s="1492"/>
      <c r="F13" s="387"/>
      <c r="G13" s="1508"/>
      <c r="H13" s="1508"/>
      <c r="I13" s="1508"/>
      <c r="J13" s="1508"/>
      <c r="K13" s="1508"/>
      <c r="L13" s="1508"/>
      <c r="M13" s="1508"/>
      <c r="N13" s="387"/>
      <c r="O13" s="1508"/>
      <c r="P13" s="1508"/>
      <c r="Q13" s="387"/>
      <c r="R13" s="1508"/>
      <c r="S13" s="1508"/>
      <c r="T13" s="1507"/>
      <c r="U13" s="1507"/>
      <c r="V13" s="1506"/>
      <c r="W13" s="1506"/>
      <c r="X13" s="1506"/>
      <c r="Y13" s="1506"/>
      <c r="Z13" s="1506"/>
      <c r="AA13" s="1506"/>
      <c r="AB13" s="1506"/>
      <c r="AC13" s="1506"/>
      <c r="AD13" s="1506"/>
      <c r="AE13" s="1506"/>
      <c r="AF13" s="1506"/>
      <c r="AG13" s="1506"/>
      <c r="AH13" s="1506"/>
      <c r="AI13" s="1506"/>
      <c r="AJ13" s="1506"/>
      <c r="AK13" s="1506"/>
      <c r="AL13" s="1506"/>
      <c r="AM13" s="1506"/>
      <c r="AN13" s="1505"/>
      <c r="AO13" s="1506"/>
      <c r="AP13" s="1506"/>
      <c r="AQ13" s="1506"/>
      <c r="AR13" s="1506"/>
      <c r="AS13" s="1506"/>
      <c r="AT13" s="1506"/>
      <c r="AU13" s="1506"/>
      <c r="AV13" s="1506"/>
      <c r="AW13" s="1506"/>
      <c r="AX13" s="1506"/>
      <c r="AY13" s="1506"/>
      <c r="AZ13" s="1506"/>
      <c r="BA13" s="1506"/>
      <c r="BB13" s="1506"/>
      <c r="BC13" s="1506"/>
      <c r="BD13" s="1506"/>
      <c r="BE13" s="1506"/>
      <c r="BF13" s="1506"/>
      <c r="BG13" s="1506"/>
      <c r="BH13" s="1505"/>
      <c r="BI13" s="1505"/>
      <c r="BJ13" s="1505"/>
      <c r="BK13" s="1505"/>
      <c r="BL13" s="1505"/>
      <c r="BM13" s="1505"/>
      <c r="BN13" s="1505"/>
      <c r="BO13" s="1505"/>
      <c r="BP13" s="1490"/>
      <c r="BQ13" s="1490"/>
      <c r="BR13" s="1490"/>
      <c r="BS13" s="1490"/>
      <c r="BT13" s="1490"/>
      <c r="BU13" s="1490"/>
      <c r="BV13" s="1490"/>
      <c r="BW13" s="1490"/>
      <c r="BX13" s="1490"/>
      <c r="BY13" s="1490"/>
      <c r="BZ13" s="1490"/>
      <c r="CA13" s="1490"/>
      <c r="CB13" s="1490"/>
      <c r="CC13" s="1506"/>
      <c r="CD13" s="1506"/>
      <c r="CE13" s="1506"/>
      <c r="CF13" s="1506"/>
      <c r="CG13" s="1506"/>
      <c r="CH13" s="1506"/>
      <c r="CI13" s="1506"/>
      <c r="CJ13" s="1506"/>
      <c r="CK13" s="1506"/>
      <c r="CL13" s="1506"/>
      <c r="CM13" s="1506"/>
      <c r="CN13" s="1506"/>
    </row>
    <row r="14" spans="1:92">
      <c r="A14" s="1509" t="s">
        <v>2559</v>
      </c>
      <c r="B14" s="1513" t="s">
        <v>2558</v>
      </c>
      <c r="C14" s="1512" t="s">
        <v>2557</v>
      </c>
      <c r="D14" s="1512" t="s">
        <v>2557</v>
      </c>
      <c r="E14" s="1512" t="s">
        <v>2557</v>
      </c>
      <c r="F14" s="1513" t="s">
        <v>2557</v>
      </c>
      <c r="G14" s="1512" t="s">
        <v>2556</v>
      </c>
      <c r="H14" s="1512" t="s">
        <v>2556</v>
      </c>
      <c r="I14" s="1512" t="s">
        <v>2556</v>
      </c>
      <c r="J14" s="1512" t="s">
        <v>2556</v>
      </c>
      <c r="K14" s="1512" t="s">
        <v>2556</v>
      </c>
      <c r="L14" s="1512" t="s">
        <v>2556</v>
      </c>
      <c r="M14" s="1512" t="s">
        <v>2556</v>
      </c>
      <c r="N14" s="1513" t="s">
        <v>2555</v>
      </c>
      <c r="O14" s="1512" t="s">
        <v>2555</v>
      </c>
      <c r="P14" s="1512" t="s">
        <v>2554</v>
      </c>
      <c r="Q14" s="1513" t="s">
        <v>2554</v>
      </c>
      <c r="R14" s="1512" t="s">
        <v>2554</v>
      </c>
      <c r="S14" s="1512" t="s">
        <v>2554</v>
      </c>
      <c r="T14" s="1511" t="s">
        <v>2554</v>
      </c>
      <c r="U14" s="1511" t="s">
        <v>2554</v>
      </c>
      <c r="V14" s="1511" t="s">
        <v>2554</v>
      </c>
      <c r="W14" s="1511" t="s">
        <v>2554</v>
      </c>
      <c r="X14" s="1511" t="s">
        <v>2554</v>
      </c>
      <c r="Y14" s="1511" t="s">
        <v>2554</v>
      </c>
      <c r="Z14" s="1511" t="s">
        <v>2553</v>
      </c>
      <c r="AA14" s="1511" t="s">
        <v>2553</v>
      </c>
      <c r="AB14" s="1511" t="s">
        <v>2553</v>
      </c>
      <c r="AC14" s="1511" t="s">
        <v>2552</v>
      </c>
      <c r="AD14" s="1511" t="s">
        <v>2552</v>
      </c>
      <c r="AE14" s="1510" t="s">
        <v>2552</v>
      </c>
      <c r="AF14" s="1510" t="s">
        <v>2552</v>
      </c>
      <c r="AG14" s="1510" t="s">
        <v>2551</v>
      </c>
      <c r="AH14" s="1510" t="s">
        <v>2549</v>
      </c>
      <c r="AI14" s="1510" t="s">
        <v>2549</v>
      </c>
      <c r="AJ14" s="1510" t="s">
        <v>2550</v>
      </c>
      <c r="AK14" s="1510" t="s">
        <v>2550</v>
      </c>
      <c r="AL14" s="1510" t="s">
        <v>2550</v>
      </c>
      <c r="AM14" s="1510" t="s">
        <v>2549</v>
      </c>
      <c r="AN14" s="1510" t="s">
        <v>2549</v>
      </c>
      <c r="AO14" s="1510" t="s">
        <v>2549</v>
      </c>
      <c r="AP14" s="1510" t="s">
        <v>2548</v>
      </c>
      <c r="AQ14" s="1510" t="s">
        <v>2547</v>
      </c>
      <c r="AR14" s="1510" t="s">
        <v>2547</v>
      </c>
      <c r="AS14" s="1510" t="s">
        <v>2547</v>
      </c>
      <c r="AT14" s="1510" t="s">
        <v>2546</v>
      </c>
      <c r="AU14" s="1510" t="s">
        <v>2545</v>
      </c>
      <c r="AV14" s="1510" t="s">
        <v>2545</v>
      </c>
      <c r="AW14" s="1510" t="s">
        <v>2545</v>
      </c>
      <c r="AX14" s="1510" t="s">
        <v>2545</v>
      </c>
      <c r="AY14" s="1510" t="s">
        <v>2545</v>
      </c>
      <c r="AZ14" s="1510" t="s">
        <v>2545</v>
      </c>
      <c r="BA14" s="1510" t="s">
        <v>2545</v>
      </c>
      <c r="BB14" s="1510" t="s">
        <v>2545</v>
      </c>
      <c r="BC14" s="1510" t="s">
        <v>2545</v>
      </c>
      <c r="BD14" s="1510" t="s">
        <v>2545</v>
      </c>
      <c r="BE14" s="1510" t="s">
        <v>2545</v>
      </c>
      <c r="BF14" s="1510" t="s">
        <v>2545</v>
      </c>
      <c r="BG14" s="1510" t="s">
        <v>2545</v>
      </c>
      <c r="BH14" s="1510" t="s">
        <v>2545</v>
      </c>
      <c r="BI14" s="1510" t="s">
        <v>2545</v>
      </c>
      <c r="BJ14" s="1510" t="s">
        <v>2545</v>
      </c>
      <c r="BK14" s="1510" t="s">
        <v>2545</v>
      </c>
      <c r="BL14" s="1510" t="s">
        <v>2543</v>
      </c>
      <c r="BM14" s="1510" t="s">
        <v>2544</v>
      </c>
      <c r="BN14" s="1510" t="s">
        <v>2544</v>
      </c>
      <c r="BO14" s="1510" t="s">
        <v>2544</v>
      </c>
      <c r="BP14" s="1510" t="s">
        <v>2544</v>
      </c>
      <c r="BQ14" s="1510" t="s">
        <v>2544</v>
      </c>
      <c r="BR14" s="1510" t="s">
        <v>2543</v>
      </c>
      <c r="BS14" s="1510" t="s">
        <v>2543</v>
      </c>
      <c r="BT14" s="1510" t="s">
        <v>2542</v>
      </c>
      <c r="BU14" s="1510" t="s">
        <v>2542</v>
      </c>
      <c r="BV14" s="1510" t="s">
        <v>2541</v>
      </c>
      <c r="BW14" s="1510" t="s">
        <v>2541</v>
      </c>
      <c r="BX14" s="1510" t="s">
        <v>2541</v>
      </c>
      <c r="BY14" s="1510" t="s">
        <v>2541</v>
      </c>
      <c r="BZ14" s="1510" t="s">
        <v>2541</v>
      </c>
      <c r="CA14" s="1510" t="s">
        <v>2541</v>
      </c>
      <c r="CB14" s="1510" t="s">
        <v>2541</v>
      </c>
      <c r="CC14" s="1510" t="s">
        <v>2541</v>
      </c>
      <c r="CD14" s="1510" t="s">
        <v>2540</v>
      </c>
      <c r="CE14" s="1510" t="s">
        <v>2539</v>
      </c>
      <c r="CF14" s="1510" t="s">
        <v>1131</v>
      </c>
      <c r="CG14" s="1510" t="s">
        <v>1131</v>
      </c>
      <c r="CH14" s="1510" t="s">
        <v>1131</v>
      </c>
      <c r="CI14" s="1510" t="s">
        <v>1131</v>
      </c>
      <c r="CJ14" s="1510" t="s">
        <v>1131</v>
      </c>
      <c r="CK14" s="1510" t="s">
        <v>1131</v>
      </c>
      <c r="CL14" s="1510" t="s">
        <v>1131</v>
      </c>
      <c r="CM14" s="1510" t="s">
        <v>1131</v>
      </c>
      <c r="CN14" s="1510" t="s">
        <v>1131</v>
      </c>
    </row>
    <row r="15" spans="1:92">
      <c r="A15" s="1509" t="s">
        <v>2538</v>
      </c>
      <c r="B15" s="135"/>
      <c r="C15" s="1492"/>
      <c r="D15" s="1492"/>
      <c r="E15" s="1492"/>
      <c r="F15" s="135"/>
      <c r="G15" s="1492"/>
      <c r="H15" s="1492"/>
      <c r="I15" s="1492"/>
      <c r="J15" s="1492"/>
      <c r="K15" s="1492"/>
      <c r="L15" s="1492"/>
      <c r="M15" s="1492"/>
      <c r="N15" s="135"/>
      <c r="O15" s="1492"/>
      <c r="P15" s="1492"/>
      <c r="Q15" s="387"/>
      <c r="R15" s="1508"/>
      <c r="S15" s="1508"/>
      <c r="T15" s="1507"/>
      <c r="U15" s="1507"/>
      <c r="V15" s="1507"/>
      <c r="W15" s="1507"/>
      <c r="X15" s="1507"/>
      <c r="Y15" s="1507"/>
      <c r="Z15" s="1507"/>
      <c r="AA15" s="1507"/>
      <c r="AB15" s="1507"/>
      <c r="AC15" s="1507"/>
      <c r="AD15" s="1507"/>
      <c r="AE15" s="1506"/>
      <c r="AF15" s="1506"/>
      <c r="AG15" s="1506"/>
      <c r="AH15" s="1506"/>
      <c r="AI15" s="1506"/>
      <c r="AJ15" s="1506"/>
      <c r="AK15" s="1506"/>
      <c r="AL15" s="1506"/>
      <c r="AM15" s="1506"/>
      <c r="AN15" s="1505"/>
      <c r="AO15" s="1506"/>
      <c r="AP15" s="1506"/>
      <c r="AQ15" s="1506"/>
      <c r="AR15" s="1506"/>
      <c r="AS15" s="1506"/>
      <c r="AT15" s="1506"/>
      <c r="AU15" s="1506"/>
      <c r="AV15" s="1506"/>
      <c r="AW15" s="1506"/>
      <c r="AX15" s="1506"/>
      <c r="AY15" s="1506"/>
      <c r="AZ15" s="1506"/>
      <c r="BA15" s="1506"/>
      <c r="BB15" s="1506"/>
      <c r="BC15" s="1505"/>
      <c r="BD15" s="1505"/>
      <c r="BE15" s="1505"/>
      <c r="BF15" s="1505"/>
      <c r="BG15" s="1505"/>
      <c r="BH15" s="1505"/>
      <c r="BI15" s="1505"/>
      <c r="BJ15" s="1505"/>
      <c r="BK15" s="1505"/>
      <c r="BL15" s="1505"/>
      <c r="BM15" s="1505"/>
      <c r="BN15" s="1505"/>
      <c r="BO15" s="1505"/>
      <c r="BP15" s="1490"/>
      <c r="BQ15" s="1490"/>
      <c r="BR15" s="1490"/>
      <c r="BS15" s="1490"/>
      <c r="BT15" s="1490"/>
      <c r="BU15" s="1490"/>
      <c r="BV15" s="1490"/>
      <c r="BW15" s="1490"/>
      <c r="BX15" s="1490"/>
      <c r="BY15" s="1490"/>
      <c r="BZ15" s="1490"/>
      <c r="CA15" s="1490"/>
      <c r="CB15" s="1490"/>
      <c r="CC15" s="1490"/>
      <c r="CD15" s="1490"/>
      <c r="CE15" s="1490"/>
      <c r="CF15" s="1490"/>
      <c r="CG15" s="1490"/>
      <c r="CH15" s="1490"/>
      <c r="CI15" s="1490"/>
      <c r="CJ15" s="1490"/>
      <c r="CK15" s="1490"/>
      <c r="CL15" s="1490"/>
      <c r="CM15" s="1490"/>
      <c r="CN15" s="1490"/>
    </row>
    <row r="16" spans="1:92">
      <c r="A16" s="1479" t="s">
        <v>2537</v>
      </c>
      <c r="B16" s="1478" t="s">
        <v>1888</v>
      </c>
      <c r="C16" s="1477" t="s">
        <v>1888</v>
      </c>
      <c r="D16" s="1477" t="s">
        <v>1888</v>
      </c>
      <c r="E16" s="1477" t="s">
        <v>1888</v>
      </c>
      <c r="F16" s="1478" t="s">
        <v>1888</v>
      </c>
      <c r="G16" s="1477" t="s">
        <v>2072</v>
      </c>
      <c r="H16" s="1477" t="s">
        <v>2072</v>
      </c>
      <c r="I16" s="1477" t="s">
        <v>2072</v>
      </c>
      <c r="J16" s="1477" t="s">
        <v>2072</v>
      </c>
      <c r="K16" s="1477" t="s">
        <v>2072</v>
      </c>
      <c r="L16" s="1477" t="s">
        <v>2072</v>
      </c>
      <c r="M16" s="1477" t="s">
        <v>2072</v>
      </c>
      <c r="N16" s="1478" t="s">
        <v>2072</v>
      </c>
      <c r="O16" s="1477" t="s">
        <v>2072</v>
      </c>
      <c r="P16" s="1477" t="s">
        <v>2536</v>
      </c>
      <c r="Q16" s="1478" t="s">
        <v>2072</v>
      </c>
      <c r="R16" s="1477" t="s">
        <v>2072</v>
      </c>
      <c r="S16" s="1477" t="s">
        <v>2072</v>
      </c>
      <c r="T16" s="1475" t="s">
        <v>2072</v>
      </c>
      <c r="U16" s="1475" t="s">
        <v>2072</v>
      </c>
      <c r="V16" s="1475" t="s">
        <v>2072</v>
      </c>
      <c r="W16" s="1475" t="s">
        <v>2072</v>
      </c>
      <c r="X16" s="1475" t="s">
        <v>2072</v>
      </c>
      <c r="Y16" s="1475" t="s">
        <v>2072</v>
      </c>
      <c r="Z16" s="1475" t="s">
        <v>2535</v>
      </c>
      <c r="AA16" s="1475" t="s">
        <v>2534</v>
      </c>
      <c r="AB16" s="1475" t="s">
        <v>2533</v>
      </c>
      <c r="AC16" s="1475" t="s">
        <v>2531</v>
      </c>
      <c r="AD16" s="1475" t="s">
        <v>2531</v>
      </c>
      <c r="AE16" s="1476" t="s">
        <v>2532</v>
      </c>
      <c r="AF16" s="1476" t="s">
        <v>2532</v>
      </c>
      <c r="AG16" s="1476" t="s">
        <v>2531</v>
      </c>
      <c r="AH16" s="1476" t="s">
        <v>2530</v>
      </c>
      <c r="AI16" s="1476" t="s">
        <v>2529</v>
      </c>
      <c r="AJ16" s="1476" t="s">
        <v>2508</v>
      </c>
      <c r="AK16" s="1476" t="s">
        <v>2508</v>
      </c>
      <c r="AL16" s="1476" t="s">
        <v>2508</v>
      </c>
      <c r="AM16" s="1476" t="s">
        <v>2528</v>
      </c>
      <c r="AN16" s="1476" t="s">
        <v>2527</v>
      </c>
      <c r="AO16" s="1476" t="s">
        <v>2527</v>
      </c>
      <c r="AP16" s="1476" t="s">
        <v>2524</v>
      </c>
      <c r="AQ16" s="1476" t="s">
        <v>2169</v>
      </c>
      <c r="AR16" s="1476" t="s">
        <v>2169</v>
      </c>
      <c r="AS16" s="1476" t="s">
        <v>2169</v>
      </c>
      <c r="AT16" s="1476" t="s">
        <v>2169</v>
      </c>
      <c r="AU16" s="1476" t="s">
        <v>2169</v>
      </c>
      <c r="AV16" s="1476" t="s">
        <v>2169</v>
      </c>
      <c r="AW16" s="1476" t="s">
        <v>2169</v>
      </c>
      <c r="AX16" s="1476" t="s">
        <v>2169</v>
      </c>
      <c r="AY16" s="1476" t="s">
        <v>2169</v>
      </c>
      <c r="AZ16" s="1476" t="s">
        <v>2169</v>
      </c>
      <c r="BA16" s="1476" t="s">
        <v>2169</v>
      </c>
      <c r="BB16" s="1476" t="s">
        <v>2169</v>
      </c>
      <c r="BC16" s="1476" t="s">
        <v>2169</v>
      </c>
      <c r="BD16" s="1476" t="s">
        <v>2169</v>
      </c>
      <c r="BE16" s="1476" t="s">
        <v>2169</v>
      </c>
      <c r="BF16" s="1476" t="s">
        <v>2169</v>
      </c>
      <c r="BG16" s="1476" t="s">
        <v>2169</v>
      </c>
      <c r="BH16" s="1476" t="s">
        <v>2169</v>
      </c>
      <c r="BI16" s="1476" t="s">
        <v>2169</v>
      </c>
      <c r="BJ16" s="1476" t="s">
        <v>2169</v>
      </c>
      <c r="BK16" s="1476" t="s">
        <v>2169</v>
      </c>
      <c r="BL16" s="1476" t="s">
        <v>2169</v>
      </c>
      <c r="BM16" s="1476" t="s">
        <v>2526</v>
      </c>
      <c r="BN16" s="1476" t="s">
        <v>2526</v>
      </c>
      <c r="BO16" s="1476" t="s">
        <v>2526</v>
      </c>
      <c r="BP16" s="1476" t="s">
        <v>2526</v>
      </c>
      <c r="BQ16" s="1476" t="s">
        <v>2526</v>
      </c>
      <c r="BR16" s="1476" t="s">
        <v>2526</v>
      </c>
      <c r="BS16" s="1476" t="s">
        <v>2526</v>
      </c>
      <c r="BT16" s="1476" t="s">
        <v>2526</v>
      </c>
      <c r="BU16" s="1476" t="s">
        <v>2526</v>
      </c>
      <c r="BV16" s="1476" t="s">
        <v>2525</v>
      </c>
      <c r="BW16" s="1476" t="s">
        <v>2524</v>
      </c>
      <c r="BX16" s="1476" t="s">
        <v>2524</v>
      </c>
      <c r="BY16" s="1476" t="s">
        <v>2523</v>
      </c>
      <c r="BZ16" s="1476" t="s">
        <v>2522</v>
      </c>
      <c r="CA16" s="1476" t="s">
        <v>2521</v>
      </c>
      <c r="CB16" s="1476" t="s">
        <v>2520</v>
      </c>
      <c r="CC16" s="1476" t="s">
        <v>2519</v>
      </c>
      <c r="CD16" s="1476" t="s">
        <v>2518</v>
      </c>
      <c r="CE16" s="1476" t="s">
        <v>2517</v>
      </c>
      <c r="CF16" s="1476" t="s">
        <v>2513</v>
      </c>
      <c r="CG16" s="1476" t="s">
        <v>2516</v>
      </c>
      <c r="CH16" s="1476" t="s">
        <v>2516</v>
      </c>
      <c r="CI16" s="1476" t="s">
        <v>2515</v>
      </c>
      <c r="CJ16" s="1476" t="s">
        <v>2514</v>
      </c>
      <c r="CK16" s="1476" t="s">
        <v>2513</v>
      </c>
      <c r="CL16" s="1476" t="s">
        <v>2513</v>
      </c>
      <c r="CM16" s="1476" t="s">
        <v>2512</v>
      </c>
      <c r="CN16" s="1476" t="s">
        <v>2511</v>
      </c>
    </row>
    <row r="17" spans="1:92">
      <c r="A17" s="1479" t="s">
        <v>2310</v>
      </c>
      <c r="B17" s="272"/>
      <c r="C17" s="1484"/>
      <c r="D17" s="1484"/>
      <c r="E17" s="1484"/>
      <c r="F17" s="272"/>
      <c r="G17" s="1484"/>
      <c r="H17" s="1484"/>
      <c r="I17" s="1484"/>
      <c r="J17" s="1484"/>
      <c r="K17" s="1484"/>
      <c r="L17" s="1484"/>
      <c r="M17" s="1484"/>
      <c r="N17" s="272"/>
      <c r="O17" s="1484"/>
      <c r="P17" s="1484"/>
      <c r="Q17" s="272"/>
      <c r="R17" s="1484"/>
      <c r="S17" s="1484"/>
      <c r="T17" s="1483"/>
      <c r="U17" s="1483"/>
      <c r="V17" s="1483"/>
      <c r="W17" s="1483"/>
      <c r="X17" s="1483"/>
      <c r="Y17" s="1483"/>
      <c r="Z17" s="1483"/>
      <c r="AA17" s="1483"/>
      <c r="AB17" s="1483"/>
      <c r="AC17" s="1483"/>
      <c r="AD17" s="1483"/>
      <c r="AE17" s="1503"/>
      <c r="AF17" s="1503"/>
      <c r="AG17" s="1504"/>
      <c r="AH17" s="1504"/>
      <c r="AI17" s="1504"/>
      <c r="AJ17" s="1504"/>
      <c r="AK17" s="1504"/>
      <c r="AL17" s="1504"/>
      <c r="AM17" s="1504"/>
      <c r="AN17" s="1504"/>
      <c r="AO17" s="1504"/>
      <c r="AP17" s="1504"/>
      <c r="AQ17" s="1504"/>
      <c r="AR17" s="1504"/>
      <c r="AS17" s="1504"/>
      <c r="AT17" s="1504"/>
      <c r="AU17" s="1504"/>
      <c r="AV17" s="1504"/>
      <c r="AW17" s="1504"/>
      <c r="AX17" s="1504"/>
      <c r="AY17" s="1504"/>
      <c r="AZ17" s="1504"/>
      <c r="BA17" s="1504"/>
      <c r="BB17" s="1504"/>
      <c r="BC17" s="1504"/>
      <c r="BD17" s="1504"/>
      <c r="BE17" s="1504"/>
      <c r="BF17" s="1504"/>
      <c r="BG17" s="1504"/>
      <c r="BH17" s="1504"/>
      <c r="BI17" s="1504"/>
      <c r="BJ17" s="1504"/>
      <c r="BK17" s="1504"/>
      <c r="BL17" s="1504"/>
      <c r="BM17" s="1504"/>
      <c r="BN17" s="1504"/>
      <c r="BO17" s="1504"/>
      <c r="BP17" s="1504"/>
      <c r="BQ17" s="1504"/>
      <c r="BR17" s="1504"/>
      <c r="BS17" s="1504"/>
      <c r="BT17" s="1504"/>
      <c r="BU17" s="1504"/>
      <c r="BV17" s="1504"/>
      <c r="BW17" s="1504"/>
      <c r="BX17" s="1504"/>
      <c r="BY17" s="1504"/>
      <c r="BZ17" s="1504"/>
      <c r="CA17" s="1504"/>
      <c r="CB17" s="1504"/>
      <c r="CC17" s="1504"/>
      <c r="CD17" s="1504"/>
      <c r="CE17" s="1504"/>
      <c r="CF17" s="1504"/>
      <c r="CG17" s="1504"/>
      <c r="CH17" s="1504"/>
      <c r="CI17" s="1504"/>
      <c r="CJ17" s="1504"/>
      <c r="CK17" s="1504"/>
      <c r="CL17" s="1504"/>
      <c r="CM17" s="1504"/>
      <c r="CN17" s="1504"/>
    </row>
    <row r="18" spans="1:92">
      <c r="A18" s="1502" t="s">
        <v>2510</v>
      </c>
      <c r="B18" s="1501" t="s">
        <v>2509</v>
      </c>
      <c r="C18" s="1500" t="s">
        <v>2509</v>
      </c>
      <c r="D18" s="1500" t="s">
        <v>1894</v>
      </c>
      <c r="E18" s="1500" t="s">
        <v>1894</v>
      </c>
      <c r="F18" s="1501" t="s">
        <v>1888</v>
      </c>
      <c r="G18" s="1500" t="s">
        <v>2088</v>
      </c>
      <c r="H18" s="1500" t="s">
        <v>2072</v>
      </c>
      <c r="I18" s="1500" t="s">
        <v>2088</v>
      </c>
      <c r="J18" s="1500" t="s">
        <v>2072</v>
      </c>
      <c r="K18" s="1500" t="s">
        <v>2072</v>
      </c>
      <c r="L18" s="1500" t="s">
        <v>2088</v>
      </c>
      <c r="M18" s="1500" t="s">
        <v>2088</v>
      </c>
      <c r="N18" s="1501" t="s">
        <v>2088</v>
      </c>
      <c r="O18" s="1500" t="s">
        <v>2088</v>
      </c>
      <c r="P18" s="1500" t="s">
        <v>1822</v>
      </c>
      <c r="Q18" s="1501" t="s">
        <v>1822</v>
      </c>
      <c r="R18" s="1500" t="s">
        <v>1822</v>
      </c>
      <c r="S18" s="1500" t="s">
        <v>1822</v>
      </c>
      <c r="T18" s="1498" t="s">
        <v>1822</v>
      </c>
      <c r="U18" s="1498" t="s">
        <v>1822</v>
      </c>
      <c r="V18" s="1498" t="s">
        <v>1822</v>
      </c>
      <c r="W18" s="1498" t="s">
        <v>1822</v>
      </c>
      <c r="X18" s="1498" t="s">
        <v>2072</v>
      </c>
      <c r="Y18" s="1498" t="s">
        <v>2072</v>
      </c>
      <c r="Z18" s="1498" t="s">
        <v>1822</v>
      </c>
      <c r="AA18" s="1498" t="s">
        <v>1822</v>
      </c>
      <c r="AB18" s="1498" t="s">
        <v>1822</v>
      </c>
      <c r="AC18" s="1498" t="s">
        <v>1822</v>
      </c>
      <c r="AD18" s="1498" t="s">
        <v>1822</v>
      </c>
      <c r="AE18" s="1499" t="s">
        <v>1822</v>
      </c>
      <c r="AF18" s="1499" t="s">
        <v>1822</v>
      </c>
      <c r="AG18" s="1499" t="s">
        <v>1822</v>
      </c>
      <c r="AH18" s="1499" t="s">
        <v>2506</v>
      </c>
      <c r="AI18" s="1499" t="s">
        <v>2169</v>
      </c>
      <c r="AJ18" s="1499" t="s">
        <v>2169</v>
      </c>
      <c r="AK18" s="1499" t="s">
        <v>2169</v>
      </c>
      <c r="AL18" s="1499" t="s">
        <v>2169</v>
      </c>
      <c r="AM18" s="1499" t="s">
        <v>2508</v>
      </c>
      <c r="AN18" s="1499" t="s">
        <v>2508</v>
      </c>
      <c r="AO18" s="1499" t="s">
        <v>2508</v>
      </c>
      <c r="AP18" s="1499" t="s">
        <v>2507</v>
      </c>
      <c r="AQ18" s="1499" t="s">
        <v>2169</v>
      </c>
      <c r="AR18" s="1499" t="s">
        <v>2169</v>
      </c>
      <c r="AS18" s="1499" t="s">
        <v>2169</v>
      </c>
      <c r="AT18" s="1499" t="s">
        <v>2169</v>
      </c>
      <c r="AU18" s="1499" t="s">
        <v>2169</v>
      </c>
      <c r="AV18" s="1499" t="s">
        <v>2169</v>
      </c>
      <c r="AW18" s="1499" t="s">
        <v>2169</v>
      </c>
      <c r="AX18" s="1499" t="s">
        <v>2169</v>
      </c>
      <c r="AY18" s="1499" t="s">
        <v>2169</v>
      </c>
      <c r="AZ18" s="1499" t="s">
        <v>2169</v>
      </c>
      <c r="BA18" s="1499" t="s">
        <v>2169</v>
      </c>
      <c r="BB18" s="1499" t="s">
        <v>2169</v>
      </c>
      <c r="BC18" s="1499" t="s">
        <v>2169</v>
      </c>
      <c r="BD18" s="1499" t="s">
        <v>2506</v>
      </c>
      <c r="BE18" s="1499" t="s">
        <v>2506</v>
      </c>
      <c r="BF18" s="1499" t="s">
        <v>2506</v>
      </c>
      <c r="BG18" s="1499" t="s">
        <v>2506</v>
      </c>
      <c r="BH18" s="1499" t="s">
        <v>2506</v>
      </c>
      <c r="BI18" s="1499" t="s">
        <v>2506</v>
      </c>
      <c r="BJ18" s="1499" t="s">
        <v>2506</v>
      </c>
      <c r="BK18" s="1499" t="s">
        <v>2506</v>
      </c>
      <c r="BL18" s="1499" t="s">
        <v>2506</v>
      </c>
      <c r="BM18" s="1499" t="s">
        <v>2505</v>
      </c>
      <c r="BN18" s="1499" t="s">
        <v>2504</v>
      </c>
      <c r="BO18" s="1499" t="s">
        <v>2504</v>
      </c>
      <c r="BP18" s="1499" t="s">
        <v>2504</v>
      </c>
      <c r="BQ18" s="1499" t="s">
        <v>2504</v>
      </c>
      <c r="BR18" s="1499" t="s">
        <v>2504</v>
      </c>
      <c r="BS18" s="1499" t="s">
        <v>2170</v>
      </c>
      <c r="BT18" s="1499" t="s">
        <v>2170</v>
      </c>
      <c r="BU18" s="1499" t="s">
        <v>2503</v>
      </c>
      <c r="BV18" s="1499" t="s">
        <v>2502</v>
      </c>
      <c r="BW18" s="1499" t="s">
        <v>2501</v>
      </c>
      <c r="BX18" s="1499" t="s">
        <v>2500</v>
      </c>
      <c r="BY18" s="1499" t="s">
        <v>2500</v>
      </c>
      <c r="BZ18" s="1499" t="s">
        <v>2499</v>
      </c>
      <c r="CA18" s="1499" t="s">
        <v>2499</v>
      </c>
      <c r="CB18" s="1499" t="s">
        <v>2498</v>
      </c>
      <c r="CC18" s="1499" t="s">
        <v>2497</v>
      </c>
      <c r="CD18" s="1499" t="s">
        <v>2496</v>
      </c>
      <c r="CE18" s="1499" t="s">
        <v>2495</v>
      </c>
      <c r="CF18" s="1499" t="s">
        <v>2493</v>
      </c>
      <c r="CG18" s="1499" t="s">
        <v>2493</v>
      </c>
      <c r="CH18" s="1499" t="s">
        <v>2493</v>
      </c>
      <c r="CI18" s="1499" t="s">
        <v>2494</v>
      </c>
      <c r="CJ18" s="1499" t="s">
        <v>2493</v>
      </c>
      <c r="CK18" s="1499" t="s">
        <v>2492</v>
      </c>
      <c r="CL18" s="1499" t="s">
        <v>2492</v>
      </c>
      <c r="CM18" s="1499" t="s">
        <v>2492</v>
      </c>
      <c r="CN18" s="1499" t="s">
        <v>2491</v>
      </c>
    </row>
    <row r="19" spans="1:92">
      <c r="A19" s="1479" t="s">
        <v>2490</v>
      </c>
      <c r="B19" s="1478" t="s">
        <v>1964</v>
      </c>
      <c r="C19" s="1477" t="s">
        <v>1964</v>
      </c>
      <c r="D19" s="1477" t="s">
        <v>2489</v>
      </c>
      <c r="E19" s="1477" t="s">
        <v>1967</v>
      </c>
      <c r="F19" s="1478" t="s">
        <v>1852</v>
      </c>
      <c r="G19" s="1477" t="s">
        <v>2113</v>
      </c>
      <c r="H19" s="1477" t="s">
        <v>2113</v>
      </c>
      <c r="I19" s="1477" t="s">
        <v>2113</v>
      </c>
      <c r="J19" s="1477" t="s">
        <v>2113</v>
      </c>
      <c r="K19" s="1477" t="s">
        <v>2113</v>
      </c>
      <c r="L19" s="1477" t="s">
        <v>2113</v>
      </c>
      <c r="M19" s="1477" t="s">
        <v>2113</v>
      </c>
      <c r="N19" s="1478" t="s">
        <v>2113</v>
      </c>
      <c r="O19" s="1477" t="s">
        <v>2113</v>
      </c>
      <c r="P19" s="1477" t="s">
        <v>2488</v>
      </c>
      <c r="Q19" s="1478" t="s">
        <v>2395</v>
      </c>
      <c r="R19" s="1477" t="s">
        <v>2113</v>
      </c>
      <c r="S19" s="1477" t="s">
        <v>2485</v>
      </c>
      <c r="T19" s="1475" t="s">
        <v>2487</v>
      </c>
      <c r="U19" s="1475" t="s">
        <v>2113</v>
      </c>
      <c r="V19" s="1475" t="s">
        <v>2218</v>
      </c>
      <c r="W19" s="1475" t="s">
        <v>2486</v>
      </c>
      <c r="X19" s="1475" t="s">
        <v>2485</v>
      </c>
      <c r="Y19" s="1475" t="s">
        <v>2426</v>
      </c>
      <c r="Z19" s="1475" t="s">
        <v>2391</v>
      </c>
      <c r="AA19" s="1475" t="s">
        <v>2219</v>
      </c>
      <c r="AB19" s="1475" t="s">
        <v>2484</v>
      </c>
      <c r="AC19" s="1475" t="s">
        <v>2484</v>
      </c>
      <c r="AD19" s="1475" t="s">
        <v>2219</v>
      </c>
      <c r="AE19" s="1476" t="s">
        <v>2219</v>
      </c>
      <c r="AF19" s="1476" t="s">
        <v>2390</v>
      </c>
      <c r="AG19" s="1476" t="s">
        <v>2483</v>
      </c>
      <c r="AH19" s="1476" t="s">
        <v>2482</v>
      </c>
      <c r="AI19" s="1476" t="s">
        <v>2481</v>
      </c>
      <c r="AJ19" s="1476" t="s">
        <v>2480</v>
      </c>
      <c r="AK19" s="1476" t="s">
        <v>2394</v>
      </c>
      <c r="AL19" s="1476" t="s">
        <v>2479</v>
      </c>
      <c r="AM19" s="1476" t="s">
        <v>2478</v>
      </c>
      <c r="AN19" s="1476" t="s">
        <v>2478</v>
      </c>
      <c r="AO19" s="1476" t="s">
        <v>2478</v>
      </c>
      <c r="AP19" s="1476" t="s">
        <v>2477</v>
      </c>
      <c r="AQ19" s="1476" t="s">
        <v>2476</v>
      </c>
      <c r="AR19" s="1476" t="s">
        <v>2476</v>
      </c>
      <c r="AS19" s="1476" t="s">
        <v>2476</v>
      </c>
      <c r="AT19" s="1476" t="s">
        <v>2475</v>
      </c>
      <c r="AU19" s="1476" t="s">
        <v>2474</v>
      </c>
      <c r="AV19" s="1476" t="s">
        <v>2473</v>
      </c>
      <c r="AW19" s="1476" t="s">
        <v>2473</v>
      </c>
      <c r="AX19" s="1476" t="s">
        <v>2472</v>
      </c>
      <c r="AY19" s="1476" t="s">
        <v>2472</v>
      </c>
      <c r="AZ19" s="1476" t="s">
        <v>2472</v>
      </c>
      <c r="BA19" s="1476" t="s">
        <v>2472</v>
      </c>
      <c r="BB19" s="1476" t="s">
        <v>2472</v>
      </c>
      <c r="BC19" s="1476" t="s">
        <v>2472</v>
      </c>
      <c r="BD19" s="1476" t="s">
        <v>2472</v>
      </c>
      <c r="BE19" s="1476" t="s">
        <v>2471</v>
      </c>
      <c r="BF19" s="1476" t="s">
        <v>2471</v>
      </c>
      <c r="BG19" s="1476" t="s">
        <v>2471</v>
      </c>
      <c r="BH19" s="1476" t="s">
        <v>2471</v>
      </c>
      <c r="BI19" s="1476" t="s">
        <v>2471</v>
      </c>
      <c r="BJ19" s="1476" t="s">
        <v>2471</v>
      </c>
      <c r="BK19" s="1476" t="s">
        <v>2471</v>
      </c>
      <c r="BL19" s="1476" t="s">
        <v>2470</v>
      </c>
      <c r="BM19" s="1476" t="s">
        <v>2470</v>
      </c>
      <c r="BN19" s="1476" t="s">
        <v>2470</v>
      </c>
      <c r="BO19" s="1476" t="s">
        <v>2470</v>
      </c>
      <c r="BP19" s="1476" t="s">
        <v>2470</v>
      </c>
      <c r="BQ19" s="1476" t="s">
        <v>2470</v>
      </c>
      <c r="BR19" s="1476" t="s">
        <v>2470</v>
      </c>
      <c r="BS19" s="1476" t="s">
        <v>2470</v>
      </c>
      <c r="BT19" s="1476" t="s">
        <v>2469</v>
      </c>
      <c r="BU19" s="1476" t="s">
        <v>2469</v>
      </c>
      <c r="BV19" s="1476" t="s">
        <v>2203</v>
      </c>
      <c r="BW19" s="1476" t="s">
        <v>2469</v>
      </c>
      <c r="BX19" s="1476" t="s">
        <v>2469</v>
      </c>
      <c r="BY19" s="1476" t="s">
        <v>2468</v>
      </c>
      <c r="BZ19" s="1476" t="s">
        <v>2468</v>
      </c>
      <c r="CA19" s="1476" t="s">
        <v>2468</v>
      </c>
      <c r="CB19" s="1476" t="s">
        <v>2467</v>
      </c>
      <c r="CC19" s="1476" t="s">
        <v>2466</v>
      </c>
      <c r="CD19" s="1476" t="s">
        <v>2465</v>
      </c>
      <c r="CE19" s="1476" t="s">
        <v>2464</v>
      </c>
      <c r="CF19" s="1476" t="s">
        <v>2463</v>
      </c>
      <c r="CG19" s="1476" t="s">
        <v>2462</v>
      </c>
      <c r="CH19" s="1476" t="s">
        <v>2462</v>
      </c>
      <c r="CI19" s="1476" t="s">
        <v>2461</v>
      </c>
      <c r="CJ19" s="1476" t="s">
        <v>2460</v>
      </c>
      <c r="CK19" s="1476" t="s">
        <v>2459</v>
      </c>
      <c r="CL19" s="1476" t="s">
        <v>2458</v>
      </c>
      <c r="CM19" s="1476" t="s">
        <v>2457</v>
      </c>
      <c r="CN19" s="1476" t="s">
        <v>2456</v>
      </c>
    </row>
    <row r="20" spans="1:92">
      <c r="A20" s="1479" t="s">
        <v>2310</v>
      </c>
      <c r="B20" s="272"/>
      <c r="C20" s="1484"/>
      <c r="D20" s="1484"/>
      <c r="E20" s="1484"/>
      <c r="F20" s="272"/>
      <c r="G20" s="1484"/>
      <c r="H20" s="1484"/>
      <c r="I20" s="1484"/>
      <c r="J20" s="1484"/>
      <c r="K20" s="1484"/>
      <c r="L20" s="1484"/>
      <c r="M20" s="1484"/>
      <c r="N20" s="272"/>
      <c r="O20" s="1484"/>
      <c r="P20" s="1484"/>
      <c r="Q20" s="272"/>
      <c r="R20" s="1484"/>
      <c r="S20" s="1484"/>
      <c r="T20" s="1483"/>
      <c r="U20" s="1483"/>
      <c r="V20" s="1483"/>
      <c r="W20" s="1483"/>
      <c r="X20" s="1483"/>
      <c r="Y20" s="1483"/>
      <c r="Z20" s="1483"/>
      <c r="AA20" s="1483"/>
      <c r="AB20" s="1483"/>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503"/>
      <c r="CA20" s="1483"/>
      <c r="CB20" s="1483"/>
      <c r="CC20" s="1483"/>
      <c r="CD20" s="1483"/>
      <c r="CE20" s="1483"/>
      <c r="CF20" s="1483"/>
      <c r="CG20" s="1483"/>
      <c r="CH20" s="1483"/>
      <c r="CI20" s="1483"/>
      <c r="CJ20" s="1483"/>
      <c r="CK20" s="1483"/>
      <c r="CL20" s="1483"/>
      <c r="CM20" s="1483"/>
      <c r="CN20" s="1483"/>
    </row>
    <row r="21" spans="1:92">
      <c r="A21" s="1502" t="s">
        <v>2455</v>
      </c>
      <c r="B21" s="1501" t="s">
        <v>1967</v>
      </c>
      <c r="C21" s="1500" t="s">
        <v>1915</v>
      </c>
      <c r="D21" s="1500" t="s">
        <v>1915</v>
      </c>
      <c r="E21" s="1500" t="s">
        <v>1967</v>
      </c>
      <c r="F21" s="1501" t="s">
        <v>1915</v>
      </c>
      <c r="G21" s="1500" t="s">
        <v>2454</v>
      </c>
      <c r="H21" s="1500" t="s">
        <v>2454</v>
      </c>
      <c r="I21" s="1500" t="s">
        <v>2454</v>
      </c>
      <c r="J21" s="1500" t="s">
        <v>1835</v>
      </c>
      <c r="K21" s="1500" t="s">
        <v>2454</v>
      </c>
      <c r="L21" s="1500" t="s">
        <v>2454</v>
      </c>
      <c r="M21" s="1500" t="s">
        <v>1835</v>
      </c>
      <c r="N21" s="1501" t="s">
        <v>2453</v>
      </c>
      <c r="O21" s="1500" t="s">
        <v>2453</v>
      </c>
      <c r="P21" s="1500" t="s">
        <v>2452</v>
      </c>
      <c r="Q21" s="1501" t="s">
        <v>2451</v>
      </c>
      <c r="R21" s="1500" t="s">
        <v>2451</v>
      </c>
      <c r="S21" s="1500" t="s">
        <v>2451</v>
      </c>
      <c r="T21" s="1498" t="s">
        <v>2448</v>
      </c>
      <c r="U21" s="1498" t="s">
        <v>2448</v>
      </c>
      <c r="V21" s="1498" t="s">
        <v>2450</v>
      </c>
      <c r="W21" s="1498" t="s">
        <v>2448</v>
      </c>
      <c r="X21" s="1498" t="s">
        <v>2449</v>
      </c>
      <c r="Y21" s="1498" t="s">
        <v>2448</v>
      </c>
      <c r="Z21" s="1498" t="s">
        <v>2029</v>
      </c>
      <c r="AA21" s="1498" t="s">
        <v>2110</v>
      </c>
      <c r="AB21" s="1498" t="s">
        <v>1881</v>
      </c>
      <c r="AC21" s="1498" t="s">
        <v>2155</v>
      </c>
      <c r="AD21" s="1498" t="s">
        <v>2447</v>
      </c>
      <c r="AE21" s="1498" t="s">
        <v>2446</v>
      </c>
      <c r="AF21" s="1498" t="s">
        <v>2156</v>
      </c>
      <c r="AG21" s="1498" t="s">
        <v>2445</v>
      </c>
      <c r="AH21" s="1498" t="s">
        <v>2110</v>
      </c>
      <c r="AI21" s="1498" t="s">
        <v>2110</v>
      </c>
      <c r="AJ21" s="1498" t="s">
        <v>2108</v>
      </c>
      <c r="AK21" s="1498" t="s">
        <v>2108</v>
      </c>
      <c r="AL21" s="1498" t="s">
        <v>2444</v>
      </c>
      <c r="AM21" s="1498" t="s">
        <v>1879</v>
      </c>
      <c r="AN21" s="1498" t="s">
        <v>1879</v>
      </c>
      <c r="AO21" s="1498" t="s">
        <v>1879</v>
      </c>
      <c r="AP21" s="1498" t="s">
        <v>1879</v>
      </c>
      <c r="AQ21" s="1498" t="s">
        <v>1879</v>
      </c>
      <c r="AR21" s="1498" t="s">
        <v>1879</v>
      </c>
      <c r="AS21" s="1498" t="s">
        <v>1879</v>
      </c>
      <c r="AT21" s="1498" t="s">
        <v>1913</v>
      </c>
      <c r="AU21" s="1498" t="s">
        <v>1915</v>
      </c>
      <c r="AV21" s="1498" t="s">
        <v>1915</v>
      </c>
      <c r="AW21" s="1498" t="s">
        <v>1915</v>
      </c>
      <c r="AX21" s="1498" t="s">
        <v>2271</v>
      </c>
      <c r="AY21" s="1498" t="s">
        <v>2113</v>
      </c>
      <c r="AZ21" s="1498" t="s">
        <v>2443</v>
      </c>
      <c r="BA21" s="1498" t="s">
        <v>2443</v>
      </c>
      <c r="BB21" s="1498" t="s">
        <v>2443</v>
      </c>
      <c r="BC21" s="1498" t="s">
        <v>2443</v>
      </c>
      <c r="BD21" s="1498" t="s">
        <v>2443</v>
      </c>
      <c r="BE21" s="1498" t="s">
        <v>2442</v>
      </c>
      <c r="BF21" s="1498" t="s">
        <v>2442</v>
      </c>
      <c r="BG21" s="1498" t="s">
        <v>2442</v>
      </c>
      <c r="BH21" s="1498" t="s">
        <v>2442</v>
      </c>
      <c r="BI21" s="1498" t="s">
        <v>2442</v>
      </c>
      <c r="BJ21" s="1498" t="s">
        <v>2441</v>
      </c>
      <c r="BK21" s="1498" t="s">
        <v>2441</v>
      </c>
      <c r="BL21" s="1498" t="s">
        <v>2440</v>
      </c>
      <c r="BM21" s="1498" t="s">
        <v>2438</v>
      </c>
      <c r="BN21" s="1498" t="s">
        <v>2438</v>
      </c>
      <c r="BO21" s="1498" t="s">
        <v>2439</v>
      </c>
      <c r="BP21" s="1498" t="s">
        <v>2438</v>
      </c>
      <c r="BQ21" s="1498" t="s">
        <v>2438</v>
      </c>
      <c r="BR21" s="1498" t="s">
        <v>2438</v>
      </c>
      <c r="BS21" s="1498" t="s">
        <v>2437</v>
      </c>
      <c r="BT21" s="1498" t="s">
        <v>2437</v>
      </c>
      <c r="BU21" s="1498" t="s">
        <v>1385</v>
      </c>
      <c r="BV21" s="1498" t="s">
        <v>1385</v>
      </c>
      <c r="BW21" s="1498" t="s">
        <v>1386</v>
      </c>
      <c r="BX21" s="1498" t="s">
        <v>2436</v>
      </c>
      <c r="BY21" s="1498" t="s">
        <v>2436</v>
      </c>
      <c r="BZ21" s="1499" t="s">
        <v>2436</v>
      </c>
      <c r="CA21" s="1498" t="s">
        <v>2436</v>
      </c>
      <c r="CB21" s="1498" t="s">
        <v>2435</v>
      </c>
      <c r="CC21" s="1498" t="s">
        <v>2434</v>
      </c>
      <c r="CD21" s="1498" t="s">
        <v>2431</v>
      </c>
      <c r="CE21" s="1498" t="s">
        <v>2433</v>
      </c>
      <c r="CF21" s="1498" t="s">
        <v>2432</v>
      </c>
      <c r="CG21" s="1498" t="s">
        <v>2431</v>
      </c>
      <c r="CH21" s="1498" t="s">
        <v>2069</v>
      </c>
      <c r="CI21" s="1498" t="s">
        <v>2069</v>
      </c>
      <c r="CJ21" s="1498" t="s">
        <v>2069</v>
      </c>
      <c r="CK21" s="1498" t="s">
        <v>2057</v>
      </c>
      <c r="CL21" s="1498" t="s">
        <v>2059</v>
      </c>
      <c r="CM21" s="1498" t="s">
        <v>2059</v>
      </c>
      <c r="CN21" s="1498" t="s">
        <v>2059</v>
      </c>
    </row>
    <row r="22" spans="1:92">
      <c r="A22" s="1479" t="s">
        <v>2430</v>
      </c>
      <c r="B22" s="1478" t="s">
        <v>2398</v>
      </c>
      <c r="C22" s="1477" t="s">
        <v>2429</v>
      </c>
      <c r="D22" s="1477" t="s">
        <v>2397</v>
      </c>
      <c r="E22" s="1477" t="s">
        <v>2397</v>
      </c>
      <c r="F22" s="1478" t="s">
        <v>2397</v>
      </c>
      <c r="G22" s="1477" t="s">
        <v>2072</v>
      </c>
      <c r="H22" s="1477" t="s">
        <v>2428</v>
      </c>
      <c r="I22" s="1477" t="s">
        <v>2428</v>
      </c>
      <c r="J22" s="1477" t="s">
        <v>2428</v>
      </c>
      <c r="K22" s="1477" t="s">
        <v>1967</v>
      </c>
      <c r="L22" s="1477" t="s">
        <v>1967</v>
      </c>
      <c r="M22" s="1477" t="s">
        <v>1967</v>
      </c>
      <c r="N22" s="1478" t="s">
        <v>1967</v>
      </c>
      <c r="O22" s="1477" t="s">
        <v>2427</v>
      </c>
      <c r="P22" s="1477" t="s">
        <v>2396</v>
      </c>
      <c r="Q22" s="1478" t="s">
        <v>2218</v>
      </c>
      <c r="R22" s="1477" t="s">
        <v>2395</v>
      </c>
      <c r="S22" s="1477" t="s">
        <v>2426</v>
      </c>
      <c r="T22" s="1475" t="s">
        <v>2395</v>
      </c>
      <c r="U22" s="1475" t="s">
        <v>2425</v>
      </c>
      <c r="V22" s="1475" t="s">
        <v>2218</v>
      </c>
      <c r="W22" s="1475" t="s">
        <v>2424</v>
      </c>
      <c r="X22" s="1475" t="s">
        <v>2423</v>
      </c>
      <c r="Y22" s="1475" t="s">
        <v>2218</v>
      </c>
      <c r="Z22" s="1475" t="s">
        <v>2422</v>
      </c>
      <c r="AA22" s="1475" t="s">
        <v>2219</v>
      </c>
      <c r="AB22" s="1475" t="s">
        <v>2391</v>
      </c>
      <c r="AC22" s="1475" t="s">
        <v>2219</v>
      </c>
      <c r="AD22" s="1475" t="s">
        <v>2390</v>
      </c>
      <c r="AE22" s="1475" t="s">
        <v>2421</v>
      </c>
      <c r="AF22" s="1475" t="s">
        <v>2420</v>
      </c>
      <c r="AG22" s="1475" t="s">
        <v>2389</v>
      </c>
      <c r="AH22" s="1475" t="s">
        <v>2388</v>
      </c>
      <c r="AI22" s="1475" t="s">
        <v>2419</v>
      </c>
      <c r="AJ22" s="1475" t="s">
        <v>2418</v>
      </c>
      <c r="AK22" s="1475" t="s">
        <v>2212</v>
      </c>
      <c r="AL22" s="1475" t="s">
        <v>2417</v>
      </c>
      <c r="AM22" s="1475" t="s">
        <v>2416</v>
      </c>
      <c r="AN22" s="1475" t="s">
        <v>2415</v>
      </c>
      <c r="AO22" s="1475" t="s">
        <v>2384</v>
      </c>
      <c r="AP22" s="1475" t="s">
        <v>2414</v>
      </c>
      <c r="AQ22" s="1475" t="s">
        <v>2398</v>
      </c>
      <c r="AR22" s="1475" t="s">
        <v>2398</v>
      </c>
      <c r="AS22" s="1475" t="s">
        <v>2398</v>
      </c>
      <c r="AT22" s="1475" t="s">
        <v>2398</v>
      </c>
      <c r="AU22" s="1475" t="s">
        <v>2413</v>
      </c>
      <c r="AV22" s="1475" t="s">
        <v>2412</v>
      </c>
      <c r="AW22" s="1475" t="s">
        <v>2412</v>
      </c>
      <c r="AX22" s="1475" t="s">
        <v>2412</v>
      </c>
      <c r="AY22" s="1475" t="s">
        <v>2412</v>
      </c>
      <c r="AZ22" s="1475" t="s">
        <v>2412</v>
      </c>
      <c r="BA22" s="1475" t="s">
        <v>2412</v>
      </c>
      <c r="BB22" s="1475" t="s">
        <v>2412</v>
      </c>
      <c r="BC22" s="1475" t="s">
        <v>2412</v>
      </c>
      <c r="BD22" s="1475" t="s">
        <v>2412</v>
      </c>
      <c r="BE22" s="1475" t="s">
        <v>2412</v>
      </c>
      <c r="BF22" s="1475" t="s">
        <v>2412</v>
      </c>
      <c r="BG22" s="1475" t="s">
        <v>2412</v>
      </c>
      <c r="BH22" s="1475" t="s">
        <v>2412</v>
      </c>
      <c r="BI22" s="1475" t="s">
        <v>2412</v>
      </c>
      <c r="BJ22" s="1475" t="s">
        <v>2412</v>
      </c>
      <c r="BK22" s="1475" t="s">
        <v>2412</v>
      </c>
      <c r="BL22" s="1475" t="s">
        <v>2412</v>
      </c>
      <c r="BM22" s="1475" t="s">
        <v>2411</v>
      </c>
      <c r="BN22" s="1475" t="s">
        <v>2411</v>
      </c>
      <c r="BO22" s="1475" t="s">
        <v>2411</v>
      </c>
      <c r="BP22" s="1475" t="s">
        <v>2411</v>
      </c>
      <c r="BQ22" s="1475" t="s">
        <v>2411</v>
      </c>
      <c r="BR22" s="1475" t="s">
        <v>2411</v>
      </c>
      <c r="BS22" s="1475" t="s">
        <v>2410</v>
      </c>
      <c r="BT22" s="1475" t="s">
        <v>2410</v>
      </c>
      <c r="BU22" s="1475" t="s">
        <v>2409</v>
      </c>
      <c r="BV22" s="1475" t="s">
        <v>2409</v>
      </c>
      <c r="BW22" s="1475" t="s">
        <v>2409</v>
      </c>
      <c r="BX22" s="1475" t="s">
        <v>2201</v>
      </c>
      <c r="BY22" s="1475" t="s">
        <v>2170</v>
      </c>
      <c r="BZ22" s="1476" t="s">
        <v>2170</v>
      </c>
      <c r="CA22" s="1475" t="s">
        <v>2170</v>
      </c>
      <c r="CB22" s="1475" t="s">
        <v>2170</v>
      </c>
      <c r="CC22" s="1475" t="s">
        <v>2408</v>
      </c>
      <c r="CD22" s="1475" t="s">
        <v>2407</v>
      </c>
      <c r="CE22" s="1475" t="s">
        <v>2406</v>
      </c>
      <c r="CF22" s="1475" t="s">
        <v>2405</v>
      </c>
      <c r="CG22" s="1480" t="s">
        <v>2370</v>
      </c>
      <c r="CH22" s="1475" t="s">
        <v>2370</v>
      </c>
      <c r="CI22" s="1475" t="s">
        <v>2404</v>
      </c>
      <c r="CJ22" s="1475" t="s">
        <v>2402</v>
      </c>
      <c r="CK22" s="1475" t="s">
        <v>2403</v>
      </c>
      <c r="CL22" s="1475" t="s">
        <v>2402</v>
      </c>
      <c r="CM22" s="1475" t="s">
        <v>2401</v>
      </c>
      <c r="CN22" s="1475" t="s">
        <v>2400</v>
      </c>
    </row>
    <row r="23" spans="1:92">
      <c r="A23" s="1479" t="s">
        <v>2310</v>
      </c>
      <c r="B23" s="272"/>
      <c r="C23" s="1484"/>
      <c r="D23" s="1484"/>
      <c r="E23" s="1484"/>
      <c r="F23" s="272"/>
      <c r="G23" s="1484"/>
      <c r="H23" s="1484"/>
      <c r="I23" s="1484"/>
      <c r="J23" s="1484"/>
      <c r="K23" s="1484"/>
      <c r="L23" s="1484"/>
      <c r="M23" s="1484"/>
      <c r="N23" s="272"/>
      <c r="O23" s="1484"/>
      <c r="P23" s="1484"/>
      <c r="Q23" s="272"/>
      <c r="R23" s="1484"/>
      <c r="S23" s="1484"/>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483"/>
      <c r="AP23" s="1483"/>
      <c r="AQ23" s="1483"/>
      <c r="AR23" s="1483"/>
      <c r="AS23" s="1483"/>
      <c r="AT23" s="1483"/>
      <c r="AU23" s="1483"/>
      <c r="AV23" s="1483"/>
      <c r="AW23" s="1483"/>
      <c r="AX23" s="1483"/>
      <c r="AY23" s="1483"/>
      <c r="AZ23" s="1483"/>
      <c r="BA23" s="1483"/>
      <c r="BB23" s="1483"/>
      <c r="BC23" s="1483"/>
      <c r="BD23" s="1483"/>
      <c r="BE23" s="1483"/>
      <c r="BF23" s="1483"/>
      <c r="BG23" s="1483"/>
      <c r="BH23" s="1483"/>
      <c r="BI23" s="1483"/>
      <c r="BJ23" s="1483"/>
      <c r="BK23" s="1483"/>
      <c r="BL23" s="1483"/>
      <c r="BM23" s="1483"/>
      <c r="BN23" s="1483"/>
      <c r="BO23" s="1483"/>
      <c r="BP23" s="1483"/>
      <c r="BQ23" s="1483"/>
      <c r="BR23" s="1483"/>
      <c r="BS23" s="1483"/>
      <c r="BT23" s="1483"/>
      <c r="BU23" s="1483"/>
      <c r="BV23" s="1483"/>
      <c r="BW23" s="1483"/>
      <c r="BX23" s="1483"/>
      <c r="BY23" s="1483"/>
      <c r="BZ23" s="1503"/>
      <c r="CA23" s="1483"/>
      <c r="CB23" s="1483"/>
      <c r="CC23" s="1483"/>
      <c r="CD23" s="1483"/>
      <c r="CE23" s="1483"/>
      <c r="CF23" s="1483"/>
      <c r="CG23" s="1483"/>
      <c r="CH23" s="1483"/>
      <c r="CI23" s="1483"/>
      <c r="CJ23" s="1483"/>
      <c r="CK23" s="1483"/>
      <c r="CL23" s="1483"/>
      <c r="CM23" s="1483"/>
      <c r="CN23" s="1483"/>
    </row>
    <row r="24" spans="1:92">
      <c r="A24" s="1502" t="s">
        <v>2399</v>
      </c>
      <c r="B24" s="1501" t="s">
        <v>2398</v>
      </c>
      <c r="C24" s="1500" t="s">
        <v>2397</v>
      </c>
      <c r="D24" s="1500" t="s">
        <v>2397</v>
      </c>
      <c r="E24" s="1500" t="s">
        <v>2397</v>
      </c>
      <c r="F24" s="1501" t="s">
        <v>2397</v>
      </c>
      <c r="G24" s="1500" t="s">
        <v>2392</v>
      </c>
      <c r="H24" s="1500" t="s">
        <v>2392</v>
      </c>
      <c r="I24" s="1500" t="s">
        <v>2392</v>
      </c>
      <c r="J24" s="1500" t="s">
        <v>2392</v>
      </c>
      <c r="K24" s="1500" t="s">
        <v>2392</v>
      </c>
      <c r="L24" s="1500" t="s">
        <v>2392</v>
      </c>
      <c r="M24" s="1500" t="s">
        <v>2392</v>
      </c>
      <c r="N24" s="1501" t="s">
        <v>2392</v>
      </c>
      <c r="O24" s="1500" t="s">
        <v>2392</v>
      </c>
      <c r="P24" s="1500" t="s">
        <v>2396</v>
      </c>
      <c r="Q24" s="1501" t="s">
        <v>2218</v>
      </c>
      <c r="R24" s="1500" t="s">
        <v>2218</v>
      </c>
      <c r="S24" s="1500" t="s">
        <v>2218</v>
      </c>
      <c r="T24" s="1498" t="s">
        <v>2395</v>
      </c>
      <c r="U24" s="1498" t="s">
        <v>2394</v>
      </c>
      <c r="V24" s="1498" t="s">
        <v>2393</v>
      </c>
      <c r="W24" s="1498" t="s">
        <v>2392</v>
      </c>
      <c r="X24" s="1498" t="s">
        <v>2392</v>
      </c>
      <c r="Y24" s="1498" t="s">
        <v>2392</v>
      </c>
      <c r="Z24" s="1498" t="s">
        <v>2113</v>
      </c>
      <c r="AA24" s="1498" t="s">
        <v>2219</v>
      </c>
      <c r="AB24" s="1498" t="s">
        <v>2391</v>
      </c>
      <c r="AC24" s="1498" t="s">
        <v>2219</v>
      </c>
      <c r="AD24" s="1498" t="s">
        <v>2390</v>
      </c>
      <c r="AE24" s="1498" t="s">
        <v>2113</v>
      </c>
      <c r="AF24" s="1498" t="s">
        <v>2219</v>
      </c>
      <c r="AG24" s="1498" t="s">
        <v>2389</v>
      </c>
      <c r="AH24" s="1498" t="s">
        <v>2388</v>
      </c>
      <c r="AI24" s="1498" t="s">
        <v>2072</v>
      </c>
      <c r="AJ24" s="1498" t="s">
        <v>2387</v>
      </c>
      <c r="AK24" s="1498" t="s">
        <v>2387</v>
      </c>
      <c r="AL24" s="1498" t="s">
        <v>2386</v>
      </c>
      <c r="AM24" s="1498" t="s">
        <v>2385</v>
      </c>
      <c r="AN24" s="1498" t="s">
        <v>2384</v>
      </c>
      <c r="AO24" s="1498" t="s">
        <v>1888</v>
      </c>
      <c r="AP24" s="1498" t="s">
        <v>2383</v>
      </c>
      <c r="AQ24" s="1498" t="s">
        <v>2383</v>
      </c>
      <c r="AR24" s="1498" t="s">
        <v>2383</v>
      </c>
      <c r="AS24" s="1498" t="s">
        <v>2382</v>
      </c>
      <c r="AT24" s="1498" t="s">
        <v>2382</v>
      </c>
      <c r="AU24" s="1498" t="s">
        <v>2381</v>
      </c>
      <c r="AV24" s="1498" t="s">
        <v>2380</v>
      </c>
      <c r="AW24" s="1498" t="s">
        <v>2380</v>
      </c>
      <c r="AX24" s="1498" t="s">
        <v>2380</v>
      </c>
      <c r="AY24" s="1498" t="s">
        <v>2380</v>
      </c>
      <c r="AZ24" s="1498" t="s">
        <v>2380</v>
      </c>
      <c r="BA24" s="1498" t="s">
        <v>2380</v>
      </c>
      <c r="BB24" s="1498" t="s">
        <v>2380</v>
      </c>
      <c r="BC24" s="1498" t="s">
        <v>2380</v>
      </c>
      <c r="BD24" s="1498" t="s">
        <v>2380</v>
      </c>
      <c r="BE24" s="1498" t="s">
        <v>2380</v>
      </c>
      <c r="BF24" s="1498" t="s">
        <v>2380</v>
      </c>
      <c r="BG24" s="1498" t="s">
        <v>2380</v>
      </c>
      <c r="BH24" s="1498" t="s">
        <v>2380</v>
      </c>
      <c r="BI24" s="1498" t="s">
        <v>2380</v>
      </c>
      <c r="BJ24" s="1498" t="s">
        <v>2380</v>
      </c>
      <c r="BK24" s="1498" t="s">
        <v>2380</v>
      </c>
      <c r="BL24" s="1498" t="s">
        <v>2380</v>
      </c>
      <c r="BM24" s="1498" t="s">
        <v>2379</v>
      </c>
      <c r="BN24" s="1498" t="s">
        <v>2379</v>
      </c>
      <c r="BO24" s="1498" t="s">
        <v>2379</v>
      </c>
      <c r="BP24" s="1498" t="s">
        <v>2379</v>
      </c>
      <c r="BQ24" s="1498" t="s">
        <v>2379</v>
      </c>
      <c r="BR24" s="1498" t="s">
        <v>2379</v>
      </c>
      <c r="BS24" s="1498" t="s">
        <v>2378</v>
      </c>
      <c r="BT24" s="1498" t="s">
        <v>2378</v>
      </c>
      <c r="BU24" s="1498" t="s">
        <v>2377</v>
      </c>
      <c r="BV24" s="1498" t="s">
        <v>2377</v>
      </c>
      <c r="BW24" s="1498" t="s">
        <v>2377</v>
      </c>
      <c r="BX24" s="1498" t="s">
        <v>2376</v>
      </c>
      <c r="BY24" s="1498" t="s">
        <v>2375</v>
      </c>
      <c r="BZ24" s="1499" t="s">
        <v>2375</v>
      </c>
      <c r="CA24" s="1498" t="s">
        <v>2374</v>
      </c>
      <c r="CB24" s="1498" t="s">
        <v>2374</v>
      </c>
      <c r="CC24" s="1498" t="s">
        <v>2373</v>
      </c>
      <c r="CD24" s="1498" t="s">
        <v>2372</v>
      </c>
      <c r="CE24" s="1498" t="s">
        <v>2371</v>
      </c>
      <c r="CF24" s="1498" t="s">
        <v>2369</v>
      </c>
      <c r="CG24" s="1498" t="s">
        <v>2369</v>
      </c>
      <c r="CH24" s="1498" t="s">
        <v>2370</v>
      </c>
      <c r="CI24" s="1498" t="s">
        <v>2370</v>
      </c>
      <c r="CJ24" s="1498" t="s">
        <v>2369</v>
      </c>
      <c r="CK24" s="1498" t="s">
        <v>2369</v>
      </c>
      <c r="CL24" s="1498" t="s">
        <v>2368</v>
      </c>
      <c r="CM24" s="1498" t="s">
        <v>2367</v>
      </c>
      <c r="CN24" s="1498" t="s">
        <v>2366</v>
      </c>
    </row>
    <row r="25" spans="1:92">
      <c r="A25" s="1479" t="s">
        <v>2365</v>
      </c>
      <c r="B25" s="1478" t="s">
        <v>1967</v>
      </c>
      <c r="C25" s="1477" t="s">
        <v>1967</v>
      </c>
      <c r="D25" s="1477" t="s">
        <v>1852</v>
      </c>
      <c r="E25" s="1477" t="s">
        <v>1967</v>
      </c>
      <c r="F25" s="1478" t="s">
        <v>1967</v>
      </c>
      <c r="G25" s="1477" t="s">
        <v>1967</v>
      </c>
      <c r="H25" s="1477" t="s">
        <v>1967</v>
      </c>
      <c r="I25" s="1477" t="s">
        <v>1967</v>
      </c>
      <c r="J25" s="1477" t="s">
        <v>1967</v>
      </c>
      <c r="K25" s="1477" t="s">
        <v>1967</v>
      </c>
      <c r="L25" s="1477" t="s">
        <v>1967</v>
      </c>
      <c r="M25" s="1477" t="s">
        <v>1967</v>
      </c>
      <c r="N25" s="1478" t="s">
        <v>1967</v>
      </c>
      <c r="O25" s="1477" t="s">
        <v>1967</v>
      </c>
      <c r="P25" s="1477" t="s">
        <v>1968</v>
      </c>
      <c r="Q25" s="1478" t="s">
        <v>1968</v>
      </c>
      <c r="R25" s="1477" t="s">
        <v>1968</v>
      </c>
      <c r="S25" s="1477" t="s">
        <v>1968</v>
      </c>
      <c r="T25" s="1475" t="s">
        <v>2364</v>
      </c>
      <c r="U25" s="1475" t="s">
        <v>1968</v>
      </c>
      <c r="V25" s="1475" t="s">
        <v>2363</v>
      </c>
      <c r="W25" s="1475" t="s">
        <v>1968</v>
      </c>
      <c r="X25" s="1475" t="s">
        <v>2283</v>
      </c>
      <c r="Y25" s="1475" t="s">
        <v>2362</v>
      </c>
      <c r="Z25" s="1475" t="s">
        <v>2361</v>
      </c>
      <c r="AA25" s="1475" t="s">
        <v>2360</v>
      </c>
      <c r="AB25" s="1475" t="s">
        <v>2360</v>
      </c>
      <c r="AC25" s="1475" t="s">
        <v>2359</v>
      </c>
      <c r="AD25" s="1475" t="s">
        <v>2358</v>
      </c>
      <c r="AE25" s="1475" t="s">
        <v>2358</v>
      </c>
      <c r="AF25" s="1475" t="s">
        <v>2357</v>
      </c>
      <c r="AG25" s="1475" t="s">
        <v>2248</v>
      </c>
      <c r="AH25" s="1475" t="s">
        <v>2249</v>
      </c>
      <c r="AI25" s="1475" t="s">
        <v>2356</v>
      </c>
      <c r="AJ25" s="1475" t="s">
        <v>2355</v>
      </c>
      <c r="AK25" s="1475" t="s">
        <v>2354</v>
      </c>
      <c r="AL25" s="1475" t="s">
        <v>2354</v>
      </c>
      <c r="AM25" s="1475" t="s">
        <v>2353</v>
      </c>
      <c r="AN25" s="1475" t="s">
        <v>2352</v>
      </c>
      <c r="AO25" s="1475" t="s">
        <v>2352</v>
      </c>
      <c r="AP25" s="1475" t="s">
        <v>2351</v>
      </c>
      <c r="AQ25" s="1475" t="s">
        <v>1835</v>
      </c>
      <c r="AR25" s="1475" t="s">
        <v>1835</v>
      </c>
      <c r="AS25" s="1475" t="s">
        <v>1835</v>
      </c>
      <c r="AT25" s="1475" t="s">
        <v>2350</v>
      </c>
      <c r="AU25" s="1475" t="s">
        <v>2349</v>
      </c>
      <c r="AV25" s="1475" t="s">
        <v>1870</v>
      </c>
      <c r="AW25" s="1475" t="s">
        <v>1870</v>
      </c>
      <c r="AX25" s="1475" t="s">
        <v>2348</v>
      </c>
      <c r="AY25" s="1475" t="s">
        <v>2348</v>
      </c>
      <c r="AZ25" s="1475" t="s">
        <v>2348</v>
      </c>
      <c r="BA25" s="1475" t="s">
        <v>2348</v>
      </c>
      <c r="BB25" s="1475" t="s">
        <v>2348</v>
      </c>
      <c r="BC25" s="1475" t="s">
        <v>2348</v>
      </c>
      <c r="BD25" s="1475" t="s">
        <v>2348</v>
      </c>
      <c r="BE25" s="1475" t="s">
        <v>2174</v>
      </c>
      <c r="BF25" s="1475" t="s">
        <v>2174</v>
      </c>
      <c r="BG25" s="1475" t="s">
        <v>2174</v>
      </c>
      <c r="BH25" s="1475" t="s">
        <v>2347</v>
      </c>
      <c r="BI25" s="1475" t="s">
        <v>2347</v>
      </c>
      <c r="BJ25" s="1475" t="s">
        <v>2346</v>
      </c>
      <c r="BK25" s="1475" t="s">
        <v>2346</v>
      </c>
      <c r="BL25" s="1475" t="s">
        <v>2149</v>
      </c>
      <c r="BM25" s="1475" t="s">
        <v>1825</v>
      </c>
      <c r="BN25" s="1475" t="s">
        <v>1825</v>
      </c>
      <c r="BO25" s="1475" t="s">
        <v>1825</v>
      </c>
      <c r="BP25" s="1475" t="s">
        <v>1825</v>
      </c>
      <c r="BQ25" s="1475" t="s">
        <v>1825</v>
      </c>
      <c r="BR25" s="1475" t="s">
        <v>1825</v>
      </c>
      <c r="BS25" s="1475" t="s">
        <v>2345</v>
      </c>
      <c r="BT25" s="1475" t="s">
        <v>2345</v>
      </c>
      <c r="BU25" s="1475" t="s">
        <v>2345</v>
      </c>
      <c r="BV25" s="1475" t="s">
        <v>2345</v>
      </c>
      <c r="BW25" s="1475" t="s">
        <v>2173</v>
      </c>
      <c r="BX25" s="1475" t="s">
        <v>2173</v>
      </c>
      <c r="BY25" s="1475" t="s">
        <v>2172</v>
      </c>
      <c r="BZ25" s="1476" t="s">
        <v>2172</v>
      </c>
      <c r="CA25" s="1475" t="s">
        <v>2173</v>
      </c>
      <c r="CB25" s="1475" t="s">
        <v>2173</v>
      </c>
      <c r="CC25" s="1475" t="s">
        <v>2268</v>
      </c>
      <c r="CD25" s="1475" t="s">
        <v>2344</v>
      </c>
      <c r="CE25" s="1475" t="s">
        <v>2343</v>
      </c>
      <c r="CF25" s="1475" t="s">
        <v>2342</v>
      </c>
      <c r="CG25" s="1475" t="s">
        <v>2341</v>
      </c>
      <c r="CH25" s="1475" t="s">
        <v>2228</v>
      </c>
      <c r="CI25" s="1475" t="s">
        <v>2229</v>
      </c>
      <c r="CJ25" s="1475" t="s">
        <v>2228</v>
      </c>
      <c r="CK25" s="1475" t="s">
        <v>2341</v>
      </c>
      <c r="CL25" s="1475" t="s">
        <v>2341</v>
      </c>
      <c r="CM25" s="1475" t="s">
        <v>2226</v>
      </c>
      <c r="CN25" s="1475" t="s">
        <v>2340</v>
      </c>
    </row>
    <row r="26" spans="1:92">
      <c r="A26" s="1479" t="s">
        <v>2339</v>
      </c>
      <c r="B26" s="1478" t="s">
        <v>2338</v>
      </c>
      <c r="C26" s="1477" t="s">
        <v>2337</v>
      </c>
      <c r="D26" s="1477" t="s">
        <v>2337</v>
      </c>
      <c r="E26" s="1477" t="s">
        <v>2338</v>
      </c>
      <c r="F26" s="1478" t="s">
        <v>2337</v>
      </c>
      <c r="G26" s="1477" t="s">
        <v>2335</v>
      </c>
      <c r="H26" s="1477" t="s">
        <v>2335</v>
      </c>
      <c r="I26" s="1477" t="s">
        <v>2335</v>
      </c>
      <c r="J26" s="1477" t="s">
        <v>2335</v>
      </c>
      <c r="K26" s="1477" t="s">
        <v>2336</v>
      </c>
      <c r="L26" s="1477" t="s">
        <v>2336</v>
      </c>
      <c r="M26" s="1477" t="s">
        <v>2336</v>
      </c>
      <c r="N26" s="1478" t="s">
        <v>2336</v>
      </c>
      <c r="O26" s="1477" t="s">
        <v>2336</v>
      </c>
      <c r="P26" s="1477" t="s">
        <v>2336</v>
      </c>
      <c r="Q26" s="1478" t="s">
        <v>2336</v>
      </c>
      <c r="R26" s="1477" t="s">
        <v>2335</v>
      </c>
      <c r="S26" s="1477" t="s">
        <v>2332</v>
      </c>
      <c r="T26" s="1475" t="s">
        <v>2334</v>
      </c>
      <c r="U26" s="1475" t="s">
        <v>2332</v>
      </c>
      <c r="V26" s="1475" t="s">
        <v>2332</v>
      </c>
      <c r="W26" s="1475" t="s">
        <v>2332</v>
      </c>
      <c r="X26" s="1475" t="s">
        <v>2333</v>
      </c>
      <c r="Y26" s="1475" t="s">
        <v>2332</v>
      </c>
      <c r="Z26" s="1475" t="s">
        <v>2331</v>
      </c>
      <c r="AA26" s="1475" t="s">
        <v>2330</v>
      </c>
      <c r="AB26" s="1475" t="s">
        <v>2329</v>
      </c>
      <c r="AC26" s="1475" t="s">
        <v>2327</v>
      </c>
      <c r="AD26" s="1475" t="s">
        <v>2329</v>
      </c>
      <c r="AE26" s="1475" t="s">
        <v>2329</v>
      </c>
      <c r="AF26" s="1475" t="s">
        <v>2328</v>
      </c>
      <c r="AG26" s="1475" t="s">
        <v>2327</v>
      </c>
      <c r="AH26" s="1475" t="s">
        <v>2326</v>
      </c>
      <c r="AI26" s="1475" t="s">
        <v>2325</v>
      </c>
      <c r="AJ26" s="1475" t="s">
        <v>2324</v>
      </c>
      <c r="AK26" s="1475" t="s">
        <v>2323</v>
      </c>
      <c r="AL26" s="1475" t="s">
        <v>2322</v>
      </c>
      <c r="AM26" s="1475" t="s">
        <v>2321</v>
      </c>
      <c r="AN26" s="1475" t="s">
        <v>2320</v>
      </c>
      <c r="AO26" s="1475" t="s">
        <v>2320</v>
      </c>
      <c r="AP26" s="1475" t="s">
        <v>2319</v>
      </c>
      <c r="AQ26" s="1475" t="s">
        <v>2318</v>
      </c>
      <c r="AR26" s="1475" t="s">
        <v>2318</v>
      </c>
      <c r="AS26" s="1475" t="s">
        <v>2318</v>
      </c>
      <c r="AT26" s="1475" t="s">
        <v>2318</v>
      </c>
      <c r="AU26" s="1475" t="s">
        <v>2317</v>
      </c>
      <c r="AV26" s="1475" t="s">
        <v>2317</v>
      </c>
      <c r="AW26" s="1475" t="s">
        <v>2317</v>
      </c>
      <c r="AX26" s="1475" t="s">
        <v>2317</v>
      </c>
      <c r="AY26" s="1475" t="s">
        <v>2317</v>
      </c>
      <c r="AZ26" s="1475" t="s">
        <v>2316</v>
      </c>
      <c r="BA26" s="1475" t="s">
        <v>2316</v>
      </c>
      <c r="BB26" s="1475" t="s">
        <v>2316</v>
      </c>
      <c r="BC26" s="1475" t="s">
        <v>2316</v>
      </c>
      <c r="BD26" s="1475" t="s">
        <v>2316</v>
      </c>
      <c r="BE26" s="1475" t="s">
        <v>2316</v>
      </c>
      <c r="BF26" s="1475" t="s">
        <v>2316</v>
      </c>
      <c r="BG26" s="1475" t="s">
        <v>2316</v>
      </c>
      <c r="BH26" s="1475" t="s">
        <v>2316</v>
      </c>
      <c r="BI26" s="1475" t="s">
        <v>2316</v>
      </c>
      <c r="BJ26" s="1475" t="s">
        <v>2316</v>
      </c>
      <c r="BK26" s="1475" t="s">
        <v>2316</v>
      </c>
      <c r="BL26" s="1475" t="s">
        <v>2316</v>
      </c>
      <c r="BM26" s="1475" t="s">
        <v>2315</v>
      </c>
      <c r="BN26" s="1475" t="s">
        <v>2315</v>
      </c>
      <c r="BO26" s="1475" t="s">
        <v>2315</v>
      </c>
      <c r="BP26" s="1475" t="s">
        <v>2315</v>
      </c>
      <c r="BQ26" s="1475" t="s">
        <v>2315</v>
      </c>
      <c r="BR26" s="1475" t="s">
        <v>2315</v>
      </c>
      <c r="BS26" s="1475" t="s">
        <v>2315</v>
      </c>
      <c r="BT26" s="1475" t="s">
        <v>2315</v>
      </c>
      <c r="BU26" s="1475" t="s">
        <v>2315</v>
      </c>
      <c r="BV26" s="1475" t="s">
        <v>2315</v>
      </c>
      <c r="BW26" s="1475" t="s">
        <v>2315</v>
      </c>
      <c r="BX26" s="1475" t="s">
        <v>2315</v>
      </c>
      <c r="BY26" s="1475" t="s">
        <v>2312</v>
      </c>
      <c r="BZ26" s="1476" t="s">
        <v>2314</v>
      </c>
      <c r="CA26" s="1475" t="s">
        <v>2313</v>
      </c>
      <c r="CB26" s="1475" t="s">
        <v>2313</v>
      </c>
      <c r="CC26" s="1475" t="s">
        <v>2311</v>
      </c>
      <c r="CD26" s="1475" t="s">
        <v>2312</v>
      </c>
      <c r="CE26" s="1475" t="s">
        <v>2312</v>
      </c>
      <c r="CF26" s="1475" t="s">
        <v>2312</v>
      </c>
      <c r="CG26" s="1475" t="s">
        <v>2312</v>
      </c>
      <c r="CH26" s="1475" t="s">
        <v>2312</v>
      </c>
      <c r="CI26" s="1475" t="s">
        <v>2311</v>
      </c>
      <c r="CJ26" s="1475" t="s">
        <v>2311</v>
      </c>
      <c r="CK26" s="1475" t="s">
        <v>2312</v>
      </c>
      <c r="CL26" s="1475" t="s">
        <v>2312</v>
      </c>
      <c r="CM26" s="1475" t="s">
        <v>2312</v>
      </c>
      <c r="CN26" s="1475" t="s">
        <v>2311</v>
      </c>
    </row>
    <row r="27" spans="1:92">
      <c r="A27" s="1479" t="s">
        <v>2310</v>
      </c>
      <c r="B27" s="272"/>
      <c r="C27" s="1484"/>
      <c r="D27" s="1484"/>
      <c r="E27" s="1484"/>
      <c r="F27" s="272"/>
      <c r="G27" s="1484"/>
      <c r="H27" s="1484"/>
      <c r="I27" s="1484"/>
      <c r="J27" s="1484"/>
      <c r="K27" s="1484"/>
      <c r="L27" s="1484"/>
      <c r="M27" s="1484"/>
      <c r="N27" s="272"/>
      <c r="O27" s="1484"/>
      <c r="P27" s="1484"/>
      <c r="Q27" s="272"/>
      <c r="R27" s="1484"/>
      <c r="S27" s="1484"/>
      <c r="T27" s="1483"/>
      <c r="U27" s="1483"/>
      <c r="V27" s="1483"/>
      <c r="W27" s="1483"/>
      <c r="X27" s="1483"/>
      <c r="Y27" s="1483"/>
      <c r="Z27" s="1483"/>
      <c r="AA27" s="1483"/>
      <c r="AB27" s="1483"/>
      <c r="AC27" s="1483"/>
      <c r="AD27" s="1483"/>
      <c r="AE27" s="1483"/>
      <c r="AF27" s="1483"/>
      <c r="AG27" s="1483"/>
      <c r="AH27" s="1483"/>
      <c r="AI27" s="1483"/>
      <c r="AJ27" s="1483"/>
      <c r="AK27" s="1483"/>
      <c r="AL27" s="1483"/>
      <c r="AM27" s="1483"/>
      <c r="AN27" s="1483"/>
      <c r="AO27" s="1483"/>
      <c r="AP27" s="1483"/>
      <c r="AQ27" s="1483"/>
      <c r="AR27" s="1483"/>
      <c r="AS27" s="1483"/>
      <c r="AT27" s="1483"/>
      <c r="AU27" s="1483"/>
      <c r="AV27" s="1483"/>
      <c r="AW27" s="1483"/>
      <c r="AX27" s="1483"/>
      <c r="AY27" s="1483"/>
      <c r="AZ27" s="1483"/>
      <c r="BA27" s="1483"/>
      <c r="BB27" s="1483"/>
      <c r="BC27" s="1483"/>
      <c r="BD27" s="1483"/>
      <c r="BE27" s="1483"/>
      <c r="BF27" s="1483"/>
      <c r="BG27" s="1483"/>
      <c r="BH27" s="1483"/>
      <c r="BI27" s="1483"/>
      <c r="BJ27" s="1483"/>
      <c r="BK27" s="1483"/>
      <c r="BL27" s="1483"/>
      <c r="BM27" s="1483"/>
      <c r="BN27" s="1483"/>
      <c r="BO27" s="1483"/>
      <c r="BP27" s="1483"/>
      <c r="BQ27" s="1483"/>
      <c r="BR27" s="1483"/>
      <c r="BS27" s="1483"/>
      <c r="BT27" s="1483"/>
      <c r="BU27" s="1483"/>
      <c r="BV27" s="1483"/>
      <c r="BW27" s="1483"/>
      <c r="BX27" s="1483"/>
      <c r="BY27" s="1483"/>
      <c r="BZ27" s="1503"/>
      <c r="CA27" s="1483"/>
      <c r="CB27" s="1483"/>
      <c r="CC27" s="1483"/>
      <c r="CD27" s="1483"/>
      <c r="CE27" s="1483"/>
      <c r="CF27" s="1483"/>
      <c r="CG27" s="1483"/>
      <c r="CH27" s="1483"/>
      <c r="CI27" s="1483"/>
      <c r="CJ27" s="1483"/>
      <c r="CK27" s="1483"/>
      <c r="CL27" s="1483"/>
      <c r="CM27" s="1483"/>
      <c r="CN27" s="1483"/>
    </row>
    <row r="28" spans="1:92">
      <c r="A28" s="1502" t="s">
        <v>2309</v>
      </c>
      <c r="B28" s="1501" t="s">
        <v>2308</v>
      </c>
      <c r="C28" s="1500" t="s">
        <v>2205</v>
      </c>
      <c r="D28" s="1500" t="s">
        <v>2307</v>
      </c>
      <c r="E28" s="1500" t="s">
        <v>2307</v>
      </c>
      <c r="F28" s="1501" t="s">
        <v>2307</v>
      </c>
      <c r="G28" s="1500" t="s">
        <v>2307</v>
      </c>
      <c r="H28" s="1500" t="s">
        <v>2307</v>
      </c>
      <c r="I28" s="1500" t="s">
        <v>2307</v>
      </c>
      <c r="J28" s="1500" t="s">
        <v>2308</v>
      </c>
      <c r="K28" s="1500" t="s">
        <v>2307</v>
      </c>
      <c r="L28" s="1500" t="s">
        <v>1967</v>
      </c>
      <c r="M28" s="1500" t="s">
        <v>1967</v>
      </c>
      <c r="N28" s="1501" t="s">
        <v>1967</v>
      </c>
      <c r="O28" s="1500" t="s">
        <v>1967</v>
      </c>
      <c r="P28" s="1500" t="s">
        <v>1967</v>
      </c>
      <c r="Q28" s="1501" t="s">
        <v>1967</v>
      </c>
      <c r="R28" s="1500" t="s">
        <v>1967</v>
      </c>
      <c r="S28" s="1500" t="s">
        <v>1967</v>
      </c>
      <c r="T28" s="1498" t="s">
        <v>2205</v>
      </c>
      <c r="U28" s="1498" t="s">
        <v>2205</v>
      </c>
      <c r="V28" s="1498" t="s">
        <v>2205</v>
      </c>
      <c r="W28" s="1498" t="s">
        <v>2205</v>
      </c>
      <c r="X28" s="1498" t="s">
        <v>2205</v>
      </c>
      <c r="Y28" s="1498" t="s">
        <v>2205</v>
      </c>
      <c r="Z28" s="1498" t="s">
        <v>2205</v>
      </c>
      <c r="AA28" s="1498" t="s">
        <v>2306</v>
      </c>
      <c r="AB28" s="1498" t="s">
        <v>2305</v>
      </c>
      <c r="AC28" s="1498" t="s">
        <v>2305</v>
      </c>
      <c r="AD28" s="1498" t="s">
        <v>2305</v>
      </c>
      <c r="AE28" s="1498" t="s">
        <v>2305</v>
      </c>
      <c r="AF28" s="1498" t="s">
        <v>2305</v>
      </c>
      <c r="AG28" s="1498" t="s">
        <v>2304</v>
      </c>
      <c r="AH28" s="1498" t="s">
        <v>2303</v>
      </c>
      <c r="AI28" s="1498" t="s">
        <v>1887</v>
      </c>
      <c r="AJ28" s="1498" t="s">
        <v>2302</v>
      </c>
      <c r="AK28" s="1498" t="s">
        <v>2302</v>
      </c>
      <c r="AL28" s="1498" t="s">
        <v>2302</v>
      </c>
      <c r="AM28" s="1498" t="s">
        <v>1887</v>
      </c>
      <c r="AN28" s="1498" t="s">
        <v>1887</v>
      </c>
      <c r="AO28" s="1498" t="s">
        <v>1887</v>
      </c>
      <c r="AP28" s="1498" t="s">
        <v>2301</v>
      </c>
      <c r="AQ28" s="1498" t="s">
        <v>2300</v>
      </c>
      <c r="AR28" s="1498" t="s">
        <v>2299</v>
      </c>
      <c r="AS28" s="1498" t="s">
        <v>2299</v>
      </c>
      <c r="AT28" s="1498" t="s">
        <v>2299</v>
      </c>
      <c r="AU28" s="1498" t="s">
        <v>2298</v>
      </c>
      <c r="AV28" s="1498" t="s">
        <v>2298</v>
      </c>
      <c r="AW28" s="1498" t="s">
        <v>2298</v>
      </c>
      <c r="AX28" s="1498" t="s">
        <v>2298</v>
      </c>
      <c r="AY28" s="1498" t="s">
        <v>2298</v>
      </c>
      <c r="AZ28" s="1498" t="s">
        <v>2298</v>
      </c>
      <c r="BA28" s="1498" t="s">
        <v>2298</v>
      </c>
      <c r="BB28" s="1498" t="s">
        <v>2298</v>
      </c>
      <c r="BC28" s="1498" t="s">
        <v>2298</v>
      </c>
      <c r="BD28" s="1498" t="s">
        <v>2298</v>
      </c>
      <c r="BE28" s="1498" t="s">
        <v>2298</v>
      </c>
      <c r="BF28" s="1498" t="s">
        <v>2298</v>
      </c>
      <c r="BG28" s="1498" t="s">
        <v>2298</v>
      </c>
      <c r="BH28" s="1498" t="s">
        <v>2298</v>
      </c>
      <c r="BI28" s="1498" t="s">
        <v>2298</v>
      </c>
      <c r="BJ28" s="1498" t="s">
        <v>2298</v>
      </c>
      <c r="BK28" s="1498" t="s">
        <v>2298</v>
      </c>
      <c r="BL28" s="1498" t="s">
        <v>2298</v>
      </c>
      <c r="BM28" s="1498" t="s">
        <v>2297</v>
      </c>
      <c r="BN28" s="1498" t="s">
        <v>2295</v>
      </c>
      <c r="BO28" s="1498" t="s">
        <v>2295</v>
      </c>
      <c r="BP28" s="1498" t="s">
        <v>2295</v>
      </c>
      <c r="BQ28" s="1498" t="s">
        <v>2295</v>
      </c>
      <c r="BR28" s="1498" t="s">
        <v>2295</v>
      </c>
      <c r="BS28" s="1498" t="s">
        <v>2295</v>
      </c>
      <c r="BT28" s="1498" t="s">
        <v>2295</v>
      </c>
      <c r="BU28" s="1498" t="s">
        <v>2295</v>
      </c>
      <c r="BV28" s="1498" t="s">
        <v>2295</v>
      </c>
      <c r="BW28" s="1498" t="s">
        <v>2295</v>
      </c>
      <c r="BX28" s="1498" t="s">
        <v>2295</v>
      </c>
      <c r="BY28" s="1498" t="s">
        <v>2295</v>
      </c>
      <c r="BZ28" s="1499" t="s">
        <v>2295</v>
      </c>
      <c r="CA28" s="1498" t="s">
        <v>2296</v>
      </c>
      <c r="CB28" s="1498" t="s">
        <v>2296</v>
      </c>
      <c r="CC28" s="1498" t="s">
        <v>2296</v>
      </c>
      <c r="CD28" s="1498" t="s">
        <v>2295</v>
      </c>
      <c r="CE28" s="1498" t="s">
        <v>2295</v>
      </c>
      <c r="CF28" s="1498" t="s">
        <v>2295</v>
      </c>
      <c r="CG28" s="1498" t="s">
        <v>2294</v>
      </c>
      <c r="CH28" s="1498" t="s">
        <v>2293</v>
      </c>
      <c r="CI28" s="1498" t="s">
        <v>2293</v>
      </c>
      <c r="CJ28" s="1498" t="s">
        <v>2293</v>
      </c>
      <c r="CK28" s="1498" t="s">
        <v>2292</v>
      </c>
      <c r="CL28" s="1498" t="s">
        <v>2292</v>
      </c>
      <c r="CM28" s="1498" t="s">
        <v>2292</v>
      </c>
      <c r="CN28" s="1498" t="s">
        <v>1978</v>
      </c>
    </row>
    <row r="29" spans="1:92">
      <c r="A29" s="1479" t="s">
        <v>2291</v>
      </c>
      <c r="B29" s="1478" t="s">
        <v>1964</v>
      </c>
      <c r="C29" s="1477" t="s">
        <v>2290</v>
      </c>
      <c r="D29" s="1477" t="s">
        <v>2290</v>
      </c>
      <c r="E29" s="1477" t="s">
        <v>2290</v>
      </c>
      <c r="F29" s="1478" t="s">
        <v>2290</v>
      </c>
      <c r="G29" s="1477" t="s">
        <v>2288</v>
      </c>
      <c r="H29" s="1477" t="s">
        <v>2288</v>
      </c>
      <c r="I29" s="1477" t="s">
        <v>2288</v>
      </c>
      <c r="J29" s="1477" t="s">
        <v>2288</v>
      </c>
      <c r="K29" s="1477" t="s">
        <v>2288</v>
      </c>
      <c r="L29" s="1477" t="s">
        <v>2289</v>
      </c>
      <c r="M29" s="1477" t="s">
        <v>2288</v>
      </c>
      <c r="N29" s="1478" t="s">
        <v>2287</v>
      </c>
      <c r="O29" s="1477" t="s">
        <v>2287</v>
      </c>
      <c r="P29" s="1477" t="s">
        <v>2286</v>
      </c>
      <c r="Q29" s="1478" t="s">
        <v>2286</v>
      </c>
      <c r="R29" s="1477" t="s">
        <v>2286</v>
      </c>
      <c r="S29" s="1477" t="s">
        <v>2286</v>
      </c>
      <c r="T29" s="1475" t="s">
        <v>2286</v>
      </c>
      <c r="U29" s="1475" t="s">
        <v>2285</v>
      </c>
      <c r="V29" s="1475" t="s">
        <v>2285</v>
      </c>
      <c r="W29" s="1475" t="s">
        <v>2285</v>
      </c>
      <c r="X29" s="1475" t="s">
        <v>2284</v>
      </c>
      <c r="Y29" s="1475" t="s">
        <v>2283</v>
      </c>
      <c r="Z29" s="1475" t="s">
        <v>2282</v>
      </c>
      <c r="AA29" s="1475" t="s">
        <v>2281</v>
      </c>
      <c r="AB29" s="1475" t="s">
        <v>2280</v>
      </c>
      <c r="AC29" s="1475" t="s">
        <v>2279</v>
      </c>
      <c r="AD29" s="1475" t="s">
        <v>2278</v>
      </c>
      <c r="AE29" s="1475" t="s">
        <v>2278</v>
      </c>
      <c r="AF29" s="1475" t="s">
        <v>2278</v>
      </c>
      <c r="AG29" s="1475" t="s">
        <v>2277</v>
      </c>
      <c r="AH29" s="1475" t="s">
        <v>2273</v>
      </c>
      <c r="AI29" s="1475" t="s">
        <v>2276</v>
      </c>
      <c r="AJ29" s="1475" t="s">
        <v>2275</v>
      </c>
      <c r="AK29" s="1475" t="s">
        <v>2275</v>
      </c>
      <c r="AL29" s="1475" t="s">
        <v>2274</v>
      </c>
      <c r="AM29" s="1475" t="s">
        <v>2273</v>
      </c>
      <c r="AN29" s="1475" t="s">
        <v>2273</v>
      </c>
      <c r="AO29" s="1475" t="s">
        <v>1835</v>
      </c>
      <c r="AP29" s="1475" t="s">
        <v>1835</v>
      </c>
      <c r="AQ29" s="1475" t="s">
        <v>2272</v>
      </c>
      <c r="AR29" s="1475" t="s">
        <v>2272</v>
      </c>
      <c r="AS29" s="1475" t="s">
        <v>2271</v>
      </c>
      <c r="AT29" s="1475" t="s">
        <v>1870</v>
      </c>
      <c r="AU29" s="1475" t="s">
        <v>2270</v>
      </c>
      <c r="AV29" s="1475" t="s">
        <v>2270</v>
      </c>
      <c r="AW29" s="1475" t="s">
        <v>2269</v>
      </c>
      <c r="AX29" s="1475" t="s">
        <v>2268</v>
      </c>
      <c r="AY29" s="1475" t="s">
        <v>2268</v>
      </c>
      <c r="AZ29" s="1475" t="s">
        <v>1900</v>
      </c>
      <c r="BA29" s="1475" t="s">
        <v>2267</v>
      </c>
      <c r="BB29" s="1475" t="s">
        <v>2267</v>
      </c>
      <c r="BC29" s="1475" t="s">
        <v>2267</v>
      </c>
      <c r="BD29" s="1475" t="s">
        <v>1901</v>
      </c>
      <c r="BE29" s="1475" t="s">
        <v>1901</v>
      </c>
      <c r="BF29" s="1475" t="s">
        <v>1901</v>
      </c>
      <c r="BG29" s="1475" t="s">
        <v>1901</v>
      </c>
      <c r="BH29" s="1475" t="s">
        <v>2266</v>
      </c>
      <c r="BI29" s="1475" t="s">
        <v>2266</v>
      </c>
      <c r="BJ29" s="1475" t="s">
        <v>2266</v>
      </c>
      <c r="BK29" s="1475" t="s">
        <v>2266</v>
      </c>
      <c r="BL29" s="1475" t="s">
        <v>2266</v>
      </c>
      <c r="BM29" s="1475" t="s">
        <v>2265</v>
      </c>
      <c r="BN29" s="1475" t="s">
        <v>2265</v>
      </c>
      <c r="BO29" s="1475" t="s">
        <v>2265</v>
      </c>
      <c r="BP29" s="1475" t="s">
        <v>2265</v>
      </c>
      <c r="BQ29" s="1475" t="s">
        <v>2265</v>
      </c>
      <c r="BR29" s="1475" t="s">
        <v>2265</v>
      </c>
      <c r="BS29" s="1475" t="s">
        <v>2172</v>
      </c>
      <c r="BT29" s="1475" t="s">
        <v>2172</v>
      </c>
      <c r="BU29" s="1475" t="s">
        <v>1917</v>
      </c>
      <c r="BV29" s="1475" t="s">
        <v>1917</v>
      </c>
      <c r="BW29" s="1475" t="s">
        <v>1917</v>
      </c>
      <c r="BX29" s="1475" t="s">
        <v>1917</v>
      </c>
      <c r="BY29" s="1475" t="s">
        <v>2171</v>
      </c>
      <c r="BZ29" s="1476" t="s">
        <v>2264</v>
      </c>
      <c r="CA29" s="1475" t="s">
        <v>2264</v>
      </c>
      <c r="CB29" s="1475" t="s">
        <v>2263</v>
      </c>
      <c r="CC29" s="1475" t="s">
        <v>2263</v>
      </c>
      <c r="CD29" s="1475" t="s">
        <v>2262</v>
      </c>
      <c r="CE29" s="1475" t="s">
        <v>2262</v>
      </c>
      <c r="CF29" s="1475" t="s">
        <v>2261</v>
      </c>
      <c r="CG29" s="1475" t="s">
        <v>2261</v>
      </c>
      <c r="CH29" s="1475" t="s">
        <v>2261</v>
      </c>
      <c r="CI29" s="1475" t="s">
        <v>2261</v>
      </c>
      <c r="CJ29" s="1475" t="s">
        <v>2261</v>
      </c>
      <c r="CK29" s="1475" t="s">
        <v>2260</v>
      </c>
      <c r="CL29" s="1475" t="s">
        <v>2259</v>
      </c>
      <c r="CM29" s="1475" t="s">
        <v>2258</v>
      </c>
      <c r="CN29" s="1475" t="s">
        <v>2258</v>
      </c>
    </row>
    <row r="30" spans="1:92">
      <c r="A30" s="1479" t="s">
        <v>2257</v>
      </c>
      <c r="B30" s="1478" t="s">
        <v>1967</v>
      </c>
      <c r="C30" s="1477" t="s">
        <v>1967</v>
      </c>
      <c r="D30" s="1477" t="s">
        <v>1967</v>
      </c>
      <c r="E30" s="1477" t="s">
        <v>1965</v>
      </c>
      <c r="F30" s="1478" t="s">
        <v>1967</v>
      </c>
      <c r="G30" s="1477" t="s">
        <v>2113</v>
      </c>
      <c r="H30" s="1477" t="s">
        <v>1905</v>
      </c>
      <c r="I30" s="1477" t="s">
        <v>1905</v>
      </c>
      <c r="J30" s="1477" t="s">
        <v>1905</v>
      </c>
      <c r="K30" s="1477" t="s">
        <v>1905</v>
      </c>
      <c r="L30" s="1477" t="s">
        <v>1905</v>
      </c>
      <c r="M30" s="1477" t="s">
        <v>1905</v>
      </c>
      <c r="N30" s="1478" t="s">
        <v>1844</v>
      </c>
      <c r="O30" s="1477" t="s">
        <v>2256</v>
      </c>
      <c r="P30" s="1477" t="s">
        <v>2255</v>
      </c>
      <c r="Q30" s="1478" t="s">
        <v>1879</v>
      </c>
      <c r="R30" s="1477" t="s">
        <v>2254</v>
      </c>
      <c r="S30" s="1477" t="s">
        <v>2253</v>
      </c>
      <c r="T30" s="1475" t="s">
        <v>2112</v>
      </c>
      <c r="U30" s="1475" t="s">
        <v>2112</v>
      </c>
      <c r="V30" s="1475" t="s">
        <v>2112</v>
      </c>
      <c r="W30" s="1475" t="s">
        <v>2112</v>
      </c>
      <c r="X30" s="1475" t="s">
        <v>2252</v>
      </c>
      <c r="Y30" s="1475" t="s">
        <v>2251</v>
      </c>
      <c r="Z30" s="1475" t="s">
        <v>2250</v>
      </c>
      <c r="AA30" s="1475" t="s">
        <v>2249</v>
      </c>
      <c r="AB30" s="1475" t="s">
        <v>2249</v>
      </c>
      <c r="AC30" s="1475" t="s">
        <v>2246</v>
      </c>
      <c r="AD30" s="1475" t="s">
        <v>2248</v>
      </c>
      <c r="AE30" s="1475" t="s">
        <v>2112</v>
      </c>
      <c r="AF30" s="1475" t="s">
        <v>2247</v>
      </c>
      <c r="AG30" s="1475" t="s">
        <v>2246</v>
      </c>
      <c r="AH30" s="1475" t="s">
        <v>2245</v>
      </c>
      <c r="AI30" s="1475" t="s">
        <v>2244</v>
      </c>
      <c r="AJ30" s="1475" t="s">
        <v>2243</v>
      </c>
      <c r="AK30" s="1475" t="s">
        <v>2242</v>
      </c>
      <c r="AL30" s="1475" t="s">
        <v>2241</v>
      </c>
      <c r="AM30" s="1475" t="s">
        <v>2240</v>
      </c>
      <c r="AN30" s="1475" t="s">
        <v>2240</v>
      </c>
      <c r="AO30" s="1475" t="s">
        <v>2240</v>
      </c>
      <c r="AP30" s="1475" t="s">
        <v>2239</v>
      </c>
      <c r="AQ30" s="1475" t="s">
        <v>2238</v>
      </c>
      <c r="AR30" s="1475" t="s">
        <v>2238</v>
      </c>
      <c r="AS30" s="1475" t="s">
        <v>2237</v>
      </c>
      <c r="AT30" s="1475" t="s">
        <v>2236</v>
      </c>
      <c r="AU30" s="1475" t="s">
        <v>1870</v>
      </c>
      <c r="AV30" s="1475" t="s">
        <v>1870</v>
      </c>
      <c r="AW30" s="1475" t="s">
        <v>1870</v>
      </c>
      <c r="AX30" s="1475" t="s">
        <v>1870</v>
      </c>
      <c r="AY30" s="1475" t="s">
        <v>1870</v>
      </c>
      <c r="AZ30" s="1475" t="s">
        <v>1870</v>
      </c>
      <c r="BA30" s="1475" t="s">
        <v>1870</v>
      </c>
      <c r="BB30" s="1475" t="s">
        <v>1870</v>
      </c>
      <c r="BC30" s="1475" t="s">
        <v>1870</v>
      </c>
      <c r="BD30" s="1475" t="s">
        <v>1870</v>
      </c>
      <c r="BE30" s="1475" t="s">
        <v>1870</v>
      </c>
      <c r="BF30" s="1475" t="s">
        <v>1870</v>
      </c>
      <c r="BG30" s="1475" t="s">
        <v>1870</v>
      </c>
      <c r="BH30" s="1475" t="s">
        <v>1870</v>
      </c>
      <c r="BI30" s="1475" t="s">
        <v>1870</v>
      </c>
      <c r="BJ30" s="1475" t="s">
        <v>1870</v>
      </c>
      <c r="BK30" s="1475" t="s">
        <v>1870</v>
      </c>
      <c r="BL30" s="1475" t="s">
        <v>1870</v>
      </c>
      <c r="BM30" s="1475" t="s">
        <v>1868</v>
      </c>
      <c r="BN30" s="1475" t="s">
        <v>1868</v>
      </c>
      <c r="BO30" s="1475" t="s">
        <v>1868</v>
      </c>
      <c r="BP30" s="1475" t="s">
        <v>1868</v>
      </c>
      <c r="BQ30" s="1475" t="s">
        <v>1868</v>
      </c>
      <c r="BR30" s="1475" t="s">
        <v>1868</v>
      </c>
      <c r="BS30" s="1475" t="s">
        <v>1824</v>
      </c>
      <c r="BT30" s="1475" t="s">
        <v>1824</v>
      </c>
      <c r="BU30" s="1475" t="s">
        <v>1824</v>
      </c>
      <c r="BV30" s="1475" t="s">
        <v>1824</v>
      </c>
      <c r="BW30" s="1475" t="s">
        <v>2205</v>
      </c>
      <c r="BX30" s="1475" t="s">
        <v>2205</v>
      </c>
      <c r="BY30" s="1475" t="s">
        <v>2235</v>
      </c>
      <c r="BZ30" s="1476" t="s">
        <v>1865</v>
      </c>
      <c r="CA30" s="1475" t="s">
        <v>1866</v>
      </c>
      <c r="CB30" s="1475" t="s">
        <v>2234</v>
      </c>
      <c r="CC30" s="1475" t="s">
        <v>2233</v>
      </c>
      <c r="CD30" s="1475" t="s">
        <v>2232</v>
      </c>
      <c r="CE30" s="1475" t="s">
        <v>2231</v>
      </c>
      <c r="CF30" s="1475" t="s">
        <v>2228</v>
      </c>
      <c r="CG30" s="1475" t="s">
        <v>2229</v>
      </c>
      <c r="CH30" s="1475" t="s">
        <v>2230</v>
      </c>
      <c r="CI30" s="1475" t="s">
        <v>2229</v>
      </c>
      <c r="CJ30" s="1475" t="s">
        <v>2229</v>
      </c>
      <c r="CK30" s="1475" t="s">
        <v>2228</v>
      </c>
      <c r="CL30" s="1475" t="s">
        <v>2228</v>
      </c>
      <c r="CM30" s="1475" t="s">
        <v>2227</v>
      </c>
      <c r="CN30" s="1475" t="s">
        <v>2226</v>
      </c>
    </row>
    <row r="31" spans="1:92">
      <c r="A31" s="1479" t="s">
        <v>2225</v>
      </c>
      <c r="B31" s="1478" t="s">
        <v>1888</v>
      </c>
      <c r="C31" s="1477" t="s">
        <v>1888</v>
      </c>
      <c r="D31" s="1477" t="s">
        <v>1888</v>
      </c>
      <c r="E31" s="1477" t="s">
        <v>1888</v>
      </c>
      <c r="F31" s="1478" t="s">
        <v>1888</v>
      </c>
      <c r="G31" s="1477" t="s">
        <v>1888</v>
      </c>
      <c r="H31" s="1477" t="s">
        <v>1888</v>
      </c>
      <c r="I31" s="1477" t="s">
        <v>1888</v>
      </c>
      <c r="J31" s="1477" t="s">
        <v>1888</v>
      </c>
      <c r="K31" s="1477" t="s">
        <v>1888</v>
      </c>
      <c r="L31" s="1477" t="s">
        <v>1888</v>
      </c>
      <c r="M31" s="1477" t="s">
        <v>1888</v>
      </c>
      <c r="N31" s="1478" t="s">
        <v>1888</v>
      </c>
      <c r="O31" s="1477" t="s">
        <v>1888</v>
      </c>
      <c r="P31" s="1477" t="s">
        <v>2224</v>
      </c>
      <c r="Q31" s="1478" t="s">
        <v>2223</v>
      </c>
      <c r="R31" s="1477" t="s">
        <v>2222</v>
      </c>
      <c r="S31" s="1477" t="s">
        <v>1888</v>
      </c>
      <c r="T31" s="1475" t="s">
        <v>1888</v>
      </c>
      <c r="U31" s="1475" t="s">
        <v>1888</v>
      </c>
      <c r="V31" s="1475" t="s">
        <v>1888</v>
      </c>
      <c r="W31" s="1475" t="s">
        <v>2221</v>
      </c>
      <c r="X31" s="1475" t="s">
        <v>1888</v>
      </c>
      <c r="Y31" s="1475" t="s">
        <v>2220</v>
      </c>
      <c r="Z31" s="1475" t="s">
        <v>2220</v>
      </c>
      <c r="AA31" s="1475" t="s">
        <v>1888</v>
      </c>
      <c r="AB31" s="1475" t="s">
        <v>2220</v>
      </c>
      <c r="AC31" s="1475" t="s">
        <v>2219</v>
      </c>
      <c r="AD31" s="1475" t="s">
        <v>2219</v>
      </c>
      <c r="AE31" s="1475" t="s">
        <v>2218</v>
      </c>
      <c r="AF31" s="1475" t="s">
        <v>2217</v>
      </c>
      <c r="AG31" s="1475" t="s">
        <v>2216</v>
      </c>
      <c r="AH31" s="1475" t="s">
        <v>2215</v>
      </c>
      <c r="AI31" s="1475" t="s">
        <v>2214</v>
      </c>
      <c r="AJ31" s="1475" t="s">
        <v>2213</v>
      </c>
      <c r="AK31" s="1475" t="s">
        <v>2212</v>
      </c>
      <c r="AL31" s="1475" t="s">
        <v>2211</v>
      </c>
      <c r="AM31" s="1475" t="s">
        <v>2210</v>
      </c>
      <c r="AN31" s="1475" t="s">
        <v>2209</v>
      </c>
      <c r="AO31" s="1475" t="s">
        <v>1964</v>
      </c>
      <c r="AP31" s="1475" t="s">
        <v>2208</v>
      </c>
      <c r="AQ31" s="1475" t="s">
        <v>2207</v>
      </c>
      <c r="AR31" s="1475" t="s">
        <v>2207</v>
      </c>
      <c r="AS31" s="1475" t="s">
        <v>2207</v>
      </c>
      <c r="AT31" s="1475" t="s">
        <v>2206</v>
      </c>
      <c r="AU31" s="1475" t="s">
        <v>1870</v>
      </c>
      <c r="AV31" s="1475" t="s">
        <v>1870</v>
      </c>
      <c r="AW31" s="1475" t="s">
        <v>1870</v>
      </c>
      <c r="AX31" s="1475" t="s">
        <v>1870</v>
      </c>
      <c r="AY31" s="1475" t="s">
        <v>1870</v>
      </c>
      <c r="AZ31" s="1475" t="s">
        <v>1870</v>
      </c>
      <c r="BA31" s="1475" t="s">
        <v>1870</v>
      </c>
      <c r="BB31" s="1475" t="s">
        <v>1870</v>
      </c>
      <c r="BC31" s="1475" t="s">
        <v>1870</v>
      </c>
      <c r="BD31" s="1475" t="s">
        <v>1870</v>
      </c>
      <c r="BE31" s="1475" t="s">
        <v>1870</v>
      </c>
      <c r="BF31" s="1475" t="s">
        <v>1870</v>
      </c>
      <c r="BG31" s="1475" t="s">
        <v>1870</v>
      </c>
      <c r="BH31" s="1475" t="s">
        <v>1870</v>
      </c>
      <c r="BI31" s="1475" t="s">
        <v>2205</v>
      </c>
      <c r="BJ31" s="1475" t="s">
        <v>2205</v>
      </c>
      <c r="BK31" s="1475" t="s">
        <v>2205</v>
      </c>
      <c r="BL31" s="1475" t="s">
        <v>2205</v>
      </c>
      <c r="BM31" s="1475" t="s">
        <v>1868</v>
      </c>
      <c r="BN31" s="1475" t="s">
        <v>1868</v>
      </c>
      <c r="BO31" s="1475" t="s">
        <v>1868</v>
      </c>
      <c r="BP31" s="1475" t="s">
        <v>1868</v>
      </c>
      <c r="BQ31" s="1475" t="s">
        <v>1868</v>
      </c>
      <c r="BR31" s="1475" t="s">
        <v>1868</v>
      </c>
      <c r="BS31" s="1475" t="s">
        <v>1824</v>
      </c>
      <c r="BT31" s="1475" t="s">
        <v>1824</v>
      </c>
      <c r="BU31" s="1475" t="s">
        <v>2204</v>
      </c>
      <c r="BV31" s="1475" t="s">
        <v>2204</v>
      </c>
      <c r="BW31" s="1475" t="s">
        <v>2203</v>
      </c>
      <c r="BX31" s="1475" t="s">
        <v>2202</v>
      </c>
      <c r="BY31" s="1475" t="s">
        <v>2202</v>
      </c>
      <c r="BZ31" s="1476" t="s">
        <v>2201</v>
      </c>
      <c r="CA31" s="1475" t="s">
        <v>2200</v>
      </c>
      <c r="CB31" s="1475" t="s">
        <v>2200</v>
      </c>
      <c r="CC31" s="1475" t="s">
        <v>2199</v>
      </c>
      <c r="CD31" s="1475" t="s">
        <v>2198</v>
      </c>
      <c r="CE31" s="1475" t="s">
        <v>2195</v>
      </c>
      <c r="CF31" s="1475" t="s">
        <v>2197</v>
      </c>
      <c r="CG31" s="1475" t="s">
        <v>2196</v>
      </c>
      <c r="CH31" s="1475" t="s">
        <v>2195</v>
      </c>
      <c r="CI31" s="1475" t="s">
        <v>2194</v>
      </c>
      <c r="CJ31" s="1475" t="s">
        <v>2194</v>
      </c>
      <c r="CK31" s="1475" t="s">
        <v>2193</v>
      </c>
      <c r="CL31" s="1475" t="s">
        <v>2193</v>
      </c>
      <c r="CM31" s="1475" t="s">
        <v>2192</v>
      </c>
      <c r="CN31" s="1475" t="s">
        <v>2191</v>
      </c>
    </row>
    <row r="32" spans="1:92">
      <c r="A32" s="1479" t="s">
        <v>2190</v>
      </c>
      <c r="B32" s="1478" t="s">
        <v>2173</v>
      </c>
      <c r="C32" s="1477" t="s">
        <v>2189</v>
      </c>
      <c r="D32" s="1477" t="s">
        <v>2188</v>
      </c>
      <c r="E32" s="1477" t="s">
        <v>2187</v>
      </c>
      <c r="F32" s="1478" t="s">
        <v>2088</v>
      </c>
      <c r="G32" s="1477" t="s">
        <v>1965</v>
      </c>
      <c r="H32" s="1477" t="s">
        <v>1824</v>
      </c>
      <c r="I32" s="1477" t="s">
        <v>1824</v>
      </c>
      <c r="J32" s="1477" t="s">
        <v>1824</v>
      </c>
      <c r="K32" s="1477" t="s">
        <v>1824</v>
      </c>
      <c r="L32" s="1477" t="s">
        <v>1824</v>
      </c>
      <c r="M32" s="1477" t="s">
        <v>1824</v>
      </c>
      <c r="N32" s="1478" t="s">
        <v>2186</v>
      </c>
      <c r="O32" s="1477" t="s">
        <v>2184</v>
      </c>
      <c r="P32" s="1477" t="s">
        <v>2184</v>
      </c>
      <c r="Q32" s="1478" t="s">
        <v>2184</v>
      </c>
      <c r="R32" s="1477" t="s">
        <v>2184</v>
      </c>
      <c r="S32" s="1477" t="s">
        <v>2184</v>
      </c>
      <c r="T32" s="1475" t="s">
        <v>2185</v>
      </c>
      <c r="U32" s="1475" t="s">
        <v>2184</v>
      </c>
      <c r="V32" s="1475" t="s">
        <v>2184</v>
      </c>
      <c r="W32" s="1475" t="s">
        <v>2184</v>
      </c>
      <c r="X32" s="1475" t="s">
        <v>2184</v>
      </c>
      <c r="Y32" s="1475" t="s">
        <v>2183</v>
      </c>
      <c r="Z32" s="1475" t="s">
        <v>1844</v>
      </c>
      <c r="AA32" s="1475" t="s">
        <v>1844</v>
      </c>
      <c r="AB32" s="1475" t="s">
        <v>1844</v>
      </c>
      <c r="AC32" s="1475" t="s">
        <v>1874</v>
      </c>
      <c r="AD32" s="1475" t="s">
        <v>1874</v>
      </c>
      <c r="AE32" s="1475" t="s">
        <v>1874</v>
      </c>
      <c r="AF32" s="1475" t="s">
        <v>1874</v>
      </c>
      <c r="AG32" s="1475" t="s">
        <v>2182</v>
      </c>
      <c r="AH32" s="1475" t="s">
        <v>2182</v>
      </c>
      <c r="AI32" s="1475" t="s">
        <v>2181</v>
      </c>
      <c r="AJ32" s="1475" t="s">
        <v>2180</v>
      </c>
      <c r="AK32" s="1475" t="s">
        <v>2180</v>
      </c>
      <c r="AL32" s="1475" t="s">
        <v>2179</v>
      </c>
      <c r="AM32" s="1475" t="s">
        <v>2178</v>
      </c>
      <c r="AN32" s="1475" t="s">
        <v>2177</v>
      </c>
      <c r="AO32" s="1475" t="s">
        <v>2177</v>
      </c>
      <c r="AP32" s="1475" t="s">
        <v>2176</v>
      </c>
      <c r="AQ32" s="1475" t="s">
        <v>2175</v>
      </c>
      <c r="AR32" s="1475" t="s">
        <v>2175</v>
      </c>
      <c r="AS32" s="1475" t="s">
        <v>2175</v>
      </c>
      <c r="AT32" s="1475" t="s">
        <v>2174</v>
      </c>
      <c r="AU32" s="1475" t="s">
        <v>2174</v>
      </c>
      <c r="AV32" s="1475" t="s">
        <v>2174</v>
      </c>
      <c r="AW32" s="1475" t="s">
        <v>2174</v>
      </c>
      <c r="AX32" s="1475" t="s">
        <v>2174</v>
      </c>
      <c r="AY32" s="1475" t="s">
        <v>2174</v>
      </c>
      <c r="AZ32" s="1475" t="s">
        <v>2174</v>
      </c>
      <c r="BA32" s="1475" t="s">
        <v>2174</v>
      </c>
      <c r="BB32" s="1475" t="s">
        <v>2174</v>
      </c>
      <c r="BC32" s="1475" t="s">
        <v>2174</v>
      </c>
      <c r="BD32" s="1475" t="s">
        <v>2174</v>
      </c>
      <c r="BE32" s="1475" t="s">
        <v>2174</v>
      </c>
      <c r="BF32" s="1475" t="s">
        <v>2174</v>
      </c>
      <c r="BG32" s="1475" t="s">
        <v>2174</v>
      </c>
      <c r="BH32" s="1475" t="s">
        <v>2174</v>
      </c>
      <c r="BI32" s="1475" t="s">
        <v>2174</v>
      </c>
      <c r="BJ32" s="1475" t="s">
        <v>2171</v>
      </c>
      <c r="BK32" s="1475" t="s">
        <v>2171</v>
      </c>
      <c r="BL32" s="1475" t="s">
        <v>2171</v>
      </c>
      <c r="BM32" s="1475" t="s">
        <v>1869</v>
      </c>
      <c r="BN32" s="1475" t="s">
        <v>2171</v>
      </c>
      <c r="BO32" s="1475" t="s">
        <v>2171</v>
      </c>
      <c r="BP32" s="1475" t="s">
        <v>2173</v>
      </c>
      <c r="BQ32" s="1475" t="s">
        <v>2173</v>
      </c>
      <c r="BR32" s="1475" t="s">
        <v>2173</v>
      </c>
      <c r="BS32" s="1475" t="s">
        <v>2172</v>
      </c>
      <c r="BT32" s="1475" t="s">
        <v>2172</v>
      </c>
      <c r="BU32" s="1475" t="s">
        <v>2171</v>
      </c>
      <c r="BV32" s="1475" t="s">
        <v>2171</v>
      </c>
      <c r="BW32" s="1475" t="s">
        <v>2170</v>
      </c>
      <c r="BX32" s="1475" t="s">
        <v>2169</v>
      </c>
      <c r="BY32" s="1475" t="s">
        <v>2169</v>
      </c>
      <c r="BZ32" s="1476" t="s">
        <v>2169</v>
      </c>
      <c r="CA32" s="1475" t="s">
        <v>2169</v>
      </c>
      <c r="CB32" s="1475" t="s">
        <v>2169</v>
      </c>
      <c r="CC32" s="1475" t="s">
        <v>2169</v>
      </c>
      <c r="CD32" s="1475" t="s">
        <v>2168</v>
      </c>
      <c r="CE32" s="1475" t="s">
        <v>2168</v>
      </c>
      <c r="CF32" s="1475" t="s">
        <v>2167</v>
      </c>
      <c r="CG32" s="1475" t="s">
        <v>2167</v>
      </c>
      <c r="CH32" s="1475" t="s">
        <v>2167</v>
      </c>
      <c r="CI32" s="1475" t="s">
        <v>2167</v>
      </c>
      <c r="CJ32" s="1475" t="s">
        <v>1922</v>
      </c>
      <c r="CK32" s="1475" t="s">
        <v>2166</v>
      </c>
      <c r="CL32" s="1475" t="s">
        <v>1921</v>
      </c>
      <c r="CM32" s="1475" t="s">
        <v>1921</v>
      </c>
      <c r="CN32" s="1475" t="s">
        <v>1921</v>
      </c>
    </row>
    <row r="33" spans="1:92">
      <c r="A33" s="1479" t="s">
        <v>2165</v>
      </c>
      <c r="B33" s="1478">
        <v>11.75</v>
      </c>
      <c r="C33" s="1477">
        <v>12.25</v>
      </c>
      <c r="D33" s="1477">
        <v>12.25</v>
      </c>
      <c r="E33" s="1477">
        <v>12.25</v>
      </c>
      <c r="F33" s="1478" t="s">
        <v>2164</v>
      </c>
      <c r="G33" s="1477">
        <v>13.25</v>
      </c>
      <c r="H33" s="1477">
        <v>13.25</v>
      </c>
      <c r="I33" s="1477">
        <v>13.25</v>
      </c>
      <c r="J33" s="1477">
        <v>13.25</v>
      </c>
      <c r="K33" s="1477">
        <v>13.25</v>
      </c>
      <c r="L33" s="1477" t="s">
        <v>2163</v>
      </c>
      <c r="M33" s="1477" t="s">
        <v>2163</v>
      </c>
      <c r="N33" s="1478" t="s">
        <v>2162</v>
      </c>
      <c r="O33" s="1477" t="s">
        <v>2162</v>
      </c>
      <c r="P33" s="1477" t="s">
        <v>2161</v>
      </c>
      <c r="Q33" s="1478" t="s">
        <v>2161</v>
      </c>
      <c r="R33" s="1477" t="s">
        <v>2110</v>
      </c>
      <c r="S33" s="1477" t="s">
        <v>2110</v>
      </c>
      <c r="T33" s="1475" t="s">
        <v>2160</v>
      </c>
      <c r="U33" s="1475" t="s">
        <v>2110</v>
      </c>
      <c r="V33" s="1475" t="s">
        <v>2160</v>
      </c>
      <c r="W33" s="1475" t="s">
        <v>2160</v>
      </c>
      <c r="X33" s="1475" t="s">
        <v>2110</v>
      </c>
      <c r="Y33" s="1475" t="s">
        <v>2160</v>
      </c>
      <c r="Z33" s="1475" t="s">
        <v>2159</v>
      </c>
      <c r="AA33" s="1475" t="s">
        <v>2158</v>
      </c>
      <c r="AB33" s="1475" t="s">
        <v>2157</v>
      </c>
      <c r="AC33" s="1475" t="s">
        <v>2157</v>
      </c>
      <c r="AD33" s="1475" t="s">
        <v>2157</v>
      </c>
      <c r="AE33" s="1475" t="s">
        <v>2156</v>
      </c>
      <c r="AF33" s="1475" t="s">
        <v>2156</v>
      </c>
      <c r="AG33" s="1475" t="s">
        <v>2155</v>
      </c>
      <c r="AH33" s="1475" t="s">
        <v>2110</v>
      </c>
      <c r="AI33" s="1475" t="s">
        <v>2110</v>
      </c>
      <c r="AJ33" s="1475" t="s">
        <v>2108</v>
      </c>
      <c r="AK33" s="1475" t="s">
        <v>2154</v>
      </c>
      <c r="AL33" s="1475" t="s">
        <v>2153</v>
      </c>
      <c r="AM33" s="1475" t="s">
        <v>2130</v>
      </c>
      <c r="AN33" s="1475" t="s">
        <v>2130</v>
      </c>
      <c r="AO33" s="1475" t="s">
        <v>2152</v>
      </c>
      <c r="AP33" s="1475" t="s">
        <v>2151</v>
      </c>
      <c r="AQ33" s="1475" t="s">
        <v>2150</v>
      </c>
      <c r="AR33" s="1475" t="s">
        <v>2150</v>
      </c>
      <c r="AS33" s="1475" t="s">
        <v>2150</v>
      </c>
      <c r="AT33" s="1475" t="s">
        <v>2149</v>
      </c>
      <c r="AU33" s="1475" t="s">
        <v>2148</v>
      </c>
      <c r="AV33" s="1475" t="s">
        <v>2147</v>
      </c>
      <c r="AW33" s="1475" t="s">
        <v>2147</v>
      </c>
      <c r="AX33" s="1475" t="s">
        <v>2147</v>
      </c>
      <c r="AY33" s="1475" t="s">
        <v>2123</v>
      </c>
      <c r="AZ33" s="1475" t="s">
        <v>2123</v>
      </c>
      <c r="BA33" s="1475" t="s">
        <v>2123</v>
      </c>
      <c r="BB33" s="1475" t="s">
        <v>2123</v>
      </c>
      <c r="BC33" s="1475" t="s">
        <v>2123</v>
      </c>
      <c r="BD33" s="1475" t="s">
        <v>2147</v>
      </c>
      <c r="BE33" s="1475" t="s">
        <v>2147</v>
      </c>
      <c r="BF33" s="1475" t="s">
        <v>2147</v>
      </c>
      <c r="BG33" s="1475" t="s">
        <v>2147</v>
      </c>
      <c r="BH33" s="1475" t="s">
        <v>2147</v>
      </c>
      <c r="BI33" s="1475" t="s">
        <v>2147</v>
      </c>
      <c r="BJ33" s="1475" t="s">
        <v>2147</v>
      </c>
      <c r="BK33" s="1475" t="s">
        <v>2147</v>
      </c>
      <c r="BL33" s="1475" t="s">
        <v>2147</v>
      </c>
      <c r="BM33" s="1475" t="s">
        <v>2146</v>
      </c>
      <c r="BN33" s="1475" t="s">
        <v>2145</v>
      </c>
      <c r="BO33" s="1475" t="s">
        <v>1395</v>
      </c>
      <c r="BP33" s="1475" t="s">
        <v>1395</v>
      </c>
      <c r="BQ33" s="1475" t="s">
        <v>1395</v>
      </c>
      <c r="BR33" s="1475" t="s">
        <v>1395</v>
      </c>
      <c r="BS33" s="1475" t="s">
        <v>2144</v>
      </c>
      <c r="BT33" s="1475" t="s">
        <v>2144</v>
      </c>
      <c r="BU33" s="1475" t="s">
        <v>2064</v>
      </c>
      <c r="BV33" s="1475" t="s">
        <v>2064</v>
      </c>
      <c r="BW33" s="1475" t="s">
        <v>1385</v>
      </c>
      <c r="BX33" s="1475" t="s">
        <v>1385</v>
      </c>
      <c r="BY33" s="1475" t="s">
        <v>2087</v>
      </c>
      <c r="BZ33" s="1476" t="s">
        <v>1385</v>
      </c>
      <c r="CA33" s="1475" t="s">
        <v>2143</v>
      </c>
      <c r="CB33" s="1475" t="s">
        <v>2143</v>
      </c>
      <c r="CC33" s="1475" t="s">
        <v>2142</v>
      </c>
      <c r="CD33" s="1475" t="s">
        <v>2141</v>
      </c>
      <c r="CE33" s="1475" t="s">
        <v>2141</v>
      </c>
      <c r="CF33" s="1475" t="s">
        <v>2141</v>
      </c>
      <c r="CG33" s="1475" t="s">
        <v>2141</v>
      </c>
      <c r="CH33" s="1475" t="s">
        <v>2141</v>
      </c>
      <c r="CI33" s="1475" t="s">
        <v>2141</v>
      </c>
      <c r="CJ33" s="1475" t="s">
        <v>2141</v>
      </c>
      <c r="CK33" s="1475" t="s">
        <v>2141</v>
      </c>
      <c r="CL33" s="1475" t="s">
        <v>1861</v>
      </c>
      <c r="CM33" s="1475" t="s">
        <v>2141</v>
      </c>
      <c r="CN33" s="1475" t="s">
        <v>2057</v>
      </c>
    </row>
    <row r="34" spans="1:92">
      <c r="A34" s="1479" t="s">
        <v>2140</v>
      </c>
      <c r="B34" s="1478" t="s">
        <v>1731</v>
      </c>
      <c r="C34" s="1477" t="s">
        <v>1690</v>
      </c>
      <c r="D34" s="1477" t="s">
        <v>2139</v>
      </c>
      <c r="E34" s="1477" t="s">
        <v>2139</v>
      </c>
      <c r="F34" s="1478" t="s">
        <v>2139</v>
      </c>
      <c r="G34" s="1477" t="s">
        <v>1874</v>
      </c>
      <c r="H34" s="1477" t="s">
        <v>2138</v>
      </c>
      <c r="I34" s="1477" t="s">
        <v>1844</v>
      </c>
      <c r="J34" s="1477" t="s">
        <v>1874</v>
      </c>
      <c r="K34" s="1477" t="s">
        <v>1844</v>
      </c>
      <c r="L34" s="1477" t="s">
        <v>2137</v>
      </c>
      <c r="M34" s="1477" t="s">
        <v>2136</v>
      </c>
      <c r="N34" s="1478" t="s">
        <v>2105</v>
      </c>
      <c r="O34" s="1477" t="s">
        <v>2136</v>
      </c>
      <c r="P34" s="1477" t="s">
        <v>2134</v>
      </c>
      <c r="Q34" s="1478" t="s">
        <v>2135</v>
      </c>
      <c r="R34" s="1477" t="s">
        <v>2135</v>
      </c>
      <c r="S34" s="1477" t="s">
        <v>2134</v>
      </c>
      <c r="T34" s="1475" t="s">
        <v>2134</v>
      </c>
      <c r="U34" s="1475" t="s">
        <v>2134</v>
      </c>
      <c r="V34" s="1475" t="s">
        <v>2135</v>
      </c>
      <c r="W34" s="1475" t="s">
        <v>2135</v>
      </c>
      <c r="X34" s="1475" t="s">
        <v>2135</v>
      </c>
      <c r="Y34" s="1475" t="s">
        <v>2135</v>
      </c>
      <c r="Z34" s="1475" t="s">
        <v>2135</v>
      </c>
      <c r="AA34" s="1475" t="s">
        <v>2135</v>
      </c>
      <c r="AB34" s="1475" t="s">
        <v>2135</v>
      </c>
      <c r="AC34" s="1475" t="s">
        <v>2135</v>
      </c>
      <c r="AD34" s="1475" t="s">
        <v>2134</v>
      </c>
      <c r="AE34" s="1475" t="s">
        <v>2134</v>
      </c>
      <c r="AF34" s="1475" t="s">
        <v>2134</v>
      </c>
      <c r="AG34" s="1475" t="s">
        <v>2133</v>
      </c>
      <c r="AH34" s="1475" t="s">
        <v>2110</v>
      </c>
      <c r="AI34" s="1475" t="s">
        <v>2132</v>
      </c>
      <c r="AJ34" s="1475" t="s">
        <v>2131</v>
      </c>
      <c r="AK34" s="1475" t="s">
        <v>2131</v>
      </c>
      <c r="AL34" s="1475">
        <v>14.25</v>
      </c>
      <c r="AM34" s="1475" t="s">
        <v>2130</v>
      </c>
      <c r="AN34" s="1475" t="s">
        <v>2129</v>
      </c>
      <c r="AO34" s="1475" t="s">
        <v>2129</v>
      </c>
      <c r="AP34" s="1475" t="s">
        <v>2128</v>
      </c>
      <c r="AQ34" s="1475" t="s">
        <v>2127</v>
      </c>
      <c r="AR34" s="1475" t="s">
        <v>2127</v>
      </c>
      <c r="AS34" s="1475" t="s">
        <v>2127</v>
      </c>
      <c r="AT34" s="1475" t="s">
        <v>2126</v>
      </c>
      <c r="AU34" s="1475">
        <v>11.88</v>
      </c>
      <c r="AV34" s="1475">
        <v>11.88</v>
      </c>
      <c r="AW34" s="1475" t="s">
        <v>2123</v>
      </c>
      <c r="AX34" s="1475" t="s">
        <v>2123</v>
      </c>
      <c r="AY34" s="1475" t="s">
        <v>2123</v>
      </c>
      <c r="AZ34" s="1475" t="s">
        <v>2125</v>
      </c>
      <c r="BA34" s="1475">
        <v>11.88</v>
      </c>
      <c r="BB34" s="1475">
        <v>11.88</v>
      </c>
      <c r="BC34" s="1475">
        <v>11.88</v>
      </c>
      <c r="BD34" s="1475" t="s">
        <v>2123</v>
      </c>
      <c r="BE34" s="1475">
        <v>11.88</v>
      </c>
      <c r="BF34" s="1475">
        <v>11.88</v>
      </c>
      <c r="BG34" s="1475" t="s">
        <v>2124</v>
      </c>
      <c r="BH34" s="1475" t="s">
        <v>2124</v>
      </c>
      <c r="BI34" s="1475" t="s">
        <v>2124</v>
      </c>
      <c r="BJ34" s="1475">
        <v>11.88</v>
      </c>
      <c r="BK34" s="1475">
        <v>11.88</v>
      </c>
      <c r="BL34" s="1475" t="s">
        <v>2123</v>
      </c>
      <c r="BM34" s="1494">
        <v>0</v>
      </c>
      <c r="BN34" s="1494">
        <v>0</v>
      </c>
      <c r="BO34" s="1493">
        <v>11</v>
      </c>
      <c r="BP34" s="1493">
        <v>11</v>
      </c>
      <c r="BQ34" s="1493">
        <v>11</v>
      </c>
      <c r="BR34" s="1493">
        <v>11</v>
      </c>
      <c r="BS34" s="1493">
        <v>11.5</v>
      </c>
      <c r="BT34" s="1493">
        <v>11.5</v>
      </c>
      <c r="BU34" s="1475" t="s">
        <v>2122</v>
      </c>
      <c r="BV34" s="1475">
        <v>11.75</v>
      </c>
      <c r="BW34" s="1475" t="s">
        <v>2121</v>
      </c>
      <c r="BX34" s="1475" t="s">
        <v>2121</v>
      </c>
      <c r="BY34" s="1475" t="s">
        <v>2121</v>
      </c>
      <c r="BZ34" s="1476" t="s">
        <v>2121</v>
      </c>
      <c r="CA34" s="1475">
        <v>11.75</v>
      </c>
      <c r="CB34" s="1475">
        <v>11.65</v>
      </c>
      <c r="CC34" s="1475">
        <v>11.65</v>
      </c>
      <c r="CD34" s="1475">
        <v>11.15</v>
      </c>
      <c r="CE34" s="1475">
        <v>11.15</v>
      </c>
      <c r="CF34" s="1475" t="s">
        <v>2120</v>
      </c>
      <c r="CG34" s="1475" t="s">
        <v>2120</v>
      </c>
      <c r="CH34" s="1475" t="s">
        <v>2120</v>
      </c>
      <c r="CI34" s="1475" t="s">
        <v>2120</v>
      </c>
      <c r="CJ34" s="1475" t="s">
        <v>2120</v>
      </c>
      <c r="CK34" s="1475" t="s">
        <v>2120</v>
      </c>
      <c r="CL34" s="1475" t="s">
        <v>2120</v>
      </c>
      <c r="CM34" s="1475" t="s">
        <v>2120</v>
      </c>
      <c r="CN34" s="1475" t="s">
        <v>2119</v>
      </c>
    </row>
    <row r="35" spans="1:92">
      <c r="A35" s="1479" t="s">
        <v>2118</v>
      </c>
      <c r="B35" s="1478" t="s">
        <v>2072</v>
      </c>
      <c r="C35" s="1477" t="s">
        <v>2072</v>
      </c>
      <c r="D35" s="1477" t="s">
        <v>2072</v>
      </c>
      <c r="E35" s="1477" t="s">
        <v>2072</v>
      </c>
      <c r="F35" s="1478" t="s">
        <v>2117</v>
      </c>
      <c r="G35" s="1477" t="s">
        <v>2072</v>
      </c>
      <c r="H35" s="1477" t="s">
        <v>2116</v>
      </c>
      <c r="I35" s="1477" t="s">
        <v>2115</v>
      </c>
      <c r="J35" s="1477" t="s">
        <v>2113</v>
      </c>
      <c r="K35" s="1477" t="s">
        <v>2113</v>
      </c>
      <c r="L35" s="1477" t="s">
        <v>2114</v>
      </c>
      <c r="M35" s="1477" t="s">
        <v>2113</v>
      </c>
      <c r="N35" s="1478" t="s">
        <v>2113</v>
      </c>
      <c r="O35" s="1477" t="s">
        <v>2113</v>
      </c>
      <c r="P35" s="1477" t="s">
        <v>2113</v>
      </c>
      <c r="Q35" s="1478" t="s">
        <v>2113</v>
      </c>
      <c r="R35" s="1477" t="s">
        <v>1879</v>
      </c>
      <c r="S35" s="1477" t="s">
        <v>2113</v>
      </c>
      <c r="T35" s="1475" t="s">
        <v>1879</v>
      </c>
      <c r="U35" s="1475" t="s">
        <v>1879</v>
      </c>
      <c r="V35" s="1475" t="s">
        <v>1879</v>
      </c>
      <c r="W35" s="1475" t="s">
        <v>1879</v>
      </c>
      <c r="X35" s="1475" t="s">
        <v>1879</v>
      </c>
      <c r="Y35" s="1475" t="s">
        <v>1879</v>
      </c>
      <c r="Z35" s="1475" t="s">
        <v>2112</v>
      </c>
      <c r="AA35" s="1475" t="s">
        <v>2112</v>
      </c>
      <c r="AB35" s="1475" t="s">
        <v>2112</v>
      </c>
      <c r="AC35" s="1475" t="s">
        <v>2110</v>
      </c>
      <c r="AD35" s="1475" t="s">
        <v>2111</v>
      </c>
      <c r="AE35" s="1475" t="s">
        <v>2110</v>
      </c>
      <c r="AF35" s="1475" t="s">
        <v>2110</v>
      </c>
      <c r="AG35" s="1475" t="s">
        <v>2109</v>
      </c>
      <c r="AH35" s="1475" t="s">
        <v>2109</v>
      </c>
      <c r="AI35" s="1475" t="s">
        <v>2108</v>
      </c>
      <c r="AJ35" s="1475" t="s">
        <v>2049</v>
      </c>
      <c r="AK35" s="1475" t="s">
        <v>2049</v>
      </c>
      <c r="AL35" s="1475" t="s">
        <v>1844</v>
      </c>
      <c r="AM35" s="1475" t="s">
        <v>1844</v>
      </c>
      <c r="AN35" s="1475" t="s">
        <v>2108</v>
      </c>
      <c r="AO35" s="1475" t="s">
        <v>2108</v>
      </c>
      <c r="AP35" s="1475" t="s">
        <v>2107</v>
      </c>
      <c r="AQ35" s="1475" t="s">
        <v>2106</v>
      </c>
      <c r="AR35" s="1475" t="s">
        <v>2105</v>
      </c>
      <c r="AS35" s="1475" t="s">
        <v>2105</v>
      </c>
      <c r="AT35" s="1475" t="s">
        <v>1870</v>
      </c>
      <c r="AU35" s="1475" t="s">
        <v>2104</v>
      </c>
      <c r="AV35" s="1475" t="s">
        <v>2104</v>
      </c>
      <c r="AW35" s="1475" t="s">
        <v>2104</v>
      </c>
      <c r="AX35" s="1475" t="s">
        <v>2104</v>
      </c>
      <c r="AY35" s="1475">
        <v>11.88</v>
      </c>
      <c r="AZ35" s="1475" t="s">
        <v>2103</v>
      </c>
      <c r="BA35" s="1475" t="s">
        <v>2103</v>
      </c>
      <c r="BB35" s="1475" t="s">
        <v>2103</v>
      </c>
      <c r="BC35" s="1475" t="s">
        <v>2103</v>
      </c>
      <c r="BD35" s="1475" t="s">
        <v>2103</v>
      </c>
      <c r="BE35" s="1475" t="s">
        <v>2103</v>
      </c>
      <c r="BF35" s="1475" t="s">
        <v>2103</v>
      </c>
      <c r="BG35" s="1475" t="s">
        <v>2103</v>
      </c>
      <c r="BH35" s="1475" t="s">
        <v>2103</v>
      </c>
      <c r="BI35" s="1475" t="s">
        <v>2102</v>
      </c>
      <c r="BJ35" s="1475" t="s">
        <v>2102</v>
      </c>
      <c r="BK35" s="1475" t="s">
        <v>2102</v>
      </c>
      <c r="BL35" s="1475" t="s">
        <v>2102</v>
      </c>
      <c r="BM35" s="1475" t="s">
        <v>2101</v>
      </c>
      <c r="BN35" s="1475" t="s">
        <v>1766</v>
      </c>
      <c r="BO35" s="1475" t="s">
        <v>2101</v>
      </c>
      <c r="BP35" s="1475" t="s">
        <v>2101</v>
      </c>
      <c r="BQ35" s="1475" t="s">
        <v>2101</v>
      </c>
      <c r="BR35" s="1475" t="s">
        <v>2101</v>
      </c>
      <c r="BS35" s="1475" t="s">
        <v>2100</v>
      </c>
      <c r="BT35" s="1475" t="s">
        <v>2100</v>
      </c>
      <c r="BU35" s="1475" t="s">
        <v>2064</v>
      </c>
      <c r="BV35" s="1475" t="s">
        <v>2064</v>
      </c>
      <c r="BW35" s="1475" t="s">
        <v>2099</v>
      </c>
      <c r="BX35" s="1475" t="s">
        <v>2064</v>
      </c>
      <c r="BY35" s="1475" t="s">
        <v>2098</v>
      </c>
      <c r="BZ35" s="1476" t="s">
        <v>2064</v>
      </c>
      <c r="CA35" s="1475" t="s">
        <v>2064</v>
      </c>
      <c r="CB35" s="1475" t="s">
        <v>2097</v>
      </c>
      <c r="CC35" s="1475" t="s">
        <v>2096</v>
      </c>
      <c r="CD35" s="1475" t="s">
        <v>2095</v>
      </c>
      <c r="CE35" s="1475" t="s">
        <v>2094</v>
      </c>
      <c r="CF35" s="1475" t="s">
        <v>2094</v>
      </c>
      <c r="CG35" s="1475" t="s">
        <v>2092</v>
      </c>
      <c r="CH35" s="1475" t="s">
        <v>2093</v>
      </c>
      <c r="CI35" s="1475" t="s">
        <v>2093</v>
      </c>
      <c r="CJ35" s="1475" t="s">
        <v>2092</v>
      </c>
      <c r="CK35" s="1475" t="s">
        <v>2056</v>
      </c>
      <c r="CL35" s="1475" t="s">
        <v>2056</v>
      </c>
      <c r="CM35" s="1475" t="s">
        <v>2091</v>
      </c>
      <c r="CN35" s="1475" t="s">
        <v>2090</v>
      </c>
    </row>
    <row r="36" spans="1:92">
      <c r="A36" s="1479" t="s">
        <v>2089</v>
      </c>
      <c r="B36" s="1478" t="s">
        <v>2088</v>
      </c>
      <c r="C36" s="1477" t="s">
        <v>2088</v>
      </c>
      <c r="D36" s="1477" t="s">
        <v>2087</v>
      </c>
      <c r="E36" s="1477" t="s">
        <v>2087</v>
      </c>
      <c r="F36" s="1478" t="s">
        <v>2087</v>
      </c>
      <c r="G36" s="1477" t="s">
        <v>2086</v>
      </c>
      <c r="H36" s="1477" t="s">
        <v>2086</v>
      </c>
      <c r="I36" s="1477" t="s">
        <v>2086</v>
      </c>
      <c r="J36" s="1477" t="s">
        <v>2086</v>
      </c>
      <c r="K36" s="1477" t="s">
        <v>2086</v>
      </c>
      <c r="L36" s="1477" t="s">
        <v>2086</v>
      </c>
      <c r="M36" s="1477" t="s">
        <v>2086</v>
      </c>
      <c r="N36" s="1478" t="s">
        <v>2085</v>
      </c>
      <c r="O36" s="1477" t="s">
        <v>2084</v>
      </c>
      <c r="P36" s="1477" t="s">
        <v>2083</v>
      </c>
      <c r="Q36" s="1478" t="s">
        <v>2083</v>
      </c>
      <c r="R36" s="1477" t="s">
        <v>2083</v>
      </c>
      <c r="S36" s="1477" t="s">
        <v>2083</v>
      </c>
      <c r="T36" s="1475" t="s">
        <v>2083</v>
      </c>
      <c r="U36" s="1475" t="s">
        <v>2082</v>
      </c>
      <c r="V36" s="1475" t="s">
        <v>2081</v>
      </c>
      <c r="W36" s="1475" t="s">
        <v>2081</v>
      </c>
      <c r="X36" s="1475" t="s">
        <v>2081</v>
      </c>
      <c r="Y36" s="1475" t="s">
        <v>2080</v>
      </c>
      <c r="Z36" s="1475" t="s">
        <v>2079</v>
      </c>
      <c r="AA36" s="1475" t="s">
        <v>2078</v>
      </c>
      <c r="AB36" s="1475" t="s">
        <v>2077</v>
      </c>
      <c r="AC36" s="1475" t="s">
        <v>1905</v>
      </c>
      <c r="AD36" s="1475" t="s">
        <v>1905</v>
      </c>
      <c r="AE36" s="1475" t="s">
        <v>1905</v>
      </c>
      <c r="AF36" s="1475" t="s">
        <v>2076</v>
      </c>
      <c r="AG36" s="1475" t="s">
        <v>2075</v>
      </c>
      <c r="AH36" s="1475" t="s">
        <v>2074</v>
      </c>
      <c r="AI36" s="1475" t="s">
        <v>2073</v>
      </c>
      <c r="AJ36" s="1475" t="s">
        <v>2072</v>
      </c>
      <c r="AK36" s="1475" t="s">
        <v>2071</v>
      </c>
      <c r="AL36" s="1475" t="s">
        <v>2071</v>
      </c>
      <c r="AM36" s="1475" t="s">
        <v>2070</v>
      </c>
      <c r="AN36" s="1475" t="s">
        <v>2070</v>
      </c>
      <c r="AO36" s="1475" t="s">
        <v>2070</v>
      </c>
      <c r="AP36" s="1475" t="s">
        <v>1862</v>
      </c>
      <c r="AQ36" s="1475" t="s">
        <v>2069</v>
      </c>
      <c r="AR36" s="1475" t="s">
        <v>2069</v>
      </c>
      <c r="AS36" s="1475" t="s">
        <v>2069</v>
      </c>
      <c r="AT36" s="1475" t="s">
        <v>2069</v>
      </c>
      <c r="AU36" s="1475" t="s">
        <v>2068</v>
      </c>
      <c r="AV36" s="1475" t="s">
        <v>2068</v>
      </c>
      <c r="AW36" s="1475" t="s">
        <v>2068</v>
      </c>
      <c r="AX36" s="1475" t="s">
        <v>2068</v>
      </c>
      <c r="AY36" s="1475" t="s">
        <v>2068</v>
      </c>
      <c r="AZ36" s="1475" t="s">
        <v>2068</v>
      </c>
      <c r="BA36" s="1475" t="s">
        <v>2068</v>
      </c>
      <c r="BB36" s="1475" t="s">
        <v>2068</v>
      </c>
      <c r="BC36" s="1475" t="s">
        <v>2068</v>
      </c>
      <c r="BD36" s="1475" t="s">
        <v>2067</v>
      </c>
      <c r="BE36" s="1475" t="s">
        <v>2067</v>
      </c>
      <c r="BF36" s="1475" t="s">
        <v>2067</v>
      </c>
      <c r="BG36" s="1475" t="s">
        <v>2067</v>
      </c>
      <c r="BH36" s="1475" t="s">
        <v>2067</v>
      </c>
      <c r="BI36" s="1475" t="s">
        <v>2067</v>
      </c>
      <c r="BJ36" s="1475" t="s">
        <v>2067</v>
      </c>
      <c r="BK36" s="1475" t="s">
        <v>2067</v>
      </c>
      <c r="BL36" s="1475" t="s">
        <v>2067</v>
      </c>
      <c r="BM36" s="1475" t="s">
        <v>2066</v>
      </c>
      <c r="BN36" s="1475" t="s">
        <v>2066</v>
      </c>
      <c r="BO36" s="1475" t="s">
        <v>2066</v>
      </c>
      <c r="BP36" s="1475" t="s">
        <v>2066</v>
      </c>
      <c r="BQ36" s="1475" t="s">
        <v>2066</v>
      </c>
      <c r="BR36" s="1475" t="s">
        <v>2066</v>
      </c>
      <c r="BS36" s="1475" t="s">
        <v>2065</v>
      </c>
      <c r="BT36" s="1475" t="s">
        <v>2065</v>
      </c>
      <c r="BU36" s="1475" t="s">
        <v>2064</v>
      </c>
      <c r="BV36" s="1475" t="s">
        <v>2064</v>
      </c>
      <c r="BW36" s="1475" t="s">
        <v>2063</v>
      </c>
      <c r="BX36" s="1475" t="s">
        <v>2062</v>
      </c>
      <c r="BY36" s="1475" t="s">
        <v>2061</v>
      </c>
      <c r="BZ36" s="1476" t="s">
        <v>1385</v>
      </c>
      <c r="CA36" s="1475" t="s">
        <v>1385</v>
      </c>
      <c r="CB36" s="1475" t="s">
        <v>2060</v>
      </c>
      <c r="CC36" s="1475" t="s">
        <v>2060</v>
      </c>
      <c r="CD36" s="1475" t="s">
        <v>2059</v>
      </c>
      <c r="CE36" s="1475" t="s">
        <v>2059</v>
      </c>
      <c r="CF36" s="1475" t="s">
        <v>2059</v>
      </c>
      <c r="CG36" s="1475" t="s">
        <v>2058</v>
      </c>
      <c r="CH36" s="1475" t="s">
        <v>2057</v>
      </c>
      <c r="CI36" s="1475" t="s">
        <v>2056</v>
      </c>
      <c r="CJ36" s="1475" t="s">
        <v>2056</v>
      </c>
      <c r="CK36" s="1475" t="s">
        <v>2056</v>
      </c>
      <c r="CL36" s="1475" t="s">
        <v>2056</v>
      </c>
      <c r="CM36" s="1475" t="s">
        <v>2055</v>
      </c>
      <c r="CN36" s="1475" t="s">
        <v>2054</v>
      </c>
    </row>
    <row r="37" spans="1:92">
      <c r="A37" s="1479" t="s">
        <v>2053</v>
      </c>
      <c r="B37" s="1478" t="s">
        <v>1915</v>
      </c>
      <c r="C37" s="1477" t="s">
        <v>1905</v>
      </c>
      <c r="D37" s="1477" t="s">
        <v>1905</v>
      </c>
      <c r="E37" s="1477" t="s">
        <v>2052</v>
      </c>
      <c r="F37" s="1478" t="s">
        <v>1905</v>
      </c>
      <c r="G37" s="1477" t="s">
        <v>2049</v>
      </c>
      <c r="H37" s="1477" t="s">
        <v>2049</v>
      </c>
      <c r="I37" s="1477" t="s">
        <v>1844</v>
      </c>
      <c r="J37" s="1477" t="s">
        <v>1844</v>
      </c>
      <c r="K37" s="1477" t="s">
        <v>2051</v>
      </c>
      <c r="L37" s="1477" t="s">
        <v>1844</v>
      </c>
      <c r="M37" s="1477" t="s">
        <v>1844</v>
      </c>
      <c r="N37" s="1478" t="s">
        <v>1879</v>
      </c>
      <c r="O37" s="1477" t="s">
        <v>1879</v>
      </c>
      <c r="P37" s="1477" t="s">
        <v>2049</v>
      </c>
      <c r="Q37" s="1478" t="s">
        <v>2049</v>
      </c>
      <c r="R37" s="1477" t="s">
        <v>2049</v>
      </c>
      <c r="S37" s="1477" t="s">
        <v>2049</v>
      </c>
      <c r="T37" s="1475" t="s">
        <v>2049</v>
      </c>
      <c r="U37" s="1475" t="s">
        <v>2049</v>
      </c>
      <c r="V37" s="1475" t="s">
        <v>2049</v>
      </c>
      <c r="W37" s="1475" t="s">
        <v>2050</v>
      </c>
      <c r="X37" s="1475" t="s">
        <v>2050</v>
      </c>
      <c r="Y37" s="1475" t="s">
        <v>2049</v>
      </c>
      <c r="Z37" s="1475" t="s">
        <v>2048</v>
      </c>
      <c r="AA37" s="1475" t="s">
        <v>2047</v>
      </c>
      <c r="AB37" s="1475" t="s">
        <v>2046</v>
      </c>
      <c r="AC37" s="1475" t="s">
        <v>2045</v>
      </c>
      <c r="AD37" s="1475" t="s">
        <v>2029</v>
      </c>
      <c r="AE37" s="1475" t="s">
        <v>2044</v>
      </c>
      <c r="AF37" s="1475" t="s">
        <v>2043</v>
      </c>
      <c r="AG37" s="1475" t="s">
        <v>2042</v>
      </c>
      <c r="AH37" s="1475" t="s">
        <v>2041</v>
      </c>
      <c r="AI37" s="1475" t="s">
        <v>2040</v>
      </c>
      <c r="AJ37" s="1475" t="s">
        <v>2039</v>
      </c>
      <c r="AK37" s="1475" t="s">
        <v>2038</v>
      </c>
      <c r="AL37" s="1475" t="s">
        <v>2038</v>
      </c>
      <c r="AM37" s="1475" t="s">
        <v>2037</v>
      </c>
      <c r="AN37" s="1475" t="s">
        <v>2036</v>
      </c>
      <c r="AO37" s="1475" t="s">
        <v>2036</v>
      </c>
      <c r="AP37" s="1475" t="s">
        <v>2035</v>
      </c>
      <c r="AQ37" s="1475" t="s">
        <v>2034</v>
      </c>
      <c r="AR37" s="1475" t="s">
        <v>2033</v>
      </c>
      <c r="AS37" s="1475" t="s">
        <v>2032</v>
      </c>
      <c r="AT37" s="1475" t="s">
        <v>2032</v>
      </c>
      <c r="AU37" s="1475" t="s">
        <v>2031</v>
      </c>
      <c r="AV37" s="1475" t="s">
        <v>2031</v>
      </c>
      <c r="AW37" s="1475" t="s">
        <v>2030</v>
      </c>
      <c r="AX37" s="1475" t="s">
        <v>1913</v>
      </c>
      <c r="AY37" s="1475" t="s">
        <v>1844</v>
      </c>
      <c r="AZ37" s="1475" t="s">
        <v>2029</v>
      </c>
      <c r="BA37" s="1475" t="s">
        <v>2028</v>
      </c>
      <c r="BB37" s="1475" t="s">
        <v>2028</v>
      </c>
      <c r="BC37" s="1475" t="s">
        <v>2028</v>
      </c>
      <c r="BD37" s="1475" t="s">
        <v>2027</v>
      </c>
      <c r="BE37" s="1475" t="s">
        <v>2027</v>
      </c>
      <c r="BF37" s="1475" t="s">
        <v>2027</v>
      </c>
      <c r="BG37" s="1475" t="s">
        <v>2027</v>
      </c>
      <c r="BH37" s="1475" t="s">
        <v>2027</v>
      </c>
      <c r="BI37" s="1475" t="s">
        <v>2027</v>
      </c>
      <c r="BJ37" s="1475" t="s">
        <v>2026</v>
      </c>
      <c r="BK37" s="1475" t="s">
        <v>2026</v>
      </c>
      <c r="BL37" s="1475" t="s">
        <v>2025</v>
      </c>
      <c r="BM37" s="1475" t="s">
        <v>2024</v>
      </c>
      <c r="BN37" s="1475" t="s">
        <v>2023</v>
      </c>
      <c r="BO37" s="1475" t="s">
        <v>2022</v>
      </c>
      <c r="BP37" s="1475" t="s">
        <v>2022</v>
      </c>
      <c r="BQ37" s="1475" t="s">
        <v>2022</v>
      </c>
      <c r="BR37" s="1475" t="s">
        <v>2022</v>
      </c>
      <c r="BS37" s="1475" t="s">
        <v>2021</v>
      </c>
      <c r="BT37" s="1475" t="s">
        <v>2021</v>
      </c>
      <c r="BU37" s="1475" t="s">
        <v>2020</v>
      </c>
      <c r="BV37" s="1475" t="s">
        <v>2020</v>
      </c>
      <c r="BW37" s="1475" t="s">
        <v>2019</v>
      </c>
      <c r="BX37" s="1475" t="s">
        <v>2017</v>
      </c>
      <c r="BY37" s="1475" t="s">
        <v>2017</v>
      </c>
      <c r="BZ37" s="1476" t="s">
        <v>2017</v>
      </c>
      <c r="CA37" s="1475" t="s">
        <v>2018</v>
      </c>
      <c r="CB37" s="1475" t="s">
        <v>2017</v>
      </c>
      <c r="CC37" s="1475" t="s">
        <v>2017</v>
      </c>
      <c r="CD37" s="1475" t="s">
        <v>2016</v>
      </c>
      <c r="CE37" s="1475" t="s">
        <v>2015</v>
      </c>
      <c r="CF37" s="1475" t="s">
        <v>2014</v>
      </c>
      <c r="CG37" s="1475" t="s">
        <v>2013</v>
      </c>
      <c r="CH37" s="1475" t="s">
        <v>2013</v>
      </c>
      <c r="CI37" s="1475" t="s">
        <v>2013</v>
      </c>
      <c r="CJ37" s="1475" t="s">
        <v>2013</v>
      </c>
      <c r="CK37" s="1475" t="s">
        <v>2013</v>
      </c>
      <c r="CL37" s="1475" t="s">
        <v>2013</v>
      </c>
      <c r="CM37" s="1475" t="s">
        <v>2013</v>
      </c>
      <c r="CN37" s="1475" t="s">
        <v>2012</v>
      </c>
    </row>
    <row r="38" spans="1:92">
      <c r="A38" s="1479" t="s">
        <v>2011</v>
      </c>
      <c r="B38" s="1478">
        <v>9.5</v>
      </c>
      <c r="C38" s="1477">
        <v>10</v>
      </c>
      <c r="D38" s="1477">
        <v>10</v>
      </c>
      <c r="E38" s="1477">
        <v>10</v>
      </c>
      <c r="F38" s="1478">
        <v>10</v>
      </c>
      <c r="G38" s="1477"/>
      <c r="H38" s="1477">
        <v>11</v>
      </c>
      <c r="I38" s="1477"/>
      <c r="J38" s="1477"/>
      <c r="K38" s="1477"/>
      <c r="L38" s="1477"/>
      <c r="M38" s="1477"/>
      <c r="N38" s="1478"/>
      <c r="O38" s="1477">
        <v>17</v>
      </c>
      <c r="P38" s="1477" t="s">
        <v>2010</v>
      </c>
      <c r="Q38" s="1478">
        <v>18</v>
      </c>
      <c r="R38" s="1477">
        <v>18</v>
      </c>
      <c r="S38" s="1477">
        <v>18</v>
      </c>
      <c r="T38" s="1475" t="s">
        <v>2010</v>
      </c>
      <c r="U38" s="1475">
        <v>18</v>
      </c>
      <c r="V38" s="1475" t="s">
        <v>2010</v>
      </c>
      <c r="W38" s="1497">
        <v>18</v>
      </c>
      <c r="X38" s="1475" t="s">
        <v>2010</v>
      </c>
      <c r="Y38" s="1475">
        <v>18</v>
      </c>
      <c r="Z38" s="1475" t="s">
        <v>2009</v>
      </c>
      <c r="AA38" s="1475" t="s">
        <v>2009</v>
      </c>
      <c r="AB38" s="1475">
        <v>18.25</v>
      </c>
      <c r="AC38" s="1475" t="s">
        <v>2008</v>
      </c>
      <c r="AD38" s="1475">
        <v>18.75</v>
      </c>
      <c r="AE38" s="1475" t="s">
        <v>2007</v>
      </c>
      <c r="AF38" s="1475">
        <v>18.75</v>
      </c>
      <c r="AG38" s="1475">
        <v>18.5</v>
      </c>
      <c r="AH38" s="1475">
        <v>12</v>
      </c>
      <c r="AI38" s="1475">
        <v>11.5</v>
      </c>
      <c r="AJ38" s="1475">
        <v>10.75</v>
      </c>
      <c r="AK38" s="1475" t="s">
        <v>2006</v>
      </c>
      <c r="AL38" s="1475" t="s">
        <v>2005</v>
      </c>
      <c r="AM38" s="1475" t="s">
        <v>2004</v>
      </c>
      <c r="AN38" s="1475" t="s">
        <v>2004</v>
      </c>
      <c r="AO38" s="1475" t="s">
        <v>2003</v>
      </c>
      <c r="AP38" s="1475" t="s">
        <v>2002</v>
      </c>
      <c r="AQ38" s="1475">
        <v>10.65</v>
      </c>
      <c r="AR38" s="1475">
        <v>10.65</v>
      </c>
      <c r="AS38" s="1475">
        <v>9.65</v>
      </c>
      <c r="AT38" s="1475">
        <v>9.65</v>
      </c>
      <c r="AU38" s="1475">
        <v>9.65</v>
      </c>
      <c r="AV38" s="1496">
        <v>0</v>
      </c>
      <c r="AW38" s="1496">
        <v>0</v>
      </c>
      <c r="AX38" s="1495">
        <v>9.65</v>
      </c>
      <c r="AY38" s="1475" t="s">
        <v>2001</v>
      </c>
      <c r="AZ38" s="1494">
        <v>0</v>
      </c>
      <c r="BA38" s="1494">
        <v>0</v>
      </c>
      <c r="BB38" s="1494">
        <v>0</v>
      </c>
      <c r="BC38" s="1493">
        <v>9.75</v>
      </c>
      <c r="BD38" s="1493">
        <v>0</v>
      </c>
      <c r="BE38" s="1493">
        <v>0</v>
      </c>
      <c r="BF38" s="1493">
        <v>0</v>
      </c>
      <c r="BG38" s="1493">
        <v>9.75</v>
      </c>
      <c r="BH38" s="1493">
        <v>0</v>
      </c>
      <c r="BI38" s="1493">
        <v>0</v>
      </c>
      <c r="BJ38" s="1493">
        <v>0</v>
      </c>
      <c r="BK38" s="1493">
        <v>9.75</v>
      </c>
      <c r="BL38" s="1493">
        <v>9.75</v>
      </c>
      <c r="BM38" s="1493">
        <v>8.85</v>
      </c>
      <c r="BN38" s="1493">
        <v>8.85</v>
      </c>
      <c r="BO38" s="1493">
        <v>8.85</v>
      </c>
      <c r="BP38" s="1493">
        <v>8.85</v>
      </c>
      <c r="BQ38" s="1493">
        <v>8.85</v>
      </c>
      <c r="BR38" s="1493">
        <v>8.85</v>
      </c>
      <c r="BS38" s="1493">
        <v>9.25</v>
      </c>
      <c r="BT38" s="1493">
        <v>9.25</v>
      </c>
      <c r="BU38" s="1475" t="s">
        <v>2000</v>
      </c>
      <c r="BV38" s="1475">
        <v>9.5</v>
      </c>
      <c r="BW38" s="1475" t="s">
        <v>1999</v>
      </c>
      <c r="BX38" s="1475" t="s">
        <v>1999</v>
      </c>
      <c r="BY38" s="1475" t="s">
        <v>1999</v>
      </c>
      <c r="BZ38" s="1476" t="s">
        <v>1999</v>
      </c>
      <c r="CA38" s="1475" t="s">
        <v>1999</v>
      </c>
      <c r="CB38" s="1475" t="s">
        <v>1998</v>
      </c>
      <c r="CC38" s="1475" t="s">
        <v>1998</v>
      </c>
      <c r="CD38" s="1475" t="s">
        <v>1997</v>
      </c>
      <c r="CE38" s="1475" t="s">
        <v>1996</v>
      </c>
      <c r="CF38" s="1475" t="s">
        <v>1995</v>
      </c>
      <c r="CG38" s="1475" t="s">
        <v>1994</v>
      </c>
      <c r="CH38" s="1475" t="s">
        <v>1993</v>
      </c>
      <c r="CI38" s="1475" t="s">
        <v>1993</v>
      </c>
      <c r="CJ38" s="1475" t="s">
        <v>1993</v>
      </c>
      <c r="CK38" s="1475" t="s">
        <v>1993</v>
      </c>
      <c r="CL38" s="1475" t="s">
        <v>1993</v>
      </c>
      <c r="CM38" s="1475" t="s">
        <v>1993</v>
      </c>
      <c r="CN38" s="1475" t="s">
        <v>1993</v>
      </c>
    </row>
    <row r="39" spans="1:92">
      <c r="A39" s="1479" t="s">
        <v>1992</v>
      </c>
      <c r="B39" s="1478" t="s">
        <v>1824</v>
      </c>
      <c r="C39" s="1477" t="s">
        <v>1824</v>
      </c>
      <c r="D39" s="1477" t="s">
        <v>1965</v>
      </c>
      <c r="E39" s="1477" t="s">
        <v>1965</v>
      </c>
      <c r="F39" s="1478" t="s">
        <v>1965</v>
      </c>
      <c r="G39" s="1477" t="s">
        <v>1965</v>
      </c>
      <c r="H39" s="1477" t="s">
        <v>1965</v>
      </c>
      <c r="I39" s="1477" t="s">
        <v>1965</v>
      </c>
      <c r="J39" s="1477" t="s">
        <v>1967</v>
      </c>
      <c r="K39" s="1477" t="s">
        <v>1967</v>
      </c>
      <c r="L39" s="1477" t="s">
        <v>1967</v>
      </c>
      <c r="M39" s="1477" t="s">
        <v>1968</v>
      </c>
      <c r="N39" s="1478" t="s">
        <v>1967</v>
      </c>
      <c r="O39" s="1477" t="s">
        <v>1967</v>
      </c>
      <c r="P39" s="1477" t="s">
        <v>1967</v>
      </c>
      <c r="Q39" s="1478" t="s">
        <v>1967</v>
      </c>
      <c r="R39" s="1477" t="s">
        <v>1967</v>
      </c>
      <c r="S39" s="1477" t="s">
        <v>1967</v>
      </c>
      <c r="T39" s="1475" t="s">
        <v>1967</v>
      </c>
      <c r="U39" s="1475" t="s">
        <v>1967</v>
      </c>
      <c r="V39" s="1475" t="s">
        <v>1967</v>
      </c>
      <c r="W39" s="1475" t="s">
        <v>1967</v>
      </c>
      <c r="X39" s="1475" t="s">
        <v>1967</v>
      </c>
      <c r="Y39" s="1475" t="s">
        <v>1967</v>
      </c>
      <c r="Z39" s="1475" t="s">
        <v>1967</v>
      </c>
      <c r="AA39" s="1475" t="s">
        <v>1967</v>
      </c>
      <c r="AB39" s="1475" t="s">
        <v>1967</v>
      </c>
      <c r="AC39" s="1475" t="s">
        <v>1967</v>
      </c>
      <c r="AD39" s="1475" t="s">
        <v>1967</v>
      </c>
      <c r="AE39" s="1475" t="s">
        <v>1967</v>
      </c>
      <c r="AF39" s="1475" t="s">
        <v>1967</v>
      </c>
      <c r="AG39" s="1475" t="s">
        <v>1965</v>
      </c>
      <c r="AH39" s="1475" t="s">
        <v>1823</v>
      </c>
      <c r="AI39" s="1475" t="s">
        <v>1991</v>
      </c>
      <c r="AJ39" s="1475" t="s">
        <v>1962</v>
      </c>
      <c r="AK39" s="1475" t="s">
        <v>1990</v>
      </c>
      <c r="AL39" s="1475" t="s">
        <v>1989</v>
      </c>
      <c r="AM39" s="1475" t="s">
        <v>1987</v>
      </c>
      <c r="AN39" s="1475" t="s">
        <v>1988</v>
      </c>
      <c r="AO39" s="1475" t="s">
        <v>1987</v>
      </c>
      <c r="AP39" s="1475" t="s">
        <v>1986</v>
      </c>
      <c r="AQ39" s="1475" t="s">
        <v>1985</v>
      </c>
      <c r="AR39" s="1475" t="s">
        <v>1985</v>
      </c>
      <c r="AS39" s="1475" t="s">
        <v>1985</v>
      </c>
      <c r="AT39" s="1475" t="s">
        <v>1984</v>
      </c>
      <c r="AU39" s="1475" t="s">
        <v>1983</v>
      </c>
      <c r="AV39" s="1475" t="s">
        <v>1982</v>
      </c>
      <c r="AW39" s="1475" t="s">
        <v>1981</v>
      </c>
      <c r="AX39" s="1475" t="s">
        <v>1981</v>
      </c>
      <c r="AY39" s="1475" t="s">
        <v>1980</v>
      </c>
      <c r="AZ39" s="1475" t="s">
        <v>1979</v>
      </c>
      <c r="BA39" s="1475" t="s">
        <v>1979</v>
      </c>
      <c r="BB39" s="1475" t="s">
        <v>1979</v>
      </c>
      <c r="BC39" s="1475" t="s">
        <v>1979</v>
      </c>
      <c r="BD39" s="1475" t="s">
        <v>1979</v>
      </c>
      <c r="BE39" s="1475" t="s">
        <v>1978</v>
      </c>
      <c r="BF39" s="1475" t="s">
        <v>1978</v>
      </c>
      <c r="BG39" s="1475" t="s">
        <v>1978</v>
      </c>
      <c r="BH39" s="1475" t="s">
        <v>1978</v>
      </c>
      <c r="BI39" s="1475" t="s">
        <v>1978</v>
      </c>
      <c r="BJ39" s="1475" t="s">
        <v>1978</v>
      </c>
      <c r="BK39" s="1475" t="s">
        <v>1978</v>
      </c>
      <c r="BL39" s="1475" t="s">
        <v>1978</v>
      </c>
      <c r="BM39" s="1475" t="s">
        <v>1978</v>
      </c>
      <c r="BN39" s="1475" t="s">
        <v>1978</v>
      </c>
      <c r="BO39" s="1475" t="s">
        <v>1977</v>
      </c>
      <c r="BP39" s="1475" t="s">
        <v>1977</v>
      </c>
      <c r="BQ39" s="1475" t="s">
        <v>1977</v>
      </c>
      <c r="BR39" s="1475" t="s">
        <v>1977</v>
      </c>
      <c r="BS39" s="1475" t="s">
        <v>1976</v>
      </c>
      <c r="BT39" s="1475" t="s">
        <v>1976</v>
      </c>
      <c r="BU39" s="1475" t="s">
        <v>1975</v>
      </c>
      <c r="BV39" s="1475" t="s">
        <v>1975</v>
      </c>
      <c r="BW39" s="1475" t="s">
        <v>1975</v>
      </c>
      <c r="BX39" s="1475" t="s">
        <v>1974</v>
      </c>
      <c r="BY39" s="1475" t="s">
        <v>1974</v>
      </c>
      <c r="BZ39" s="1476" t="s">
        <v>1974</v>
      </c>
      <c r="CA39" s="1475" t="s">
        <v>1974</v>
      </c>
      <c r="CB39" s="1475" t="s">
        <v>1973</v>
      </c>
      <c r="CC39" s="1475" t="s">
        <v>1973</v>
      </c>
      <c r="CD39" s="1475" t="s">
        <v>1972</v>
      </c>
      <c r="CE39" s="1475" t="s">
        <v>1971</v>
      </c>
      <c r="CF39" s="1475" t="s">
        <v>1971</v>
      </c>
      <c r="CG39" s="1475" t="s">
        <v>1971</v>
      </c>
      <c r="CH39" s="1475" t="s">
        <v>1970</v>
      </c>
      <c r="CI39" s="1475" t="s">
        <v>1970</v>
      </c>
      <c r="CJ39" s="1475" t="s">
        <v>1970</v>
      </c>
      <c r="CK39" s="1475" t="s">
        <v>1970</v>
      </c>
      <c r="CL39" s="1475" t="s">
        <v>1970</v>
      </c>
      <c r="CM39" s="1475" t="s">
        <v>1970</v>
      </c>
      <c r="CN39" s="1475" t="s">
        <v>1970</v>
      </c>
    </row>
    <row r="40" spans="1:92">
      <c r="A40" s="1479" t="s">
        <v>1969</v>
      </c>
      <c r="B40" s="1478" t="s">
        <v>1967</v>
      </c>
      <c r="C40" s="1477" t="s">
        <v>1967</v>
      </c>
      <c r="D40" s="1477" t="s">
        <v>1967</v>
      </c>
      <c r="E40" s="1477" t="s">
        <v>1967</v>
      </c>
      <c r="F40" s="1478" t="s">
        <v>1967</v>
      </c>
      <c r="G40" s="1477" t="s">
        <v>1968</v>
      </c>
      <c r="H40" s="1477" t="s">
        <v>1967</v>
      </c>
      <c r="I40" s="1477" t="s">
        <v>1967</v>
      </c>
      <c r="J40" s="1477" t="s">
        <v>1967</v>
      </c>
      <c r="K40" s="1477" t="s">
        <v>1967</v>
      </c>
      <c r="L40" s="1477" t="s">
        <v>1967</v>
      </c>
      <c r="M40" s="1477" t="s">
        <v>1967</v>
      </c>
      <c r="N40" s="1478" t="s">
        <v>1967</v>
      </c>
      <c r="O40" s="1477" t="s">
        <v>1967</v>
      </c>
      <c r="P40" s="1477" t="s">
        <v>1967</v>
      </c>
      <c r="Q40" s="1478" t="s">
        <v>1967</v>
      </c>
      <c r="R40" s="1477" t="s">
        <v>1967</v>
      </c>
      <c r="S40" s="1477" t="s">
        <v>1967</v>
      </c>
      <c r="T40" s="1475" t="s">
        <v>1967</v>
      </c>
      <c r="U40" s="1475" t="s">
        <v>1967</v>
      </c>
      <c r="V40" s="1475" t="s">
        <v>1967</v>
      </c>
      <c r="W40" s="1475" t="s">
        <v>1967</v>
      </c>
      <c r="X40" s="1475" t="s">
        <v>1967</v>
      </c>
      <c r="Y40" s="1475" t="s">
        <v>1967</v>
      </c>
      <c r="Z40" s="1475" t="s">
        <v>1967</v>
      </c>
      <c r="AA40" s="1475" t="s">
        <v>1967</v>
      </c>
      <c r="AB40" s="1475" t="s">
        <v>1967</v>
      </c>
      <c r="AC40" s="1475" t="s">
        <v>1967</v>
      </c>
      <c r="AD40" s="1475" t="s">
        <v>1967</v>
      </c>
      <c r="AE40" s="1475" t="s">
        <v>1967</v>
      </c>
      <c r="AF40" s="1475" t="s">
        <v>1967</v>
      </c>
      <c r="AG40" s="1475" t="s">
        <v>1966</v>
      </c>
      <c r="AH40" s="1475" t="s">
        <v>1965</v>
      </c>
      <c r="AI40" s="1475" t="s">
        <v>1964</v>
      </c>
      <c r="AJ40" s="1475" t="s">
        <v>1963</v>
      </c>
      <c r="AK40" s="1475" t="s">
        <v>1962</v>
      </c>
      <c r="AL40" s="1475" t="s">
        <v>1961</v>
      </c>
      <c r="AM40" s="1475" t="s">
        <v>1960</v>
      </c>
      <c r="AN40" s="1475" t="s">
        <v>1960</v>
      </c>
      <c r="AO40" s="1475" t="s">
        <v>1960</v>
      </c>
      <c r="AP40" s="1475" t="s">
        <v>1959</v>
      </c>
      <c r="AQ40" s="1475" t="s">
        <v>1958</v>
      </c>
      <c r="AR40" s="1475" t="s">
        <v>1958</v>
      </c>
      <c r="AS40" s="1475" t="s">
        <v>1958</v>
      </c>
      <c r="AT40" s="1475" t="s">
        <v>1957</v>
      </c>
      <c r="AU40" s="1475" t="s">
        <v>1956</v>
      </c>
      <c r="AV40" s="1475" t="s">
        <v>1956</v>
      </c>
      <c r="AW40" s="1475" t="s">
        <v>1956</v>
      </c>
      <c r="AX40" s="1475" t="s">
        <v>1955</v>
      </c>
      <c r="AY40" s="1475" t="s">
        <v>1955</v>
      </c>
      <c r="AZ40" s="1475" t="s">
        <v>1955</v>
      </c>
      <c r="BA40" s="1475" t="s">
        <v>1955</v>
      </c>
      <c r="BB40" s="1475" t="s">
        <v>1955</v>
      </c>
      <c r="BC40" s="1475" t="s">
        <v>1955</v>
      </c>
      <c r="BD40" s="1475" t="s">
        <v>1955</v>
      </c>
      <c r="BE40" s="1475" t="s">
        <v>1955</v>
      </c>
      <c r="BF40" s="1475" t="s">
        <v>1955</v>
      </c>
      <c r="BG40" s="1475" t="s">
        <v>1955</v>
      </c>
      <c r="BH40" s="1475" t="s">
        <v>1955</v>
      </c>
      <c r="BI40" s="1475" t="s">
        <v>1955</v>
      </c>
      <c r="BJ40" s="1475" t="s">
        <v>1955</v>
      </c>
      <c r="BK40" s="1475" t="s">
        <v>1955</v>
      </c>
      <c r="BL40" s="1475" t="s">
        <v>1954</v>
      </c>
      <c r="BM40" s="1475" t="s">
        <v>1953</v>
      </c>
      <c r="BN40" s="1475" t="s">
        <v>1951</v>
      </c>
      <c r="BO40" s="1475" t="s">
        <v>1952</v>
      </c>
      <c r="BP40" s="1475" t="s">
        <v>1951</v>
      </c>
      <c r="BQ40" s="1475" t="s">
        <v>1951</v>
      </c>
      <c r="BR40" s="1475" t="s">
        <v>1951</v>
      </c>
      <c r="BS40" s="1475" t="s">
        <v>1950</v>
      </c>
      <c r="BT40" s="1475" t="s">
        <v>1950</v>
      </c>
      <c r="BU40" s="1475" t="s">
        <v>1949</v>
      </c>
      <c r="BV40" s="1475" t="s">
        <v>1949</v>
      </c>
      <c r="BW40" s="1475" t="s">
        <v>1948</v>
      </c>
      <c r="BX40" s="1475" t="s">
        <v>1947</v>
      </c>
      <c r="BY40" s="1475" t="s">
        <v>1384</v>
      </c>
      <c r="BZ40" s="1476" t="s">
        <v>1946</v>
      </c>
      <c r="CA40" s="1475" t="s">
        <v>1946</v>
      </c>
      <c r="CB40" s="1475" t="s">
        <v>1945</v>
      </c>
      <c r="CC40" s="1475" t="s">
        <v>1945</v>
      </c>
      <c r="CD40" s="1475" t="s">
        <v>1860</v>
      </c>
      <c r="CE40" s="1475" t="s">
        <v>1860</v>
      </c>
      <c r="CF40" s="1475" t="s">
        <v>1944</v>
      </c>
      <c r="CG40" s="1475" t="s">
        <v>1861</v>
      </c>
      <c r="CH40" s="1475" t="s">
        <v>1861</v>
      </c>
      <c r="CI40" s="1475" t="s">
        <v>1856</v>
      </c>
      <c r="CJ40" s="1475" t="s">
        <v>1943</v>
      </c>
      <c r="CK40" s="1475" t="s">
        <v>1943</v>
      </c>
      <c r="CL40" s="1475" t="s">
        <v>1942</v>
      </c>
      <c r="CM40" s="1475" t="s">
        <v>1941</v>
      </c>
      <c r="CN40" s="1475" t="s">
        <v>1940</v>
      </c>
    </row>
    <row r="41" spans="1:92">
      <c r="A41" s="1479" t="s">
        <v>1939</v>
      </c>
      <c r="B41" s="1478" t="s">
        <v>1379</v>
      </c>
      <c r="C41" s="1477" t="s">
        <v>1938</v>
      </c>
      <c r="D41" s="1477" t="s">
        <v>1938</v>
      </c>
      <c r="E41" s="1477" t="s">
        <v>1938</v>
      </c>
      <c r="F41" s="1478" t="s">
        <v>1938</v>
      </c>
      <c r="G41" s="1477" t="s">
        <v>1937</v>
      </c>
      <c r="H41" s="1477" t="s">
        <v>1937</v>
      </c>
      <c r="I41" s="1477"/>
      <c r="J41" s="1477"/>
      <c r="K41" s="1477"/>
      <c r="L41" s="1477"/>
      <c r="M41" s="1477"/>
      <c r="N41" s="1478"/>
      <c r="O41" s="1477"/>
      <c r="P41" s="1477"/>
      <c r="Q41" s="1478"/>
      <c r="R41" s="1477"/>
      <c r="S41" s="1477"/>
      <c r="T41" s="1475"/>
      <c r="U41" s="1475"/>
      <c r="V41" s="1475"/>
      <c r="W41" s="1475"/>
      <c r="X41" s="1475"/>
      <c r="Y41" s="1475"/>
      <c r="Z41" s="1475"/>
      <c r="AA41" s="1475"/>
      <c r="AB41" s="1475"/>
      <c r="AC41" s="1475"/>
      <c r="AD41" s="1475"/>
      <c r="AE41" s="1475"/>
      <c r="AF41" s="1475"/>
      <c r="AG41" s="1475">
        <v>20.399999999999999</v>
      </c>
      <c r="AH41" s="1475">
        <v>19.5</v>
      </c>
      <c r="AI41" s="1475">
        <v>19.5</v>
      </c>
      <c r="AJ41" s="1475">
        <v>19.5</v>
      </c>
      <c r="AK41" s="1475">
        <v>19.5</v>
      </c>
      <c r="AL41" s="1475">
        <v>19.5</v>
      </c>
      <c r="AM41" s="1475">
        <v>19.5</v>
      </c>
      <c r="AN41" s="1475">
        <v>19.5</v>
      </c>
      <c r="AO41" s="1475">
        <v>19.5</v>
      </c>
      <c r="AP41" s="1475">
        <v>19.5</v>
      </c>
      <c r="AQ41" s="1475">
        <v>19.5</v>
      </c>
      <c r="AR41" s="1475">
        <v>19.5</v>
      </c>
      <c r="AS41" s="1475">
        <v>19.5</v>
      </c>
      <c r="AT41" s="1475">
        <v>13.6</v>
      </c>
      <c r="AU41" s="1475" t="s">
        <v>1936</v>
      </c>
      <c r="AV41" s="1475" t="s">
        <v>1934</v>
      </c>
      <c r="AW41" s="1475" t="s">
        <v>1935</v>
      </c>
      <c r="AX41" s="1475" t="s">
        <v>1934</v>
      </c>
      <c r="AY41" s="1475" t="s">
        <v>1934</v>
      </c>
      <c r="AZ41" s="1475" t="s">
        <v>1934</v>
      </c>
      <c r="BA41" s="1475" t="s">
        <v>1934</v>
      </c>
      <c r="BB41" s="1475" t="s">
        <v>1934</v>
      </c>
      <c r="BC41" s="1475" t="s">
        <v>1934</v>
      </c>
      <c r="BD41" s="1475" t="s">
        <v>1933</v>
      </c>
      <c r="BE41" s="1475" t="s">
        <v>1933</v>
      </c>
      <c r="BF41" s="1475" t="s">
        <v>1933</v>
      </c>
      <c r="BG41" s="1475" t="s">
        <v>1933</v>
      </c>
      <c r="BH41" s="1475" t="s">
        <v>1932</v>
      </c>
      <c r="BI41" s="1475" t="s">
        <v>1932</v>
      </c>
      <c r="BJ41" s="1475" t="s">
        <v>1932</v>
      </c>
      <c r="BK41" s="1475" t="s">
        <v>1932</v>
      </c>
      <c r="BL41" s="1475" t="s">
        <v>1931</v>
      </c>
      <c r="BM41" s="1475" t="s">
        <v>1930</v>
      </c>
      <c r="BN41" s="1475" t="s">
        <v>1929</v>
      </c>
      <c r="BO41" s="1475" t="s">
        <v>1929</v>
      </c>
      <c r="BP41" s="1475" t="s">
        <v>1928</v>
      </c>
      <c r="BQ41" s="1475" t="s">
        <v>1929</v>
      </c>
      <c r="BR41" s="1475" t="s">
        <v>1928</v>
      </c>
      <c r="BS41" s="1475" t="s">
        <v>1927</v>
      </c>
      <c r="BT41" s="1475" t="s">
        <v>1927</v>
      </c>
      <c r="BU41" s="1475" t="s">
        <v>1926</v>
      </c>
      <c r="BV41" s="1475">
        <v>12.29</v>
      </c>
      <c r="BW41" s="1475" t="s">
        <v>1925</v>
      </c>
      <c r="BX41" s="1475">
        <v>12.2</v>
      </c>
      <c r="BY41" s="1475">
        <v>16.84</v>
      </c>
      <c r="BZ41" s="1476">
        <v>17.11</v>
      </c>
      <c r="CA41" s="1475">
        <v>17.12</v>
      </c>
      <c r="CB41" s="1475">
        <v>17.12</v>
      </c>
      <c r="CC41" s="1475" t="s">
        <v>1924</v>
      </c>
      <c r="CD41" s="1475" t="s">
        <v>1923</v>
      </c>
      <c r="CE41" s="1475" t="s">
        <v>1922</v>
      </c>
      <c r="CF41" s="1475" t="s">
        <v>1921</v>
      </c>
      <c r="CG41" s="1475" t="s">
        <v>1921</v>
      </c>
      <c r="CH41" s="1475" t="s">
        <v>1920</v>
      </c>
      <c r="CI41" s="1475" t="s">
        <v>1919</v>
      </c>
      <c r="CJ41" s="1475" t="s">
        <v>1919</v>
      </c>
      <c r="CK41" s="1475" t="s">
        <v>1919</v>
      </c>
      <c r="CL41" s="1475" t="s">
        <v>1919</v>
      </c>
      <c r="CM41" s="1475" t="s">
        <v>1919</v>
      </c>
      <c r="CN41" s="1475" t="s">
        <v>1919</v>
      </c>
    </row>
    <row r="42" spans="1:92">
      <c r="A42" s="1479" t="s">
        <v>1918</v>
      </c>
      <c r="B42" s="1478" t="s">
        <v>1917</v>
      </c>
      <c r="C42" s="1477" t="s">
        <v>1916</v>
      </c>
      <c r="D42" s="1477" t="s">
        <v>1915</v>
      </c>
      <c r="E42" s="1477" t="s">
        <v>1916</v>
      </c>
      <c r="F42" s="1478" t="s">
        <v>1915</v>
      </c>
      <c r="G42" s="1477" t="s">
        <v>1913</v>
      </c>
      <c r="H42" s="1477" t="s">
        <v>1913</v>
      </c>
      <c r="I42" s="1477" t="s">
        <v>1913</v>
      </c>
      <c r="J42" s="1477" t="s">
        <v>1914</v>
      </c>
      <c r="K42" s="1477" t="s">
        <v>1913</v>
      </c>
      <c r="L42" s="1477" t="s">
        <v>1912</v>
      </c>
      <c r="M42" s="1477" t="s">
        <v>1911</v>
      </c>
      <c r="N42" s="1478" t="s">
        <v>1911</v>
      </c>
      <c r="O42" s="1477" t="s">
        <v>1910</v>
      </c>
      <c r="P42" s="1477" t="s">
        <v>1909</v>
      </c>
      <c r="Q42" s="1478" t="s">
        <v>1907</v>
      </c>
      <c r="R42" s="1477" t="s">
        <v>1906</v>
      </c>
      <c r="S42" s="1477" t="s">
        <v>1906</v>
      </c>
      <c r="T42" s="1475" t="s">
        <v>1908</v>
      </c>
      <c r="U42" s="1475" t="s">
        <v>1906</v>
      </c>
      <c r="V42" s="1475" t="s">
        <v>1906</v>
      </c>
      <c r="W42" s="1475" t="s">
        <v>1907</v>
      </c>
      <c r="X42" s="1475" t="s">
        <v>1907</v>
      </c>
      <c r="Y42" s="1475" t="s">
        <v>1906</v>
      </c>
      <c r="Z42" s="1475" t="s">
        <v>1905</v>
      </c>
      <c r="AA42" s="1475" t="s">
        <v>1905</v>
      </c>
      <c r="AB42" s="1475" t="s">
        <v>1903</v>
      </c>
      <c r="AC42" s="1475" t="s">
        <v>1904</v>
      </c>
      <c r="AD42" s="1475" t="s">
        <v>1903</v>
      </c>
      <c r="AE42" s="1475" t="s">
        <v>1903</v>
      </c>
      <c r="AF42" s="1475" t="s">
        <v>1903</v>
      </c>
      <c r="AG42" s="1475" t="s">
        <v>1903</v>
      </c>
      <c r="AH42" s="1475" t="s">
        <v>1903</v>
      </c>
      <c r="AI42" s="1475" t="s">
        <v>1903</v>
      </c>
      <c r="AJ42" s="1475" t="s">
        <v>1903</v>
      </c>
      <c r="AK42" s="1475" t="s">
        <v>1903</v>
      </c>
      <c r="AL42" s="1475" t="s">
        <v>1903</v>
      </c>
      <c r="AM42" s="1475" t="s">
        <v>1903</v>
      </c>
      <c r="AN42" s="1475" t="s">
        <v>1903</v>
      </c>
      <c r="AO42" s="1475" t="s">
        <v>1903</v>
      </c>
      <c r="AP42" s="1475" t="s">
        <v>1903</v>
      </c>
      <c r="AQ42" s="1475" t="s">
        <v>1903</v>
      </c>
      <c r="AR42" s="1475" t="s">
        <v>1903</v>
      </c>
      <c r="AS42" s="1475" t="s">
        <v>1903</v>
      </c>
      <c r="AT42" s="1475" t="s">
        <v>1903</v>
      </c>
      <c r="AU42" s="1475" t="s">
        <v>1902</v>
      </c>
      <c r="AV42" s="1475" t="s">
        <v>1901</v>
      </c>
      <c r="AW42" s="1475" t="s">
        <v>1901</v>
      </c>
      <c r="AX42" s="1475" t="s">
        <v>1901</v>
      </c>
      <c r="AY42" s="1475" t="s">
        <v>1901</v>
      </c>
      <c r="AZ42" s="1475" t="s">
        <v>1901</v>
      </c>
      <c r="BA42" s="1475" t="s">
        <v>1901</v>
      </c>
      <c r="BB42" s="1475" t="s">
        <v>1901</v>
      </c>
      <c r="BC42" s="1475" t="s">
        <v>1901</v>
      </c>
      <c r="BD42" s="1475" t="s">
        <v>1901</v>
      </c>
      <c r="BE42" s="1475" t="s">
        <v>1901</v>
      </c>
      <c r="BF42" s="1475" t="s">
        <v>1901</v>
      </c>
      <c r="BG42" s="1475" t="s">
        <v>1901</v>
      </c>
      <c r="BH42" s="1475" t="s">
        <v>1901</v>
      </c>
      <c r="BI42" s="1475" t="s">
        <v>1901</v>
      </c>
      <c r="BJ42" s="1475" t="s">
        <v>1901</v>
      </c>
      <c r="BK42" s="1475" t="s">
        <v>1901</v>
      </c>
      <c r="BL42" s="1475" t="s">
        <v>1901</v>
      </c>
      <c r="BM42" s="1475" t="s">
        <v>1900</v>
      </c>
      <c r="BN42" s="1475" t="s">
        <v>1899</v>
      </c>
      <c r="BO42" s="1475" t="s">
        <v>1899</v>
      </c>
      <c r="BP42" s="1475" t="s">
        <v>1899</v>
      </c>
      <c r="BQ42" s="1475" t="s">
        <v>1899</v>
      </c>
      <c r="BR42" s="1475" t="s">
        <v>1899</v>
      </c>
      <c r="BS42" s="1475" t="s">
        <v>1898</v>
      </c>
      <c r="BT42" s="1475" t="s">
        <v>1898</v>
      </c>
      <c r="BU42" s="1475" t="s">
        <v>1898</v>
      </c>
      <c r="BV42" s="1475" t="s">
        <v>1898</v>
      </c>
      <c r="BW42" s="1475" t="s">
        <v>1897</v>
      </c>
      <c r="BX42" s="1475" t="s">
        <v>1896</v>
      </c>
      <c r="BY42" s="1475" t="s">
        <v>1896</v>
      </c>
      <c r="BZ42" s="1476" t="s">
        <v>1895</v>
      </c>
      <c r="CA42" s="1475" t="s">
        <v>1894</v>
      </c>
      <c r="CB42" s="1475" t="s">
        <v>1893</v>
      </c>
      <c r="CC42" s="1475" t="s">
        <v>1892</v>
      </c>
      <c r="CD42" s="1475" t="s">
        <v>1891</v>
      </c>
      <c r="CE42" s="1475" t="s">
        <v>1891</v>
      </c>
      <c r="CF42" s="1475" t="s">
        <v>1891</v>
      </c>
      <c r="CG42" s="1475" t="s">
        <v>1891</v>
      </c>
      <c r="CH42" s="1475" t="s">
        <v>1891</v>
      </c>
      <c r="CI42" s="1475" t="s">
        <v>1891</v>
      </c>
      <c r="CJ42" s="1475" t="s">
        <v>1891</v>
      </c>
      <c r="CK42" s="1475" t="s">
        <v>1891</v>
      </c>
      <c r="CL42" s="1475" t="s">
        <v>1891</v>
      </c>
      <c r="CM42" s="1475" t="s">
        <v>1891</v>
      </c>
      <c r="CN42" s="1475" t="s">
        <v>1891</v>
      </c>
    </row>
    <row r="43" spans="1:92">
      <c r="A43" s="1479" t="s">
        <v>1890</v>
      </c>
      <c r="B43" s="1478" t="s">
        <v>1888</v>
      </c>
      <c r="C43" s="1477" t="s">
        <v>1889</v>
      </c>
      <c r="D43" s="1477" t="s">
        <v>1888</v>
      </c>
      <c r="E43" s="1477" t="s">
        <v>1888</v>
      </c>
      <c r="F43" s="1478" t="s">
        <v>1888</v>
      </c>
      <c r="G43" s="1477" t="s">
        <v>1888</v>
      </c>
      <c r="H43" s="1477" t="s">
        <v>1888</v>
      </c>
      <c r="I43" s="1477" t="s">
        <v>1888</v>
      </c>
      <c r="J43" s="1477" t="s">
        <v>1888</v>
      </c>
      <c r="K43" s="1477" t="s">
        <v>1888</v>
      </c>
      <c r="L43" s="1477" t="s">
        <v>1888</v>
      </c>
      <c r="M43" s="1477" t="s">
        <v>1888</v>
      </c>
      <c r="N43" s="1478" t="s">
        <v>1888</v>
      </c>
      <c r="O43" s="1477" t="s">
        <v>1888</v>
      </c>
      <c r="P43" s="1477" t="s">
        <v>1888</v>
      </c>
      <c r="Q43" s="1478" t="s">
        <v>1888</v>
      </c>
      <c r="R43" s="1477" t="s">
        <v>1888</v>
      </c>
      <c r="S43" s="1477" t="s">
        <v>1887</v>
      </c>
      <c r="T43" s="1475" t="s">
        <v>1887</v>
      </c>
      <c r="U43" s="1475" t="s">
        <v>1879</v>
      </c>
      <c r="V43" s="1475" t="s">
        <v>1877</v>
      </c>
      <c r="W43" s="1475" t="s">
        <v>1877</v>
      </c>
      <c r="X43" s="1475" t="s">
        <v>1886</v>
      </c>
      <c r="Y43" s="1475" t="s">
        <v>1879</v>
      </c>
      <c r="Z43" s="1475" t="s">
        <v>1885</v>
      </c>
      <c r="AA43" s="1475" t="s">
        <v>1883</v>
      </c>
      <c r="AB43" s="1475" t="s">
        <v>1884</v>
      </c>
      <c r="AC43" s="1475" t="s">
        <v>1883</v>
      </c>
      <c r="AD43" s="1475" t="s">
        <v>1882</v>
      </c>
      <c r="AE43" s="1475" t="s">
        <v>1881</v>
      </c>
      <c r="AF43" s="1475" t="s">
        <v>1880</v>
      </c>
      <c r="AG43" s="1475" t="s">
        <v>1879</v>
      </c>
      <c r="AH43" s="1475" t="s">
        <v>1878</v>
      </c>
      <c r="AI43" s="1475" t="s">
        <v>1877</v>
      </c>
      <c r="AJ43" s="1475" t="s">
        <v>1876</v>
      </c>
      <c r="AK43" s="1475" t="s">
        <v>1876</v>
      </c>
      <c r="AL43" s="1475" t="s">
        <v>1875</v>
      </c>
      <c r="AM43" s="1475" t="s">
        <v>1874</v>
      </c>
      <c r="AN43" s="1475" t="s">
        <v>1874</v>
      </c>
      <c r="AO43" s="1475" t="s">
        <v>1874</v>
      </c>
      <c r="AP43" s="1475" t="s">
        <v>1873</v>
      </c>
      <c r="AQ43" s="1475" t="s">
        <v>1872</v>
      </c>
      <c r="AR43" s="1475" t="s">
        <v>1872</v>
      </c>
      <c r="AS43" s="1475" t="s">
        <v>1872</v>
      </c>
      <c r="AT43" s="1475" t="s">
        <v>1870</v>
      </c>
      <c r="AU43" s="1475" t="s">
        <v>1870</v>
      </c>
      <c r="AV43" s="1475" t="s">
        <v>1870</v>
      </c>
      <c r="AW43" s="1475" t="s">
        <v>1870</v>
      </c>
      <c r="AX43" s="1475" t="s">
        <v>1870</v>
      </c>
      <c r="AY43" s="1475" t="s">
        <v>1870</v>
      </c>
      <c r="AZ43" s="1475" t="s">
        <v>1870</v>
      </c>
      <c r="BA43" s="1475" t="s">
        <v>1870</v>
      </c>
      <c r="BB43" s="1475" t="s">
        <v>1870</v>
      </c>
      <c r="BC43" s="1475" t="s">
        <v>1870</v>
      </c>
      <c r="BD43" s="1475" t="s">
        <v>1870</v>
      </c>
      <c r="BE43" s="1475" t="s">
        <v>1870</v>
      </c>
      <c r="BF43" s="1475" t="s">
        <v>1870</v>
      </c>
      <c r="BG43" s="1475" t="s">
        <v>1870</v>
      </c>
      <c r="BH43" s="1475" t="s">
        <v>1870</v>
      </c>
      <c r="BI43" s="1475" t="s">
        <v>1871</v>
      </c>
      <c r="BJ43" s="1475" t="s">
        <v>1871</v>
      </c>
      <c r="BK43" s="1475" t="s">
        <v>1871</v>
      </c>
      <c r="BL43" s="1475" t="s">
        <v>1870</v>
      </c>
      <c r="BM43" s="1475" t="s">
        <v>1869</v>
      </c>
      <c r="BN43" s="1475" t="s">
        <v>1868</v>
      </c>
      <c r="BO43" s="1475" t="s">
        <v>1868</v>
      </c>
      <c r="BP43" s="1475" t="s">
        <v>1868</v>
      </c>
      <c r="BQ43" s="1475" t="s">
        <v>1868</v>
      </c>
      <c r="BR43" s="1475" t="s">
        <v>1868</v>
      </c>
      <c r="BS43" s="1475" t="s">
        <v>1824</v>
      </c>
      <c r="BT43" s="1475" t="s">
        <v>1824</v>
      </c>
      <c r="BU43" s="1475" t="s">
        <v>1867</v>
      </c>
      <c r="BV43" s="1475" t="s">
        <v>1867</v>
      </c>
      <c r="BW43" s="1475" t="s">
        <v>1867</v>
      </c>
      <c r="BX43" s="1475" t="s">
        <v>1866</v>
      </c>
      <c r="BY43" s="1475" t="s">
        <v>1865</v>
      </c>
      <c r="BZ43" s="1476" t="s">
        <v>1865</v>
      </c>
      <c r="CA43" s="1475" t="s">
        <v>1865</v>
      </c>
      <c r="CB43" s="1475" t="s">
        <v>1864</v>
      </c>
      <c r="CC43" s="1475" t="s">
        <v>1863</v>
      </c>
      <c r="CD43" s="1475" t="s">
        <v>1862</v>
      </c>
      <c r="CE43" s="1475" t="s">
        <v>1861</v>
      </c>
      <c r="CF43" s="1475" t="s">
        <v>1861</v>
      </c>
      <c r="CG43" s="1475" t="s">
        <v>1861</v>
      </c>
      <c r="CH43" s="1475" t="s">
        <v>1860</v>
      </c>
      <c r="CI43" s="1475" t="s">
        <v>1860</v>
      </c>
      <c r="CJ43" s="1475" t="s">
        <v>1859</v>
      </c>
      <c r="CK43" s="1475" t="s">
        <v>1858</v>
      </c>
      <c r="CL43" s="1475" t="s">
        <v>1857</v>
      </c>
      <c r="CM43" s="1475" t="s">
        <v>1856</v>
      </c>
      <c r="CN43" s="1475" t="s">
        <v>1855</v>
      </c>
    </row>
    <row r="44" spans="1:92">
      <c r="A44" s="1479" t="s">
        <v>1854</v>
      </c>
      <c r="B44" s="1478" t="s">
        <v>1853</v>
      </c>
      <c r="C44" s="1477" t="s">
        <v>1851</v>
      </c>
      <c r="D44" s="1477" t="s">
        <v>1851</v>
      </c>
      <c r="E44" s="1477" t="s">
        <v>1852</v>
      </c>
      <c r="F44" s="1478" t="s">
        <v>1851</v>
      </c>
      <c r="G44" s="1477" t="s">
        <v>1850</v>
      </c>
      <c r="H44" s="1477" t="s">
        <v>1850</v>
      </c>
      <c r="I44" s="1477" t="s">
        <v>1850</v>
      </c>
      <c r="J44" s="1477" t="s">
        <v>1850</v>
      </c>
      <c r="K44" s="1477" t="s">
        <v>1850</v>
      </c>
      <c r="L44" s="1477" t="s">
        <v>1850</v>
      </c>
      <c r="M44" s="1477" t="s">
        <v>1850</v>
      </c>
      <c r="N44" s="1478" t="s">
        <v>1849</v>
      </c>
      <c r="O44" s="1477" t="s">
        <v>1848</v>
      </c>
      <c r="P44" s="1477" t="s">
        <v>1847</v>
      </c>
      <c r="Q44" s="1478" t="s">
        <v>1846</v>
      </c>
      <c r="R44" s="1477" t="s">
        <v>1846</v>
      </c>
      <c r="S44" s="1477" t="s">
        <v>1846</v>
      </c>
      <c r="T44" s="1475" t="s">
        <v>1846</v>
      </c>
      <c r="U44" s="1475" t="s">
        <v>1846</v>
      </c>
      <c r="V44" s="1475" t="s">
        <v>1846</v>
      </c>
      <c r="W44" s="1475" t="s">
        <v>1846</v>
      </c>
      <c r="X44" s="1475" t="s">
        <v>1846</v>
      </c>
      <c r="Y44" s="1475" t="s">
        <v>1846</v>
      </c>
      <c r="Z44" s="1475" t="s">
        <v>1845</v>
      </c>
      <c r="AA44" s="1475" t="s">
        <v>1844</v>
      </c>
      <c r="AB44" s="1475" t="s">
        <v>1843</v>
      </c>
      <c r="AC44" s="1475" t="s">
        <v>1842</v>
      </c>
      <c r="AD44" s="1475" t="s">
        <v>1841</v>
      </c>
      <c r="AE44" s="1475" t="s">
        <v>1840</v>
      </c>
      <c r="AF44" s="1475" t="s">
        <v>1839</v>
      </c>
      <c r="AG44" s="1475" t="s">
        <v>1838</v>
      </c>
      <c r="AH44" s="1475" t="s">
        <v>1837</v>
      </c>
      <c r="AI44" s="1475" t="s">
        <v>1836</v>
      </c>
      <c r="AJ44" s="1475" t="s">
        <v>1834</v>
      </c>
      <c r="AK44" s="1475" t="s">
        <v>1835</v>
      </c>
      <c r="AL44" s="1475" t="s">
        <v>1834</v>
      </c>
      <c r="AM44" s="1475" t="s">
        <v>1833</v>
      </c>
      <c r="AN44" s="1475" t="s">
        <v>1832</v>
      </c>
      <c r="AO44" s="1475" t="s">
        <v>1832</v>
      </c>
      <c r="AP44" s="1475" t="s">
        <v>1831</v>
      </c>
      <c r="AQ44" s="1475" t="s">
        <v>1830</v>
      </c>
      <c r="AR44" s="1475" t="s">
        <v>1830</v>
      </c>
      <c r="AS44" s="1475" t="s">
        <v>1830</v>
      </c>
      <c r="AT44" s="1475" t="s">
        <v>1829</v>
      </c>
      <c r="AU44" s="1475" t="s">
        <v>1828</v>
      </c>
      <c r="AV44" s="1475" t="s">
        <v>1828</v>
      </c>
      <c r="AW44" s="1475" t="s">
        <v>1828</v>
      </c>
      <c r="AX44" s="1475" t="s">
        <v>1828</v>
      </c>
      <c r="AY44" s="1475" t="s">
        <v>1828</v>
      </c>
      <c r="AZ44" s="1475" t="s">
        <v>1828</v>
      </c>
      <c r="BA44" s="1475" t="s">
        <v>1827</v>
      </c>
      <c r="BB44" s="1475" t="s">
        <v>1827</v>
      </c>
      <c r="BC44" s="1475" t="s">
        <v>1827</v>
      </c>
      <c r="BD44" s="1475" t="s">
        <v>1827</v>
      </c>
      <c r="BE44" s="1475" t="s">
        <v>1827</v>
      </c>
      <c r="BF44" s="1475" t="s">
        <v>1827</v>
      </c>
      <c r="BG44" s="1475" t="s">
        <v>1827</v>
      </c>
      <c r="BH44" s="1475" t="s">
        <v>1826</v>
      </c>
      <c r="BI44" s="1475" t="s">
        <v>1826</v>
      </c>
      <c r="BJ44" s="1475" t="s">
        <v>1826</v>
      </c>
      <c r="BK44" s="1475" t="s">
        <v>1826</v>
      </c>
      <c r="BL44" s="1475" t="s">
        <v>1826</v>
      </c>
      <c r="BM44" s="1475" t="s">
        <v>1825</v>
      </c>
      <c r="BN44" s="1475" t="s">
        <v>1825</v>
      </c>
      <c r="BO44" s="1475" t="s">
        <v>1825</v>
      </c>
      <c r="BP44" s="1475" t="s">
        <v>1825</v>
      </c>
      <c r="BQ44" s="1475" t="s">
        <v>1825</v>
      </c>
      <c r="BR44" s="1475" t="s">
        <v>1825</v>
      </c>
      <c r="BS44" s="1475" t="s">
        <v>1824</v>
      </c>
      <c r="BT44" s="1475" t="s">
        <v>1824</v>
      </c>
      <c r="BU44" s="1475" t="s">
        <v>1824</v>
      </c>
      <c r="BV44" s="1475" t="s">
        <v>1824</v>
      </c>
      <c r="BW44" s="1475" t="s">
        <v>1823</v>
      </c>
      <c r="BX44" s="1475" t="s">
        <v>1822</v>
      </c>
      <c r="BY44" s="1475" t="s">
        <v>1821</v>
      </c>
      <c r="BZ44" s="1476" t="s">
        <v>1820</v>
      </c>
      <c r="CA44" s="1475" t="s">
        <v>1820</v>
      </c>
      <c r="CB44" s="1475" t="s">
        <v>1819</v>
      </c>
      <c r="CC44" s="1475" t="s">
        <v>1819</v>
      </c>
      <c r="CD44" s="1475" t="s">
        <v>1818</v>
      </c>
      <c r="CE44" s="1475" t="s">
        <v>1817</v>
      </c>
      <c r="CF44" s="1475" t="s">
        <v>1817</v>
      </c>
      <c r="CG44" s="1475" t="s">
        <v>1817</v>
      </c>
      <c r="CH44" s="1475" t="s">
        <v>1817</v>
      </c>
      <c r="CI44" s="1475" t="s">
        <v>1817</v>
      </c>
      <c r="CJ44" s="1475" t="s">
        <v>1817</v>
      </c>
      <c r="CK44" s="1475" t="s">
        <v>1817</v>
      </c>
      <c r="CL44" s="1475" t="s">
        <v>1817</v>
      </c>
      <c r="CM44" s="1475" t="s">
        <v>1817</v>
      </c>
      <c r="CN44" s="1475" t="s">
        <v>1817</v>
      </c>
    </row>
    <row r="45" spans="1:92">
      <c r="A45" s="1479"/>
      <c r="B45" s="135"/>
      <c r="C45" s="1492"/>
      <c r="D45" s="1492"/>
      <c r="E45" s="1492"/>
      <c r="F45" s="135"/>
      <c r="G45" s="1492"/>
      <c r="H45" s="1492"/>
      <c r="I45" s="1492"/>
      <c r="J45" s="1492"/>
      <c r="K45" s="1492"/>
      <c r="L45" s="1492"/>
      <c r="M45" s="1492"/>
      <c r="N45" s="135"/>
      <c r="O45" s="1492"/>
      <c r="P45" s="1492"/>
      <c r="Q45" s="135"/>
      <c r="R45" s="1492"/>
      <c r="S45" s="1492"/>
      <c r="T45" s="1491"/>
      <c r="U45" s="1491"/>
      <c r="V45" s="1491"/>
      <c r="W45" s="1491"/>
      <c r="X45" s="1491"/>
      <c r="Y45" s="1491"/>
      <c r="Z45" s="1491"/>
      <c r="AA45" s="1491"/>
      <c r="AB45" s="1491"/>
      <c r="AC45" s="1491"/>
      <c r="AD45" s="1491"/>
      <c r="AE45" s="1491"/>
      <c r="AF45" s="1491"/>
      <c r="AG45" s="1491"/>
      <c r="AH45" s="1491"/>
      <c r="AI45" s="1491"/>
      <c r="AJ45" s="1491"/>
      <c r="AK45" s="1491"/>
      <c r="AL45" s="1491"/>
      <c r="AM45" s="1491"/>
      <c r="AN45" s="1491"/>
      <c r="AO45" s="1491"/>
      <c r="AP45" s="1491"/>
      <c r="AQ45" s="1491"/>
      <c r="AR45" s="1491"/>
      <c r="AS45" s="1491"/>
      <c r="AT45" s="1491"/>
      <c r="AU45" s="1491"/>
      <c r="AV45" s="1491"/>
      <c r="AW45" s="1491"/>
      <c r="AX45" s="1491"/>
      <c r="AY45" s="1491"/>
      <c r="AZ45" s="1491"/>
      <c r="BA45" s="1491"/>
      <c r="BB45" s="1491"/>
      <c r="BC45" s="1491"/>
      <c r="BD45" s="1491"/>
      <c r="BE45" s="1491"/>
      <c r="BF45" s="1491"/>
      <c r="BG45" s="1491"/>
      <c r="BH45" s="1491"/>
      <c r="BI45" s="1491"/>
      <c r="BJ45" s="1491"/>
      <c r="BK45" s="1491"/>
      <c r="BL45" s="1491"/>
      <c r="BM45" s="1491"/>
      <c r="BN45" s="1491"/>
      <c r="BO45" s="1491"/>
      <c r="BP45" s="1489"/>
      <c r="BQ45" s="1489"/>
      <c r="BR45" s="1489"/>
      <c r="BS45" s="1489"/>
      <c r="BT45" s="1489"/>
      <c r="BU45" s="1489"/>
      <c r="BV45" s="1489"/>
      <c r="BW45" s="1489"/>
      <c r="BX45" s="1489"/>
      <c r="BY45" s="1489"/>
      <c r="BZ45" s="1490"/>
      <c r="CA45" s="1489"/>
      <c r="CB45" s="1489"/>
      <c r="CC45" s="1489"/>
      <c r="CD45" s="1489"/>
      <c r="CE45" s="1489"/>
      <c r="CF45" s="1489"/>
      <c r="CG45" s="1489"/>
      <c r="CH45" s="1489"/>
      <c r="CI45" s="1489"/>
      <c r="CJ45" s="1489"/>
      <c r="CK45" s="1489"/>
      <c r="CL45" s="1489"/>
      <c r="CM45" s="1489"/>
      <c r="CN45" s="1489"/>
    </row>
    <row r="46" spans="1:92">
      <c r="A46" s="1479" t="s">
        <v>1816</v>
      </c>
      <c r="B46" s="135"/>
      <c r="C46" s="1492"/>
      <c r="D46" s="1492"/>
      <c r="E46" s="1492"/>
      <c r="F46" s="135"/>
      <c r="G46" s="1492"/>
      <c r="H46" s="1492"/>
      <c r="I46" s="1492"/>
      <c r="J46" s="1492"/>
      <c r="K46" s="1492"/>
      <c r="L46" s="1492"/>
      <c r="M46" s="1492"/>
      <c r="N46" s="135"/>
      <c r="O46" s="1492"/>
      <c r="P46" s="1492"/>
      <c r="Q46" s="135"/>
      <c r="R46" s="1492"/>
      <c r="S46" s="1492"/>
      <c r="T46" s="1491"/>
      <c r="U46" s="1491"/>
      <c r="V46" s="1491"/>
      <c r="W46" s="1491"/>
      <c r="X46" s="1491"/>
      <c r="Y46" s="1491"/>
      <c r="Z46" s="1491"/>
      <c r="AA46" s="1491"/>
      <c r="AB46" s="1491"/>
      <c r="AC46" s="1491"/>
      <c r="AD46" s="1491"/>
      <c r="AE46" s="1491"/>
      <c r="AF46" s="1491"/>
      <c r="AG46" s="1491"/>
      <c r="AH46" s="1491"/>
      <c r="AI46" s="1491"/>
      <c r="AJ46" s="1491"/>
      <c r="AK46" s="1491"/>
      <c r="AL46" s="1491"/>
      <c r="AM46" s="1491"/>
      <c r="AN46" s="1491"/>
      <c r="AO46" s="1491"/>
      <c r="AP46" s="1491"/>
      <c r="AQ46" s="1491"/>
      <c r="AR46" s="1491"/>
      <c r="AS46" s="1491"/>
      <c r="AT46" s="1491"/>
      <c r="AU46" s="1491"/>
      <c r="AV46" s="1491"/>
      <c r="AW46" s="1491"/>
      <c r="AX46" s="1491"/>
      <c r="AY46" s="1491"/>
      <c r="AZ46" s="1491"/>
      <c r="BA46" s="1491"/>
      <c r="BB46" s="1491"/>
      <c r="BC46" s="1491"/>
      <c r="BD46" s="1491"/>
      <c r="BE46" s="1491"/>
      <c r="BF46" s="1491"/>
      <c r="BG46" s="1491"/>
      <c r="BH46" s="1491"/>
      <c r="BI46" s="1491"/>
      <c r="BJ46" s="1491"/>
      <c r="BK46" s="1491"/>
      <c r="BL46" s="1491"/>
      <c r="BM46" s="1491"/>
      <c r="BN46" s="1491"/>
      <c r="BO46" s="1491"/>
      <c r="BP46" s="1489"/>
      <c r="BQ46" s="1489"/>
      <c r="BR46" s="1489"/>
      <c r="BS46" s="1489"/>
      <c r="BT46" s="1489"/>
      <c r="BU46" s="1489"/>
      <c r="BV46" s="1489"/>
      <c r="BW46" s="1489"/>
      <c r="BX46" s="1489"/>
      <c r="BY46" s="1489"/>
      <c r="BZ46" s="1490"/>
      <c r="CA46" s="1489"/>
      <c r="CB46" s="1489"/>
      <c r="CC46" s="1489"/>
      <c r="CD46" s="1489"/>
      <c r="CE46" s="1489"/>
      <c r="CF46" s="1489"/>
      <c r="CG46" s="1489"/>
      <c r="CH46" s="1489"/>
      <c r="CI46" s="1489"/>
      <c r="CJ46" s="1489"/>
      <c r="CK46" s="1489"/>
      <c r="CL46" s="1489"/>
      <c r="CM46" s="1489"/>
      <c r="CN46" s="1489"/>
    </row>
    <row r="47" spans="1:92">
      <c r="A47" s="1479" t="s">
        <v>1815</v>
      </c>
      <c r="B47" s="1488" t="s">
        <v>1814</v>
      </c>
      <c r="C47" s="1487">
        <v>5</v>
      </c>
      <c r="D47" s="1487">
        <v>5</v>
      </c>
      <c r="E47" s="1487">
        <v>5</v>
      </c>
      <c r="F47" s="1488">
        <v>5</v>
      </c>
      <c r="G47" s="1487" t="s">
        <v>1813</v>
      </c>
      <c r="H47" s="1487" t="s">
        <v>1813</v>
      </c>
      <c r="I47" s="1487" t="s">
        <v>1813</v>
      </c>
      <c r="J47" s="1487" t="s">
        <v>1813</v>
      </c>
      <c r="K47" s="1487" t="s">
        <v>1813</v>
      </c>
      <c r="L47" s="1487" t="s">
        <v>1813</v>
      </c>
      <c r="M47" s="1487" t="s">
        <v>1813</v>
      </c>
      <c r="N47" s="1488" t="s">
        <v>1812</v>
      </c>
      <c r="O47" s="1487" t="s">
        <v>1812</v>
      </c>
      <c r="P47" s="1487" t="s">
        <v>1811</v>
      </c>
      <c r="Q47" s="1488" t="s">
        <v>1811</v>
      </c>
      <c r="R47" s="1487" t="s">
        <v>1811</v>
      </c>
      <c r="S47" s="1487" t="s">
        <v>1811</v>
      </c>
      <c r="T47" s="1485" t="s">
        <v>1811</v>
      </c>
      <c r="U47" s="1485" t="s">
        <v>1811</v>
      </c>
      <c r="V47" s="1485" t="s">
        <v>1811</v>
      </c>
      <c r="W47" s="1485" t="s">
        <v>1811</v>
      </c>
      <c r="X47" s="1485" t="s">
        <v>1811</v>
      </c>
      <c r="Y47" s="1485" t="s">
        <v>1811</v>
      </c>
      <c r="Z47" s="1485" t="s">
        <v>1810</v>
      </c>
      <c r="AA47" s="1485" t="s">
        <v>1810</v>
      </c>
      <c r="AB47" s="1485" t="s">
        <v>1810</v>
      </c>
      <c r="AC47" s="1485" t="s">
        <v>1810</v>
      </c>
      <c r="AD47" s="1485" t="s">
        <v>1810</v>
      </c>
      <c r="AE47" s="1485" t="s">
        <v>1810</v>
      </c>
      <c r="AF47" s="1485" t="s">
        <v>1810</v>
      </c>
      <c r="AG47" s="1485" t="s">
        <v>1809</v>
      </c>
      <c r="AH47" s="1485" t="s">
        <v>1808</v>
      </c>
      <c r="AI47" s="1485" t="s">
        <v>1128</v>
      </c>
      <c r="AJ47" s="1485" t="s">
        <v>1143</v>
      </c>
      <c r="AK47" s="1485" t="s">
        <v>1143</v>
      </c>
      <c r="AL47" s="1485" t="s">
        <v>1789</v>
      </c>
      <c r="AM47" s="1485" t="s">
        <v>1789</v>
      </c>
      <c r="AN47" s="1485" t="s">
        <v>1789</v>
      </c>
      <c r="AO47" s="1485" t="s">
        <v>1789</v>
      </c>
      <c r="AP47" s="1485" t="s">
        <v>1807</v>
      </c>
      <c r="AQ47" s="1485" t="s">
        <v>1023</v>
      </c>
      <c r="AR47" s="1485" t="s">
        <v>1023</v>
      </c>
      <c r="AS47" s="1485" t="s">
        <v>1023</v>
      </c>
      <c r="AT47" s="1485" t="s">
        <v>1806</v>
      </c>
      <c r="AU47" s="1485" t="s">
        <v>875</v>
      </c>
      <c r="AV47" s="1485" t="s">
        <v>875</v>
      </c>
      <c r="AW47" s="1485" t="s">
        <v>875</v>
      </c>
      <c r="AX47" s="1485" t="s">
        <v>875</v>
      </c>
      <c r="AY47" s="1485" t="s">
        <v>875</v>
      </c>
      <c r="AZ47" s="1485" t="s">
        <v>875</v>
      </c>
      <c r="BA47" s="1485" t="s">
        <v>875</v>
      </c>
      <c r="BB47" s="1485" t="s">
        <v>875</v>
      </c>
      <c r="BC47" s="1485" t="s">
        <v>875</v>
      </c>
      <c r="BD47" s="1485" t="s">
        <v>875</v>
      </c>
      <c r="BE47" s="1485" t="s">
        <v>875</v>
      </c>
      <c r="BF47" s="1485" t="s">
        <v>875</v>
      </c>
      <c r="BG47" s="1485" t="s">
        <v>875</v>
      </c>
      <c r="BH47" s="1485" t="s">
        <v>875</v>
      </c>
      <c r="BI47" s="1485" t="s">
        <v>875</v>
      </c>
      <c r="BJ47" s="1485" t="s">
        <v>875</v>
      </c>
      <c r="BK47" s="1485" t="s">
        <v>875</v>
      </c>
      <c r="BL47" s="1485" t="s">
        <v>1805</v>
      </c>
      <c r="BM47" s="1485" t="s">
        <v>1039</v>
      </c>
      <c r="BN47" s="1485" t="s">
        <v>1039</v>
      </c>
      <c r="BO47" s="1485" t="s">
        <v>1039</v>
      </c>
      <c r="BP47" s="1485" t="s">
        <v>1039</v>
      </c>
      <c r="BQ47" s="1485" t="s">
        <v>1039</v>
      </c>
      <c r="BR47" s="1485" t="s">
        <v>1039</v>
      </c>
      <c r="BS47" s="1485" t="s">
        <v>1039</v>
      </c>
      <c r="BT47" s="1485" t="s">
        <v>1039</v>
      </c>
      <c r="BU47" s="1485" t="s">
        <v>1804</v>
      </c>
      <c r="BV47" s="1485" t="s">
        <v>1804</v>
      </c>
      <c r="BW47" s="1485" t="s">
        <v>1804</v>
      </c>
      <c r="BX47" s="1485" t="s">
        <v>1804</v>
      </c>
      <c r="BY47" s="1485" t="s">
        <v>1804</v>
      </c>
      <c r="BZ47" s="1486" t="s">
        <v>1804</v>
      </c>
      <c r="CA47" s="1485" t="s">
        <v>1804</v>
      </c>
      <c r="CB47" s="1485" t="s">
        <v>1804</v>
      </c>
      <c r="CC47" s="1485" t="s">
        <v>1804</v>
      </c>
      <c r="CD47" s="1485" t="s">
        <v>1803</v>
      </c>
      <c r="CE47" s="1485" t="s">
        <v>1802</v>
      </c>
      <c r="CF47" s="1485" t="s">
        <v>1802</v>
      </c>
      <c r="CG47" s="1485" t="s">
        <v>1802</v>
      </c>
      <c r="CH47" s="1485" t="s">
        <v>1802</v>
      </c>
      <c r="CI47" s="1485" t="s">
        <v>1802</v>
      </c>
      <c r="CJ47" s="1485" t="s">
        <v>1802</v>
      </c>
      <c r="CK47" s="1485" t="s">
        <v>1802</v>
      </c>
      <c r="CL47" s="1485" t="s">
        <v>1802</v>
      </c>
      <c r="CM47" s="1485" t="s">
        <v>1802</v>
      </c>
      <c r="CN47" s="1485" t="s">
        <v>1802</v>
      </c>
    </row>
    <row r="48" spans="1:92">
      <c r="A48" s="1479" t="s">
        <v>1801</v>
      </c>
      <c r="B48" s="272"/>
      <c r="C48" s="1484"/>
      <c r="D48" s="1484"/>
      <c r="E48" s="1484"/>
      <c r="F48" s="272"/>
      <c r="G48" s="1484"/>
      <c r="H48" s="1484"/>
      <c r="I48" s="1484"/>
      <c r="J48" s="1484"/>
      <c r="K48" s="1484"/>
      <c r="L48" s="1484"/>
      <c r="M48" s="1484"/>
      <c r="N48" s="272"/>
      <c r="O48" s="1484"/>
      <c r="P48" s="1484"/>
      <c r="Q48" s="272"/>
      <c r="R48" s="1484"/>
      <c r="S48" s="1484"/>
      <c r="T48" s="1483"/>
      <c r="U48" s="1483"/>
      <c r="V48" s="1483"/>
      <c r="W48" s="1483"/>
      <c r="X48" s="1483"/>
      <c r="Y48" s="1483"/>
      <c r="Z48" s="1483"/>
      <c r="AA48" s="1483"/>
      <c r="AB48" s="1483"/>
      <c r="AC48" s="1483"/>
      <c r="AD48" s="1483"/>
      <c r="AE48" s="1483"/>
      <c r="AF48" s="1483"/>
      <c r="AG48" s="1483"/>
      <c r="AH48" s="1483"/>
      <c r="AI48" s="1483"/>
      <c r="AJ48" s="1483"/>
      <c r="AK48" s="1483"/>
      <c r="AL48" s="1483"/>
      <c r="AM48" s="1483"/>
      <c r="AN48" s="1483"/>
      <c r="AO48" s="1483"/>
      <c r="AP48" s="1483"/>
      <c r="AQ48" s="1483"/>
      <c r="AR48" s="1483"/>
      <c r="AS48" s="1483"/>
      <c r="AT48" s="1483"/>
      <c r="AU48" s="1483"/>
      <c r="AV48" s="1483"/>
      <c r="AW48" s="1483"/>
      <c r="AX48" s="1483"/>
      <c r="AY48" s="1483"/>
      <c r="AZ48" s="1483"/>
      <c r="BA48" s="1483"/>
      <c r="BB48" s="1483"/>
      <c r="BC48" s="1483"/>
      <c r="BD48" s="1483"/>
      <c r="BE48" s="1483"/>
      <c r="BF48" s="1483"/>
      <c r="BG48" s="1483"/>
      <c r="BH48" s="1483"/>
      <c r="BI48" s="1483"/>
      <c r="BJ48" s="1483"/>
      <c r="BK48" s="1483"/>
      <c r="BL48" s="1483"/>
      <c r="BM48" s="1483"/>
      <c r="BN48" s="1483"/>
      <c r="BO48" s="1483"/>
      <c r="BP48" s="1481"/>
      <c r="BQ48" s="1481"/>
      <c r="BR48" s="1481"/>
      <c r="BS48" s="1481"/>
      <c r="BT48" s="1481"/>
      <c r="BU48" s="1481"/>
      <c r="BV48" s="1481"/>
      <c r="BW48" s="1481"/>
      <c r="BX48" s="1481"/>
      <c r="BY48" s="1481"/>
      <c r="BZ48" s="1482"/>
      <c r="CA48" s="1481"/>
      <c r="CB48" s="1481"/>
      <c r="CC48" s="1481"/>
      <c r="CD48" s="1481"/>
      <c r="CE48" s="1481"/>
      <c r="CF48" s="1481"/>
      <c r="CG48" s="1481"/>
      <c r="CH48" s="1481"/>
      <c r="CI48" s="1481"/>
      <c r="CJ48" s="1481"/>
      <c r="CK48" s="1481"/>
      <c r="CL48" s="1481"/>
      <c r="CM48" s="1481"/>
      <c r="CN48" s="1481"/>
    </row>
    <row r="49" spans="1:92">
      <c r="A49" s="1479" t="s">
        <v>1800</v>
      </c>
      <c r="B49" s="1478" t="s">
        <v>1799</v>
      </c>
      <c r="C49" s="1477" t="s">
        <v>1798</v>
      </c>
      <c r="D49" s="1477" t="s">
        <v>1797</v>
      </c>
      <c r="E49" s="1477" t="s">
        <v>1797</v>
      </c>
      <c r="F49" s="1478" t="s">
        <v>1797</v>
      </c>
      <c r="G49" s="1477" t="s">
        <v>1796</v>
      </c>
      <c r="H49" s="1477" t="s">
        <v>1794</v>
      </c>
      <c r="I49" s="1477" t="s">
        <v>1794</v>
      </c>
      <c r="J49" s="1477" t="s">
        <v>1795</v>
      </c>
      <c r="K49" s="1477" t="s">
        <v>1795</v>
      </c>
      <c r="L49" s="1477" t="s">
        <v>1794</v>
      </c>
      <c r="M49" s="1477" t="s">
        <v>1793</v>
      </c>
      <c r="N49" s="1478" t="s">
        <v>1792</v>
      </c>
      <c r="O49" s="1477" t="s">
        <v>1792</v>
      </c>
      <c r="P49" s="1477" t="s">
        <v>1791</v>
      </c>
      <c r="Q49" s="1478" t="s">
        <v>1791</v>
      </c>
      <c r="R49" s="1477" t="s">
        <v>1791</v>
      </c>
      <c r="S49" s="1477" t="s">
        <v>1791</v>
      </c>
      <c r="T49" s="1475" t="s">
        <v>1791</v>
      </c>
      <c r="U49" s="1475" t="s">
        <v>1791</v>
      </c>
      <c r="V49" s="1475" t="s">
        <v>1791</v>
      </c>
      <c r="W49" s="1475" t="s">
        <v>1791</v>
      </c>
      <c r="X49" s="1475" t="s">
        <v>1790</v>
      </c>
      <c r="Y49" s="1475" t="s">
        <v>1790</v>
      </c>
      <c r="Z49" s="1475" t="s">
        <v>1132</v>
      </c>
      <c r="AA49" s="1475" t="s">
        <v>1132</v>
      </c>
      <c r="AB49" s="1475" t="s">
        <v>1132</v>
      </c>
      <c r="AC49" s="1475" t="s">
        <v>1132</v>
      </c>
      <c r="AD49" s="1475" t="s">
        <v>1132</v>
      </c>
      <c r="AE49" s="1475" t="s">
        <v>1132</v>
      </c>
      <c r="AF49" s="1475" t="s">
        <v>1132</v>
      </c>
      <c r="AG49" s="1475" t="s">
        <v>1726</v>
      </c>
      <c r="AH49" s="1475" t="s">
        <v>1789</v>
      </c>
      <c r="AI49" s="1475" t="s">
        <v>1210</v>
      </c>
      <c r="AJ49" s="1475" t="s">
        <v>1788</v>
      </c>
      <c r="AK49" s="1475" t="s">
        <v>1788</v>
      </c>
      <c r="AL49" s="1475" t="s">
        <v>1787</v>
      </c>
      <c r="AM49" s="1475" t="s">
        <v>1786</v>
      </c>
      <c r="AN49" s="1475" t="s">
        <v>1786</v>
      </c>
      <c r="AO49" s="1475">
        <v>6</v>
      </c>
      <c r="AP49" s="1475">
        <v>6</v>
      </c>
      <c r="AQ49" s="1475">
        <v>6</v>
      </c>
      <c r="AR49" s="1475">
        <v>6</v>
      </c>
      <c r="AS49" s="1475">
        <v>6</v>
      </c>
      <c r="AT49" s="1475">
        <v>6</v>
      </c>
      <c r="AU49" s="1475">
        <v>2.5</v>
      </c>
      <c r="AV49" s="1475">
        <v>2.5</v>
      </c>
      <c r="AW49" s="1475" t="s">
        <v>1783</v>
      </c>
      <c r="AX49" s="1475" t="s">
        <v>1783</v>
      </c>
      <c r="AY49" s="1475" t="s">
        <v>1179</v>
      </c>
      <c r="AZ49" s="1475">
        <v>2.5</v>
      </c>
      <c r="BA49" s="1475">
        <v>2.5</v>
      </c>
      <c r="BB49" s="1475">
        <v>2.5</v>
      </c>
      <c r="BC49" s="1475">
        <v>2.5</v>
      </c>
      <c r="BD49" s="1475" t="s">
        <v>1785</v>
      </c>
      <c r="BE49" s="1475" t="s">
        <v>1785</v>
      </c>
      <c r="BF49" s="1475" t="s">
        <v>1785</v>
      </c>
      <c r="BG49" s="1475" t="s">
        <v>1785</v>
      </c>
      <c r="BH49" s="1475" t="s">
        <v>1785</v>
      </c>
      <c r="BI49" s="1475" t="s">
        <v>1785</v>
      </c>
      <c r="BJ49" s="1475" t="s">
        <v>1784</v>
      </c>
      <c r="BK49" s="1475" t="s">
        <v>1784</v>
      </c>
      <c r="BL49" s="1475" t="s">
        <v>1784</v>
      </c>
      <c r="BM49" s="1475">
        <v>2.5</v>
      </c>
      <c r="BN49" s="1475" t="s">
        <v>1783</v>
      </c>
      <c r="BO49" s="1475" t="s">
        <v>1783</v>
      </c>
      <c r="BP49" s="1475">
        <v>2.5</v>
      </c>
      <c r="BQ49" s="1475">
        <v>2.5</v>
      </c>
      <c r="BR49" s="1475">
        <v>2.5</v>
      </c>
      <c r="BS49" s="1475">
        <v>2.5</v>
      </c>
      <c r="BT49" s="1475">
        <v>2.5</v>
      </c>
      <c r="BU49" s="1475">
        <v>2.5</v>
      </c>
      <c r="BV49" s="1475">
        <v>2.5</v>
      </c>
      <c r="BW49" s="1475" t="s">
        <v>1782</v>
      </c>
      <c r="BX49" s="1475" t="s">
        <v>1782</v>
      </c>
      <c r="BY49" s="1475" t="s">
        <v>1782</v>
      </c>
      <c r="BZ49" s="1476" t="s">
        <v>1782</v>
      </c>
      <c r="CA49" s="1475" t="s">
        <v>1781</v>
      </c>
      <c r="CB49" s="1475" t="s">
        <v>1780</v>
      </c>
      <c r="CC49" s="1475" t="s">
        <v>1780</v>
      </c>
      <c r="CD49" s="1475" t="s">
        <v>1779</v>
      </c>
      <c r="CE49" s="1475" t="s">
        <v>1778</v>
      </c>
      <c r="CF49" s="1475" t="s">
        <v>1777</v>
      </c>
      <c r="CG49" s="1475" t="s">
        <v>1777</v>
      </c>
      <c r="CH49" s="1475" t="s">
        <v>1776</v>
      </c>
      <c r="CI49" s="1475" t="s">
        <v>1776</v>
      </c>
      <c r="CJ49" s="1475" t="s">
        <v>1776</v>
      </c>
      <c r="CK49" s="1475" t="s">
        <v>1775</v>
      </c>
      <c r="CL49" s="1475" t="s">
        <v>1774</v>
      </c>
      <c r="CM49" s="1475" t="s">
        <v>1773</v>
      </c>
      <c r="CN49" s="1475" t="s">
        <v>1773</v>
      </c>
    </row>
    <row r="50" spans="1:92">
      <c r="A50" s="1479" t="s">
        <v>1772</v>
      </c>
      <c r="B50" s="1478" t="s">
        <v>1771</v>
      </c>
      <c r="C50" s="1477" t="s">
        <v>1770</v>
      </c>
      <c r="D50" s="1477" t="s">
        <v>1770</v>
      </c>
      <c r="E50" s="1477" t="s">
        <v>1770</v>
      </c>
      <c r="F50" s="1478" t="s">
        <v>1770</v>
      </c>
      <c r="G50" s="1477" t="s">
        <v>1769</v>
      </c>
      <c r="H50" s="1477" t="s">
        <v>1769</v>
      </c>
      <c r="I50" s="1477" t="s">
        <v>1769</v>
      </c>
      <c r="J50" s="1477" t="s">
        <v>1769</v>
      </c>
      <c r="K50" s="1477" t="s">
        <v>1769</v>
      </c>
      <c r="L50" s="1477" t="s">
        <v>1769</v>
      </c>
      <c r="M50" s="1477" t="s">
        <v>1769</v>
      </c>
      <c r="N50" s="1478" t="s">
        <v>1768</v>
      </c>
      <c r="O50" s="1477" t="s">
        <v>1768</v>
      </c>
      <c r="P50" s="1477" t="s">
        <v>1767</v>
      </c>
      <c r="Q50" s="1478" t="s">
        <v>1764</v>
      </c>
      <c r="R50" s="1477" t="s">
        <v>1764</v>
      </c>
      <c r="S50" s="1477" t="s">
        <v>1764</v>
      </c>
      <c r="T50" s="1475" t="s">
        <v>1766</v>
      </c>
      <c r="U50" s="1475" t="s">
        <v>1766</v>
      </c>
      <c r="V50" s="1475" t="s">
        <v>1734</v>
      </c>
      <c r="W50" s="1475" t="s">
        <v>1765</v>
      </c>
      <c r="X50" s="1475" t="s">
        <v>1764</v>
      </c>
      <c r="Y50" s="1475" t="s">
        <v>1763</v>
      </c>
      <c r="Z50" s="1475" t="s">
        <v>1125</v>
      </c>
      <c r="AA50" s="1475" t="s">
        <v>1395</v>
      </c>
      <c r="AB50" s="1475" t="s">
        <v>1395</v>
      </c>
      <c r="AC50" s="1475" t="s">
        <v>1395</v>
      </c>
      <c r="AD50" s="1475" t="s">
        <v>1395</v>
      </c>
      <c r="AE50" s="1475" t="s">
        <v>1395</v>
      </c>
      <c r="AF50" s="1475" t="s">
        <v>1395</v>
      </c>
      <c r="AG50" s="1475" t="s">
        <v>1762</v>
      </c>
      <c r="AH50" s="1475" t="s">
        <v>1761</v>
      </c>
      <c r="AI50" s="1475" t="s">
        <v>1761</v>
      </c>
      <c r="AJ50" s="1475" t="s">
        <v>1760</v>
      </c>
      <c r="AK50" s="1475" t="s">
        <v>1759</v>
      </c>
      <c r="AL50" s="1475" t="s">
        <v>1758</v>
      </c>
      <c r="AM50" s="1475" t="s">
        <v>1757</v>
      </c>
      <c r="AN50" s="1475" t="s">
        <v>1757</v>
      </c>
      <c r="AO50" s="1475" t="s">
        <v>1757</v>
      </c>
      <c r="AP50" s="1475" t="s">
        <v>1756</v>
      </c>
      <c r="AQ50" s="1475" t="s">
        <v>1755</v>
      </c>
      <c r="AR50" s="1475" t="s">
        <v>1133</v>
      </c>
      <c r="AS50" s="1475" t="s">
        <v>1133</v>
      </c>
      <c r="AT50" s="1475" t="s">
        <v>1214</v>
      </c>
      <c r="AU50" s="1475" t="s">
        <v>1214</v>
      </c>
      <c r="AV50" s="1475" t="s">
        <v>1214</v>
      </c>
      <c r="AW50" s="1475" t="s">
        <v>1214</v>
      </c>
      <c r="AX50" s="1475" t="s">
        <v>1214</v>
      </c>
      <c r="AY50" s="1475" t="s">
        <v>1214</v>
      </c>
      <c r="AZ50" s="1475" t="s">
        <v>1214</v>
      </c>
      <c r="BA50" s="1475" t="s">
        <v>1214</v>
      </c>
      <c r="BB50" s="1475" t="s">
        <v>1214</v>
      </c>
      <c r="BC50" s="1475" t="s">
        <v>1214</v>
      </c>
      <c r="BD50" s="1475" t="s">
        <v>1214</v>
      </c>
      <c r="BE50" s="1475" t="s">
        <v>1754</v>
      </c>
      <c r="BF50" s="1475" t="s">
        <v>1754</v>
      </c>
      <c r="BG50" s="1475" t="s">
        <v>1754</v>
      </c>
      <c r="BH50" s="1475" t="s">
        <v>1753</v>
      </c>
      <c r="BI50" s="1475" t="s">
        <v>1752</v>
      </c>
      <c r="BJ50" s="1475" t="s">
        <v>1752</v>
      </c>
      <c r="BK50" s="1475" t="s">
        <v>1752</v>
      </c>
      <c r="BL50" s="1475" t="s">
        <v>1752</v>
      </c>
      <c r="BM50" s="1475" t="s">
        <v>1751</v>
      </c>
      <c r="BN50" s="1475" t="s">
        <v>1630</v>
      </c>
      <c r="BO50" s="1475" t="s">
        <v>1660</v>
      </c>
      <c r="BP50" s="1475" t="s">
        <v>1660</v>
      </c>
      <c r="BQ50" s="1475" t="s">
        <v>1750</v>
      </c>
      <c r="BR50" s="1475" t="s">
        <v>1750</v>
      </c>
      <c r="BS50" s="1475" t="s">
        <v>1749</v>
      </c>
      <c r="BT50" s="1475" t="s">
        <v>1749</v>
      </c>
      <c r="BU50" s="1475" t="s">
        <v>1748</v>
      </c>
      <c r="BV50" s="1475" t="s">
        <v>1748</v>
      </c>
      <c r="BW50" s="1475" t="s">
        <v>1748</v>
      </c>
      <c r="BX50" s="1475" t="s">
        <v>1748</v>
      </c>
      <c r="BY50" s="1475" t="s">
        <v>1748</v>
      </c>
      <c r="BZ50" s="1476" t="s">
        <v>1748</v>
      </c>
      <c r="CA50" s="1475" t="s">
        <v>1748</v>
      </c>
      <c r="CB50" s="1475" t="s">
        <v>1747</v>
      </c>
      <c r="CC50" s="1475" t="s">
        <v>1747</v>
      </c>
      <c r="CD50" s="1475" t="s">
        <v>1745</v>
      </c>
      <c r="CE50" s="1475" t="s">
        <v>1745</v>
      </c>
      <c r="CF50" s="1475" t="s">
        <v>1745</v>
      </c>
      <c r="CG50" s="1475" t="s">
        <v>1745</v>
      </c>
      <c r="CH50" s="1475" t="s">
        <v>1745</v>
      </c>
      <c r="CI50" s="1475" t="s">
        <v>1745</v>
      </c>
      <c r="CJ50" s="1475" t="s">
        <v>1746</v>
      </c>
      <c r="CK50" s="1475" t="s">
        <v>1745</v>
      </c>
      <c r="CL50" s="1475" t="s">
        <v>1745</v>
      </c>
      <c r="CM50" s="1475" t="s">
        <v>1745</v>
      </c>
      <c r="CN50" s="1475" t="s">
        <v>1745</v>
      </c>
    </row>
    <row r="51" spans="1:92">
      <c r="A51" s="1479" t="s">
        <v>1744</v>
      </c>
      <c r="B51" s="1478" t="s">
        <v>1666</v>
      </c>
      <c r="C51" s="1477" t="s">
        <v>1743</v>
      </c>
      <c r="D51" s="1477" t="s">
        <v>1742</v>
      </c>
      <c r="E51" s="1477" t="s">
        <v>1657</v>
      </c>
      <c r="F51" s="1478" t="s">
        <v>1741</v>
      </c>
      <c r="G51" s="1477" t="s">
        <v>1740</v>
      </c>
      <c r="H51" s="1477" t="s">
        <v>1737</v>
      </c>
      <c r="I51" s="1477" t="s">
        <v>1739</v>
      </c>
      <c r="J51" s="1477" t="s">
        <v>1739</v>
      </c>
      <c r="K51" s="1477" t="s">
        <v>1738</v>
      </c>
      <c r="L51" s="1477" t="s">
        <v>1738</v>
      </c>
      <c r="M51" s="1477" t="s">
        <v>1737</v>
      </c>
      <c r="N51" s="1478" t="s">
        <v>1736</v>
      </c>
      <c r="O51" s="1477" t="s">
        <v>1735</v>
      </c>
      <c r="P51" s="1477" t="s">
        <v>1398</v>
      </c>
      <c r="Q51" s="1478" t="s">
        <v>1734</v>
      </c>
      <c r="R51" s="1477" t="s">
        <v>1734</v>
      </c>
      <c r="S51" s="1477" t="s">
        <v>1733</v>
      </c>
      <c r="T51" s="1475" t="s">
        <v>1731</v>
      </c>
      <c r="U51" s="1475" t="s">
        <v>1691</v>
      </c>
      <c r="V51" s="1475" t="s">
        <v>1732</v>
      </c>
      <c r="W51" s="1475" t="s">
        <v>1691</v>
      </c>
      <c r="X51" s="1475" t="s">
        <v>1731</v>
      </c>
      <c r="Y51" s="1475" t="s">
        <v>1691</v>
      </c>
      <c r="Z51" s="1475" t="s">
        <v>1686</v>
      </c>
      <c r="AA51" s="1475" t="s">
        <v>1730</v>
      </c>
      <c r="AB51" s="1475" t="s">
        <v>1729</v>
      </c>
      <c r="AC51" s="1475" t="s">
        <v>1190</v>
      </c>
      <c r="AD51" s="1475" t="s">
        <v>1190</v>
      </c>
      <c r="AE51" s="1475" t="s">
        <v>1190</v>
      </c>
      <c r="AF51" s="1475" t="s">
        <v>1686</v>
      </c>
      <c r="AG51" s="1475" t="s">
        <v>1728</v>
      </c>
      <c r="AH51" s="1475" t="s">
        <v>1727</v>
      </c>
      <c r="AI51" s="1475" t="s">
        <v>1727</v>
      </c>
      <c r="AJ51" s="1475" t="s">
        <v>1726</v>
      </c>
      <c r="AK51" s="1475" t="s">
        <v>1725</v>
      </c>
      <c r="AL51" s="1475" t="s">
        <v>1130</v>
      </c>
      <c r="AM51" s="1475" t="s">
        <v>1130</v>
      </c>
      <c r="AN51" s="1475" t="s">
        <v>1130</v>
      </c>
      <c r="AO51" s="1475" t="s">
        <v>1263</v>
      </c>
      <c r="AP51" s="1475" t="s">
        <v>1724</v>
      </c>
      <c r="AQ51" s="1475" t="s">
        <v>1516</v>
      </c>
      <c r="AR51" s="1475" t="s">
        <v>1516</v>
      </c>
      <c r="AS51" s="1475" t="s">
        <v>1723</v>
      </c>
      <c r="AT51" s="1475" t="s">
        <v>1676</v>
      </c>
      <c r="AU51" s="1475" t="s">
        <v>1722</v>
      </c>
      <c r="AV51" s="1475" t="s">
        <v>1721</v>
      </c>
      <c r="AW51" s="1475" t="s">
        <v>1721</v>
      </c>
      <c r="AX51" s="1475" t="s">
        <v>1721</v>
      </c>
      <c r="AY51" s="1475" t="s">
        <v>1721</v>
      </c>
      <c r="AZ51" s="1475" t="s">
        <v>1720</v>
      </c>
      <c r="BA51" s="1475" t="s">
        <v>1578</v>
      </c>
      <c r="BB51" s="1475" t="s">
        <v>1578</v>
      </c>
      <c r="BC51" s="1475" t="s">
        <v>1607</v>
      </c>
      <c r="BD51" s="1475" t="s">
        <v>1607</v>
      </c>
      <c r="BE51" s="1475" t="s">
        <v>1607</v>
      </c>
      <c r="BF51" s="1475" t="s">
        <v>1607</v>
      </c>
      <c r="BG51" s="1475" t="s">
        <v>1607</v>
      </c>
      <c r="BH51" s="1475" t="s">
        <v>1607</v>
      </c>
      <c r="BI51" s="1475" t="s">
        <v>1607</v>
      </c>
      <c r="BJ51" s="1475" t="s">
        <v>1607</v>
      </c>
      <c r="BK51" s="1475" t="s">
        <v>1607</v>
      </c>
      <c r="BL51" s="1475" t="s">
        <v>1607</v>
      </c>
      <c r="BM51" s="1475" t="s">
        <v>1537</v>
      </c>
      <c r="BN51" s="1475" t="s">
        <v>1537</v>
      </c>
      <c r="BO51" s="1475" t="s">
        <v>1537</v>
      </c>
      <c r="BP51" s="1475" t="s">
        <v>1537</v>
      </c>
      <c r="BQ51" s="1475" t="s">
        <v>1537</v>
      </c>
      <c r="BR51" s="1475" t="s">
        <v>1537</v>
      </c>
      <c r="BS51" s="1475" t="s">
        <v>1182</v>
      </c>
      <c r="BT51" s="1475" t="s">
        <v>1182</v>
      </c>
      <c r="BU51" s="1475" t="s">
        <v>1719</v>
      </c>
      <c r="BV51" s="1475" t="s">
        <v>1719</v>
      </c>
      <c r="BW51" s="1475" t="s">
        <v>1719</v>
      </c>
      <c r="BX51" s="1475" t="s">
        <v>1718</v>
      </c>
      <c r="BY51" s="1475" t="s">
        <v>1717</v>
      </c>
      <c r="BZ51" s="1476" t="s">
        <v>1716</v>
      </c>
      <c r="CA51" s="1475" t="s">
        <v>1715</v>
      </c>
      <c r="CB51" s="1475" t="s">
        <v>1715</v>
      </c>
      <c r="CC51" s="1475" t="s">
        <v>1714</v>
      </c>
      <c r="CD51" s="1475" t="s">
        <v>1713</v>
      </c>
      <c r="CE51" s="1475" t="s">
        <v>1712</v>
      </c>
      <c r="CF51" s="1475" t="s">
        <v>1708</v>
      </c>
      <c r="CG51" s="1475" t="s">
        <v>1708</v>
      </c>
      <c r="CH51" s="1475" t="s">
        <v>1711</v>
      </c>
      <c r="CI51" s="1475" t="s">
        <v>1710</v>
      </c>
      <c r="CJ51" s="1475" t="s">
        <v>1710</v>
      </c>
      <c r="CK51" s="1475" t="s">
        <v>1710</v>
      </c>
      <c r="CL51" s="1475" t="s">
        <v>1709</v>
      </c>
      <c r="CM51" s="1475" t="s">
        <v>1709</v>
      </c>
      <c r="CN51" s="1475" t="s">
        <v>1708</v>
      </c>
    </row>
    <row r="52" spans="1:92">
      <c r="A52" s="1479" t="s">
        <v>1707</v>
      </c>
      <c r="B52" s="1478" t="s">
        <v>1706</v>
      </c>
      <c r="C52" s="1477" t="s">
        <v>1705</v>
      </c>
      <c r="D52" s="1477" t="s">
        <v>1704</v>
      </c>
      <c r="E52" s="1477" t="s">
        <v>1704</v>
      </c>
      <c r="F52" s="1478" t="s">
        <v>1703</v>
      </c>
      <c r="G52" s="1477" t="s">
        <v>1702</v>
      </c>
      <c r="H52" s="1477" t="s">
        <v>1516</v>
      </c>
      <c r="I52" s="1477" t="s">
        <v>1702</v>
      </c>
      <c r="J52" s="1477" t="s">
        <v>1702</v>
      </c>
      <c r="K52" s="1477" t="s">
        <v>1702</v>
      </c>
      <c r="L52" s="1477" t="s">
        <v>1702</v>
      </c>
      <c r="M52" s="1477" t="s">
        <v>1701</v>
      </c>
      <c r="N52" s="1478" t="s">
        <v>1700</v>
      </c>
      <c r="O52" s="1477" t="s">
        <v>1699</v>
      </c>
      <c r="P52" s="1477" t="s">
        <v>1698</v>
      </c>
      <c r="Q52" s="1478" t="s">
        <v>1697</v>
      </c>
      <c r="R52" s="1477" t="s">
        <v>1696</v>
      </c>
      <c r="S52" s="1477" t="s">
        <v>1695</v>
      </c>
      <c r="T52" s="1475" t="s">
        <v>1691</v>
      </c>
      <c r="U52" s="1475" t="s">
        <v>1694</v>
      </c>
      <c r="V52" s="1475" t="s">
        <v>1693</v>
      </c>
      <c r="W52" s="1475" t="s">
        <v>1692</v>
      </c>
      <c r="X52" s="1475" t="s">
        <v>1691</v>
      </c>
      <c r="Y52" s="1475" t="s">
        <v>1690</v>
      </c>
      <c r="Z52" s="1475" t="s">
        <v>1689</v>
      </c>
      <c r="AA52" s="1475" t="s">
        <v>1688</v>
      </c>
      <c r="AB52" s="1475" t="s">
        <v>1687</v>
      </c>
      <c r="AC52" s="1475" t="s">
        <v>1687</v>
      </c>
      <c r="AD52" s="1475" t="s">
        <v>1686</v>
      </c>
      <c r="AE52" s="1475" t="s">
        <v>1686</v>
      </c>
      <c r="AF52" s="1475" t="s">
        <v>1685</v>
      </c>
      <c r="AG52" s="1475" t="s">
        <v>1684</v>
      </c>
      <c r="AH52" s="1475" t="s">
        <v>1683</v>
      </c>
      <c r="AI52" s="1475" t="s">
        <v>1682</v>
      </c>
      <c r="AJ52" s="1475" t="s">
        <v>1681</v>
      </c>
      <c r="AK52" s="1475" t="s">
        <v>1681</v>
      </c>
      <c r="AL52" s="1475" t="s">
        <v>1680</v>
      </c>
      <c r="AM52" s="1475" t="s">
        <v>1680</v>
      </c>
      <c r="AN52" s="1475" t="s">
        <v>1679</v>
      </c>
      <c r="AO52" s="1475" t="s">
        <v>1678</v>
      </c>
      <c r="AP52" s="1475" t="s">
        <v>1677</v>
      </c>
      <c r="AQ52" s="1475" t="s">
        <v>1524</v>
      </c>
      <c r="AR52" s="1475" t="s">
        <v>1126</v>
      </c>
      <c r="AS52" s="1475" t="s">
        <v>1676</v>
      </c>
      <c r="AT52" s="1475" t="s">
        <v>1675</v>
      </c>
      <c r="AU52" s="1475" t="s">
        <v>1578</v>
      </c>
      <c r="AV52" s="1475" t="s">
        <v>1578</v>
      </c>
      <c r="AW52" s="1475" t="s">
        <v>1578</v>
      </c>
      <c r="AX52" s="1475" t="s">
        <v>1578</v>
      </c>
      <c r="AY52" s="1475" t="s">
        <v>1578</v>
      </c>
      <c r="AZ52" s="1475" t="s">
        <v>1674</v>
      </c>
      <c r="BA52" s="1475" t="s">
        <v>1578</v>
      </c>
      <c r="BB52" s="1475" t="s">
        <v>1578</v>
      </c>
      <c r="BC52" s="1475" t="s">
        <v>1578</v>
      </c>
      <c r="BD52" s="1475" t="s">
        <v>1578</v>
      </c>
      <c r="BE52" s="1475" t="s">
        <v>1578</v>
      </c>
      <c r="BF52" s="1475" t="s">
        <v>1578</v>
      </c>
      <c r="BG52" s="1475" t="s">
        <v>1578</v>
      </c>
      <c r="BH52" s="1475" t="s">
        <v>1578</v>
      </c>
      <c r="BI52" s="1475" t="s">
        <v>1578</v>
      </c>
      <c r="BJ52" s="1475" t="s">
        <v>1578</v>
      </c>
      <c r="BK52" s="1475" t="s">
        <v>1578</v>
      </c>
      <c r="BL52" s="1475" t="s">
        <v>1578</v>
      </c>
      <c r="BM52" s="1475" t="s">
        <v>1537</v>
      </c>
      <c r="BN52" s="1475" t="s">
        <v>1568</v>
      </c>
      <c r="BO52" s="1475" t="s">
        <v>1568</v>
      </c>
      <c r="BP52" s="1475" t="s">
        <v>1568</v>
      </c>
      <c r="BQ52" s="1475" t="s">
        <v>1568</v>
      </c>
      <c r="BR52" s="1475" t="s">
        <v>1568</v>
      </c>
      <c r="BS52" s="1475" t="s">
        <v>1673</v>
      </c>
      <c r="BT52" s="1475" t="s">
        <v>1673</v>
      </c>
      <c r="BU52" s="1475" t="s">
        <v>1672</v>
      </c>
      <c r="BV52" s="1475" t="s">
        <v>1671</v>
      </c>
      <c r="BW52" s="1475" t="s">
        <v>1670</v>
      </c>
      <c r="BX52" s="1475" t="s">
        <v>1184</v>
      </c>
      <c r="BY52" s="1475" t="s">
        <v>1669</v>
      </c>
      <c r="BZ52" s="1476" t="s">
        <v>1669</v>
      </c>
      <c r="CA52" s="1475" t="s">
        <v>1668</v>
      </c>
      <c r="CB52" s="1475" t="s">
        <v>1667</v>
      </c>
      <c r="CC52" s="1475" t="s">
        <v>1666</v>
      </c>
      <c r="CD52" s="1475" t="s">
        <v>1665</v>
      </c>
      <c r="CE52" s="1475" t="s">
        <v>1664</v>
      </c>
      <c r="CF52" s="1475" t="s">
        <v>1663</v>
      </c>
      <c r="CG52" s="1475" t="s">
        <v>1663</v>
      </c>
      <c r="CH52" s="1475" t="s">
        <v>1662</v>
      </c>
      <c r="CI52" s="1475" t="s">
        <v>1660</v>
      </c>
      <c r="CJ52" s="1475" t="s">
        <v>1660</v>
      </c>
      <c r="CK52" s="1475" t="s">
        <v>1661</v>
      </c>
      <c r="CL52" s="1475" t="s">
        <v>1631</v>
      </c>
      <c r="CM52" s="1475" t="s">
        <v>1660</v>
      </c>
      <c r="CN52" s="1475" t="s">
        <v>1660</v>
      </c>
    </row>
    <row r="53" spans="1:92">
      <c r="A53" s="1479" t="s">
        <v>1659</v>
      </c>
      <c r="B53" s="1478" t="s">
        <v>1658</v>
      </c>
      <c r="C53" s="1477" t="s">
        <v>1627</v>
      </c>
      <c r="D53" s="1477" t="s">
        <v>1657</v>
      </c>
      <c r="E53" s="1477" t="s">
        <v>1657</v>
      </c>
      <c r="F53" s="1478" t="s">
        <v>1657</v>
      </c>
      <c r="G53" s="1477" t="s">
        <v>1656</v>
      </c>
      <c r="H53" s="1477" t="s">
        <v>1532</v>
      </c>
      <c r="I53" s="1477" t="s">
        <v>1533</v>
      </c>
      <c r="J53" s="1477" t="s">
        <v>1533</v>
      </c>
      <c r="K53" s="1477" t="s">
        <v>1656</v>
      </c>
      <c r="L53" s="1477" t="s">
        <v>1656</v>
      </c>
      <c r="M53" s="1477" t="s">
        <v>1655</v>
      </c>
      <c r="N53" s="1478" t="s">
        <v>1654</v>
      </c>
      <c r="O53" s="1477" t="s">
        <v>1654</v>
      </c>
      <c r="P53" s="1477" t="s">
        <v>1653</v>
      </c>
      <c r="Q53" s="1478" t="s">
        <v>1652</v>
      </c>
      <c r="R53" s="1477" t="s">
        <v>1652</v>
      </c>
      <c r="S53" s="1477" t="s">
        <v>1651</v>
      </c>
      <c r="T53" s="1475" t="s">
        <v>1650</v>
      </c>
      <c r="U53" s="1475" t="s">
        <v>1649</v>
      </c>
      <c r="V53" s="1475" t="s">
        <v>1648</v>
      </c>
      <c r="W53" s="1475" t="s">
        <v>1647</v>
      </c>
      <c r="X53" s="1475" t="s">
        <v>1647</v>
      </c>
      <c r="Y53" s="1475" t="s">
        <v>1590</v>
      </c>
      <c r="Z53" s="1475" t="s">
        <v>1585</v>
      </c>
      <c r="AA53" s="1475" t="s">
        <v>1646</v>
      </c>
      <c r="AB53" s="1475" t="s">
        <v>1589</v>
      </c>
      <c r="AC53" s="1475" t="s">
        <v>1589</v>
      </c>
      <c r="AD53" s="1475" t="s">
        <v>1589</v>
      </c>
      <c r="AE53" s="1475" t="s">
        <v>1645</v>
      </c>
      <c r="AF53" s="1475" t="s">
        <v>1645</v>
      </c>
      <c r="AG53" s="1475" t="s">
        <v>1645</v>
      </c>
      <c r="AH53" s="1475" t="s">
        <v>1645</v>
      </c>
      <c r="AI53" s="1475" t="s">
        <v>1645</v>
      </c>
      <c r="AJ53" s="1475" t="s">
        <v>1619</v>
      </c>
      <c r="AK53" s="1475" t="s">
        <v>1644</v>
      </c>
      <c r="AL53" s="1475" t="s">
        <v>1644</v>
      </c>
      <c r="AM53" s="1475" t="s">
        <v>1643</v>
      </c>
      <c r="AN53" s="1475" t="s">
        <v>1642</v>
      </c>
      <c r="AO53" s="1475" t="s">
        <v>1642</v>
      </c>
      <c r="AP53" s="1475" t="s">
        <v>1562</v>
      </c>
      <c r="AQ53" s="1475" t="s">
        <v>1562</v>
      </c>
      <c r="AR53" s="1475" t="s">
        <v>1513</v>
      </c>
      <c r="AS53" s="1475" t="s">
        <v>1513</v>
      </c>
      <c r="AT53" s="1475" t="s">
        <v>1513</v>
      </c>
      <c r="AU53" s="1475" t="s">
        <v>1517</v>
      </c>
      <c r="AV53" s="1475" t="s">
        <v>1641</v>
      </c>
      <c r="AW53" s="1475" t="s">
        <v>1641</v>
      </c>
      <c r="AX53" s="1475" t="s">
        <v>1641</v>
      </c>
      <c r="AY53" s="1475" t="s">
        <v>1578</v>
      </c>
      <c r="AZ53" s="1475" t="s">
        <v>1578</v>
      </c>
      <c r="BA53" s="1475" t="s">
        <v>1578</v>
      </c>
      <c r="BB53" s="1475" t="s">
        <v>1578</v>
      </c>
      <c r="BC53" s="1475" t="s">
        <v>1578</v>
      </c>
      <c r="BD53" s="1475" t="s">
        <v>1603</v>
      </c>
      <c r="BE53" s="1475" t="s">
        <v>1578</v>
      </c>
      <c r="BF53" s="1475" t="s">
        <v>1578</v>
      </c>
      <c r="BG53" s="1475" t="s">
        <v>1578</v>
      </c>
      <c r="BH53" s="1475" t="s">
        <v>1578</v>
      </c>
      <c r="BI53" s="1475" t="s">
        <v>1603</v>
      </c>
      <c r="BJ53" s="1475" t="s">
        <v>1603</v>
      </c>
      <c r="BK53" s="1475" t="s">
        <v>1578</v>
      </c>
      <c r="BL53" s="1475" t="s">
        <v>1606</v>
      </c>
      <c r="BM53" s="1475" t="s">
        <v>1538</v>
      </c>
      <c r="BN53" s="1475" t="s">
        <v>1508</v>
      </c>
      <c r="BO53" s="1475" t="s">
        <v>1508</v>
      </c>
      <c r="BP53" s="1475" t="s">
        <v>1508</v>
      </c>
      <c r="BQ53" s="1475" t="s">
        <v>1508</v>
      </c>
      <c r="BR53" s="1475" t="s">
        <v>1508</v>
      </c>
      <c r="BS53" s="1475" t="s">
        <v>1478</v>
      </c>
      <c r="BT53" s="1475" t="s">
        <v>1478</v>
      </c>
      <c r="BU53" s="1475" t="s">
        <v>1478</v>
      </c>
      <c r="BV53" s="1475" t="s">
        <v>1478</v>
      </c>
      <c r="BW53" s="1475" t="s">
        <v>1640</v>
      </c>
      <c r="BX53" s="1475" t="s">
        <v>1639</v>
      </c>
      <c r="BY53" s="1475" t="s">
        <v>1638</v>
      </c>
      <c r="BZ53" s="1476" t="s">
        <v>1638</v>
      </c>
      <c r="CA53" s="1475" t="s">
        <v>1638</v>
      </c>
      <c r="CB53" s="1475" t="s">
        <v>1638</v>
      </c>
      <c r="CC53" s="1475" t="s">
        <v>1638</v>
      </c>
      <c r="CD53" s="1475" t="s">
        <v>1637</v>
      </c>
      <c r="CE53" s="1475" t="s">
        <v>1636</v>
      </c>
      <c r="CF53" s="1475" t="s">
        <v>1636</v>
      </c>
      <c r="CG53" s="1475" t="s">
        <v>1636</v>
      </c>
      <c r="CH53" s="1475" t="s">
        <v>1635</v>
      </c>
      <c r="CI53" s="1475" t="s">
        <v>1634</v>
      </c>
      <c r="CJ53" s="1475" t="s">
        <v>1633</v>
      </c>
      <c r="CK53" s="1475" t="s">
        <v>1632</v>
      </c>
      <c r="CL53" s="1475" t="s">
        <v>1631</v>
      </c>
      <c r="CM53" s="1475" t="s">
        <v>1630</v>
      </c>
      <c r="CN53" s="1475" t="s">
        <v>1629</v>
      </c>
    </row>
    <row r="54" spans="1:92">
      <c r="A54" s="1479" t="s">
        <v>1628</v>
      </c>
      <c r="B54" s="1478" t="s">
        <v>1213</v>
      </c>
      <c r="C54" s="1477" t="s">
        <v>1627</v>
      </c>
      <c r="D54" s="1477" t="s">
        <v>1626</v>
      </c>
      <c r="E54" s="1477" t="s">
        <v>1626</v>
      </c>
      <c r="F54" s="1478" t="s">
        <v>1626</v>
      </c>
      <c r="G54" s="1477" t="s">
        <v>1625</v>
      </c>
      <c r="H54" s="1477" t="s">
        <v>1596</v>
      </c>
      <c r="I54" s="1477" t="s">
        <v>1624</v>
      </c>
      <c r="J54" s="1477" t="s">
        <v>1624</v>
      </c>
      <c r="K54" s="1477" t="s">
        <v>1624</v>
      </c>
      <c r="L54" s="1477" t="s">
        <v>1624</v>
      </c>
      <c r="M54" s="1477" t="s">
        <v>1623</v>
      </c>
      <c r="N54" s="1478" t="s">
        <v>1596</v>
      </c>
      <c r="O54" s="1477" t="s">
        <v>1622</v>
      </c>
      <c r="P54" s="1477" t="s">
        <v>1621</v>
      </c>
      <c r="Q54" s="1478" t="s">
        <v>1620</v>
      </c>
      <c r="R54" s="1477" t="s">
        <v>1619</v>
      </c>
      <c r="S54" s="1477" t="s">
        <v>1618</v>
      </c>
      <c r="T54" s="1475" t="s">
        <v>1617</v>
      </c>
      <c r="U54" s="1475" t="s">
        <v>1616</v>
      </c>
      <c r="V54" s="1475" t="s">
        <v>1585</v>
      </c>
      <c r="W54" s="1475" t="s">
        <v>1585</v>
      </c>
      <c r="X54" s="1475" t="s">
        <v>1589</v>
      </c>
      <c r="Y54" s="1475" t="s">
        <v>1589</v>
      </c>
      <c r="Z54" s="1475" t="s">
        <v>1589</v>
      </c>
      <c r="AA54" s="1475" t="s">
        <v>1615</v>
      </c>
      <c r="AB54" s="1475" t="s">
        <v>1585</v>
      </c>
      <c r="AC54" s="1475" t="s">
        <v>1585</v>
      </c>
      <c r="AD54" s="1475" t="s">
        <v>1585</v>
      </c>
      <c r="AE54" s="1475" t="s">
        <v>1614</v>
      </c>
      <c r="AF54" s="1475" t="s">
        <v>1613</v>
      </c>
      <c r="AG54" s="1475" t="s">
        <v>1612</v>
      </c>
      <c r="AH54" s="1475" t="s">
        <v>1611</v>
      </c>
      <c r="AI54" s="1475" t="s">
        <v>1611</v>
      </c>
      <c r="AJ54" s="1475" t="s">
        <v>1610</v>
      </c>
      <c r="AK54" s="1475" t="s">
        <v>1609</v>
      </c>
      <c r="AL54" s="1475" t="s">
        <v>1609</v>
      </c>
      <c r="AM54" s="1475" t="s">
        <v>1609</v>
      </c>
      <c r="AN54" s="1475" t="s">
        <v>1561</v>
      </c>
      <c r="AO54" s="1475" t="s">
        <v>1561</v>
      </c>
      <c r="AP54" s="1475" t="s">
        <v>1561</v>
      </c>
      <c r="AQ54" s="1475" t="s">
        <v>1562</v>
      </c>
      <c r="AR54" s="1475" t="s">
        <v>1561</v>
      </c>
      <c r="AS54" s="1475" t="s">
        <v>1502</v>
      </c>
      <c r="AT54" s="1475" t="s">
        <v>1502</v>
      </c>
      <c r="AU54" s="1475" t="s">
        <v>1608</v>
      </c>
      <c r="AV54" s="1475" t="s">
        <v>1545</v>
      </c>
      <c r="AW54" s="1475" t="s">
        <v>1545</v>
      </c>
      <c r="AX54" s="1475" t="s">
        <v>1545</v>
      </c>
      <c r="AY54" s="1475" t="s">
        <v>1578</v>
      </c>
      <c r="AZ54" s="1475" t="s">
        <v>1578</v>
      </c>
      <c r="BA54" s="1475" t="s">
        <v>1578</v>
      </c>
      <c r="BB54" s="1475" t="s">
        <v>1578</v>
      </c>
      <c r="BC54" s="1475" t="s">
        <v>1578</v>
      </c>
      <c r="BD54" s="1475" t="s">
        <v>1607</v>
      </c>
      <c r="BE54" s="1475" t="s">
        <v>1606</v>
      </c>
      <c r="BF54" s="1475" t="s">
        <v>1606</v>
      </c>
      <c r="BG54" s="1475" t="s">
        <v>1603</v>
      </c>
      <c r="BH54" s="1475" t="s">
        <v>1603</v>
      </c>
      <c r="BI54" s="1475" t="s">
        <v>1603</v>
      </c>
      <c r="BJ54" s="1475" t="s">
        <v>1603</v>
      </c>
      <c r="BK54" s="1475" t="s">
        <v>1603</v>
      </c>
      <c r="BL54" s="1475" t="s">
        <v>1605</v>
      </c>
      <c r="BM54" s="1475" t="s">
        <v>1572</v>
      </c>
      <c r="BN54" s="1475" t="s">
        <v>1538</v>
      </c>
      <c r="BO54" s="1475" t="s">
        <v>1578</v>
      </c>
      <c r="BP54" s="1475" t="s">
        <v>1578</v>
      </c>
      <c r="BQ54" s="1475" t="s">
        <v>1578</v>
      </c>
      <c r="BR54" s="1475" t="s">
        <v>1578</v>
      </c>
      <c r="BS54" s="1475" t="s">
        <v>1578</v>
      </c>
      <c r="BT54" s="1475" t="s">
        <v>1578</v>
      </c>
      <c r="BU54" s="1475" t="s">
        <v>1578</v>
      </c>
      <c r="BV54" s="1475" t="s">
        <v>1603</v>
      </c>
      <c r="BW54" s="1475" t="s">
        <v>1604</v>
      </c>
      <c r="BX54" s="1475" t="s">
        <v>1577</v>
      </c>
      <c r="BY54" s="1475" t="s">
        <v>1604</v>
      </c>
      <c r="BZ54" s="1476" t="s">
        <v>1603</v>
      </c>
      <c r="CA54" s="1475" t="s">
        <v>1603</v>
      </c>
      <c r="CB54" s="1475" t="s">
        <v>1603</v>
      </c>
      <c r="CC54" s="1475" t="s">
        <v>1603</v>
      </c>
      <c r="CD54" s="1475" t="s">
        <v>1602</v>
      </c>
      <c r="CE54" s="1475" t="s">
        <v>1602</v>
      </c>
      <c r="CF54" s="1475" t="s">
        <v>1602</v>
      </c>
      <c r="CG54" s="1475" t="s">
        <v>1602</v>
      </c>
      <c r="CH54" s="1475" t="s">
        <v>1600</v>
      </c>
      <c r="CI54" s="1480" t="s">
        <v>1601</v>
      </c>
      <c r="CJ54" s="1480" t="s">
        <v>1601</v>
      </c>
      <c r="CK54" s="1480" t="s">
        <v>1600</v>
      </c>
      <c r="CL54" s="1480" t="s">
        <v>1600</v>
      </c>
      <c r="CM54" s="1480" t="s">
        <v>1600</v>
      </c>
      <c r="CN54" s="1480" t="s">
        <v>1600</v>
      </c>
    </row>
    <row r="55" spans="1:92">
      <c r="A55" s="1479" t="s">
        <v>1599</v>
      </c>
      <c r="B55" s="1478" t="s">
        <v>1598</v>
      </c>
      <c r="C55" s="1477" t="s">
        <v>1597</v>
      </c>
      <c r="D55" s="1477" t="s">
        <v>1592</v>
      </c>
      <c r="E55" s="1477" t="s">
        <v>1596</v>
      </c>
      <c r="F55" s="1478" t="s">
        <v>1596</v>
      </c>
      <c r="G55" s="1477" t="s">
        <v>1593</v>
      </c>
      <c r="H55" s="1477" t="s">
        <v>1595</v>
      </c>
      <c r="I55" s="1477" t="s">
        <v>1594</v>
      </c>
      <c r="J55" s="1477" t="s">
        <v>1593</v>
      </c>
      <c r="K55" s="1477" t="s">
        <v>1593</v>
      </c>
      <c r="L55" s="1477" t="s">
        <v>1593</v>
      </c>
      <c r="M55" s="1477" t="s">
        <v>1593</v>
      </c>
      <c r="N55" s="1478" t="s">
        <v>1592</v>
      </c>
      <c r="O55" s="1477" t="s">
        <v>1592</v>
      </c>
      <c r="P55" s="1477" t="s">
        <v>1591</v>
      </c>
      <c r="Q55" s="1478" t="s">
        <v>1590</v>
      </c>
      <c r="R55" s="1477" t="s">
        <v>1590</v>
      </c>
      <c r="S55" s="1477" t="s">
        <v>1584</v>
      </c>
      <c r="T55" s="1475" t="s">
        <v>1585</v>
      </c>
      <c r="U55" s="1475" t="s">
        <v>1589</v>
      </c>
      <c r="V55" s="1475" t="s">
        <v>1589</v>
      </c>
      <c r="W55" s="1475" t="s">
        <v>1589</v>
      </c>
      <c r="X55" s="1475" t="s">
        <v>1588</v>
      </c>
      <c r="Y55" s="1475" t="s">
        <v>1587</v>
      </c>
      <c r="Z55" s="1475" t="s">
        <v>1587</v>
      </c>
      <c r="AA55" s="1475" t="s">
        <v>1586</v>
      </c>
      <c r="AB55" s="1475" t="s">
        <v>1585</v>
      </c>
      <c r="AC55" s="1475" t="s">
        <v>1585</v>
      </c>
      <c r="AD55" s="1475" t="s">
        <v>1585</v>
      </c>
      <c r="AE55" s="1475" t="s">
        <v>1584</v>
      </c>
      <c r="AF55" s="1475" t="s">
        <v>1584</v>
      </c>
      <c r="AG55" s="1475" t="s">
        <v>1584</v>
      </c>
      <c r="AH55" s="1475" t="s">
        <v>1584</v>
      </c>
      <c r="AI55" s="1475" t="s">
        <v>1499</v>
      </c>
      <c r="AJ55" s="1475" t="s">
        <v>1583</v>
      </c>
      <c r="AK55" s="1475" t="s">
        <v>1582</v>
      </c>
      <c r="AL55" s="1475" t="s">
        <v>1581</v>
      </c>
      <c r="AM55" s="1475" t="s">
        <v>1142</v>
      </c>
      <c r="AN55" s="1475" t="s">
        <v>1142</v>
      </c>
      <c r="AO55" s="1475" t="s">
        <v>1142</v>
      </c>
      <c r="AP55" s="1475" t="s">
        <v>1581</v>
      </c>
      <c r="AQ55" s="1475" t="s">
        <v>1453</v>
      </c>
      <c r="AR55" s="1475" t="s">
        <v>1529</v>
      </c>
      <c r="AS55" s="1475" t="s">
        <v>1529</v>
      </c>
      <c r="AT55" s="1475" t="s">
        <v>1529</v>
      </c>
      <c r="AU55" s="1475" t="s">
        <v>1580</v>
      </c>
      <c r="AV55" s="1475" t="s">
        <v>1580</v>
      </c>
      <c r="AW55" s="1475" t="s">
        <v>1580</v>
      </c>
      <c r="AX55" s="1475" t="s">
        <v>1580</v>
      </c>
      <c r="AY55" s="1475" t="s">
        <v>1580</v>
      </c>
      <c r="AZ55" s="1475" t="s">
        <v>1580</v>
      </c>
      <c r="BA55" s="1475" t="s">
        <v>1580</v>
      </c>
      <c r="BB55" s="1475" t="s">
        <v>1580</v>
      </c>
      <c r="BC55" s="1475" t="s">
        <v>1580</v>
      </c>
      <c r="BD55" s="1475" t="s">
        <v>1580</v>
      </c>
      <c r="BE55" s="1475" t="s">
        <v>1577</v>
      </c>
      <c r="BF55" s="1475" t="s">
        <v>1577</v>
      </c>
      <c r="BG55" s="1475" t="s">
        <v>1579</v>
      </c>
      <c r="BH55" s="1475" t="s">
        <v>1579</v>
      </c>
      <c r="BI55" s="1475" t="s">
        <v>1578</v>
      </c>
      <c r="BJ55" s="1475" t="s">
        <v>1578</v>
      </c>
      <c r="BK55" s="1475" t="s">
        <v>1577</v>
      </c>
      <c r="BL55" s="1475" t="s">
        <v>1577</v>
      </c>
      <c r="BM55" s="1475" t="s">
        <v>1573</v>
      </c>
      <c r="BN55" s="1475" t="s">
        <v>1576</v>
      </c>
      <c r="BO55" s="1475" t="s">
        <v>1576</v>
      </c>
      <c r="BP55" s="1475" t="s">
        <v>1575</v>
      </c>
      <c r="BQ55" s="1475" t="s">
        <v>1574</v>
      </c>
      <c r="BR55" s="1475" t="s">
        <v>1574</v>
      </c>
      <c r="BS55" s="1475" t="s">
        <v>1574</v>
      </c>
      <c r="BT55" s="1475" t="s">
        <v>1574</v>
      </c>
      <c r="BU55" s="1475" t="s">
        <v>1573</v>
      </c>
      <c r="BV55" s="1475" t="s">
        <v>1573</v>
      </c>
      <c r="BW55" s="1475" t="s">
        <v>1539</v>
      </c>
      <c r="BX55" s="1475" t="s">
        <v>1539</v>
      </c>
      <c r="BY55" s="1475" t="s">
        <v>1539</v>
      </c>
      <c r="BZ55" s="1476" t="s">
        <v>1570</v>
      </c>
      <c r="CA55" s="1475" t="s">
        <v>1537</v>
      </c>
      <c r="CB55" s="1475" t="s">
        <v>1537</v>
      </c>
      <c r="CC55" s="1475" t="s">
        <v>1570</v>
      </c>
      <c r="CD55" s="1475" t="s">
        <v>1537</v>
      </c>
      <c r="CE55" s="1475" t="s">
        <v>1572</v>
      </c>
      <c r="CF55" s="1475" t="s">
        <v>1571</v>
      </c>
      <c r="CG55" s="1475" t="s">
        <v>1571</v>
      </c>
      <c r="CH55" s="1475" t="s">
        <v>1569</v>
      </c>
      <c r="CI55" s="1475" t="s">
        <v>1570</v>
      </c>
      <c r="CJ55" s="1475" t="s">
        <v>1570</v>
      </c>
      <c r="CK55" s="1475" t="s">
        <v>1569</v>
      </c>
      <c r="CL55" s="1475" t="s">
        <v>1569</v>
      </c>
      <c r="CM55" s="1475" t="s">
        <v>1568</v>
      </c>
      <c r="CN55" s="1475" t="s">
        <v>1568</v>
      </c>
    </row>
    <row r="56" spans="1:92">
      <c r="A56" s="1479" t="s">
        <v>1567</v>
      </c>
      <c r="B56" s="1478" t="s">
        <v>1566</v>
      </c>
      <c r="C56" s="1477" t="s">
        <v>1566</v>
      </c>
      <c r="D56" s="1477" t="s">
        <v>1553</v>
      </c>
      <c r="E56" s="1477" t="s">
        <v>1553</v>
      </c>
      <c r="F56" s="1478" t="s">
        <v>1553</v>
      </c>
      <c r="G56" s="1477" t="s">
        <v>1565</v>
      </c>
      <c r="H56" s="1477" t="s">
        <v>1564</v>
      </c>
      <c r="I56" s="1477" t="s">
        <v>1513</v>
      </c>
      <c r="J56" s="1477" t="s">
        <v>1553</v>
      </c>
      <c r="K56" s="1477" t="s">
        <v>1553</v>
      </c>
      <c r="L56" s="1477" t="s">
        <v>1553</v>
      </c>
      <c r="M56" s="1477" t="s">
        <v>1553</v>
      </c>
      <c r="N56" s="1478" t="s">
        <v>1563</v>
      </c>
      <c r="O56" s="1477" t="s">
        <v>1553</v>
      </c>
      <c r="P56" s="1477" t="s">
        <v>1562</v>
      </c>
      <c r="Q56" s="1478" t="s">
        <v>1561</v>
      </c>
      <c r="R56" s="1477" t="s">
        <v>1453</v>
      </c>
      <c r="S56" s="1477" t="s">
        <v>1495</v>
      </c>
      <c r="T56" s="1475" t="s">
        <v>1498</v>
      </c>
      <c r="U56" s="1475" t="s">
        <v>1493</v>
      </c>
      <c r="V56" s="1475" t="s">
        <v>1493</v>
      </c>
      <c r="W56" s="1475" t="s">
        <v>1498</v>
      </c>
      <c r="X56" s="1475" t="s">
        <v>1453</v>
      </c>
      <c r="Y56" s="1475" t="s">
        <v>1453</v>
      </c>
      <c r="Z56" s="1475" t="s">
        <v>1560</v>
      </c>
      <c r="AA56" s="1475" t="s">
        <v>1544</v>
      </c>
      <c r="AB56" s="1475" t="s">
        <v>1453</v>
      </c>
      <c r="AC56" s="1475" t="s">
        <v>1453</v>
      </c>
      <c r="AD56" s="1475" t="s">
        <v>1453</v>
      </c>
      <c r="AE56" s="1475" t="s">
        <v>1501</v>
      </c>
      <c r="AF56" s="1475" t="s">
        <v>1501</v>
      </c>
      <c r="AG56" s="1475" t="s">
        <v>1500</v>
      </c>
      <c r="AH56" s="1475" t="s">
        <v>1544</v>
      </c>
      <c r="AI56" s="1475" t="s">
        <v>1453</v>
      </c>
      <c r="AJ56" s="1475" t="s">
        <v>1453</v>
      </c>
      <c r="AK56" s="1475" t="s">
        <v>1453</v>
      </c>
      <c r="AL56" s="1475" t="s">
        <v>1559</v>
      </c>
      <c r="AM56" s="1475" t="s">
        <v>1558</v>
      </c>
      <c r="AN56" s="1475" t="s">
        <v>1557</v>
      </c>
      <c r="AO56" s="1475" t="s">
        <v>1557</v>
      </c>
      <c r="AP56" s="1475" t="s">
        <v>1556</v>
      </c>
      <c r="AQ56" s="1475" t="s">
        <v>1555</v>
      </c>
      <c r="AR56" s="1475" t="s">
        <v>1555</v>
      </c>
      <c r="AS56" s="1475" t="s">
        <v>1554</v>
      </c>
      <c r="AT56" s="1475" t="s">
        <v>1553</v>
      </c>
      <c r="AU56" s="1475" t="s">
        <v>1542</v>
      </c>
      <c r="AV56" s="1475" t="s">
        <v>1552</v>
      </c>
      <c r="AW56" s="1475" t="s">
        <v>1552</v>
      </c>
      <c r="AX56" s="1475" t="s">
        <v>1552</v>
      </c>
      <c r="AY56" s="1475" t="s">
        <v>1552</v>
      </c>
      <c r="AZ56" s="1475" t="s">
        <v>1551</v>
      </c>
      <c r="BA56" s="1475" t="s">
        <v>1550</v>
      </c>
      <c r="BB56" s="1475" t="s">
        <v>1549</v>
      </c>
      <c r="BC56" s="1475" t="s">
        <v>1549</v>
      </c>
      <c r="BD56" s="1475" t="s">
        <v>1547</v>
      </c>
      <c r="BE56" s="1475" t="s">
        <v>1548</v>
      </c>
      <c r="BF56" s="1475" t="s">
        <v>1548</v>
      </c>
      <c r="BG56" s="1475" t="s">
        <v>1548</v>
      </c>
      <c r="BH56" s="1475" t="s">
        <v>1547</v>
      </c>
      <c r="BI56" s="1475" t="s">
        <v>1546</v>
      </c>
      <c r="BJ56" s="1475" t="s">
        <v>1546</v>
      </c>
      <c r="BK56" s="1475" t="s">
        <v>1545</v>
      </c>
      <c r="BL56" s="1475" t="s">
        <v>1544</v>
      </c>
      <c r="BM56" s="1475" t="s">
        <v>1543</v>
      </c>
      <c r="BN56" s="1475" t="s">
        <v>1542</v>
      </c>
      <c r="BO56" s="1475" t="s">
        <v>1542</v>
      </c>
      <c r="BP56" s="1475" t="s">
        <v>1542</v>
      </c>
      <c r="BQ56" s="1475" t="s">
        <v>1542</v>
      </c>
      <c r="BR56" s="1475" t="s">
        <v>1542</v>
      </c>
      <c r="BS56" s="1475" t="s">
        <v>1542</v>
      </c>
      <c r="BT56" s="1475" t="s">
        <v>1542</v>
      </c>
      <c r="BU56" s="1475" t="s">
        <v>1542</v>
      </c>
      <c r="BV56" s="1475" t="s">
        <v>1542</v>
      </c>
      <c r="BW56" s="1475" t="s">
        <v>1509</v>
      </c>
      <c r="BX56" s="1475" t="s">
        <v>1509</v>
      </c>
      <c r="BY56" s="1475" t="s">
        <v>1509</v>
      </c>
      <c r="BZ56" s="1476" t="s">
        <v>1509</v>
      </c>
      <c r="CA56" s="1475" t="s">
        <v>1509</v>
      </c>
      <c r="CB56" s="1475" t="s">
        <v>1509</v>
      </c>
      <c r="CC56" s="1475" t="s">
        <v>1509</v>
      </c>
      <c r="CD56" s="1475" t="s">
        <v>1540</v>
      </c>
      <c r="CE56" s="1475" t="s">
        <v>1541</v>
      </c>
      <c r="CF56" s="1475" t="s">
        <v>1540</v>
      </c>
      <c r="CG56" s="1475" t="s">
        <v>1540</v>
      </c>
      <c r="CH56" s="1475" t="s">
        <v>1539</v>
      </c>
      <c r="CI56" s="1475" t="s">
        <v>1539</v>
      </c>
      <c r="CJ56" s="1475" t="s">
        <v>1539</v>
      </c>
      <c r="CK56" s="1475" t="s">
        <v>1538</v>
      </c>
      <c r="CL56" s="1475" t="s">
        <v>1537</v>
      </c>
      <c r="CM56" s="1475" t="s">
        <v>1536</v>
      </c>
      <c r="CN56" s="1475" t="s">
        <v>1536</v>
      </c>
    </row>
    <row r="57" spans="1:92">
      <c r="A57" s="1479" t="s">
        <v>1535</v>
      </c>
      <c r="B57" s="1478" t="s">
        <v>1534</v>
      </c>
      <c r="C57" s="1477" t="s">
        <v>1533</v>
      </c>
      <c r="D57" s="1477" t="s">
        <v>1532</v>
      </c>
      <c r="E57" s="1477" t="s">
        <v>1513</v>
      </c>
      <c r="F57" s="1478" t="s">
        <v>1513</v>
      </c>
      <c r="G57" s="1477" t="s">
        <v>1513</v>
      </c>
      <c r="H57" s="1477" t="s">
        <v>1531</v>
      </c>
      <c r="I57" s="1477" t="s">
        <v>1513</v>
      </c>
      <c r="J57" s="1477" t="s">
        <v>1513</v>
      </c>
      <c r="K57" s="1477" t="s">
        <v>1513</v>
      </c>
      <c r="L57" s="1477" t="s">
        <v>1513</v>
      </c>
      <c r="M57" s="1477" t="s">
        <v>1513</v>
      </c>
      <c r="N57" s="1478" t="s">
        <v>1513</v>
      </c>
      <c r="O57" s="1477" t="s">
        <v>1513</v>
      </c>
      <c r="P57" s="1477" t="s">
        <v>1530</v>
      </c>
      <c r="Q57" s="1478" t="s">
        <v>1529</v>
      </c>
      <c r="R57" s="1477" t="s">
        <v>1529</v>
      </c>
      <c r="S57" s="1477" t="s">
        <v>1528</v>
      </c>
      <c r="T57" s="1475" t="s">
        <v>1493</v>
      </c>
      <c r="U57" s="1475" t="s">
        <v>1527</v>
      </c>
      <c r="V57" s="1475" t="s">
        <v>1493</v>
      </c>
      <c r="W57" s="1475" t="s">
        <v>1493</v>
      </c>
      <c r="X57" s="1475" t="s">
        <v>1493</v>
      </c>
      <c r="Y57" s="1475" t="s">
        <v>1526</v>
      </c>
      <c r="Z57" s="1475" t="s">
        <v>1525</v>
      </c>
      <c r="AA57" s="1475" t="s">
        <v>1494</v>
      </c>
      <c r="AB57" s="1475" t="s">
        <v>1494</v>
      </c>
      <c r="AC57" s="1475" t="s">
        <v>1494</v>
      </c>
      <c r="AD57" s="1475" t="s">
        <v>1494</v>
      </c>
      <c r="AE57" s="1475" t="s">
        <v>1498</v>
      </c>
      <c r="AF57" s="1475" t="s">
        <v>1498</v>
      </c>
      <c r="AG57" s="1475" t="s">
        <v>1500</v>
      </c>
      <c r="AH57" s="1475" t="s">
        <v>1500</v>
      </c>
      <c r="AI57" s="1475" t="s">
        <v>1524</v>
      </c>
      <c r="AJ57" s="1475" t="s">
        <v>1522</v>
      </c>
      <c r="AK57" s="1475" t="s">
        <v>1522</v>
      </c>
      <c r="AL57" s="1475" t="s">
        <v>1523</v>
      </c>
      <c r="AM57" s="1475" t="s">
        <v>1523</v>
      </c>
      <c r="AN57" s="1475" t="s">
        <v>1523</v>
      </c>
      <c r="AO57" s="1475" t="s">
        <v>1523</v>
      </c>
      <c r="AP57" s="1475" t="s">
        <v>1522</v>
      </c>
      <c r="AQ57" s="1475" t="s">
        <v>1521</v>
      </c>
      <c r="AR57" s="1475" t="s">
        <v>1521</v>
      </c>
      <c r="AS57" s="1475" t="s">
        <v>1521</v>
      </c>
      <c r="AT57" s="1475" t="s">
        <v>1521</v>
      </c>
      <c r="AU57" s="1475" t="s">
        <v>1520</v>
      </c>
      <c r="AV57" s="1475" t="s">
        <v>1520</v>
      </c>
      <c r="AW57" s="1475" t="s">
        <v>1520</v>
      </c>
      <c r="AX57" s="1475" t="s">
        <v>1520</v>
      </c>
      <c r="AY57" s="1475" t="s">
        <v>1520</v>
      </c>
      <c r="AZ57" s="1475" t="s">
        <v>1519</v>
      </c>
      <c r="BA57" s="1475" t="s">
        <v>1519</v>
      </c>
      <c r="BB57" s="1475" t="s">
        <v>1519</v>
      </c>
      <c r="BC57" s="1475" t="s">
        <v>1519</v>
      </c>
      <c r="BD57" s="1475" t="s">
        <v>1519</v>
      </c>
      <c r="BE57" s="1475" t="s">
        <v>1517</v>
      </c>
      <c r="BF57" s="1475" t="s">
        <v>1517</v>
      </c>
      <c r="BG57" s="1475" t="s">
        <v>1517</v>
      </c>
      <c r="BH57" s="1475" t="s">
        <v>1518</v>
      </c>
      <c r="BI57" s="1475" t="s">
        <v>1511</v>
      </c>
      <c r="BJ57" s="1475" t="s">
        <v>1516</v>
      </c>
      <c r="BK57" s="1475" t="s">
        <v>1516</v>
      </c>
      <c r="BL57" s="1475" t="s">
        <v>1516</v>
      </c>
      <c r="BM57" s="1475" t="s">
        <v>1517</v>
      </c>
      <c r="BN57" s="1475" t="s">
        <v>1516</v>
      </c>
      <c r="BO57" s="1475" t="s">
        <v>1515</v>
      </c>
      <c r="BP57" s="1475" t="s">
        <v>1514</v>
      </c>
      <c r="BQ57" s="1475" t="s">
        <v>1514</v>
      </c>
      <c r="BR57" s="1475" t="s">
        <v>1513</v>
      </c>
      <c r="BS57" s="1475" t="s">
        <v>1513</v>
      </c>
      <c r="BT57" s="1475" t="s">
        <v>1513</v>
      </c>
      <c r="BU57" s="1475" t="s">
        <v>1513</v>
      </c>
      <c r="BV57" s="1475" t="s">
        <v>1513</v>
      </c>
      <c r="BW57" s="1475" t="s">
        <v>1512</v>
      </c>
      <c r="BX57" s="1475" t="s">
        <v>1512</v>
      </c>
      <c r="BY57" s="1475" t="s">
        <v>1512</v>
      </c>
      <c r="BZ57" s="1476" t="s">
        <v>1512</v>
      </c>
      <c r="CA57" s="1475" t="s">
        <v>1512</v>
      </c>
      <c r="CB57" s="1475" t="s">
        <v>1512</v>
      </c>
      <c r="CC57" s="1475" t="s">
        <v>1512</v>
      </c>
      <c r="CD57" s="1475" t="s">
        <v>1511</v>
      </c>
      <c r="CE57" s="1475" t="s">
        <v>1510</v>
      </c>
      <c r="CF57" s="1475" t="s">
        <v>1510</v>
      </c>
      <c r="CG57" s="1475" t="s">
        <v>1510</v>
      </c>
      <c r="CH57" s="1475" t="s">
        <v>1509</v>
      </c>
      <c r="CI57" s="1475" t="s">
        <v>1509</v>
      </c>
      <c r="CJ57" s="1475" t="s">
        <v>1509</v>
      </c>
      <c r="CK57" s="1475" t="s">
        <v>1508</v>
      </c>
      <c r="CL57" s="1475" t="s">
        <v>1507</v>
      </c>
      <c r="CM57" s="1475" t="s">
        <v>1506</v>
      </c>
      <c r="CN57" s="1475" t="s">
        <v>1505</v>
      </c>
    </row>
    <row r="58" spans="1:92">
      <c r="A58" s="1479" t="s">
        <v>1504</v>
      </c>
      <c r="B58" s="1478" t="s">
        <v>1503</v>
      </c>
      <c r="C58" s="1477" t="s">
        <v>1453</v>
      </c>
      <c r="D58" s="1477" t="s">
        <v>1502</v>
      </c>
      <c r="E58" s="1477" t="s">
        <v>1502</v>
      </c>
      <c r="F58" s="1478" t="s">
        <v>1502</v>
      </c>
      <c r="G58" s="1477" t="s">
        <v>1501</v>
      </c>
      <c r="H58" s="1477" t="s">
        <v>1501</v>
      </c>
      <c r="I58" s="1477" t="s">
        <v>1501</v>
      </c>
      <c r="J58" s="1477" t="s">
        <v>1501</v>
      </c>
      <c r="K58" s="1477" t="s">
        <v>1501</v>
      </c>
      <c r="L58" s="1477" t="s">
        <v>1501</v>
      </c>
      <c r="M58" s="1477" t="s">
        <v>1501</v>
      </c>
      <c r="N58" s="1478" t="s">
        <v>1500</v>
      </c>
      <c r="O58" s="1477" t="s">
        <v>1500</v>
      </c>
      <c r="P58" s="1477" t="s">
        <v>1499</v>
      </c>
      <c r="Q58" s="1478" t="s">
        <v>1499</v>
      </c>
      <c r="R58" s="1477" t="s">
        <v>1498</v>
      </c>
      <c r="S58" s="1477" t="s">
        <v>1498</v>
      </c>
      <c r="T58" s="1475" t="s">
        <v>1496</v>
      </c>
      <c r="U58" s="1475" t="s">
        <v>1497</v>
      </c>
      <c r="V58" s="1475" t="s">
        <v>1459</v>
      </c>
      <c r="W58" s="1475" t="s">
        <v>1459</v>
      </c>
      <c r="X58" s="1475" t="s">
        <v>1496</v>
      </c>
      <c r="Y58" s="1475" t="s">
        <v>1459</v>
      </c>
      <c r="Z58" s="1475" t="s">
        <v>1495</v>
      </c>
      <c r="AA58" s="1475" t="s">
        <v>1495</v>
      </c>
      <c r="AB58" s="1475" t="s">
        <v>1495</v>
      </c>
      <c r="AC58" s="1475" t="s">
        <v>1495</v>
      </c>
      <c r="AD58" s="1475" t="s">
        <v>1495</v>
      </c>
      <c r="AE58" s="1475" t="s">
        <v>1494</v>
      </c>
      <c r="AF58" s="1475" t="s">
        <v>1494</v>
      </c>
      <c r="AG58" s="1475" t="s">
        <v>1493</v>
      </c>
      <c r="AH58" s="1475" t="s">
        <v>1492</v>
      </c>
      <c r="AI58" s="1475" t="s">
        <v>1491</v>
      </c>
      <c r="AJ58" s="1475" t="s">
        <v>1490</v>
      </c>
      <c r="AK58" s="1475" t="s">
        <v>1490</v>
      </c>
      <c r="AL58" s="1475" t="s">
        <v>1367</v>
      </c>
      <c r="AM58" s="1475" t="s">
        <v>1367</v>
      </c>
      <c r="AN58" s="1475" t="s">
        <v>1367</v>
      </c>
      <c r="AO58" s="1475" t="s">
        <v>1367</v>
      </c>
      <c r="AP58" s="1475" t="s">
        <v>1489</v>
      </c>
      <c r="AQ58" s="1475" t="s">
        <v>1369</v>
      </c>
      <c r="AR58" s="1475" t="s">
        <v>1369</v>
      </c>
      <c r="AS58" s="1475" t="s">
        <v>1369</v>
      </c>
      <c r="AT58" s="1475" t="s">
        <v>1369</v>
      </c>
      <c r="AU58" s="1475" t="s">
        <v>1488</v>
      </c>
      <c r="AV58" s="1475" t="s">
        <v>1487</v>
      </c>
      <c r="AW58" s="1475" t="s">
        <v>1487</v>
      </c>
      <c r="AX58" s="1475" t="s">
        <v>1369</v>
      </c>
      <c r="AY58" s="1475" t="s">
        <v>1369</v>
      </c>
      <c r="AZ58" s="1475" t="s">
        <v>1369</v>
      </c>
      <c r="BA58" s="1475" t="s">
        <v>1369</v>
      </c>
      <c r="BB58" s="1475" t="s">
        <v>1369</v>
      </c>
      <c r="BC58" s="1475" t="s">
        <v>1369</v>
      </c>
      <c r="BD58" s="1475" t="s">
        <v>1427</v>
      </c>
      <c r="BE58" s="1475" t="s">
        <v>1427</v>
      </c>
      <c r="BF58" s="1475" t="s">
        <v>1427</v>
      </c>
      <c r="BG58" s="1475" t="s">
        <v>1427</v>
      </c>
      <c r="BH58" s="1475" t="s">
        <v>1427</v>
      </c>
      <c r="BI58" s="1475" t="s">
        <v>1486</v>
      </c>
      <c r="BJ58" s="1475" t="s">
        <v>1427</v>
      </c>
      <c r="BK58" s="1475" t="s">
        <v>1427</v>
      </c>
      <c r="BL58" s="1475" t="s">
        <v>1427</v>
      </c>
      <c r="BM58" s="1475" t="s">
        <v>1485</v>
      </c>
      <c r="BN58" s="1475" t="s">
        <v>1485</v>
      </c>
      <c r="BO58" s="1475" t="s">
        <v>1484</v>
      </c>
      <c r="BP58" s="1475" t="s">
        <v>1484</v>
      </c>
      <c r="BQ58" s="1475" t="s">
        <v>1484</v>
      </c>
      <c r="BR58" s="1475" t="s">
        <v>1484</v>
      </c>
      <c r="BS58" s="1475" t="s">
        <v>1483</v>
      </c>
      <c r="BT58" s="1475" t="s">
        <v>1483</v>
      </c>
      <c r="BU58" s="1475" t="s">
        <v>1483</v>
      </c>
      <c r="BV58" s="1475" t="s">
        <v>1483</v>
      </c>
      <c r="BW58" s="1475" t="s">
        <v>1482</v>
      </c>
      <c r="BX58" s="1475" t="s">
        <v>1482</v>
      </c>
      <c r="BY58" s="1475" t="s">
        <v>1482</v>
      </c>
      <c r="BZ58" s="1476" t="s">
        <v>1482</v>
      </c>
      <c r="CA58" s="1475" t="s">
        <v>1481</v>
      </c>
      <c r="CB58" s="1475" t="s">
        <v>1480</v>
      </c>
      <c r="CC58" s="1475" t="s">
        <v>1479</v>
      </c>
      <c r="CD58" s="1475" t="s">
        <v>1478</v>
      </c>
      <c r="CE58" s="1475" t="s">
        <v>1478</v>
      </c>
      <c r="CF58" s="1475" t="s">
        <v>1478</v>
      </c>
      <c r="CG58" s="1475" t="s">
        <v>1478</v>
      </c>
      <c r="CH58" s="1475" t="s">
        <v>1477</v>
      </c>
      <c r="CI58" s="1475" t="s">
        <v>1477</v>
      </c>
      <c r="CJ58" s="1475" t="s">
        <v>1477</v>
      </c>
      <c r="CK58" s="1475" t="s">
        <v>1477</v>
      </c>
      <c r="CL58" s="1475" t="s">
        <v>1477</v>
      </c>
      <c r="CM58" s="1475" t="s">
        <v>1477</v>
      </c>
      <c r="CN58" s="1475" t="s">
        <v>1477</v>
      </c>
    </row>
    <row r="59" spans="1:92">
      <c r="A59" s="1479" t="s">
        <v>1476</v>
      </c>
      <c r="B59" s="1478" t="s">
        <v>1475</v>
      </c>
      <c r="C59" s="1477" t="s">
        <v>1474</v>
      </c>
      <c r="D59" s="1477" t="s">
        <v>1367</v>
      </c>
      <c r="E59" s="1477" t="s">
        <v>1367</v>
      </c>
      <c r="F59" s="1478" t="s">
        <v>1367</v>
      </c>
      <c r="G59" s="1477" t="s">
        <v>1188</v>
      </c>
      <c r="H59" s="1477" t="s">
        <v>1188</v>
      </c>
      <c r="I59" s="1477" t="s">
        <v>1188</v>
      </c>
      <c r="J59" s="1477" t="s">
        <v>1188</v>
      </c>
      <c r="K59" s="1477" t="s">
        <v>1188</v>
      </c>
      <c r="L59" s="1477" t="s">
        <v>1188</v>
      </c>
      <c r="M59" s="1477" t="s">
        <v>1188</v>
      </c>
      <c r="N59" s="1478" t="s">
        <v>1430</v>
      </c>
      <c r="O59" s="1477" t="s">
        <v>1430</v>
      </c>
      <c r="P59" s="1477" t="s">
        <v>1472</v>
      </c>
      <c r="Q59" s="1478" t="s">
        <v>1472</v>
      </c>
      <c r="R59" s="1477" t="s">
        <v>1472</v>
      </c>
      <c r="S59" s="1477" t="s">
        <v>1472</v>
      </c>
      <c r="T59" s="1475" t="s">
        <v>1472</v>
      </c>
      <c r="U59" s="1475" t="s">
        <v>1472</v>
      </c>
      <c r="V59" s="1475" t="s">
        <v>1472</v>
      </c>
      <c r="W59" s="1475" t="s">
        <v>1472</v>
      </c>
      <c r="X59" s="1475" t="s">
        <v>1473</v>
      </c>
      <c r="Y59" s="1475" t="s">
        <v>1430</v>
      </c>
      <c r="Z59" s="1475" t="s">
        <v>1472</v>
      </c>
      <c r="AA59" s="1475" t="s">
        <v>1471</v>
      </c>
      <c r="AB59" s="1475" t="s">
        <v>1471</v>
      </c>
      <c r="AC59" s="1475" t="s">
        <v>1471</v>
      </c>
      <c r="AD59" s="1475" t="s">
        <v>1471</v>
      </c>
      <c r="AE59" s="1475" t="s">
        <v>1471</v>
      </c>
      <c r="AF59" s="1475" t="s">
        <v>1471</v>
      </c>
      <c r="AG59" s="1475" t="s">
        <v>1470</v>
      </c>
      <c r="AH59" s="1475" t="s">
        <v>1470</v>
      </c>
      <c r="AI59" s="1475" t="s">
        <v>1469</v>
      </c>
      <c r="AJ59" s="1475" t="s">
        <v>1468</v>
      </c>
      <c r="AK59" s="1475" t="s">
        <v>1468</v>
      </c>
      <c r="AL59" s="1475" t="s">
        <v>1467</v>
      </c>
      <c r="AM59" s="1475" t="s">
        <v>1466</v>
      </c>
      <c r="AN59" s="1475" t="s">
        <v>1465</v>
      </c>
      <c r="AO59" s="1475" t="s">
        <v>1465</v>
      </c>
      <c r="AP59" s="1475" t="s">
        <v>1464</v>
      </c>
      <c r="AQ59" s="1475" t="s">
        <v>1463</v>
      </c>
      <c r="AR59" s="1475" t="s">
        <v>1462</v>
      </c>
      <c r="AS59" s="1475" t="s">
        <v>1461</v>
      </c>
      <c r="AT59" s="1475" t="s">
        <v>1460</v>
      </c>
      <c r="AU59" s="1475" t="s">
        <v>1459</v>
      </c>
      <c r="AV59" s="1475" t="s">
        <v>1458</v>
      </c>
      <c r="AW59" s="1475" t="s">
        <v>1458</v>
      </c>
      <c r="AX59" s="1475" t="s">
        <v>1374</v>
      </c>
      <c r="AY59" s="1475" t="s">
        <v>1456</v>
      </c>
      <c r="AZ59" s="1475" t="s">
        <v>1457</v>
      </c>
      <c r="BA59" s="1475" t="s">
        <v>1456</v>
      </c>
      <c r="BB59" s="1475" t="s">
        <v>1455</v>
      </c>
      <c r="BC59" s="1475" t="s">
        <v>1455</v>
      </c>
      <c r="BD59" s="1475" t="s">
        <v>1455</v>
      </c>
      <c r="BE59" s="1475" t="s">
        <v>1453</v>
      </c>
      <c r="BF59" s="1475" t="s">
        <v>1453</v>
      </c>
      <c r="BG59" s="1475" t="s">
        <v>1454</v>
      </c>
      <c r="BH59" s="1475" t="s">
        <v>1453</v>
      </c>
      <c r="BI59" s="1475" t="s">
        <v>1452</v>
      </c>
      <c r="BJ59" s="1475" t="s">
        <v>1451</v>
      </c>
      <c r="BK59" s="1475" t="s">
        <v>1449</v>
      </c>
      <c r="BL59" s="1475" t="s">
        <v>1449</v>
      </c>
      <c r="BM59" s="1475" t="s">
        <v>1450</v>
      </c>
      <c r="BN59" s="1475" t="s">
        <v>1449</v>
      </c>
      <c r="BO59" s="1475" t="s">
        <v>1448</v>
      </c>
      <c r="BP59" s="1475" t="s">
        <v>1447</v>
      </c>
      <c r="BQ59" s="1475" t="s">
        <v>1446</v>
      </c>
      <c r="BR59" s="1475" t="s">
        <v>1446</v>
      </c>
      <c r="BS59" s="1475" t="s">
        <v>1445</v>
      </c>
      <c r="BT59" s="1475" t="s">
        <v>1445</v>
      </c>
      <c r="BU59" s="1475" t="s">
        <v>1444</v>
      </c>
      <c r="BV59" s="1475" t="s">
        <v>1444</v>
      </c>
      <c r="BW59" s="1475" t="s">
        <v>1443</v>
      </c>
      <c r="BX59" s="1475" t="s">
        <v>1442</v>
      </c>
      <c r="BY59" s="1475" t="s">
        <v>1442</v>
      </c>
      <c r="BZ59" s="1476" t="s">
        <v>1442</v>
      </c>
      <c r="CA59" s="1475" t="s">
        <v>1441</v>
      </c>
      <c r="CB59" s="1475" t="s">
        <v>1440</v>
      </c>
      <c r="CC59" s="1475" t="s">
        <v>1437</v>
      </c>
      <c r="CD59" s="1475" t="s">
        <v>1439</v>
      </c>
      <c r="CE59" s="1475" t="s">
        <v>1438</v>
      </c>
      <c r="CF59" s="1475" t="s">
        <v>1437</v>
      </c>
      <c r="CG59" s="1475" t="s">
        <v>1437</v>
      </c>
      <c r="CH59" s="1475" t="s">
        <v>1436</v>
      </c>
      <c r="CI59" s="1475" t="s">
        <v>1435</v>
      </c>
      <c r="CJ59" s="1475" t="s">
        <v>1434</v>
      </c>
      <c r="CK59" s="1475" t="s">
        <v>1433</v>
      </c>
      <c r="CL59" s="1475" t="s">
        <v>1432</v>
      </c>
      <c r="CM59" s="1475" t="s">
        <v>1432</v>
      </c>
      <c r="CN59" s="1475" t="s">
        <v>1432</v>
      </c>
    </row>
    <row r="60" spans="1:92">
      <c r="A60" s="1479" t="s">
        <v>1431</v>
      </c>
      <c r="B60" s="1478" t="s">
        <v>1374</v>
      </c>
      <c r="C60" s="1477" t="s">
        <v>1430</v>
      </c>
      <c r="D60" s="1477" t="s">
        <v>1430</v>
      </c>
      <c r="E60" s="1477" t="s">
        <v>1430</v>
      </c>
      <c r="F60" s="1478" t="s">
        <v>1430</v>
      </c>
      <c r="G60" s="1477" t="s">
        <v>1430</v>
      </c>
      <c r="H60" s="1477" t="s">
        <v>1430</v>
      </c>
      <c r="I60" s="1477" t="s">
        <v>1430</v>
      </c>
      <c r="J60" s="1477" t="s">
        <v>1430</v>
      </c>
      <c r="K60" s="1477" t="s">
        <v>1430</v>
      </c>
      <c r="L60" s="1477" t="s">
        <v>1430</v>
      </c>
      <c r="M60" s="1477" t="s">
        <v>1430</v>
      </c>
      <c r="N60" s="1478" t="s">
        <v>1429</v>
      </c>
      <c r="O60" s="1477" t="s">
        <v>1429</v>
      </c>
      <c r="P60" s="1477" t="s">
        <v>1428</v>
      </c>
      <c r="Q60" s="1478" t="s">
        <v>1428</v>
      </c>
      <c r="R60" s="1477" t="s">
        <v>1428</v>
      </c>
      <c r="S60" s="1477" t="s">
        <v>1426</v>
      </c>
      <c r="T60" s="1475" t="s">
        <v>1426</v>
      </c>
      <c r="U60" s="1475" t="s">
        <v>1427</v>
      </c>
      <c r="V60" s="1475" t="s">
        <v>1427</v>
      </c>
      <c r="W60" s="1475" t="s">
        <v>1427</v>
      </c>
      <c r="X60" s="1475" t="s">
        <v>1427</v>
      </c>
      <c r="Y60" s="1475" t="s">
        <v>1427</v>
      </c>
      <c r="Z60" s="1475" t="s">
        <v>1427</v>
      </c>
      <c r="AA60" s="1475" t="s">
        <v>1427</v>
      </c>
      <c r="AB60" s="1475" t="s">
        <v>1427</v>
      </c>
      <c r="AC60" s="1475" t="s">
        <v>1427</v>
      </c>
      <c r="AD60" s="1475" t="s">
        <v>1425</v>
      </c>
      <c r="AE60" s="1475" t="s">
        <v>1425</v>
      </c>
      <c r="AF60" s="1475" t="s">
        <v>1426</v>
      </c>
      <c r="AG60" s="1475" t="s">
        <v>1425</v>
      </c>
      <c r="AH60" s="1475" t="s">
        <v>1425</v>
      </c>
      <c r="AI60" s="1475" t="s">
        <v>1424</v>
      </c>
      <c r="AJ60" s="1475" t="s">
        <v>1424</v>
      </c>
      <c r="AK60" s="1475" t="s">
        <v>1424</v>
      </c>
      <c r="AL60" s="1475" t="s">
        <v>1424</v>
      </c>
      <c r="AM60" s="1475" t="s">
        <v>1423</v>
      </c>
      <c r="AN60" s="1475" t="s">
        <v>1423</v>
      </c>
      <c r="AO60" s="1475" t="s">
        <v>1423</v>
      </c>
      <c r="AP60" s="1475" t="s">
        <v>1422</v>
      </c>
      <c r="AQ60" s="1475" t="s">
        <v>1421</v>
      </c>
      <c r="AR60" s="1475" t="s">
        <v>1420</v>
      </c>
      <c r="AS60" s="1475" t="s">
        <v>1420</v>
      </c>
      <c r="AT60" s="1475" t="s">
        <v>1415</v>
      </c>
      <c r="AU60" s="1475" t="s">
        <v>1417</v>
      </c>
      <c r="AV60" s="1475" t="s">
        <v>1419</v>
      </c>
      <c r="AW60" s="1475" t="s">
        <v>1418</v>
      </c>
      <c r="AX60" s="1475" t="s">
        <v>1414</v>
      </c>
      <c r="AY60" s="1475" t="s">
        <v>1415</v>
      </c>
      <c r="AZ60" s="1475" t="s">
        <v>1415</v>
      </c>
      <c r="BA60" s="1475" t="s">
        <v>1415</v>
      </c>
      <c r="BB60" s="1475" t="s">
        <v>1415</v>
      </c>
      <c r="BC60" s="1475" t="s">
        <v>1415</v>
      </c>
      <c r="BD60" s="1475" t="s">
        <v>1417</v>
      </c>
      <c r="BE60" s="1475" t="s">
        <v>1416</v>
      </c>
      <c r="BF60" s="1475" t="s">
        <v>1416</v>
      </c>
      <c r="BG60" s="1475" t="s">
        <v>1415</v>
      </c>
      <c r="BH60" s="1475" t="s">
        <v>1415</v>
      </c>
      <c r="BI60" s="1475" t="s">
        <v>1414</v>
      </c>
      <c r="BJ60" s="1475" t="s">
        <v>1414</v>
      </c>
      <c r="BK60" s="1475" t="s">
        <v>1413</v>
      </c>
      <c r="BL60" s="1475" t="s">
        <v>1413</v>
      </c>
      <c r="BM60" s="1475" t="s">
        <v>1412</v>
      </c>
      <c r="BN60" s="1475" t="s">
        <v>1412</v>
      </c>
      <c r="BO60" s="1475" t="s">
        <v>1411</v>
      </c>
      <c r="BP60" s="1475" t="s">
        <v>1411</v>
      </c>
      <c r="BQ60" s="1475" t="s">
        <v>1411</v>
      </c>
      <c r="BR60" s="1475" t="s">
        <v>1411</v>
      </c>
      <c r="BS60" s="1475" t="s">
        <v>1410</v>
      </c>
      <c r="BT60" s="1475" t="s">
        <v>1410</v>
      </c>
      <c r="BU60" s="1475" t="s">
        <v>1410</v>
      </c>
      <c r="BV60" s="1475" t="s">
        <v>1410</v>
      </c>
      <c r="BW60" s="1475" t="s">
        <v>1408</v>
      </c>
      <c r="BX60" s="1475" t="s">
        <v>1409</v>
      </c>
      <c r="BY60" s="1475" t="s">
        <v>1408</v>
      </c>
      <c r="BZ60" s="1476" t="s">
        <v>1408</v>
      </c>
      <c r="CA60" s="1475" t="s">
        <v>1408</v>
      </c>
      <c r="CB60" s="1475" t="s">
        <v>1407</v>
      </c>
      <c r="CC60" s="1475" t="s">
        <v>1406</v>
      </c>
      <c r="CD60" s="1475" t="s">
        <v>1405</v>
      </c>
      <c r="CE60" s="1475" t="s">
        <v>1405</v>
      </c>
      <c r="CF60" s="1475" t="s">
        <v>1405</v>
      </c>
      <c r="CG60" s="1475" t="s">
        <v>1405</v>
      </c>
      <c r="CH60" s="1475" t="s">
        <v>1405</v>
      </c>
      <c r="CI60" s="1475" t="s">
        <v>1405</v>
      </c>
      <c r="CJ60" s="1475" t="s">
        <v>1405</v>
      </c>
      <c r="CK60" s="1475" t="s">
        <v>1405</v>
      </c>
      <c r="CL60" s="1475" t="s">
        <v>1404</v>
      </c>
      <c r="CM60" s="1475" t="s">
        <v>1403</v>
      </c>
      <c r="CN60" s="1475" t="s">
        <v>1403</v>
      </c>
    </row>
    <row r="61" spans="1:92">
      <c r="A61" s="1479" t="s">
        <v>1402</v>
      </c>
      <c r="B61" s="1478" t="s">
        <v>1401</v>
      </c>
      <c r="C61" s="1477" t="s">
        <v>1400</v>
      </c>
      <c r="D61" s="1477" t="s">
        <v>1399</v>
      </c>
      <c r="E61" s="1477" t="s">
        <v>1398</v>
      </c>
      <c r="F61" s="1478" t="s">
        <v>1398</v>
      </c>
      <c r="G61" s="1477" t="s">
        <v>1397</v>
      </c>
      <c r="H61" s="1477" t="s">
        <v>1396</v>
      </c>
      <c r="I61" s="1477" t="s">
        <v>1396</v>
      </c>
      <c r="J61" s="1477" t="s">
        <v>1396</v>
      </c>
      <c r="K61" s="1477" t="s">
        <v>1396</v>
      </c>
      <c r="L61" s="1477" t="s">
        <v>1396</v>
      </c>
      <c r="M61" s="1477" t="s">
        <v>1396</v>
      </c>
      <c r="N61" s="1478" t="s">
        <v>1395</v>
      </c>
      <c r="O61" s="1477" t="s">
        <v>1394</v>
      </c>
      <c r="P61" s="1477" t="s">
        <v>1393</v>
      </c>
      <c r="Q61" s="1478" t="s">
        <v>1392</v>
      </c>
      <c r="R61" s="1477" t="s">
        <v>1392</v>
      </c>
      <c r="S61" s="1477" t="s">
        <v>1391</v>
      </c>
      <c r="T61" s="1475" t="s">
        <v>1390</v>
      </c>
      <c r="U61" s="1475" t="s">
        <v>1389</v>
      </c>
      <c r="V61" s="1475" t="s">
        <v>1388</v>
      </c>
      <c r="W61" s="1475" t="s">
        <v>1384</v>
      </c>
      <c r="X61" s="1475" t="s">
        <v>1386</v>
      </c>
      <c r="Y61" s="1475" t="s">
        <v>1387</v>
      </c>
      <c r="Z61" s="1475" t="s">
        <v>1385</v>
      </c>
      <c r="AA61" s="1475" t="s">
        <v>1386</v>
      </c>
      <c r="AB61" s="1475" t="s">
        <v>1385</v>
      </c>
      <c r="AC61" s="1475" t="s">
        <v>1384</v>
      </c>
      <c r="AD61" s="1475" t="s">
        <v>1379</v>
      </c>
      <c r="AE61" s="1475" t="s">
        <v>1379</v>
      </c>
      <c r="AF61" s="1475" t="s">
        <v>1379</v>
      </c>
      <c r="AG61" s="1475" t="s">
        <v>1383</v>
      </c>
      <c r="AH61" s="1475" t="s">
        <v>1382</v>
      </c>
      <c r="AI61" s="1475" t="s">
        <v>1381</v>
      </c>
      <c r="AJ61" s="1475" t="s">
        <v>1379</v>
      </c>
      <c r="AK61" s="1475" t="s">
        <v>1379</v>
      </c>
      <c r="AL61" s="1475" t="s">
        <v>1380</v>
      </c>
      <c r="AM61" s="1475" t="s">
        <v>1380</v>
      </c>
      <c r="AN61" s="1475" t="s">
        <v>1380</v>
      </c>
      <c r="AO61" s="1475" t="s">
        <v>1380</v>
      </c>
      <c r="AP61" s="1475" t="s">
        <v>1379</v>
      </c>
      <c r="AQ61" s="1475" t="s">
        <v>1378</v>
      </c>
      <c r="AR61" s="1475" t="s">
        <v>1378</v>
      </c>
      <c r="AS61" s="1475" t="s">
        <v>1378</v>
      </c>
      <c r="AT61" s="1475" t="s">
        <v>1378</v>
      </c>
      <c r="AU61" s="1475" t="s">
        <v>1377</v>
      </c>
      <c r="AV61" s="1475" t="s">
        <v>1377</v>
      </c>
      <c r="AW61" s="1475" t="s">
        <v>1377</v>
      </c>
      <c r="AX61" s="1475" t="s">
        <v>1376</v>
      </c>
      <c r="AY61" s="1475" t="s">
        <v>1375</v>
      </c>
      <c r="AZ61" s="1475" t="s">
        <v>1375</v>
      </c>
      <c r="BA61" s="1475" t="s">
        <v>1145</v>
      </c>
      <c r="BB61" s="1475" t="s">
        <v>1145</v>
      </c>
      <c r="BC61" s="1475" t="s">
        <v>1145</v>
      </c>
      <c r="BD61" s="1475" t="s">
        <v>1375</v>
      </c>
      <c r="BE61" s="1475" t="s">
        <v>1375</v>
      </c>
      <c r="BF61" s="1475" t="s">
        <v>1375</v>
      </c>
      <c r="BG61" s="1475" t="s">
        <v>1145</v>
      </c>
      <c r="BH61" s="1475" t="s">
        <v>1375</v>
      </c>
      <c r="BI61" s="1475" t="s">
        <v>1375</v>
      </c>
      <c r="BJ61" s="1475" t="s">
        <v>1375</v>
      </c>
      <c r="BK61" s="1475" t="s">
        <v>1375</v>
      </c>
      <c r="BL61" s="1475" t="s">
        <v>1375</v>
      </c>
      <c r="BM61" s="1475" t="s">
        <v>1374</v>
      </c>
      <c r="BN61" s="1475" t="s">
        <v>1373</v>
      </c>
      <c r="BO61" s="1475" t="s">
        <v>1372</v>
      </c>
      <c r="BP61" s="1475" t="s">
        <v>1372</v>
      </c>
      <c r="BQ61" s="1475" t="s">
        <v>1372</v>
      </c>
      <c r="BR61" s="1475" t="s">
        <v>1372</v>
      </c>
      <c r="BS61" s="1475" t="s">
        <v>1371</v>
      </c>
      <c r="BT61" s="1475" t="s">
        <v>1371</v>
      </c>
      <c r="BU61" s="1475" t="s">
        <v>1370</v>
      </c>
      <c r="BV61" s="1475" t="s">
        <v>1370</v>
      </c>
      <c r="BW61" s="1475" t="s">
        <v>1370</v>
      </c>
      <c r="BX61" s="1475" t="s">
        <v>1370</v>
      </c>
      <c r="BY61" s="1475" t="s">
        <v>1370</v>
      </c>
      <c r="BZ61" s="1476" t="s">
        <v>1370</v>
      </c>
      <c r="CA61" s="1475" t="s">
        <v>1369</v>
      </c>
      <c r="CB61" s="1475" t="s">
        <v>1368</v>
      </c>
      <c r="CC61" s="1475" t="s">
        <v>1367</v>
      </c>
      <c r="CD61" s="1475" t="s">
        <v>1366</v>
      </c>
      <c r="CE61" s="1475" t="s">
        <v>1365</v>
      </c>
      <c r="CF61" s="1475" t="s">
        <v>1365</v>
      </c>
      <c r="CG61" s="1475" t="s">
        <v>1365</v>
      </c>
      <c r="CH61" s="1475" t="s">
        <v>1365</v>
      </c>
      <c r="CI61" s="1475" t="s">
        <v>1364</v>
      </c>
      <c r="CJ61" s="1475" t="s">
        <v>1364</v>
      </c>
      <c r="CK61" s="1475" t="s">
        <v>1363</v>
      </c>
      <c r="CL61" s="1475" t="s">
        <v>1363</v>
      </c>
      <c r="CM61" s="1475" t="s">
        <v>1363</v>
      </c>
      <c r="CN61" s="1475" t="s">
        <v>1363</v>
      </c>
    </row>
    <row r="62" spans="1:92" ht="13.5" thickBot="1">
      <c r="A62" s="1474"/>
      <c r="B62" s="138"/>
      <c r="C62" s="1473"/>
      <c r="D62" s="1473"/>
      <c r="E62" s="1473"/>
      <c r="F62" s="138"/>
      <c r="G62" s="1473"/>
      <c r="H62" s="1473"/>
      <c r="I62" s="1473"/>
      <c r="J62" s="1473"/>
      <c r="K62" s="1473"/>
      <c r="L62" s="377"/>
      <c r="M62" s="377"/>
      <c r="N62" s="378"/>
      <c r="O62" s="377"/>
      <c r="P62" s="377"/>
      <c r="Q62" s="378"/>
      <c r="R62" s="377"/>
      <c r="S62" s="377"/>
      <c r="T62" s="1472"/>
      <c r="U62" s="1472"/>
      <c r="V62" s="1472"/>
      <c r="W62" s="1472"/>
      <c r="X62" s="1472"/>
      <c r="Y62" s="1472"/>
      <c r="Z62" s="1472"/>
      <c r="AA62" s="1472"/>
      <c r="AB62" s="1472"/>
      <c r="AC62" s="1472"/>
      <c r="AD62" s="147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1471"/>
      <c r="BI62" s="1471"/>
      <c r="BJ62" s="1471"/>
      <c r="BK62" s="1471"/>
      <c r="BL62" s="1471"/>
      <c r="BM62" s="1471"/>
      <c r="BN62" s="1471"/>
      <c r="BO62" s="1471"/>
      <c r="BP62" s="1471"/>
      <c r="BQ62" s="1471"/>
      <c r="BR62" s="1471"/>
      <c r="BS62" s="1471"/>
      <c r="BT62" s="1471"/>
      <c r="BU62" s="1471"/>
      <c r="BV62" s="1471"/>
      <c r="BW62" s="1471"/>
      <c r="BX62" s="1471"/>
      <c r="BY62" s="1471"/>
      <c r="BZ62" s="1471"/>
      <c r="CA62" s="1471"/>
      <c r="CB62" s="1471"/>
      <c r="CC62" s="382"/>
      <c r="CD62" s="382"/>
      <c r="CE62" s="382"/>
      <c r="CF62" s="382"/>
      <c r="CG62" s="382"/>
      <c r="CH62" s="382"/>
      <c r="CI62" s="382"/>
      <c r="CJ62" s="382"/>
      <c r="CK62" s="382"/>
      <c r="CL62" s="1471"/>
      <c r="CM62" s="1471"/>
      <c r="CN62" s="1471"/>
    </row>
    <row r="63" spans="1:92" ht="13.5" hidden="1" thickTop="1">
      <c r="A63" s="1470" t="s">
        <v>1362</v>
      </c>
    </row>
    <row r="64" spans="1:92" ht="15" thickTop="1">
      <c r="A64" s="1469" t="s">
        <v>1361</v>
      </c>
    </row>
    <row r="65" spans="1:1">
      <c r="A65" s="1468" t="s">
        <v>303</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
  <sheetViews>
    <sheetView zoomScaleNormal="100" workbookViewId="0">
      <pane xSplit="1" ySplit="10" topLeftCell="B92" activePane="bottomRight" state="frozen"/>
      <selection pane="topRight" activeCell="B1" sqref="B1"/>
      <selection pane="bottomLeft" activeCell="A11" sqref="A11"/>
      <selection pane="bottomRight" activeCell="G96" sqref="G96"/>
    </sheetView>
  </sheetViews>
  <sheetFormatPr defaultRowHeight="12.75"/>
  <cols>
    <col min="1" max="1" width="11.85546875" style="1538" customWidth="1"/>
    <col min="2" max="2" width="10.28515625" style="1538" bestFit="1" customWidth="1"/>
    <col min="3" max="3" width="9.28515625" style="1538" hidden="1" customWidth="1"/>
    <col min="4" max="4" width="8" style="1538" bestFit="1" customWidth="1"/>
    <col min="5" max="5" width="9.85546875" style="1538" bestFit="1" customWidth="1"/>
    <col min="6" max="6" width="11.5703125" style="1538" hidden="1" customWidth="1"/>
    <col min="7" max="7" width="10.5703125" style="1538" bestFit="1" customWidth="1"/>
    <col min="8" max="9" width="11.28515625" style="1538" bestFit="1" customWidth="1"/>
    <col min="10" max="10" width="13.5703125" style="1538" customWidth="1"/>
    <col min="11" max="11" width="9.28515625" style="1538" bestFit="1" customWidth="1"/>
    <col min="12" max="256" width="9.140625" style="1538"/>
    <col min="257" max="257" width="11.85546875" style="1538" customWidth="1"/>
    <col min="258" max="258" width="10.28515625" style="1538" bestFit="1" customWidth="1"/>
    <col min="259" max="259" width="0" style="1538" hidden="1" customWidth="1"/>
    <col min="260" max="260" width="8" style="1538" bestFit="1" customWidth="1"/>
    <col min="261" max="261" width="9.85546875" style="1538" bestFit="1" customWidth="1"/>
    <col min="262" max="262" width="0" style="1538" hidden="1" customWidth="1"/>
    <col min="263" max="263" width="10.5703125" style="1538" bestFit="1" customWidth="1"/>
    <col min="264" max="265" width="11.28515625" style="1538" bestFit="1" customWidth="1"/>
    <col min="266" max="266" width="13.5703125" style="1538" customWidth="1"/>
    <col min="267" max="267" width="9.28515625" style="1538" bestFit="1" customWidth="1"/>
    <col min="268" max="512" width="9.140625" style="1538"/>
    <col min="513" max="513" width="11.85546875" style="1538" customWidth="1"/>
    <col min="514" max="514" width="10.28515625" style="1538" bestFit="1" customWidth="1"/>
    <col min="515" max="515" width="0" style="1538" hidden="1" customWidth="1"/>
    <col min="516" max="516" width="8" style="1538" bestFit="1" customWidth="1"/>
    <col min="517" max="517" width="9.85546875" style="1538" bestFit="1" customWidth="1"/>
    <col min="518" max="518" width="0" style="1538" hidden="1" customWidth="1"/>
    <col min="519" max="519" width="10.5703125" style="1538" bestFit="1" customWidth="1"/>
    <col min="520" max="521" width="11.28515625" style="1538" bestFit="1" customWidth="1"/>
    <col min="522" max="522" width="13.5703125" style="1538" customWidth="1"/>
    <col min="523" max="523" width="9.28515625" style="1538" bestFit="1" customWidth="1"/>
    <col min="524" max="768" width="9.140625" style="1538"/>
    <col min="769" max="769" width="11.85546875" style="1538" customWidth="1"/>
    <col min="770" max="770" width="10.28515625" style="1538" bestFit="1" customWidth="1"/>
    <col min="771" max="771" width="0" style="1538" hidden="1" customWidth="1"/>
    <col min="772" max="772" width="8" style="1538" bestFit="1" customWidth="1"/>
    <col min="773" max="773" width="9.85546875" style="1538" bestFit="1" customWidth="1"/>
    <col min="774" max="774" width="0" style="1538" hidden="1" customWidth="1"/>
    <col min="775" max="775" width="10.5703125" style="1538" bestFit="1" customWidth="1"/>
    <col min="776" max="777" width="11.28515625" style="1538" bestFit="1" customWidth="1"/>
    <col min="778" max="778" width="13.5703125" style="1538" customWidth="1"/>
    <col min="779" max="779" width="9.28515625" style="1538" bestFit="1" customWidth="1"/>
    <col min="780" max="1024" width="9.140625" style="1538"/>
    <col min="1025" max="1025" width="11.85546875" style="1538" customWidth="1"/>
    <col min="1026" max="1026" width="10.28515625" style="1538" bestFit="1" customWidth="1"/>
    <col min="1027" max="1027" width="0" style="1538" hidden="1" customWidth="1"/>
    <col min="1028" max="1028" width="8" style="1538" bestFit="1" customWidth="1"/>
    <col min="1029" max="1029" width="9.85546875" style="1538" bestFit="1" customWidth="1"/>
    <col min="1030" max="1030" width="0" style="1538" hidden="1" customWidth="1"/>
    <col min="1031" max="1031" width="10.5703125" style="1538" bestFit="1" customWidth="1"/>
    <col min="1032" max="1033" width="11.28515625" style="1538" bestFit="1" customWidth="1"/>
    <col min="1034" max="1034" width="13.5703125" style="1538" customWidth="1"/>
    <col min="1035" max="1035" width="9.28515625" style="1538" bestFit="1" customWidth="1"/>
    <col min="1036" max="1280" width="9.140625" style="1538"/>
    <col min="1281" max="1281" width="11.85546875" style="1538" customWidth="1"/>
    <col min="1282" max="1282" width="10.28515625" style="1538" bestFit="1" customWidth="1"/>
    <col min="1283" max="1283" width="0" style="1538" hidden="1" customWidth="1"/>
    <col min="1284" max="1284" width="8" style="1538" bestFit="1" customWidth="1"/>
    <col min="1285" max="1285" width="9.85546875" style="1538" bestFit="1" customWidth="1"/>
    <col min="1286" max="1286" width="0" style="1538" hidden="1" customWidth="1"/>
    <col min="1287" max="1287" width="10.5703125" style="1538" bestFit="1" customWidth="1"/>
    <col min="1288" max="1289" width="11.28515625" style="1538" bestFit="1" customWidth="1"/>
    <col min="1290" max="1290" width="13.5703125" style="1538" customWidth="1"/>
    <col min="1291" max="1291" width="9.28515625" style="1538" bestFit="1" customWidth="1"/>
    <col min="1292" max="1536" width="9.140625" style="1538"/>
    <col min="1537" max="1537" width="11.85546875" style="1538" customWidth="1"/>
    <col min="1538" max="1538" width="10.28515625" style="1538" bestFit="1" customWidth="1"/>
    <col min="1539" max="1539" width="0" style="1538" hidden="1" customWidth="1"/>
    <col min="1540" max="1540" width="8" style="1538" bestFit="1" customWidth="1"/>
    <col min="1541" max="1541" width="9.85546875" style="1538" bestFit="1" customWidth="1"/>
    <col min="1542" max="1542" width="0" style="1538" hidden="1" customWidth="1"/>
    <col min="1543" max="1543" width="10.5703125" style="1538" bestFit="1" customWidth="1"/>
    <col min="1544" max="1545" width="11.28515625" style="1538" bestFit="1" customWidth="1"/>
    <col min="1546" max="1546" width="13.5703125" style="1538" customWidth="1"/>
    <col min="1547" max="1547" width="9.28515625" style="1538" bestFit="1" customWidth="1"/>
    <col min="1548" max="1792" width="9.140625" style="1538"/>
    <col min="1793" max="1793" width="11.85546875" style="1538" customWidth="1"/>
    <col min="1794" max="1794" width="10.28515625" style="1538" bestFit="1" customWidth="1"/>
    <col min="1795" max="1795" width="0" style="1538" hidden="1" customWidth="1"/>
    <col min="1796" max="1796" width="8" style="1538" bestFit="1" customWidth="1"/>
    <col min="1797" max="1797" width="9.85546875" style="1538" bestFit="1" customWidth="1"/>
    <col min="1798" max="1798" width="0" style="1538" hidden="1" customWidth="1"/>
    <col min="1799" max="1799" width="10.5703125" style="1538" bestFit="1" customWidth="1"/>
    <col min="1800" max="1801" width="11.28515625" style="1538" bestFit="1" customWidth="1"/>
    <col min="1802" max="1802" width="13.5703125" style="1538" customWidth="1"/>
    <col min="1803" max="1803" width="9.28515625" style="1538" bestFit="1" customWidth="1"/>
    <col min="1804" max="2048" width="9.140625" style="1538"/>
    <col min="2049" max="2049" width="11.85546875" style="1538" customWidth="1"/>
    <col min="2050" max="2050" width="10.28515625" style="1538" bestFit="1" customWidth="1"/>
    <col min="2051" max="2051" width="0" style="1538" hidden="1" customWidth="1"/>
    <col min="2052" max="2052" width="8" style="1538" bestFit="1" customWidth="1"/>
    <col min="2053" max="2053" width="9.85546875" style="1538" bestFit="1" customWidth="1"/>
    <col min="2054" max="2054" width="0" style="1538" hidden="1" customWidth="1"/>
    <col min="2055" max="2055" width="10.5703125" style="1538" bestFit="1" customWidth="1"/>
    <col min="2056" max="2057" width="11.28515625" style="1538" bestFit="1" customWidth="1"/>
    <col min="2058" max="2058" width="13.5703125" style="1538" customWidth="1"/>
    <col min="2059" max="2059" width="9.28515625" style="1538" bestFit="1" customWidth="1"/>
    <col min="2060" max="2304" width="9.140625" style="1538"/>
    <col min="2305" max="2305" width="11.85546875" style="1538" customWidth="1"/>
    <col min="2306" max="2306" width="10.28515625" style="1538" bestFit="1" customWidth="1"/>
    <col min="2307" max="2307" width="0" style="1538" hidden="1" customWidth="1"/>
    <col min="2308" max="2308" width="8" style="1538" bestFit="1" customWidth="1"/>
    <col min="2309" max="2309" width="9.85546875" style="1538" bestFit="1" customWidth="1"/>
    <col min="2310" max="2310" width="0" style="1538" hidden="1" customWidth="1"/>
    <col min="2311" max="2311" width="10.5703125" style="1538" bestFit="1" customWidth="1"/>
    <col min="2312" max="2313" width="11.28515625" style="1538" bestFit="1" customWidth="1"/>
    <col min="2314" max="2314" width="13.5703125" style="1538" customWidth="1"/>
    <col min="2315" max="2315" width="9.28515625" style="1538" bestFit="1" customWidth="1"/>
    <col min="2316" max="2560" width="9.140625" style="1538"/>
    <col min="2561" max="2561" width="11.85546875" style="1538" customWidth="1"/>
    <col min="2562" max="2562" width="10.28515625" style="1538" bestFit="1" customWidth="1"/>
    <col min="2563" max="2563" width="0" style="1538" hidden="1" customWidth="1"/>
    <col min="2564" max="2564" width="8" style="1538" bestFit="1" customWidth="1"/>
    <col min="2565" max="2565" width="9.85546875" style="1538" bestFit="1" customWidth="1"/>
    <col min="2566" max="2566" width="0" style="1538" hidden="1" customWidth="1"/>
    <col min="2567" max="2567" width="10.5703125" style="1538" bestFit="1" customWidth="1"/>
    <col min="2568" max="2569" width="11.28515625" style="1538" bestFit="1" customWidth="1"/>
    <col min="2570" max="2570" width="13.5703125" style="1538" customWidth="1"/>
    <col min="2571" max="2571" width="9.28515625" style="1538" bestFit="1" customWidth="1"/>
    <col min="2572" max="2816" width="9.140625" style="1538"/>
    <col min="2817" max="2817" width="11.85546875" style="1538" customWidth="1"/>
    <col min="2818" max="2818" width="10.28515625" style="1538" bestFit="1" customWidth="1"/>
    <col min="2819" max="2819" width="0" style="1538" hidden="1" customWidth="1"/>
    <col min="2820" max="2820" width="8" style="1538" bestFit="1" customWidth="1"/>
    <col min="2821" max="2821" width="9.85546875" style="1538" bestFit="1" customWidth="1"/>
    <col min="2822" max="2822" width="0" style="1538" hidden="1" customWidth="1"/>
    <col min="2823" max="2823" width="10.5703125" style="1538" bestFit="1" customWidth="1"/>
    <col min="2824" max="2825" width="11.28515625" style="1538" bestFit="1" customWidth="1"/>
    <col min="2826" max="2826" width="13.5703125" style="1538" customWidth="1"/>
    <col min="2827" max="2827" width="9.28515625" style="1538" bestFit="1" customWidth="1"/>
    <col min="2828" max="3072" width="9.140625" style="1538"/>
    <col min="3073" max="3073" width="11.85546875" style="1538" customWidth="1"/>
    <col min="3074" max="3074" width="10.28515625" style="1538" bestFit="1" customWidth="1"/>
    <col min="3075" max="3075" width="0" style="1538" hidden="1" customWidth="1"/>
    <col min="3076" max="3076" width="8" style="1538" bestFit="1" customWidth="1"/>
    <col min="3077" max="3077" width="9.85546875" style="1538" bestFit="1" customWidth="1"/>
    <col min="3078" max="3078" width="0" style="1538" hidden="1" customWidth="1"/>
    <col min="3079" max="3079" width="10.5703125" style="1538" bestFit="1" customWidth="1"/>
    <col min="3080" max="3081" width="11.28515625" style="1538" bestFit="1" customWidth="1"/>
    <col min="3082" max="3082" width="13.5703125" style="1538" customWidth="1"/>
    <col min="3083" max="3083" width="9.28515625" style="1538" bestFit="1" customWidth="1"/>
    <col min="3084" max="3328" width="9.140625" style="1538"/>
    <col min="3329" max="3329" width="11.85546875" style="1538" customWidth="1"/>
    <col min="3330" max="3330" width="10.28515625" style="1538" bestFit="1" customWidth="1"/>
    <col min="3331" max="3331" width="0" style="1538" hidden="1" customWidth="1"/>
    <col min="3332" max="3332" width="8" style="1538" bestFit="1" customWidth="1"/>
    <col min="3333" max="3333" width="9.85546875" style="1538" bestFit="1" customWidth="1"/>
    <col min="3334" max="3334" width="0" style="1538" hidden="1" customWidth="1"/>
    <col min="3335" max="3335" width="10.5703125" style="1538" bestFit="1" customWidth="1"/>
    <col min="3336" max="3337" width="11.28515625" style="1538" bestFit="1" customWidth="1"/>
    <col min="3338" max="3338" width="13.5703125" style="1538" customWidth="1"/>
    <col min="3339" max="3339" width="9.28515625" style="1538" bestFit="1" customWidth="1"/>
    <col min="3340" max="3584" width="9.140625" style="1538"/>
    <col min="3585" max="3585" width="11.85546875" style="1538" customWidth="1"/>
    <col min="3586" max="3586" width="10.28515625" style="1538" bestFit="1" customWidth="1"/>
    <col min="3587" max="3587" width="0" style="1538" hidden="1" customWidth="1"/>
    <col min="3588" max="3588" width="8" style="1538" bestFit="1" customWidth="1"/>
    <col min="3589" max="3589" width="9.85546875" style="1538" bestFit="1" customWidth="1"/>
    <col min="3590" max="3590" width="0" style="1538" hidden="1" customWidth="1"/>
    <col min="3591" max="3591" width="10.5703125" style="1538" bestFit="1" customWidth="1"/>
    <col min="3592" max="3593" width="11.28515625" style="1538" bestFit="1" customWidth="1"/>
    <col min="3594" max="3594" width="13.5703125" style="1538" customWidth="1"/>
    <col min="3595" max="3595" width="9.28515625" style="1538" bestFit="1" customWidth="1"/>
    <col min="3596" max="3840" width="9.140625" style="1538"/>
    <col min="3841" max="3841" width="11.85546875" style="1538" customWidth="1"/>
    <col min="3842" max="3842" width="10.28515625" style="1538" bestFit="1" customWidth="1"/>
    <col min="3843" max="3843" width="0" style="1538" hidden="1" customWidth="1"/>
    <col min="3844" max="3844" width="8" style="1538" bestFit="1" customWidth="1"/>
    <col min="3845" max="3845" width="9.85546875" style="1538" bestFit="1" customWidth="1"/>
    <col min="3846" max="3846" width="0" style="1538" hidden="1" customWidth="1"/>
    <col min="3847" max="3847" width="10.5703125" style="1538" bestFit="1" customWidth="1"/>
    <col min="3848" max="3849" width="11.28515625" style="1538" bestFit="1" customWidth="1"/>
    <col min="3850" max="3850" width="13.5703125" style="1538" customWidth="1"/>
    <col min="3851" max="3851" width="9.28515625" style="1538" bestFit="1" customWidth="1"/>
    <col min="3852" max="4096" width="9.140625" style="1538"/>
    <col min="4097" max="4097" width="11.85546875" style="1538" customWidth="1"/>
    <col min="4098" max="4098" width="10.28515625" style="1538" bestFit="1" customWidth="1"/>
    <col min="4099" max="4099" width="0" style="1538" hidden="1" customWidth="1"/>
    <col min="4100" max="4100" width="8" style="1538" bestFit="1" customWidth="1"/>
    <col min="4101" max="4101" width="9.85546875" style="1538" bestFit="1" customWidth="1"/>
    <col min="4102" max="4102" width="0" style="1538" hidden="1" customWidth="1"/>
    <col min="4103" max="4103" width="10.5703125" style="1538" bestFit="1" customWidth="1"/>
    <col min="4104" max="4105" width="11.28515625" style="1538" bestFit="1" customWidth="1"/>
    <col min="4106" max="4106" width="13.5703125" style="1538" customWidth="1"/>
    <col min="4107" max="4107" width="9.28515625" style="1538" bestFit="1" customWidth="1"/>
    <col min="4108" max="4352" width="9.140625" style="1538"/>
    <col min="4353" max="4353" width="11.85546875" style="1538" customWidth="1"/>
    <col min="4354" max="4354" width="10.28515625" style="1538" bestFit="1" customWidth="1"/>
    <col min="4355" max="4355" width="0" style="1538" hidden="1" customWidth="1"/>
    <col min="4356" max="4356" width="8" style="1538" bestFit="1" customWidth="1"/>
    <col min="4357" max="4357" width="9.85546875" style="1538" bestFit="1" customWidth="1"/>
    <col min="4358" max="4358" width="0" style="1538" hidden="1" customWidth="1"/>
    <col min="4359" max="4359" width="10.5703125" style="1538" bestFit="1" customWidth="1"/>
    <col min="4360" max="4361" width="11.28515625" style="1538" bestFit="1" customWidth="1"/>
    <col min="4362" max="4362" width="13.5703125" style="1538" customWidth="1"/>
    <col min="4363" max="4363" width="9.28515625" style="1538" bestFit="1" customWidth="1"/>
    <col min="4364" max="4608" width="9.140625" style="1538"/>
    <col min="4609" max="4609" width="11.85546875" style="1538" customWidth="1"/>
    <col min="4610" max="4610" width="10.28515625" style="1538" bestFit="1" customWidth="1"/>
    <col min="4611" max="4611" width="0" style="1538" hidden="1" customWidth="1"/>
    <col min="4612" max="4612" width="8" style="1538" bestFit="1" customWidth="1"/>
    <col min="4613" max="4613" width="9.85546875" style="1538" bestFit="1" customWidth="1"/>
    <col min="4614" max="4614" width="0" style="1538" hidden="1" customWidth="1"/>
    <col min="4615" max="4615" width="10.5703125" style="1538" bestFit="1" customWidth="1"/>
    <col min="4616" max="4617" width="11.28515625" style="1538" bestFit="1" customWidth="1"/>
    <col min="4618" max="4618" width="13.5703125" style="1538" customWidth="1"/>
    <col min="4619" max="4619" width="9.28515625" style="1538" bestFit="1" customWidth="1"/>
    <col min="4620" max="4864" width="9.140625" style="1538"/>
    <col min="4865" max="4865" width="11.85546875" style="1538" customWidth="1"/>
    <col min="4866" max="4866" width="10.28515625" style="1538" bestFit="1" customWidth="1"/>
    <col min="4867" max="4867" width="0" style="1538" hidden="1" customWidth="1"/>
    <col min="4868" max="4868" width="8" style="1538" bestFit="1" customWidth="1"/>
    <col min="4869" max="4869" width="9.85546875" style="1538" bestFit="1" customWidth="1"/>
    <col min="4870" max="4870" width="0" style="1538" hidden="1" customWidth="1"/>
    <col min="4871" max="4871" width="10.5703125" style="1538" bestFit="1" customWidth="1"/>
    <col min="4872" max="4873" width="11.28515625" style="1538" bestFit="1" customWidth="1"/>
    <col min="4874" max="4874" width="13.5703125" style="1538" customWidth="1"/>
    <col min="4875" max="4875" width="9.28515625" style="1538" bestFit="1" customWidth="1"/>
    <col min="4876" max="5120" width="9.140625" style="1538"/>
    <col min="5121" max="5121" width="11.85546875" style="1538" customWidth="1"/>
    <col min="5122" max="5122" width="10.28515625" style="1538" bestFit="1" customWidth="1"/>
    <col min="5123" max="5123" width="0" style="1538" hidden="1" customWidth="1"/>
    <col min="5124" max="5124" width="8" style="1538" bestFit="1" customWidth="1"/>
    <col min="5125" max="5125" width="9.85546875" style="1538" bestFit="1" customWidth="1"/>
    <col min="5126" max="5126" width="0" style="1538" hidden="1" customWidth="1"/>
    <col min="5127" max="5127" width="10.5703125" style="1538" bestFit="1" customWidth="1"/>
    <col min="5128" max="5129" width="11.28515625" style="1538" bestFit="1" customWidth="1"/>
    <col min="5130" max="5130" width="13.5703125" style="1538" customWidth="1"/>
    <col min="5131" max="5131" width="9.28515625" style="1538" bestFit="1" customWidth="1"/>
    <col min="5132" max="5376" width="9.140625" style="1538"/>
    <col min="5377" max="5377" width="11.85546875" style="1538" customWidth="1"/>
    <col min="5378" max="5378" width="10.28515625" style="1538" bestFit="1" customWidth="1"/>
    <col min="5379" max="5379" width="0" style="1538" hidden="1" customWidth="1"/>
    <col min="5380" max="5380" width="8" style="1538" bestFit="1" customWidth="1"/>
    <col min="5381" max="5381" width="9.85546875" style="1538" bestFit="1" customWidth="1"/>
    <col min="5382" max="5382" width="0" style="1538" hidden="1" customWidth="1"/>
    <col min="5383" max="5383" width="10.5703125" style="1538" bestFit="1" customWidth="1"/>
    <col min="5384" max="5385" width="11.28515625" style="1538" bestFit="1" customWidth="1"/>
    <col min="5386" max="5386" width="13.5703125" style="1538" customWidth="1"/>
    <col min="5387" max="5387" width="9.28515625" style="1538" bestFit="1" customWidth="1"/>
    <col min="5388" max="5632" width="9.140625" style="1538"/>
    <col min="5633" max="5633" width="11.85546875" style="1538" customWidth="1"/>
    <col min="5634" max="5634" width="10.28515625" style="1538" bestFit="1" customWidth="1"/>
    <col min="5635" max="5635" width="0" style="1538" hidden="1" customWidth="1"/>
    <col min="5636" max="5636" width="8" style="1538" bestFit="1" customWidth="1"/>
    <col min="5637" max="5637" width="9.85546875" style="1538" bestFit="1" customWidth="1"/>
    <col min="5638" max="5638" width="0" style="1538" hidden="1" customWidth="1"/>
    <col min="5639" max="5639" width="10.5703125" style="1538" bestFit="1" customWidth="1"/>
    <col min="5640" max="5641" width="11.28515625" style="1538" bestFit="1" customWidth="1"/>
    <col min="5642" max="5642" width="13.5703125" style="1538" customWidth="1"/>
    <col min="5643" max="5643" width="9.28515625" style="1538" bestFit="1" customWidth="1"/>
    <col min="5644" max="5888" width="9.140625" style="1538"/>
    <col min="5889" max="5889" width="11.85546875" style="1538" customWidth="1"/>
    <col min="5890" max="5890" width="10.28515625" style="1538" bestFit="1" customWidth="1"/>
    <col min="5891" max="5891" width="0" style="1538" hidden="1" customWidth="1"/>
    <col min="5892" max="5892" width="8" style="1538" bestFit="1" customWidth="1"/>
    <col min="5893" max="5893" width="9.85546875" style="1538" bestFit="1" customWidth="1"/>
    <col min="5894" max="5894" width="0" style="1538" hidden="1" customWidth="1"/>
    <col min="5895" max="5895" width="10.5703125" style="1538" bestFit="1" customWidth="1"/>
    <col min="5896" max="5897" width="11.28515625" style="1538" bestFit="1" customWidth="1"/>
    <col min="5898" max="5898" width="13.5703125" style="1538" customWidth="1"/>
    <col min="5899" max="5899" width="9.28515625" style="1538" bestFit="1" customWidth="1"/>
    <col min="5900" max="6144" width="9.140625" style="1538"/>
    <col min="6145" max="6145" width="11.85546875" style="1538" customWidth="1"/>
    <col min="6146" max="6146" width="10.28515625" style="1538" bestFit="1" customWidth="1"/>
    <col min="6147" max="6147" width="0" style="1538" hidden="1" customWidth="1"/>
    <col min="6148" max="6148" width="8" style="1538" bestFit="1" customWidth="1"/>
    <col min="6149" max="6149" width="9.85546875" style="1538" bestFit="1" customWidth="1"/>
    <col min="6150" max="6150" width="0" style="1538" hidden="1" customWidth="1"/>
    <col min="6151" max="6151" width="10.5703125" style="1538" bestFit="1" customWidth="1"/>
    <col min="6152" max="6153" width="11.28515625" style="1538" bestFit="1" customWidth="1"/>
    <col min="6154" max="6154" width="13.5703125" style="1538" customWidth="1"/>
    <col min="6155" max="6155" width="9.28515625" style="1538" bestFit="1" customWidth="1"/>
    <col min="6156" max="6400" width="9.140625" style="1538"/>
    <col min="6401" max="6401" width="11.85546875" style="1538" customWidth="1"/>
    <col min="6402" max="6402" width="10.28515625" style="1538" bestFit="1" customWidth="1"/>
    <col min="6403" max="6403" width="0" style="1538" hidden="1" customWidth="1"/>
    <col min="6404" max="6404" width="8" style="1538" bestFit="1" customWidth="1"/>
    <col min="6405" max="6405" width="9.85546875" style="1538" bestFit="1" customWidth="1"/>
    <col min="6406" max="6406" width="0" style="1538" hidden="1" customWidth="1"/>
    <col min="6407" max="6407" width="10.5703125" style="1538" bestFit="1" customWidth="1"/>
    <col min="6408" max="6409" width="11.28515625" style="1538" bestFit="1" customWidth="1"/>
    <col min="6410" max="6410" width="13.5703125" style="1538" customWidth="1"/>
    <col min="6411" max="6411" width="9.28515625" style="1538" bestFit="1" customWidth="1"/>
    <col min="6412" max="6656" width="9.140625" style="1538"/>
    <col min="6657" max="6657" width="11.85546875" style="1538" customWidth="1"/>
    <col min="6658" max="6658" width="10.28515625" style="1538" bestFit="1" customWidth="1"/>
    <col min="6659" max="6659" width="0" style="1538" hidden="1" customWidth="1"/>
    <col min="6660" max="6660" width="8" style="1538" bestFit="1" customWidth="1"/>
    <col min="6661" max="6661" width="9.85546875" style="1538" bestFit="1" customWidth="1"/>
    <col min="6662" max="6662" width="0" style="1538" hidden="1" customWidth="1"/>
    <col min="6663" max="6663" width="10.5703125" style="1538" bestFit="1" customWidth="1"/>
    <col min="6664" max="6665" width="11.28515625" style="1538" bestFit="1" customWidth="1"/>
    <col min="6666" max="6666" width="13.5703125" style="1538" customWidth="1"/>
    <col min="6667" max="6667" width="9.28515625" style="1538" bestFit="1" customWidth="1"/>
    <col min="6668" max="6912" width="9.140625" style="1538"/>
    <col min="6913" max="6913" width="11.85546875" style="1538" customWidth="1"/>
    <col min="6914" max="6914" width="10.28515625" style="1538" bestFit="1" customWidth="1"/>
    <col min="6915" max="6915" width="0" style="1538" hidden="1" customWidth="1"/>
    <col min="6916" max="6916" width="8" style="1538" bestFit="1" customWidth="1"/>
    <col min="6917" max="6917" width="9.85546875" style="1538" bestFit="1" customWidth="1"/>
    <col min="6918" max="6918" width="0" style="1538" hidden="1" customWidth="1"/>
    <col min="6919" max="6919" width="10.5703125" style="1538" bestFit="1" customWidth="1"/>
    <col min="6920" max="6921" width="11.28515625" style="1538" bestFit="1" customWidth="1"/>
    <col min="6922" max="6922" width="13.5703125" style="1538" customWidth="1"/>
    <col min="6923" max="6923" width="9.28515625" style="1538" bestFit="1" customWidth="1"/>
    <col min="6924" max="7168" width="9.140625" style="1538"/>
    <col min="7169" max="7169" width="11.85546875" style="1538" customWidth="1"/>
    <col min="7170" max="7170" width="10.28515625" style="1538" bestFit="1" customWidth="1"/>
    <col min="7171" max="7171" width="0" style="1538" hidden="1" customWidth="1"/>
    <col min="7172" max="7172" width="8" style="1538" bestFit="1" customWidth="1"/>
    <col min="7173" max="7173" width="9.85546875" style="1538" bestFit="1" customWidth="1"/>
    <col min="7174" max="7174" width="0" style="1538" hidden="1" customWidth="1"/>
    <col min="7175" max="7175" width="10.5703125" style="1538" bestFit="1" customWidth="1"/>
    <col min="7176" max="7177" width="11.28515625" style="1538" bestFit="1" customWidth="1"/>
    <col min="7178" max="7178" width="13.5703125" style="1538" customWidth="1"/>
    <col min="7179" max="7179" width="9.28515625" style="1538" bestFit="1" customWidth="1"/>
    <col min="7180" max="7424" width="9.140625" style="1538"/>
    <col min="7425" max="7425" width="11.85546875" style="1538" customWidth="1"/>
    <col min="7426" max="7426" width="10.28515625" style="1538" bestFit="1" customWidth="1"/>
    <col min="7427" max="7427" width="0" style="1538" hidden="1" customWidth="1"/>
    <col min="7428" max="7428" width="8" style="1538" bestFit="1" customWidth="1"/>
    <col min="7429" max="7429" width="9.85546875" style="1538" bestFit="1" customWidth="1"/>
    <col min="7430" max="7430" width="0" style="1538" hidden="1" customWidth="1"/>
    <col min="7431" max="7431" width="10.5703125" style="1538" bestFit="1" customWidth="1"/>
    <col min="7432" max="7433" width="11.28515625" style="1538" bestFit="1" customWidth="1"/>
    <col min="7434" max="7434" width="13.5703125" style="1538" customWidth="1"/>
    <col min="7435" max="7435" width="9.28515625" style="1538" bestFit="1" customWidth="1"/>
    <col min="7436" max="7680" width="9.140625" style="1538"/>
    <col min="7681" max="7681" width="11.85546875" style="1538" customWidth="1"/>
    <col min="7682" max="7682" width="10.28515625" style="1538" bestFit="1" customWidth="1"/>
    <col min="7683" max="7683" width="0" style="1538" hidden="1" customWidth="1"/>
    <col min="7684" max="7684" width="8" style="1538" bestFit="1" customWidth="1"/>
    <col min="7685" max="7685" width="9.85546875" style="1538" bestFit="1" customWidth="1"/>
    <col min="7686" max="7686" width="0" style="1538" hidden="1" customWidth="1"/>
    <col min="7687" max="7687" width="10.5703125" style="1538" bestFit="1" customWidth="1"/>
    <col min="7688" max="7689" width="11.28515625" style="1538" bestFit="1" customWidth="1"/>
    <col min="7690" max="7690" width="13.5703125" style="1538" customWidth="1"/>
    <col min="7691" max="7691" width="9.28515625" style="1538" bestFit="1" customWidth="1"/>
    <col min="7692" max="7936" width="9.140625" style="1538"/>
    <col min="7937" max="7937" width="11.85546875" style="1538" customWidth="1"/>
    <col min="7938" max="7938" width="10.28515625" style="1538" bestFit="1" customWidth="1"/>
    <col min="7939" max="7939" width="0" style="1538" hidden="1" customWidth="1"/>
    <col min="7940" max="7940" width="8" style="1538" bestFit="1" customWidth="1"/>
    <col min="7941" max="7941" width="9.85546875" style="1538" bestFit="1" customWidth="1"/>
    <col min="7942" max="7942" width="0" style="1538" hidden="1" customWidth="1"/>
    <col min="7943" max="7943" width="10.5703125" style="1538" bestFit="1" customWidth="1"/>
    <col min="7944" max="7945" width="11.28515625" style="1538" bestFit="1" customWidth="1"/>
    <col min="7946" max="7946" width="13.5703125" style="1538" customWidth="1"/>
    <col min="7947" max="7947" width="9.28515625" style="1538" bestFit="1" customWidth="1"/>
    <col min="7948" max="8192" width="9.140625" style="1538"/>
    <col min="8193" max="8193" width="11.85546875" style="1538" customWidth="1"/>
    <col min="8194" max="8194" width="10.28515625" style="1538" bestFit="1" customWidth="1"/>
    <col min="8195" max="8195" width="0" style="1538" hidden="1" customWidth="1"/>
    <col min="8196" max="8196" width="8" style="1538" bestFit="1" customWidth="1"/>
    <col min="8197" max="8197" width="9.85546875" style="1538" bestFit="1" customWidth="1"/>
    <col min="8198" max="8198" width="0" style="1538" hidden="1" customWidth="1"/>
    <col min="8199" max="8199" width="10.5703125" style="1538" bestFit="1" customWidth="1"/>
    <col min="8200" max="8201" width="11.28515625" style="1538" bestFit="1" customWidth="1"/>
    <col min="8202" max="8202" width="13.5703125" style="1538" customWidth="1"/>
    <col min="8203" max="8203" width="9.28515625" style="1538" bestFit="1" customWidth="1"/>
    <col min="8204" max="8448" width="9.140625" style="1538"/>
    <col min="8449" max="8449" width="11.85546875" style="1538" customWidth="1"/>
    <col min="8450" max="8450" width="10.28515625" style="1538" bestFit="1" customWidth="1"/>
    <col min="8451" max="8451" width="0" style="1538" hidden="1" customWidth="1"/>
    <col min="8452" max="8452" width="8" style="1538" bestFit="1" customWidth="1"/>
    <col min="8453" max="8453" width="9.85546875" style="1538" bestFit="1" customWidth="1"/>
    <col min="8454" max="8454" width="0" style="1538" hidden="1" customWidth="1"/>
    <col min="8455" max="8455" width="10.5703125" style="1538" bestFit="1" customWidth="1"/>
    <col min="8456" max="8457" width="11.28515625" style="1538" bestFit="1" customWidth="1"/>
    <col min="8458" max="8458" width="13.5703125" style="1538" customWidth="1"/>
    <col min="8459" max="8459" width="9.28515625" style="1538" bestFit="1" customWidth="1"/>
    <col min="8460" max="8704" width="9.140625" style="1538"/>
    <col min="8705" max="8705" width="11.85546875" style="1538" customWidth="1"/>
    <col min="8706" max="8706" width="10.28515625" style="1538" bestFit="1" customWidth="1"/>
    <col min="8707" max="8707" width="0" style="1538" hidden="1" customWidth="1"/>
    <col min="8708" max="8708" width="8" style="1538" bestFit="1" customWidth="1"/>
    <col min="8709" max="8709" width="9.85546875" style="1538" bestFit="1" customWidth="1"/>
    <col min="8710" max="8710" width="0" style="1538" hidden="1" customWidth="1"/>
    <col min="8711" max="8711" width="10.5703125" style="1538" bestFit="1" customWidth="1"/>
    <col min="8712" max="8713" width="11.28515625" style="1538" bestFit="1" customWidth="1"/>
    <col min="8714" max="8714" width="13.5703125" style="1538" customWidth="1"/>
    <col min="8715" max="8715" width="9.28515625" style="1538" bestFit="1" customWidth="1"/>
    <col min="8716" max="8960" width="9.140625" style="1538"/>
    <col min="8961" max="8961" width="11.85546875" style="1538" customWidth="1"/>
    <col min="8962" max="8962" width="10.28515625" style="1538" bestFit="1" customWidth="1"/>
    <col min="8963" max="8963" width="0" style="1538" hidden="1" customWidth="1"/>
    <col min="8964" max="8964" width="8" style="1538" bestFit="1" customWidth="1"/>
    <col min="8965" max="8965" width="9.85546875" style="1538" bestFit="1" customWidth="1"/>
    <col min="8966" max="8966" width="0" style="1538" hidden="1" customWidth="1"/>
    <col min="8967" max="8967" width="10.5703125" style="1538" bestFit="1" customWidth="1"/>
    <col min="8968" max="8969" width="11.28515625" style="1538" bestFit="1" customWidth="1"/>
    <col min="8970" max="8970" width="13.5703125" style="1538" customWidth="1"/>
    <col min="8971" max="8971" width="9.28515625" style="1538" bestFit="1" customWidth="1"/>
    <col min="8972" max="9216" width="9.140625" style="1538"/>
    <col min="9217" max="9217" width="11.85546875" style="1538" customWidth="1"/>
    <col min="9218" max="9218" width="10.28515625" style="1538" bestFit="1" customWidth="1"/>
    <col min="9219" max="9219" width="0" style="1538" hidden="1" customWidth="1"/>
    <col min="9220" max="9220" width="8" style="1538" bestFit="1" customWidth="1"/>
    <col min="9221" max="9221" width="9.85546875" style="1538" bestFit="1" customWidth="1"/>
    <col min="9222" max="9222" width="0" style="1538" hidden="1" customWidth="1"/>
    <col min="9223" max="9223" width="10.5703125" style="1538" bestFit="1" customWidth="1"/>
    <col min="9224" max="9225" width="11.28515625" style="1538" bestFit="1" customWidth="1"/>
    <col min="9226" max="9226" width="13.5703125" style="1538" customWidth="1"/>
    <col min="9227" max="9227" width="9.28515625" style="1538" bestFit="1" customWidth="1"/>
    <col min="9228" max="9472" width="9.140625" style="1538"/>
    <col min="9473" max="9473" width="11.85546875" style="1538" customWidth="1"/>
    <col min="9474" max="9474" width="10.28515625" style="1538" bestFit="1" customWidth="1"/>
    <col min="9475" max="9475" width="0" style="1538" hidden="1" customWidth="1"/>
    <col min="9476" max="9476" width="8" style="1538" bestFit="1" customWidth="1"/>
    <col min="9477" max="9477" width="9.85546875" style="1538" bestFit="1" customWidth="1"/>
    <col min="9478" max="9478" width="0" style="1538" hidden="1" customWidth="1"/>
    <col min="9479" max="9479" width="10.5703125" style="1538" bestFit="1" customWidth="1"/>
    <col min="9480" max="9481" width="11.28515625" style="1538" bestFit="1" customWidth="1"/>
    <col min="9482" max="9482" width="13.5703125" style="1538" customWidth="1"/>
    <col min="9483" max="9483" width="9.28515625" style="1538" bestFit="1" customWidth="1"/>
    <col min="9484" max="9728" width="9.140625" style="1538"/>
    <col min="9729" max="9729" width="11.85546875" style="1538" customWidth="1"/>
    <col min="9730" max="9730" width="10.28515625" style="1538" bestFit="1" customWidth="1"/>
    <col min="9731" max="9731" width="0" style="1538" hidden="1" customWidth="1"/>
    <col min="9732" max="9732" width="8" style="1538" bestFit="1" customWidth="1"/>
    <col min="9733" max="9733" width="9.85546875" style="1538" bestFit="1" customWidth="1"/>
    <col min="9734" max="9734" width="0" style="1538" hidden="1" customWidth="1"/>
    <col min="9735" max="9735" width="10.5703125" style="1538" bestFit="1" customWidth="1"/>
    <col min="9736" max="9737" width="11.28515625" style="1538" bestFit="1" customWidth="1"/>
    <col min="9738" max="9738" width="13.5703125" style="1538" customWidth="1"/>
    <col min="9739" max="9739" width="9.28515625" style="1538" bestFit="1" customWidth="1"/>
    <col min="9740" max="9984" width="9.140625" style="1538"/>
    <col min="9985" max="9985" width="11.85546875" style="1538" customWidth="1"/>
    <col min="9986" max="9986" width="10.28515625" style="1538" bestFit="1" customWidth="1"/>
    <col min="9987" max="9987" width="0" style="1538" hidden="1" customWidth="1"/>
    <col min="9988" max="9988" width="8" style="1538" bestFit="1" customWidth="1"/>
    <col min="9989" max="9989" width="9.85546875" style="1538" bestFit="1" customWidth="1"/>
    <col min="9990" max="9990" width="0" style="1538" hidden="1" customWidth="1"/>
    <col min="9991" max="9991" width="10.5703125" style="1538" bestFit="1" customWidth="1"/>
    <col min="9992" max="9993" width="11.28515625" style="1538" bestFit="1" customWidth="1"/>
    <col min="9994" max="9994" width="13.5703125" style="1538" customWidth="1"/>
    <col min="9995" max="9995" width="9.28515625" style="1538" bestFit="1" customWidth="1"/>
    <col min="9996" max="10240" width="9.140625" style="1538"/>
    <col min="10241" max="10241" width="11.85546875" style="1538" customWidth="1"/>
    <col min="10242" max="10242" width="10.28515625" style="1538" bestFit="1" customWidth="1"/>
    <col min="10243" max="10243" width="0" style="1538" hidden="1" customWidth="1"/>
    <col min="10244" max="10244" width="8" style="1538" bestFit="1" customWidth="1"/>
    <col min="10245" max="10245" width="9.85546875" style="1538" bestFit="1" customWidth="1"/>
    <col min="10246" max="10246" width="0" style="1538" hidden="1" customWidth="1"/>
    <col min="10247" max="10247" width="10.5703125" style="1538" bestFit="1" customWidth="1"/>
    <col min="10248" max="10249" width="11.28515625" style="1538" bestFit="1" customWidth="1"/>
    <col min="10250" max="10250" width="13.5703125" style="1538" customWidth="1"/>
    <col min="10251" max="10251" width="9.28515625" style="1538" bestFit="1" customWidth="1"/>
    <col min="10252" max="10496" width="9.140625" style="1538"/>
    <col min="10497" max="10497" width="11.85546875" style="1538" customWidth="1"/>
    <col min="10498" max="10498" width="10.28515625" style="1538" bestFit="1" customWidth="1"/>
    <col min="10499" max="10499" width="0" style="1538" hidden="1" customWidth="1"/>
    <col min="10500" max="10500" width="8" style="1538" bestFit="1" customWidth="1"/>
    <col min="10501" max="10501" width="9.85546875" style="1538" bestFit="1" customWidth="1"/>
    <col min="10502" max="10502" width="0" style="1538" hidden="1" customWidth="1"/>
    <col min="10503" max="10503" width="10.5703125" style="1538" bestFit="1" customWidth="1"/>
    <col min="10504" max="10505" width="11.28515625" style="1538" bestFit="1" customWidth="1"/>
    <col min="10506" max="10506" width="13.5703125" style="1538" customWidth="1"/>
    <col min="10507" max="10507" width="9.28515625" style="1538" bestFit="1" customWidth="1"/>
    <col min="10508" max="10752" width="9.140625" style="1538"/>
    <col min="10753" max="10753" width="11.85546875" style="1538" customWidth="1"/>
    <col min="10754" max="10754" width="10.28515625" style="1538" bestFit="1" customWidth="1"/>
    <col min="10755" max="10755" width="0" style="1538" hidden="1" customWidth="1"/>
    <col min="10756" max="10756" width="8" style="1538" bestFit="1" customWidth="1"/>
    <col min="10757" max="10757" width="9.85546875" style="1538" bestFit="1" customWidth="1"/>
    <col min="10758" max="10758" width="0" style="1538" hidden="1" customWidth="1"/>
    <col min="10759" max="10759" width="10.5703125" style="1538" bestFit="1" customWidth="1"/>
    <col min="10760" max="10761" width="11.28515625" style="1538" bestFit="1" customWidth="1"/>
    <col min="10762" max="10762" width="13.5703125" style="1538" customWidth="1"/>
    <col min="10763" max="10763" width="9.28515625" style="1538" bestFit="1" customWidth="1"/>
    <col min="10764" max="11008" width="9.140625" style="1538"/>
    <col min="11009" max="11009" width="11.85546875" style="1538" customWidth="1"/>
    <col min="11010" max="11010" width="10.28515625" style="1538" bestFit="1" customWidth="1"/>
    <col min="11011" max="11011" width="0" style="1538" hidden="1" customWidth="1"/>
    <col min="11012" max="11012" width="8" style="1538" bestFit="1" customWidth="1"/>
    <col min="11013" max="11013" width="9.85546875" style="1538" bestFit="1" customWidth="1"/>
    <col min="11014" max="11014" width="0" style="1538" hidden="1" customWidth="1"/>
    <col min="11015" max="11015" width="10.5703125" style="1538" bestFit="1" customWidth="1"/>
    <col min="11016" max="11017" width="11.28515625" style="1538" bestFit="1" customWidth="1"/>
    <col min="11018" max="11018" width="13.5703125" style="1538" customWidth="1"/>
    <col min="11019" max="11019" width="9.28515625" style="1538" bestFit="1" customWidth="1"/>
    <col min="11020" max="11264" width="9.140625" style="1538"/>
    <col min="11265" max="11265" width="11.85546875" style="1538" customWidth="1"/>
    <col min="11266" max="11266" width="10.28515625" style="1538" bestFit="1" customWidth="1"/>
    <col min="11267" max="11267" width="0" style="1538" hidden="1" customWidth="1"/>
    <col min="11268" max="11268" width="8" style="1538" bestFit="1" customWidth="1"/>
    <col min="11269" max="11269" width="9.85546875" style="1538" bestFit="1" customWidth="1"/>
    <col min="11270" max="11270" width="0" style="1538" hidden="1" customWidth="1"/>
    <col min="11271" max="11271" width="10.5703125" style="1538" bestFit="1" customWidth="1"/>
    <col min="11272" max="11273" width="11.28515625" style="1538" bestFit="1" customWidth="1"/>
    <col min="11274" max="11274" width="13.5703125" style="1538" customWidth="1"/>
    <col min="11275" max="11275" width="9.28515625" style="1538" bestFit="1" customWidth="1"/>
    <col min="11276" max="11520" width="9.140625" style="1538"/>
    <col min="11521" max="11521" width="11.85546875" style="1538" customWidth="1"/>
    <col min="11522" max="11522" width="10.28515625" style="1538" bestFit="1" customWidth="1"/>
    <col min="11523" max="11523" width="0" style="1538" hidden="1" customWidth="1"/>
    <col min="11524" max="11524" width="8" style="1538" bestFit="1" customWidth="1"/>
    <col min="11525" max="11525" width="9.85546875" style="1538" bestFit="1" customWidth="1"/>
    <col min="11526" max="11526" width="0" style="1538" hidden="1" customWidth="1"/>
    <col min="11527" max="11527" width="10.5703125" style="1538" bestFit="1" customWidth="1"/>
    <col min="11528" max="11529" width="11.28515625" style="1538" bestFit="1" customWidth="1"/>
    <col min="11530" max="11530" width="13.5703125" style="1538" customWidth="1"/>
    <col min="11531" max="11531" width="9.28515625" style="1538" bestFit="1" customWidth="1"/>
    <col min="11532" max="11776" width="9.140625" style="1538"/>
    <col min="11777" max="11777" width="11.85546875" style="1538" customWidth="1"/>
    <col min="11778" max="11778" width="10.28515625" style="1538" bestFit="1" customWidth="1"/>
    <col min="11779" max="11779" width="0" style="1538" hidden="1" customWidth="1"/>
    <col min="11780" max="11780" width="8" style="1538" bestFit="1" customWidth="1"/>
    <col min="11781" max="11781" width="9.85546875" style="1538" bestFit="1" customWidth="1"/>
    <col min="11782" max="11782" width="0" style="1538" hidden="1" customWidth="1"/>
    <col min="11783" max="11783" width="10.5703125" style="1538" bestFit="1" customWidth="1"/>
    <col min="11784" max="11785" width="11.28515625" style="1538" bestFit="1" customWidth="1"/>
    <col min="11786" max="11786" width="13.5703125" style="1538" customWidth="1"/>
    <col min="11787" max="11787" width="9.28515625" style="1538" bestFit="1" customWidth="1"/>
    <col min="11788" max="12032" width="9.140625" style="1538"/>
    <col min="12033" max="12033" width="11.85546875" style="1538" customWidth="1"/>
    <col min="12034" max="12034" width="10.28515625" style="1538" bestFit="1" customWidth="1"/>
    <col min="12035" max="12035" width="0" style="1538" hidden="1" customWidth="1"/>
    <col min="12036" max="12036" width="8" style="1538" bestFit="1" customWidth="1"/>
    <col min="12037" max="12037" width="9.85546875" style="1538" bestFit="1" customWidth="1"/>
    <col min="12038" max="12038" width="0" style="1538" hidden="1" customWidth="1"/>
    <col min="12039" max="12039" width="10.5703125" style="1538" bestFit="1" customWidth="1"/>
    <col min="12040" max="12041" width="11.28515625" style="1538" bestFit="1" customWidth="1"/>
    <col min="12042" max="12042" width="13.5703125" style="1538" customWidth="1"/>
    <col min="12043" max="12043" width="9.28515625" style="1538" bestFit="1" customWidth="1"/>
    <col min="12044" max="12288" width="9.140625" style="1538"/>
    <col min="12289" max="12289" width="11.85546875" style="1538" customWidth="1"/>
    <col min="12290" max="12290" width="10.28515625" style="1538" bestFit="1" customWidth="1"/>
    <col min="12291" max="12291" width="0" style="1538" hidden="1" customWidth="1"/>
    <col min="12292" max="12292" width="8" style="1538" bestFit="1" customWidth="1"/>
    <col min="12293" max="12293" width="9.85546875" style="1538" bestFit="1" customWidth="1"/>
    <col min="12294" max="12294" width="0" style="1538" hidden="1" customWidth="1"/>
    <col min="12295" max="12295" width="10.5703125" style="1538" bestFit="1" customWidth="1"/>
    <col min="12296" max="12297" width="11.28515625" style="1538" bestFit="1" customWidth="1"/>
    <col min="12298" max="12298" width="13.5703125" style="1538" customWidth="1"/>
    <col min="12299" max="12299" width="9.28515625" style="1538" bestFit="1" customWidth="1"/>
    <col min="12300" max="12544" width="9.140625" style="1538"/>
    <col min="12545" max="12545" width="11.85546875" style="1538" customWidth="1"/>
    <col min="12546" max="12546" width="10.28515625" style="1538" bestFit="1" customWidth="1"/>
    <col min="12547" max="12547" width="0" style="1538" hidden="1" customWidth="1"/>
    <col min="12548" max="12548" width="8" style="1538" bestFit="1" customWidth="1"/>
    <col min="12549" max="12549" width="9.85546875" style="1538" bestFit="1" customWidth="1"/>
    <col min="12550" max="12550" width="0" style="1538" hidden="1" customWidth="1"/>
    <col min="12551" max="12551" width="10.5703125" style="1538" bestFit="1" customWidth="1"/>
    <col min="12552" max="12553" width="11.28515625" style="1538" bestFit="1" customWidth="1"/>
    <col min="12554" max="12554" width="13.5703125" style="1538" customWidth="1"/>
    <col min="12555" max="12555" width="9.28515625" style="1538" bestFit="1" customWidth="1"/>
    <col min="12556" max="12800" width="9.140625" style="1538"/>
    <col min="12801" max="12801" width="11.85546875" style="1538" customWidth="1"/>
    <col min="12802" max="12802" width="10.28515625" style="1538" bestFit="1" customWidth="1"/>
    <col min="12803" max="12803" width="0" style="1538" hidden="1" customWidth="1"/>
    <col min="12804" max="12804" width="8" style="1538" bestFit="1" customWidth="1"/>
    <col min="12805" max="12805" width="9.85546875" style="1538" bestFit="1" customWidth="1"/>
    <col min="12806" max="12806" width="0" style="1538" hidden="1" customWidth="1"/>
    <col min="12807" max="12807" width="10.5703125" style="1538" bestFit="1" customWidth="1"/>
    <col min="12808" max="12809" width="11.28515625" style="1538" bestFit="1" customWidth="1"/>
    <col min="12810" max="12810" width="13.5703125" style="1538" customWidth="1"/>
    <col min="12811" max="12811" width="9.28515625" style="1538" bestFit="1" customWidth="1"/>
    <col min="12812" max="13056" width="9.140625" style="1538"/>
    <col min="13057" max="13057" width="11.85546875" style="1538" customWidth="1"/>
    <col min="13058" max="13058" width="10.28515625" style="1538" bestFit="1" customWidth="1"/>
    <col min="13059" max="13059" width="0" style="1538" hidden="1" customWidth="1"/>
    <col min="13060" max="13060" width="8" style="1538" bestFit="1" customWidth="1"/>
    <col min="13061" max="13061" width="9.85546875" style="1538" bestFit="1" customWidth="1"/>
    <col min="13062" max="13062" width="0" style="1538" hidden="1" customWidth="1"/>
    <col min="13063" max="13063" width="10.5703125" style="1538" bestFit="1" customWidth="1"/>
    <col min="13064" max="13065" width="11.28515625" style="1538" bestFit="1" customWidth="1"/>
    <col min="13066" max="13066" width="13.5703125" style="1538" customWidth="1"/>
    <col min="13067" max="13067" width="9.28515625" style="1538" bestFit="1" customWidth="1"/>
    <col min="13068" max="13312" width="9.140625" style="1538"/>
    <col min="13313" max="13313" width="11.85546875" style="1538" customWidth="1"/>
    <col min="13314" max="13314" width="10.28515625" style="1538" bestFit="1" customWidth="1"/>
    <col min="13315" max="13315" width="0" style="1538" hidden="1" customWidth="1"/>
    <col min="13316" max="13316" width="8" style="1538" bestFit="1" customWidth="1"/>
    <col min="13317" max="13317" width="9.85546875" style="1538" bestFit="1" customWidth="1"/>
    <col min="13318" max="13318" width="0" style="1538" hidden="1" customWidth="1"/>
    <col min="13319" max="13319" width="10.5703125" style="1538" bestFit="1" customWidth="1"/>
    <col min="13320" max="13321" width="11.28515625" style="1538" bestFit="1" customWidth="1"/>
    <col min="13322" max="13322" width="13.5703125" style="1538" customWidth="1"/>
    <col min="13323" max="13323" width="9.28515625" style="1538" bestFit="1" customWidth="1"/>
    <col min="13324" max="13568" width="9.140625" style="1538"/>
    <col min="13569" max="13569" width="11.85546875" style="1538" customWidth="1"/>
    <col min="13570" max="13570" width="10.28515625" style="1538" bestFit="1" customWidth="1"/>
    <col min="13571" max="13571" width="0" style="1538" hidden="1" customWidth="1"/>
    <col min="13572" max="13572" width="8" style="1538" bestFit="1" customWidth="1"/>
    <col min="13573" max="13573" width="9.85546875" style="1538" bestFit="1" customWidth="1"/>
    <col min="13574" max="13574" width="0" style="1538" hidden="1" customWidth="1"/>
    <col min="13575" max="13575" width="10.5703125" style="1538" bestFit="1" customWidth="1"/>
    <col min="13576" max="13577" width="11.28515625" style="1538" bestFit="1" customWidth="1"/>
    <col min="13578" max="13578" width="13.5703125" style="1538" customWidth="1"/>
    <col min="13579" max="13579" width="9.28515625" style="1538" bestFit="1" customWidth="1"/>
    <col min="13580" max="13824" width="9.140625" style="1538"/>
    <col min="13825" max="13825" width="11.85546875" style="1538" customWidth="1"/>
    <col min="13826" max="13826" width="10.28515625" style="1538" bestFit="1" customWidth="1"/>
    <col min="13827" max="13827" width="0" style="1538" hidden="1" customWidth="1"/>
    <col min="13828" max="13828" width="8" style="1538" bestFit="1" customWidth="1"/>
    <col min="13829" max="13829" width="9.85546875" style="1538" bestFit="1" customWidth="1"/>
    <col min="13830" max="13830" width="0" style="1538" hidden="1" customWidth="1"/>
    <col min="13831" max="13831" width="10.5703125" style="1538" bestFit="1" customWidth="1"/>
    <col min="13832" max="13833" width="11.28515625" style="1538" bestFit="1" customWidth="1"/>
    <col min="13834" max="13834" width="13.5703125" style="1538" customWidth="1"/>
    <col min="13835" max="13835" width="9.28515625" style="1538" bestFit="1" customWidth="1"/>
    <col min="13836" max="14080" width="9.140625" style="1538"/>
    <col min="14081" max="14081" width="11.85546875" style="1538" customWidth="1"/>
    <col min="14082" max="14082" width="10.28515625" style="1538" bestFit="1" customWidth="1"/>
    <col min="14083" max="14083" width="0" style="1538" hidden="1" customWidth="1"/>
    <col min="14084" max="14084" width="8" style="1538" bestFit="1" customWidth="1"/>
    <col min="14085" max="14085" width="9.85546875" style="1538" bestFit="1" customWidth="1"/>
    <col min="14086" max="14086" width="0" style="1538" hidden="1" customWidth="1"/>
    <col min="14087" max="14087" width="10.5703125" style="1538" bestFit="1" customWidth="1"/>
    <col min="14088" max="14089" width="11.28515625" style="1538" bestFit="1" customWidth="1"/>
    <col min="14090" max="14090" width="13.5703125" style="1538" customWidth="1"/>
    <col min="14091" max="14091" width="9.28515625" style="1538" bestFit="1" customWidth="1"/>
    <col min="14092" max="14336" width="9.140625" style="1538"/>
    <col min="14337" max="14337" width="11.85546875" style="1538" customWidth="1"/>
    <col min="14338" max="14338" width="10.28515625" style="1538" bestFit="1" customWidth="1"/>
    <col min="14339" max="14339" width="0" style="1538" hidden="1" customWidth="1"/>
    <col min="14340" max="14340" width="8" style="1538" bestFit="1" customWidth="1"/>
    <col min="14341" max="14341" width="9.85546875" style="1538" bestFit="1" customWidth="1"/>
    <col min="14342" max="14342" width="0" style="1538" hidden="1" customWidth="1"/>
    <col min="14343" max="14343" width="10.5703125" style="1538" bestFit="1" customWidth="1"/>
    <col min="14344" max="14345" width="11.28515625" style="1538" bestFit="1" customWidth="1"/>
    <col min="14346" max="14346" width="13.5703125" style="1538" customWidth="1"/>
    <col min="14347" max="14347" width="9.28515625" style="1538" bestFit="1" customWidth="1"/>
    <col min="14348" max="14592" width="9.140625" style="1538"/>
    <col min="14593" max="14593" width="11.85546875" style="1538" customWidth="1"/>
    <col min="14594" max="14594" width="10.28515625" style="1538" bestFit="1" customWidth="1"/>
    <col min="14595" max="14595" width="0" style="1538" hidden="1" customWidth="1"/>
    <col min="14596" max="14596" width="8" style="1538" bestFit="1" customWidth="1"/>
    <col min="14597" max="14597" width="9.85546875" style="1538" bestFit="1" customWidth="1"/>
    <col min="14598" max="14598" width="0" style="1538" hidden="1" customWidth="1"/>
    <col min="14599" max="14599" width="10.5703125" style="1538" bestFit="1" customWidth="1"/>
    <col min="14600" max="14601" width="11.28515625" style="1538" bestFit="1" customWidth="1"/>
    <col min="14602" max="14602" width="13.5703125" style="1538" customWidth="1"/>
    <col min="14603" max="14603" width="9.28515625" style="1538" bestFit="1" customWidth="1"/>
    <col min="14604" max="14848" width="9.140625" style="1538"/>
    <col min="14849" max="14849" width="11.85546875" style="1538" customWidth="1"/>
    <col min="14850" max="14850" width="10.28515625" style="1538" bestFit="1" customWidth="1"/>
    <col min="14851" max="14851" width="0" style="1538" hidden="1" customWidth="1"/>
    <col min="14852" max="14852" width="8" style="1538" bestFit="1" customWidth="1"/>
    <col min="14853" max="14853" width="9.85546875" style="1538" bestFit="1" customWidth="1"/>
    <col min="14854" max="14854" width="0" style="1538" hidden="1" customWidth="1"/>
    <col min="14855" max="14855" width="10.5703125" style="1538" bestFit="1" customWidth="1"/>
    <col min="14856" max="14857" width="11.28515625" style="1538" bestFit="1" customWidth="1"/>
    <col min="14858" max="14858" width="13.5703125" style="1538" customWidth="1"/>
    <col min="14859" max="14859" width="9.28515625" style="1538" bestFit="1" customWidth="1"/>
    <col min="14860" max="15104" width="9.140625" style="1538"/>
    <col min="15105" max="15105" width="11.85546875" style="1538" customWidth="1"/>
    <col min="15106" max="15106" width="10.28515625" style="1538" bestFit="1" customWidth="1"/>
    <col min="15107" max="15107" width="0" style="1538" hidden="1" customWidth="1"/>
    <col min="15108" max="15108" width="8" style="1538" bestFit="1" customWidth="1"/>
    <col min="15109" max="15109" width="9.85546875" style="1538" bestFit="1" customWidth="1"/>
    <col min="15110" max="15110" width="0" style="1538" hidden="1" customWidth="1"/>
    <col min="15111" max="15111" width="10.5703125" style="1538" bestFit="1" customWidth="1"/>
    <col min="15112" max="15113" width="11.28515625" style="1538" bestFit="1" customWidth="1"/>
    <col min="15114" max="15114" width="13.5703125" style="1538" customWidth="1"/>
    <col min="15115" max="15115" width="9.28515625" style="1538" bestFit="1" customWidth="1"/>
    <col min="15116" max="15360" width="9.140625" style="1538"/>
    <col min="15361" max="15361" width="11.85546875" style="1538" customWidth="1"/>
    <col min="15362" max="15362" width="10.28515625" style="1538" bestFit="1" customWidth="1"/>
    <col min="15363" max="15363" width="0" style="1538" hidden="1" customWidth="1"/>
    <col min="15364" max="15364" width="8" style="1538" bestFit="1" customWidth="1"/>
    <col min="15365" max="15365" width="9.85546875" style="1538" bestFit="1" customWidth="1"/>
    <col min="15366" max="15366" width="0" style="1538" hidden="1" customWidth="1"/>
    <col min="15367" max="15367" width="10.5703125" style="1538" bestFit="1" customWidth="1"/>
    <col min="15368" max="15369" width="11.28515625" style="1538" bestFit="1" customWidth="1"/>
    <col min="15370" max="15370" width="13.5703125" style="1538" customWidth="1"/>
    <col min="15371" max="15371" width="9.28515625" style="1538" bestFit="1" customWidth="1"/>
    <col min="15372" max="15616" width="9.140625" style="1538"/>
    <col min="15617" max="15617" width="11.85546875" style="1538" customWidth="1"/>
    <col min="15618" max="15618" width="10.28515625" style="1538" bestFit="1" customWidth="1"/>
    <col min="15619" max="15619" width="0" style="1538" hidden="1" customWidth="1"/>
    <col min="15620" max="15620" width="8" style="1538" bestFit="1" customWidth="1"/>
    <col min="15621" max="15621" width="9.85546875" style="1538" bestFit="1" customWidth="1"/>
    <col min="15622" max="15622" width="0" style="1538" hidden="1" customWidth="1"/>
    <col min="15623" max="15623" width="10.5703125" style="1538" bestFit="1" customWidth="1"/>
    <col min="15624" max="15625" width="11.28515625" style="1538" bestFit="1" customWidth="1"/>
    <col min="15626" max="15626" width="13.5703125" style="1538" customWidth="1"/>
    <col min="15627" max="15627" width="9.28515625" style="1538" bestFit="1" customWidth="1"/>
    <col min="15628" max="15872" width="9.140625" style="1538"/>
    <col min="15873" max="15873" width="11.85546875" style="1538" customWidth="1"/>
    <col min="15874" max="15874" width="10.28515625" style="1538" bestFit="1" customWidth="1"/>
    <col min="15875" max="15875" width="0" style="1538" hidden="1" customWidth="1"/>
    <col min="15876" max="15876" width="8" style="1538" bestFit="1" customWidth="1"/>
    <col min="15877" max="15877" width="9.85546875" style="1538" bestFit="1" customWidth="1"/>
    <col min="15878" max="15878" width="0" style="1538" hidden="1" customWidth="1"/>
    <col min="15879" max="15879" width="10.5703125" style="1538" bestFit="1" customWidth="1"/>
    <col min="15880" max="15881" width="11.28515625" style="1538" bestFit="1" customWidth="1"/>
    <col min="15882" max="15882" width="13.5703125" style="1538" customWidth="1"/>
    <col min="15883" max="15883" width="9.28515625" style="1538" bestFit="1" customWidth="1"/>
    <col min="15884" max="16128" width="9.140625" style="1538"/>
    <col min="16129" max="16129" width="11.85546875" style="1538" customWidth="1"/>
    <col min="16130" max="16130" width="10.28515625" style="1538" bestFit="1" customWidth="1"/>
    <col min="16131" max="16131" width="0" style="1538" hidden="1" customWidth="1"/>
    <col min="16132" max="16132" width="8" style="1538" bestFit="1" customWidth="1"/>
    <col min="16133" max="16133" width="9.85546875" style="1538" bestFit="1" customWidth="1"/>
    <col min="16134" max="16134" width="0" style="1538" hidden="1" customWidth="1"/>
    <col min="16135" max="16135" width="10.5703125" style="1538" bestFit="1" customWidth="1"/>
    <col min="16136" max="16137" width="11.28515625" style="1538" bestFit="1" customWidth="1"/>
    <col min="16138" max="16138" width="13.5703125" style="1538" customWidth="1"/>
    <col min="16139" max="16139" width="9.28515625" style="1538" bestFit="1" customWidth="1"/>
    <col min="16140" max="16384" width="9.140625" style="1538"/>
  </cols>
  <sheetData>
    <row r="1" spans="1:13" ht="16.5">
      <c r="A1" s="1534" t="s">
        <v>2592</v>
      </c>
      <c r="B1" s="1535"/>
      <c r="C1" s="1535"/>
      <c r="D1" s="1535"/>
      <c r="E1" s="1535"/>
      <c r="F1" s="1536"/>
      <c r="G1" s="1537"/>
      <c r="H1" s="1537"/>
      <c r="I1" s="1537"/>
      <c r="J1" s="1537"/>
      <c r="K1" s="1537"/>
    </row>
    <row r="2" spans="1:13">
      <c r="B2" s="1537"/>
      <c r="C2" s="1537"/>
      <c r="D2" s="1537"/>
      <c r="E2" s="1537"/>
      <c r="F2" s="1537"/>
      <c r="G2" s="1537"/>
      <c r="H2" s="1537"/>
      <c r="I2" s="1537"/>
      <c r="J2" s="1537"/>
      <c r="K2" s="1537"/>
    </row>
    <row r="3" spans="1:13" ht="13.5" thickBot="1">
      <c r="A3" s="1537"/>
      <c r="B3" s="1537"/>
      <c r="C3" s="1537"/>
      <c r="D3" s="1537"/>
      <c r="E3" s="1537"/>
      <c r="F3" s="1537"/>
      <c r="G3" s="1537"/>
      <c r="H3" s="1537"/>
      <c r="I3" s="1537"/>
      <c r="J3" s="1539" t="s">
        <v>810</v>
      </c>
      <c r="K3" s="1540"/>
    </row>
    <row r="4" spans="1:13" ht="13.5" thickTop="1">
      <c r="A4" s="1541"/>
      <c r="B4" s="1542" t="s">
        <v>2593</v>
      </c>
      <c r="C4" s="1543" t="s">
        <v>1070</v>
      </c>
      <c r="D4" s="1543" t="s">
        <v>2594</v>
      </c>
      <c r="E4" s="1543" t="s">
        <v>2593</v>
      </c>
      <c r="F4" s="1543" t="s">
        <v>2595</v>
      </c>
      <c r="G4" s="1543" t="s">
        <v>2595</v>
      </c>
      <c r="H4" s="1543" t="s">
        <v>2595</v>
      </c>
      <c r="I4" s="1543" t="s">
        <v>2595</v>
      </c>
      <c r="J4" s="1543" t="s">
        <v>1070</v>
      </c>
      <c r="K4" s="1544" t="s">
        <v>1070</v>
      </c>
    </row>
    <row r="5" spans="1:13">
      <c r="A5" s="1545"/>
      <c r="B5" s="1546" t="s">
        <v>1255</v>
      </c>
      <c r="C5" s="1547" t="s">
        <v>2596</v>
      </c>
      <c r="D5" s="1547" t="s">
        <v>1255</v>
      </c>
      <c r="E5" s="1547" t="s">
        <v>1255</v>
      </c>
      <c r="F5" s="1547" t="s">
        <v>2597</v>
      </c>
      <c r="G5" s="1547" t="s">
        <v>2598</v>
      </c>
      <c r="H5" s="1547" t="s">
        <v>2599</v>
      </c>
      <c r="I5" s="1547" t="s">
        <v>2600</v>
      </c>
      <c r="J5" s="1547" t="s">
        <v>2601</v>
      </c>
      <c r="K5" s="1548" t="s">
        <v>2601</v>
      </c>
    </row>
    <row r="6" spans="1:13">
      <c r="A6" s="1545"/>
      <c r="B6" s="1546" t="s">
        <v>913</v>
      </c>
      <c r="C6" s="1547" t="s">
        <v>2602</v>
      </c>
      <c r="D6" s="1547" t="s">
        <v>2603</v>
      </c>
      <c r="E6" s="1547" t="s">
        <v>1106</v>
      </c>
      <c r="F6" s="1547" t="s">
        <v>318</v>
      </c>
      <c r="G6" s="1547" t="s">
        <v>2604</v>
      </c>
      <c r="H6" s="1547" t="s">
        <v>2604</v>
      </c>
      <c r="I6" s="1547" t="s">
        <v>2605</v>
      </c>
      <c r="J6" s="1547" t="s">
        <v>2604</v>
      </c>
      <c r="K6" s="1548" t="s">
        <v>2604</v>
      </c>
    </row>
    <row r="7" spans="1:13">
      <c r="A7" s="1545"/>
      <c r="B7" s="1546" t="s">
        <v>2606</v>
      </c>
      <c r="C7" s="1547" t="s">
        <v>2606</v>
      </c>
      <c r="D7" s="1547" t="s">
        <v>863</v>
      </c>
      <c r="E7" s="1547" t="s">
        <v>2595</v>
      </c>
      <c r="F7" s="1547" t="s">
        <v>335</v>
      </c>
      <c r="G7" s="1547" t="s">
        <v>2607</v>
      </c>
      <c r="H7" s="1547" t="s">
        <v>2608</v>
      </c>
      <c r="I7" s="1547" t="s">
        <v>2609</v>
      </c>
      <c r="J7" s="1547" t="s">
        <v>2610</v>
      </c>
      <c r="K7" s="1548" t="s">
        <v>2611</v>
      </c>
    </row>
    <row r="8" spans="1:13">
      <c r="A8" s="1545"/>
      <c r="B8" s="1546" t="s">
        <v>2612</v>
      </c>
      <c r="C8" s="1547" t="s">
        <v>2613</v>
      </c>
      <c r="D8" s="1547"/>
      <c r="E8" s="1547" t="s">
        <v>863</v>
      </c>
      <c r="F8" s="1547" t="s">
        <v>2614</v>
      </c>
      <c r="G8" s="1547" t="s">
        <v>169</v>
      </c>
      <c r="H8" s="1547" t="s">
        <v>169</v>
      </c>
      <c r="I8" s="1547" t="s">
        <v>325</v>
      </c>
      <c r="J8" s="1547" t="s">
        <v>2615</v>
      </c>
      <c r="K8" s="1548" t="s">
        <v>2616</v>
      </c>
    </row>
    <row r="9" spans="1:13" ht="17.25">
      <c r="A9" s="1545"/>
      <c r="B9" s="1546" t="s">
        <v>2617</v>
      </c>
      <c r="C9" s="1547" t="s">
        <v>2618</v>
      </c>
      <c r="D9" s="1547"/>
      <c r="E9" s="1547"/>
      <c r="F9" s="1547" t="s">
        <v>2619</v>
      </c>
      <c r="G9" s="1547" t="s">
        <v>2620</v>
      </c>
      <c r="H9" s="1547" t="s">
        <v>2620</v>
      </c>
      <c r="I9" s="1547" t="s">
        <v>2621</v>
      </c>
      <c r="J9" s="1547"/>
      <c r="K9" s="1548" t="s">
        <v>345</v>
      </c>
    </row>
    <row r="10" spans="1:13" ht="13.5" thickBot="1">
      <c r="A10" s="1549"/>
      <c r="B10" s="1550" t="s">
        <v>2622</v>
      </c>
      <c r="C10" s="1551"/>
      <c r="D10" s="1551"/>
      <c r="E10" s="1551"/>
      <c r="F10" s="1551"/>
      <c r="G10" s="1551"/>
      <c r="H10" s="1551"/>
      <c r="I10" s="1551"/>
      <c r="J10" s="1551"/>
      <c r="K10" s="1552"/>
    </row>
    <row r="11" spans="1:13" ht="13.5" hidden="1" thickTop="1">
      <c r="A11" s="1553">
        <v>38687</v>
      </c>
      <c r="B11" s="1554">
        <v>7.45</v>
      </c>
      <c r="C11" s="1555" t="s">
        <v>770</v>
      </c>
      <c r="D11" s="1556">
        <v>7.16</v>
      </c>
      <c r="E11" s="1556">
        <v>3.87</v>
      </c>
      <c r="F11" s="1555" t="s">
        <v>770</v>
      </c>
      <c r="G11" s="1556" t="s">
        <v>1813</v>
      </c>
      <c r="H11" s="1557" t="s">
        <v>2623</v>
      </c>
      <c r="I11" s="1557" t="s">
        <v>2624</v>
      </c>
      <c r="J11" s="1556">
        <v>5.7</v>
      </c>
      <c r="K11" s="1558">
        <v>10.81</v>
      </c>
    </row>
    <row r="12" spans="1:13" ht="13.5" hidden="1" thickTop="1">
      <c r="A12" s="1553">
        <v>38718</v>
      </c>
      <c r="B12" s="1554">
        <v>7.52</v>
      </c>
      <c r="C12" s="1555" t="s">
        <v>770</v>
      </c>
      <c r="D12" s="1556">
        <v>7.53</v>
      </c>
      <c r="E12" s="1556">
        <v>5.68</v>
      </c>
      <c r="F12" s="1555" t="s">
        <v>770</v>
      </c>
      <c r="G12" s="1556" t="s">
        <v>1813</v>
      </c>
      <c r="H12" s="1557" t="s">
        <v>2623</v>
      </c>
      <c r="I12" s="1557" t="s">
        <v>2624</v>
      </c>
      <c r="J12" s="1556">
        <v>5.76</v>
      </c>
      <c r="K12" s="1558">
        <v>10.85</v>
      </c>
      <c r="M12" s="1559">
        <f t="shared" ref="M12:M22" si="0">K12-J12</f>
        <v>5.09</v>
      </c>
    </row>
    <row r="13" spans="1:13" ht="13.5" hidden="1" thickTop="1">
      <c r="A13" s="1553">
        <v>38749</v>
      </c>
      <c r="B13" s="1554">
        <v>7.49</v>
      </c>
      <c r="C13" s="1555" t="s">
        <v>770</v>
      </c>
      <c r="D13" s="1556">
        <v>7.44</v>
      </c>
      <c r="E13" s="1556">
        <v>3.87</v>
      </c>
      <c r="F13" s="1555" t="s">
        <v>770</v>
      </c>
      <c r="G13" s="1556" t="s">
        <v>1813</v>
      </c>
      <c r="H13" s="1557" t="s">
        <v>2623</v>
      </c>
      <c r="I13" s="1557" t="s">
        <v>2624</v>
      </c>
      <c r="J13" s="1556">
        <v>6.34</v>
      </c>
      <c r="K13" s="1558">
        <v>10.84</v>
      </c>
      <c r="M13" s="1559">
        <f t="shared" si="0"/>
        <v>4.5</v>
      </c>
    </row>
    <row r="14" spans="1:13" ht="13.5" hidden="1" thickTop="1">
      <c r="A14" s="1553">
        <v>38777</v>
      </c>
      <c r="B14" s="1554">
        <v>7.53</v>
      </c>
      <c r="C14" s="1555" t="s">
        <v>770</v>
      </c>
      <c r="D14" s="1556">
        <v>7.52</v>
      </c>
      <c r="E14" s="1556">
        <v>3.83</v>
      </c>
      <c r="F14" s="1555" t="s">
        <v>770</v>
      </c>
      <c r="G14" s="1556" t="s">
        <v>1813</v>
      </c>
      <c r="H14" s="1557" t="s">
        <v>2623</v>
      </c>
      <c r="I14" s="1557" t="s">
        <v>2624</v>
      </c>
      <c r="J14" s="1556">
        <v>5.76</v>
      </c>
      <c r="K14" s="1558">
        <v>10.73</v>
      </c>
      <c r="M14" s="1559">
        <f t="shared" si="0"/>
        <v>4.9700000000000006</v>
      </c>
    </row>
    <row r="15" spans="1:13" ht="13.5" hidden="1" thickTop="1">
      <c r="A15" s="1553">
        <v>38808</v>
      </c>
      <c r="B15" s="1554">
        <v>7.49</v>
      </c>
      <c r="C15" s="1555" t="s">
        <v>770</v>
      </c>
      <c r="D15" s="1556">
        <v>7.51</v>
      </c>
      <c r="E15" s="1556">
        <v>3.88</v>
      </c>
      <c r="F15" s="1555" t="s">
        <v>770</v>
      </c>
      <c r="G15" s="1556" t="s">
        <v>1813</v>
      </c>
      <c r="H15" s="1557" t="s">
        <v>2623</v>
      </c>
      <c r="I15" s="1557" t="s">
        <v>2624</v>
      </c>
      <c r="J15" s="1556">
        <v>5.79</v>
      </c>
      <c r="K15" s="1558">
        <v>10.74</v>
      </c>
      <c r="M15" s="1559">
        <f t="shared" si="0"/>
        <v>4.95</v>
      </c>
    </row>
    <row r="16" spans="1:13" ht="13.5" hidden="1" thickTop="1">
      <c r="A16" s="1553">
        <v>38838</v>
      </c>
      <c r="B16" s="1554">
        <v>7.47</v>
      </c>
      <c r="C16" s="1555" t="s">
        <v>770</v>
      </c>
      <c r="D16" s="1556">
        <v>7.47</v>
      </c>
      <c r="E16" s="1556">
        <v>3.52</v>
      </c>
      <c r="F16" s="1555" t="s">
        <v>770</v>
      </c>
      <c r="G16" s="1556" t="s">
        <v>1813</v>
      </c>
      <c r="H16" s="1557" t="s">
        <v>2623</v>
      </c>
      <c r="I16" s="1557" t="s">
        <v>2624</v>
      </c>
      <c r="J16" s="1556">
        <v>5.8</v>
      </c>
      <c r="K16" s="1558">
        <v>10.8</v>
      </c>
      <c r="M16" s="1559">
        <f t="shared" si="0"/>
        <v>5.0000000000000009</v>
      </c>
    </row>
    <row r="17" spans="1:13" ht="13.5" hidden="1" thickTop="1">
      <c r="A17" s="1553">
        <v>38869</v>
      </c>
      <c r="B17" s="1554">
        <v>7.33</v>
      </c>
      <c r="C17" s="1555" t="s">
        <v>770</v>
      </c>
      <c r="D17" s="1556">
        <v>7.34</v>
      </c>
      <c r="E17" s="1556">
        <v>3.54</v>
      </c>
      <c r="F17" s="1555" t="s">
        <v>770</v>
      </c>
      <c r="G17" s="1556" t="s">
        <v>1813</v>
      </c>
      <c r="H17" s="1557" t="s">
        <v>2623</v>
      </c>
      <c r="I17" s="1557" t="s">
        <v>2624</v>
      </c>
      <c r="J17" s="1556">
        <v>5.52</v>
      </c>
      <c r="K17" s="1558">
        <v>11.08</v>
      </c>
      <c r="M17" s="1559">
        <f t="shared" si="0"/>
        <v>5.5600000000000005</v>
      </c>
    </row>
    <row r="18" spans="1:13" ht="13.5" hidden="1" thickTop="1">
      <c r="A18" s="1553">
        <v>38899</v>
      </c>
      <c r="B18" s="1554">
        <v>7.35</v>
      </c>
      <c r="C18" s="1555" t="s">
        <v>770</v>
      </c>
      <c r="D18" s="1556">
        <v>7.34</v>
      </c>
      <c r="E18" s="1556">
        <v>3.65</v>
      </c>
      <c r="F18" s="1555" t="s">
        <v>770</v>
      </c>
      <c r="G18" s="1556" t="s">
        <v>1812</v>
      </c>
      <c r="H18" s="1557" t="s">
        <v>2625</v>
      </c>
      <c r="I18" s="1557" t="s">
        <v>2626</v>
      </c>
      <c r="J18" s="1556">
        <v>6.24</v>
      </c>
      <c r="K18" s="1558">
        <v>11.51</v>
      </c>
      <c r="M18" s="1559">
        <f t="shared" si="0"/>
        <v>5.27</v>
      </c>
    </row>
    <row r="19" spans="1:13" ht="13.5" hidden="1" thickTop="1">
      <c r="A19" s="1553">
        <v>38930</v>
      </c>
      <c r="B19" s="1554">
        <v>7.3</v>
      </c>
      <c r="C19" s="1555" t="s">
        <v>770</v>
      </c>
      <c r="D19" s="1556">
        <v>7.26</v>
      </c>
      <c r="E19" s="1556">
        <v>5.15</v>
      </c>
      <c r="F19" s="1555">
        <v>12</v>
      </c>
      <c r="G19" s="1556" t="s">
        <v>1812</v>
      </c>
      <c r="H19" s="1557" t="s">
        <v>2625</v>
      </c>
      <c r="I19" s="1557" t="s">
        <v>2626</v>
      </c>
      <c r="J19" s="1556">
        <v>6.24</v>
      </c>
      <c r="K19" s="1558">
        <v>11.48</v>
      </c>
      <c r="M19" s="1559">
        <f t="shared" si="0"/>
        <v>5.24</v>
      </c>
    </row>
    <row r="20" spans="1:13" ht="13.5" hidden="1" thickTop="1">
      <c r="A20" s="1553">
        <v>38961</v>
      </c>
      <c r="B20" s="1554">
        <v>9.2100000000000009</v>
      </c>
      <c r="C20" s="1555" t="s">
        <v>770</v>
      </c>
      <c r="D20" s="1556">
        <v>8.7899999999999991</v>
      </c>
      <c r="E20" s="1556">
        <v>8.0399999999999991</v>
      </c>
      <c r="F20" s="1555">
        <v>12</v>
      </c>
      <c r="G20" s="1556" t="s">
        <v>1811</v>
      </c>
      <c r="H20" s="1557" t="s">
        <v>2627</v>
      </c>
      <c r="I20" s="1557" t="s">
        <v>2628</v>
      </c>
      <c r="J20" s="1556">
        <v>7</v>
      </c>
      <c r="K20" s="1558">
        <v>12.29</v>
      </c>
      <c r="M20" s="1559">
        <f t="shared" si="0"/>
        <v>5.2899999999999991</v>
      </c>
    </row>
    <row r="21" spans="1:13" ht="13.5" hidden="1" thickTop="1">
      <c r="A21" s="1553">
        <v>38991</v>
      </c>
      <c r="B21" s="1554">
        <v>10.210000000000001</v>
      </c>
      <c r="C21" s="1555" t="s">
        <v>770</v>
      </c>
      <c r="D21" s="1556">
        <v>10.17</v>
      </c>
      <c r="E21" s="1556">
        <v>10.83</v>
      </c>
      <c r="F21" s="1555">
        <v>13</v>
      </c>
      <c r="G21" s="1556" t="s">
        <v>1811</v>
      </c>
      <c r="H21" s="1557" t="s">
        <v>2627</v>
      </c>
      <c r="I21" s="1557" t="s">
        <v>2628</v>
      </c>
      <c r="J21" s="1556">
        <v>7.04</v>
      </c>
      <c r="K21" s="1558">
        <v>12.28</v>
      </c>
      <c r="M21" s="1559">
        <f t="shared" si="0"/>
        <v>5.2399999999999993</v>
      </c>
    </row>
    <row r="22" spans="1:13" ht="13.5" hidden="1" thickTop="1">
      <c r="A22" s="1553">
        <v>39022</v>
      </c>
      <c r="B22" s="1554">
        <v>10.74</v>
      </c>
      <c r="C22" s="1555" t="s">
        <v>770</v>
      </c>
      <c r="D22" s="1556">
        <v>10.66</v>
      </c>
      <c r="E22" s="1556">
        <v>8.98</v>
      </c>
      <c r="F22" s="1555" t="s">
        <v>770</v>
      </c>
      <c r="G22" s="1556" t="s">
        <v>1811</v>
      </c>
      <c r="H22" s="1557" t="s">
        <v>2627</v>
      </c>
      <c r="I22" s="1557" t="s">
        <v>2628</v>
      </c>
      <c r="J22" s="1556">
        <v>7.13</v>
      </c>
      <c r="K22" s="1558">
        <v>12.2</v>
      </c>
      <c r="M22" s="1559">
        <f t="shared" si="0"/>
        <v>5.0699999999999994</v>
      </c>
    </row>
    <row r="23" spans="1:13" ht="18" hidden="1" customHeight="1" thickTop="1">
      <c r="A23" s="1553">
        <v>39052</v>
      </c>
      <c r="B23" s="1554">
        <v>11.98</v>
      </c>
      <c r="C23" s="1555" t="s">
        <v>770</v>
      </c>
      <c r="D23" s="1556">
        <v>11.84</v>
      </c>
      <c r="E23" s="1556">
        <v>8.86</v>
      </c>
      <c r="F23" s="1555" t="s">
        <v>770</v>
      </c>
      <c r="G23" s="1556" t="s">
        <v>1811</v>
      </c>
      <c r="H23" s="1557" t="s">
        <v>2629</v>
      </c>
      <c r="I23" s="1557" t="s">
        <v>2628</v>
      </c>
      <c r="J23" s="1556">
        <v>7.12</v>
      </c>
      <c r="K23" s="1558">
        <v>12.2</v>
      </c>
      <c r="M23" s="1559"/>
    </row>
    <row r="24" spans="1:13" ht="18" hidden="1" customHeight="1">
      <c r="A24" s="1553">
        <v>39083</v>
      </c>
      <c r="B24" s="1554">
        <v>13.07</v>
      </c>
      <c r="C24" s="1555" t="s">
        <v>770</v>
      </c>
      <c r="D24" s="1556">
        <v>12.99</v>
      </c>
      <c r="E24" s="1556">
        <v>8.5500000000000007</v>
      </c>
      <c r="F24" s="1555" t="s">
        <v>770</v>
      </c>
      <c r="G24" s="1556" t="s">
        <v>1811</v>
      </c>
      <c r="H24" s="1557" t="s">
        <v>2630</v>
      </c>
      <c r="I24" s="1557" t="s">
        <v>2628</v>
      </c>
      <c r="J24" s="1556">
        <v>7.26</v>
      </c>
      <c r="K24" s="1558">
        <v>12.22</v>
      </c>
      <c r="M24" s="1559"/>
    </row>
    <row r="25" spans="1:13" ht="18" hidden="1" customHeight="1">
      <c r="A25" s="1553">
        <v>39114</v>
      </c>
      <c r="B25" s="1554">
        <v>13.13</v>
      </c>
      <c r="C25" s="1555" t="s">
        <v>770</v>
      </c>
      <c r="D25" s="1556">
        <v>13.25</v>
      </c>
      <c r="E25" s="1556">
        <v>9.0399999999999991</v>
      </c>
      <c r="F25" s="1555" t="s">
        <v>770</v>
      </c>
      <c r="G25" s="1556" t="s">
        <v>1811</v>
      </c>
      <c r="H25" s="1557" t="s">
        <v>2630</v>
      </c>
      <c r="I25" s="1557" t="s">
        <v>2628</v>
      </c>
      <c r="J25" s="1556">
        <v>7.26</v>
      </c>
      <c r="K25" s="1558">
        <v>12.23</v>
      </c>
      <c r="M25" s="1559"/>
    </row>
    <row r="26" spans="1:13" ht="18" hidden="1" customHeight="1">
      <c r="A26" s="1553">
        <v>39142</v>
      </c>
      <c r="B26" s="1554">
        <v>11.94</v>
      </c>
      <c r="C26" s="1555" t="s">
        <v>770</v>
      </c>
      <c r="D26" s="1556">
        <v>12.11</v>
      </c>
      <c r="E26" s="1556">
        <v>8.31</v>
      </c>
      <c r="F26" s="1555" t="s">
        <v>770</v>
      </c>
      <c r="G26" s="1556" t="s">
        <v>1811</v>
      </c>
      <c r="H26" s="1557" t="s">
        <v>2631</v>
      </c>
      <c r="I26" s="1557" t="s">
        <v>2628</v>
      </c>
      <c r="J26" s="1556">
        <v>7.35</v>
      </c>
      <c r="K26" s="1558">
        <v>12.31</v>
      </c>
      <c r="M26" s="1559"/>
    </row>
    <row r="27" spans="1:13" ht="18" hidden="1" customHeight="1">
      <c r="A27" s="1553">
        <v>39173</v>
      </c>
      <c r="B27" s="1554">
        <v>11.52</v>
      </c>
      <c r="C27" s="1555" t="s">
        <v>770</v>
      </c>
      <c r="D27" s="1556">
        <v>11.47</v>
      </c>
      <c r="E27" s="1556">
        <v>8.1</v>
      </c>
      <c r="F27" s="1555" t="s">
        <v>770</v>
      </c>
      <c r="G27" s="1556" t="s">
        <v>1811</v>
      </c>
      <c r="H27" s="1557" t="s">
        <v>2632</v>
      </c>
      <c r="I27" s="1557" t="s">
        <v>2628</v>
      </c>
      <c r="J27" s="1556">
        <v>7.36</v>
      </c>
      <c r="K27" s="1558">
        <v>12.43</v>
      </c>
      <c r="M27" s="1559"/>
    </row>
    <row r="28" spans="1:13" ht="18" hidden="1" customHeight="1">
      <c r="A28" s="1553">
        <v>39203</v>
      </c>
      <c r="B28" s="1554">
        <v>11.65</v>
      </c>
      <c r="C28" s="1555" t="s">
        <v>770</v>
      </c>
      <c r="D28" s="1556">
        <v>11.67</v>
      </c>
      <c r="E28" s="1556">
        <v>8.3699999999999992</v>
      </c>
      <c r="F28" s="1555" t="s">
        <v>770</v>
      </c>
      <c r="G28" s="1556" t="s">
        <v>1811</v>
      </c>
      <c r="H28" s="1557" t="s">
        <v>2630</v>
      </c>
      <c r="I28" s="1557" t="s">
        <v>2628</v>
      </c>
      <c r="J28" s="1556">
        <v>7.3</v>
      </c>
      <c r="K28" s="1558">
        <v>12.35</v>
      </c>
      <c r="M28" s="1559"/>
    </row>
    <row r="29" spans="1:13" ht="18" hidden="1" customHeight="1">
      <c r="A29" s="1553">
        <v>39234</v>
      </c>
      <c r="B29" s="1554">
        <v>11.04</v>
      </c>
      <c r="C29" s="1555" t="s">
        <v>770</v>
      </c>
      <c r="D29" s="1556">
        <v>11.08</v>
      </c>
      <c r="E29" s="1556">
        <v>8.31</v>
      </c>
      <c r="F29" s="1555" t="s">
        <v>770</v>
      </c>
      <c r="G29" s="1556" t="s">
        <v>1811</v>
      </c>
      <c r="H29" s="1557" t="s">
        <v>2633</v>
      </c>
      <c r="I29" s="1557" t="s">
        <v>2628</v>
      </c>
      <c r="J29" s="1556">
        <v>7.21</v>
      </c>
      <c r="K29" s="1558">
        <v>12.35</v>
      </c>
      <c r="L29" s="1559"/>
      <c r="M29" s="1559"/>
    </row>
    <row r="30" spans="1:13" ht="18" hidden="1" customHeight="1">
      <c r="A30" s="1553">
        <v>39264</v>
      </c>
      <c r="B30" s="1554">
        <v>11.29</v>
      </c>
      <c r="C30" s="1555" t="s">
        <v>770</v>
      </c>
      <c r="D30" s="1556">
        <v>11.23</v>
      </c>
      <c r="E30" s="1556">
        <v>8.77</v>
      </c>
      <c r="F30" s="1555" t="s">
        <v>770</v>
      </c>
      <c r="G30" s="1556" t="s">
        <v>1810</v>
      </c>
      <c r="H30" s="1557" t="s">
        <v>2630</v>
      </c>
      <c r="I30" s="1557" t="s">
        <v>2634</v>
      </c>
      <c r="J30" s="1556">
        <v>7.79</v>
      </c>
      <c r="K30" s="1558">
        <v>12.73</v>
      </c>
      <c r="L30" s="1559"/>
      <c r="M30" s="1559"/>
    </row>
    <row r="31" spans="1:13" ht="18" hidden="1" customHeight="1">
      <c r="A31" s="1553">
        <v>39295</v>
      </c>
      <c r="B31" s="1554">
        <v>10.029999999999999</v>
      </c>
      <c r="C31" s="1555" t="s">
        <v>770</v>
      </c>
      <c r="D31" s="1556">
        <v>10.199999999999999</v>
      </c>
      <c r="E31" s="1556">
        <v>8.77</v>
      </c>
      <c r="F31" s="1555" t="s">
        <v>770</v>
      </c>
      <c r="G31" s="1556" t="s">
        <v>1810</v>
      </c>
      <c r="H31" s="1557" t="s">
        <v>2630</v>
      </c>
      <c r="I31" s="1557" t="s">
        <v>2626</v>
      </c>
      <c r="J31" s="1556">
        <v>7.88</v>
      </c>
      <c r="K31" s="1558">
        <v>12.76</v>
      </c>
      <c r="L31" s="1559"/>
      <c r="M31" s="1559"/>
    </row>
    <row r="32" spans="1:13" ht="18" hidden="1" customHeight="1">
      <c r="A32" s="1553">
        <v>39326</v>
      </c>
      <c r="B32" s="1554">
        <v>9.4499999999999993</v>
      </c>
      <c r="C32" s="1555" t="s">
        <v>770</v>
      </c>
      <c r="D32" s="1556">
        <v>9.49</v>
      </c>
      <c r="E32" s="1556">
        <v>8.94</v>
      </c>
      <c r="F32" s="1555" t="s">
        <v>770</v>
      </c>
      <c r="G32" s="1556" t="s">
        <v>1810</v>
      </c>
      <c r="H32" s="1557" t="s">
        <v>2630</v>
      </c>
      <c r="I32" s="1557" t="s">
        <v>2635</v>
      </c>
      <c r="J32" s="1556">
        <v>7.79</v>
      </c>
      <c r="K32" s="1558">
        <v>12.72</v>
      </c>
      <c r="L32" s="1559"/>
      <c r="M32" s="1559"/>
    </row>
    <row r="33" spans="1:13" ht="18" hidden="1" customHeight="1">
      <c r="A33" s="1553">
        <v>39356</v>
      </c>
      <c r="B33" s="1554">
        <v>9.14</v>
      </c>
      <c r="C33" s="1555" t="s">
        <v>770</v>
      </c>
      <c r="D33" s="1556">
        <v>9.24</v>
      </c>
      <c r="E33" s="1556">
        <v>9.2200000000000006</v>
      </c>
      <c r="F33" s="1555" t="s">
        <v>770</v>
      </c>
      <c r="G33" s="1556" t="s">
        <v>1810</v>
      </c>
      <c r="H33" s="1557" t="s">
        <v>2632</v>
      </c>
      <c r="I33" s="1557" t="s">
        <v>2636</v>
      </c>
      <c r="J33" s="1556">
        <v>7.72</v>
      </c>
      <c r="K33" s="1558">
        <v>12.77</v>
      </c>
      <c r="L33" s="1559"/>
      <c r="M33" s="1559"/>
    </row>
    <row r="34" spans="1:13" ht="18" hidden="1" customHeight="1">
      <c r="A34" s="1553">
        <v>39387</v>
      </c>
      <c r="B34" s="1554">
        <v>9.16</v>
      </c>
      <c r="C34" s="1555" t="s">
        <v>770</v>
      </c>
      <c r="D34" s="1556">
        <v>9.07</v>
      </c>
      <c r="E34" s="1556">
        <v>8.6</v>
      </c>
      <c r="F34" s="1555" t="s">
        <v>770</v>
      </c>
      <c r="G34" s="1556" t="s">
        <v>1810</v>
      </c>
      <c r="H34" s="1557" t="s">
        <v>2637</v>
      </c>
      <c r="I34" s="1557" t="s">
        <v>2635</v>
      </c>
      <c r="J34" s="1556">
        <v>7.72</v>
      </c>
      <c r="K34" s="1558">
        <v>12.82</v>
      </c>
      <c r="L34" s="1559"/>
      <c r="M34" s="1559"/>
    </row>
    <row r="35" spans="1:13" ht="18" hidden="1" customHeight="1">
      <c r="A35" s="1553">
        <v>39417</v>
      </c>
      <c r="B35" s="1554">
        <v>10.029999999999999</v>
      </c>
      <c r="C35" s="1555" t="s">
        <v>770</v>
      </c>
      <c r="D35" s="1556">
        <v>9.93</v>
      </c>
      <c r="E35" s="1556">
        <v>8.75</v>
      </c>
      <c r="F35" s="1555" t="s">
        <v>770</v>
      </c>
      <c r="G35" s="1556" t="s">
        <v>1810</v>
      </c>
      <c r="H35" s="1557" t="s">
        <v>2637</v>
      </c>
      <c r="I35" s="1557" t="s">
        <v>2635</v>
      </c>
      <c r="J35" s="1556">
        <v>7.43</v>
      </c>
      <c r="K35" s="1558">
        <v>12.84</v>
      </c>
      <c r="L35" s="1559"/>
      <c r="M35" s="1559"/>
    </row>
    <row r="36" spans="1:13" ht="18" hidden="1" customHeight="1">
      <c r="A36" s="1553">
        <v>39455</v>
      </c>
      <c r="B36" s="1554">
        <v>9.85</v>
      </c>
      <c r="C36" s="1555" t="s">
        <v>770</v>
      </c>
      <c r="D36" s="1556">
        <v>9.82</v>
      </c>
      <c r="E36" s="1556">
        <v>8.67</v>
      </c>
      <c r="F36" s="1555" t="s">
        <v>770</v>
      </c>
      <c r="G36" s="1556" t="s">
        <v>1810</v>
      </c>
      <c r="H36" s="1557" t="s">
        <v>2630</v>
      </c>
      <c r="I36" s="1557" t="s">
        <v>2635</v>
      </c>
      <c r="J36" s="1556">
        <v>7.58</v>
      </c>
      <c r="K36" s="1558">
        <v>13.03</v>
      </c>
      <c r="L36" s="1559"/>
      <c r="M36" s="1559"/>
    </row>
    <row r="37" spans="1:13" ht="18" hidden="1" customHeight="1">
      <c r="A37" s="1553">
        <v>39486</v>
      </c>
      <c r="B37" s="1554">
        <v>8.26</v>
      </c>
      <c r="C37" s="1555" t="s">
        <v>770</v>
      </c>
      <c r="D37" s="1556">
        <v>8.6300000000000008</v>
      </c>
      <c r="E37" s="1556">
        <v>8.0500000000000007</v>
      </c>
      <c r="F37" s="1555" t="s">
        <v>770</v>
      </c>
      <c r="G37" s="1556" t="s">
        <v>1809</v>
      </c>
      <c r="H37" s="1557" t="s">
        <v>2638</v>
      </c>
      <c r="I37" s="1557" t="s">
        <v>2330</v>
      </c>
      <c r="J37" s="1556">
        <v>7.36</v>
      </c>
      <c r="K37" s="1558">
        <v>12.87</v>
      </c>
      <c r="L37" s="1559"/>
      <c r="M37" s="1559"/>
    </row>
    <row r="38" spans="1:13" ht="18" hidden="1" customHeight="1">
      <c r="A38" s="1553">
        <v>39515</v>
      </c>
      <c r="B38" s="1554">
        <v>7.51</v>
      </c>
      <c r="C38" s="1555" t="s">
        <v>770</v>
      </c>
      <c r="D38" s="1556">
        <v>7.6</v>
      </c>
      <c r="E38" s="1556">
        <v>7.48</v>
      </c>
      <c r="F38" s="1555" t="s">
        <v>770</v>
      </c>
      <c r="G38" s="1556" t="s">
        <v>1808</v>
      </c>
      <c r="H38" s="1557" t="s">
        <v>2638</v>
      </c>
      <c r="I38" s="1557" t="s">
        <v>2639</v>
      </c>
      <c r="J38" s="1556">
        <v>7.08</v>
      </c>
      <c r="K38" s="1558">
        <v>12.46</v>
      </c>
      <c r="L38" s="1559"/>
      <c r="M38" s="1559"/>
    </row>
    <row r="39" spans="1:13" ht="18" hidden="1" customHeight="1">
      <c r="A39" s="1553">
        <v>39546</v>
      </c>
      <c r="B39" s="1554">
        <v>7.56</v>
      </c>
      <c r="C39" s="1555" t="s">
        <v>770</v>
      </c>
      <c r="D39" s="1556">
        <v>7.49</v>
      </c>
      <c r="E39" s="1556">
        <v>6.84</v>
      </c>
      <c r="F39" s="1555" t="s">
        <v>770</v>
      </c>
      <c r="G39" s="1556" t="s">
        <v>1128</v>
      </c>
      <c r="H39" s="1557" t="s">
        <v>2638</v>
      </c>
      <c r="I39" s="1557" t="s">
        <v>2529</v>
      </c>
      <c r="J39" s="1556">
        <v>6.91</v>
      </c>
      <c r="K39" s="1558">
        <v>12.49</v>
      </c>
      <c r="L39" s="1559"/>
      <c r="M39" s="1559"/>
    </row>
    <row r="40" spans="1:13" ht="18" hidden="1" customHeight="1">
      <c r="A40" s="1553">
        <v>39576</v>
      </c>
      <c r="B40" s="1554">
        <v>7.33</v>
      </c>
      <c r="C40" s="1555" t="s">
        <v>770</v>
      </c>
      <c r="D40" s="1556">
        <v>7.34</v>
      </c>
      <c r="E40" s="1556">
        <v>6.67</v>
      </c>
      <c r="F40" s="1555" t="s">
        <v>770</v>
      </c>
      <c r="G40" s="1556" t="s">
        <v>1143</v>
      </c>
      <c r="H40" s="1557" t="s">
        <v>2638</v>
      </c>
      <c r="I40" s="1557" t="s">
        <v>2640</v>
      </c>
      <c r="J40" s="1556">
        <v>6.54</v>
      </c>
      <c r="K40" s="1558">
        <v>12.03</v>
      </c>
      <c r="L40" s="1559"/>
      <c r="M40" s="1559"/>
    </row>
    <row r="41" spans="1:13" ht="18" hidden="1" customHeight="1">
      <c r="A41" s="1553">
        <v>39607</v>
      </c>
      <c r="B41" s="1554">
        <v>7.37</v>
      </c>
      <c r="C41" s="1555" t="s">
        <v>770</v>
      </c>
      <c r="D41" s="1556">
        <v>7.35</v>
      </c>
      <c r="E41" s="1556">
        <v>6.54</v>
      </c>
      <c r="F41" s="1555" t="s">
        <v>770</v>
      </c>
      <c r="G41" s="1556" t="s">
        <v>1143</v>
      </c>
      <c r="H41" s="1557" t="s">
        <v>2641</v>
      </c>
      <c r="I41" s="1557" t="s">
        <v>2642</v>
      </c>
      <c r="J41" s="1556">
        <v>6.4</v>
      </c>
      <c r="K41" s="1558">
        <v>12.03</v>
      </c>
      <c r="L41" s="1559"/>
      <c r="M41" s="1559"/>
    </row>
    <row r="42" spans="1:13" ht="13.5" hidden="1" thickTop="1">
      <c r="A42" s="1553">
        <v>39637</v>
      </c>
      <c r="B42" s="1554">
        <v>7.36</v>
      </c>
      <c r="C42" s="1555" t="s">
        <v>770</v>
      </c>
      <c r="D42" s="1556">
        <v>7.37</v>
      </c>
      <c r="E42" s="1556">
        <v>6.82</v>
      </c>
      <c r="F42" s="1555" t="s">
        <v>770</v>
      </c>
      <c r="G42" s="1556" t="s">
        <v>1789</v>
      </c>
      <c r="H42" s="1557" t="s">
        <v>2641</v>
      </c>
      <c r="I42" s="1557" t="s">
        <v>2643</v>
      </c>
      <c r="J42" s="1556">
        <v>6.6</v>
      </c>
      <c r="K42" s="1558">
        <v>12.04</v>
      </c>
      <c r="L42" s="1559"/>
      <c r="M42" s="1559"/>
    </row>
    <row r="43" spans="1:13" ht="13.5" hidden="1" thickTop="1">
      <c r="A43" s="1553">
        <v>39668</v>
      </c>
      <c r="B43" s="1554">
        <v>7.93</v>
      </c>
      <c r="C43" s="1555" t="s">
        <v>770</v>
      </c>
      <c r="D43" s="1556">
        <v>7.83</v>
      </c>
      <c r="E43" s="1556">
        <v>6.78</v>
      </c>
      <c r="F43" s="1555" t="s">
        <v>770</v>
      </c>
      <c r="G43" s="1556" t="s">
        <v>1789</v>
      </c>
      <c r="H43" s="1557" t="s">
        <v>2641</v>
      </c>
      <c r="I43" s="1557" t="s">
        <v>2644</v>
      </c>
      <c r="J43" s="1556">
        <v>6.65</v>
      </c>
      <c r="K43" s="1558">
        <v>12.31</v>
      </c>
      <c r="L43" s="1559"/>
      <c r="M43" s="1559"/>
    </row>
    <row r="44" spans="1:13" ht="18" hidden="1" customHeight="1">
      <c r="A44" s="1553">
        <v>39699</v>
      </c>
      <c r="B44" s="1554">
        <v>8.91</v>
      </c>
      <c r="C44" s="1555" t="s">
        <v>770</v>
      </c>
      <c r="D44" s="1556">
        <v>8.6999999999999993</v>
      </c>
      <c r="E44" s="1556">
        <v>8.9700000000000006</v>
      </c>
      <c r="F44" s="1555" t="s">
        <v>770</v>
      </c>
      <c r="G44" s="1556" t="s">
        <v>1789</v>
      </c>
      <c r="H44" s="1557" t="s">
        <v>2641</v>
      </c>
      <c r="I44" s="1557" t="s">
        <v>2645</v>
      </c>
      <c r="J44" s="1556">
        <v>6.7</v>
      </c>
      <c r="K44" s="1558">
        <v>12.27</v>
      </c>
      <c r="L44" s="1559"/>
      <c r="M44" s="1559"/>
    </row>
    <row r="45" spans="1:13" s="1561" customFormat="1" ht="18" hidden="1" customHeight="1">
      <c r="A45" s="1553">
        <v>39729</v>
      </c>
      <c r="B45" s="1554">
        <v>9.4</v>
      </c>
      <c r="C45" s="1555" t="s">
        <v>770</v>
      </c>
      <c r="D45" s="1556">
        <v>9.39</v>
      </c>
      <c r="E45" s="1556">
        <v>8.94</v>
      </c>
      <c r="F45" s="1555" t="s">
        <v>770</v>
      </c>
      <c r="G45" s="1556" t="s">
        <v>1789</v>
      </c>
      <c r="H45" s="1557" t="s">
        <v>2641</v>
      </c>
      <c r="I45" s="1557" t="s">
        <v>2645</v>
      </c>
      <c r="J45" s="1556">
        <v>6.76</v>
      </c>
      <c r="K45" s="1558">
        <v>12.26</v>
      </c>
      <c r="L45" s="1560"/>
      <c r="M45" s="1559"/>
    </row>
    <row r="46" spans="1:13" s="1561" customFormat="1" ht="18" hidden="1" customHeight="1">
      <c r="A46" s="1553">
        <v>39760</v>
      </c>
      <c r="B46" s="1554">
        <v>9.24</v>
      </c>
      <c r="C46" s="1555" t="s">
        <v>770</v>
      </c>
      <c r="D46" s="1556">
        <v>9.2799999999999994</v>
      </c>
      <c r="E46" s="1556">
        <v>8.89</v>
      </c>
      <c r="F46" s="1555" t="s">
        <v>770</v>
      </c>
      <c r="G46" s="1556" t="s">
        <v>1807</v>
      </c>
      <c r="H46" s="1557" t="s">
        <v>1413</v>
      </c>
      <c r="I46" s="1557" t="s">
        <v>2326</v>
      </c>
      <c r="J46" s="1556">
        <v>6.38</v>
      </c>
      <c r="K46" s="1558">
        <v>11.74</v>
      </c>
      <c r="L46" s="1560"/>
      <c r="M46" s="1559"/>
    </row>
    <row r="47" spans="1:13" s="1561" customFormat="1" ht="18" hidden="1" customHeight="1">
      <c r="A47" s="1553">
        <v>39790</v>
      </c>
      <c r="B47" s="1554">
        <v>8.9600000000000009</v>
      </c>
      <c r="C47" s="1555" t="s">
        <v>770</v>
      </c>
      <c r="D47" s="1556">
        <v>9.06</v>
      </c>
      <c r="E47" s="1556">
        <v>7.24</v>
      </c>
      <c r="F47" s="1555" t="s">
        <v>770</v>
      </c>
      <c r="G47" s="1556" t="s">
        <v>1023</v>
      </c>
      <c r="H47" s="1557" t="s">
        <v>2641</v>
      </c>
      <c r="I47" s="1557" t="s">
        <v>2508</v>
      </c>
      <c r="J47" s="1556">
        <v>5.77</v>
      </c>
      <c r="K47" s="1558">
        <v>11.04</v>
      </c>
      <c r="L47" s="1560"/>
      <c r="M47" s="1559"/>
    </row>
    <row r="48" spans="1:13" s="1561" customFormat="1" ht="18" hidden="1" customHeight="1">
      <c r="A48" s="1553">
        <v>39821</v>
      </c>
      <c r="B48" s="1554">
        <v>8.0399999999999991</v>
      </c>
      <c r="C48" s="1555" t="s">
        <v>770</v>
      </c>
      <c r="D48" s="1556">
        <v>8.2100000000000009</v>
      </c>
      <c r="E48" s="1556">
        <v>6.96</v>
      </c>
      <c r="F48" s="1555" t="s">
        <v>770</v>
      </c>
      <c r="G48" s="1556" t="s">
        <v>1023</v>
      </c>
      <c r="H48" s="1557" t="s">
        <v>2641</v>
      </c>
      <c r="I48" s="1557" t="s">
        <v>2508</v>
      </c>
      <c r="J48" s="1556">
        <v>5.79</v>
      </c>
      <c r="K48" s="1558">
        <v>10.99</v>
      </c>
      <c r="L48" s="1560"/>
      <c r="M48" s="1560"/>
    </row>
    <row r="49" spans="1:13" s="1561" customFormat="1" ht="18" hidden="1" customHeight="1">
      <c r="A49" s="1553">
        <v>39852</v>
      </c>
      <c r="B49" s="1554">
        <v>7.02</v>
      </c>
      <c r="C49" s="1555" t="s">
        <v>770</v>
      </c>
      <c r="D49" s="1556">
        <v>7.17</v>
      </c>
      <c r="E49" s="1556">
        <v>6.53</v>
      </c>
      <c r="F49" s="1555" t="s">
        <v>770</v>
      </c>
      <c r="G49" s="1556" t="s">
        <v>1023</v>
      </c>
      <c r="H49" s="1557" t="s">
        <v>2641</v>
      </c>
      <c r="I49" s="1557" t="s">
        <v>2508</v>
      </c>
      <c r="J49" s="1556">
        <v>5.79</v>
      </c>
      <c r="K49" s="1558">
        <v>10.98</v>
      </c>
      <c r="L49" s="1560"/>
      <c r="M49" s="1560"/>
    </row>
    <row r="50" spans="1:13" s="1561" customFormat="1" ht="18" hidden="1" customHeight="1">
      <c r="A50" s="1553">
        <v>39880</v>
      </c>
      <c r="B50" s="1554">
        <v>6.07</v>
      </c>
      <c r="C50" s="1555" t="s">
        <v>770</v>
      </c>
      <c r="D50" s="1556">
        <v>6.31</v>
      </c>
      <c r="E50" s="1556">
        <v>5.77</v>
      </c>
      <c r="F50" s="1555" t="s">
        <v>770</v>
      </c>
      <c r="G50" s="1556" t="s">
        <v>1806</v>
      </c>
      <c r="H50" s="1557" t="s">
        <v>2638</v>
      </c>
      <c r="I50" s="1557" t="s">
        <v>2508</v>
      </c>
      <c r="J50" s="1556">
        <v>5.44</v>
      </c>
      <c r="K50" s="1558">
        <v>10.54</v>
      </c>
      <c r="L50" s="1560"/>
      <c r="M50" s="1560"/>
    </row>
    <row r="51" spans="1:13" s="1561" customFormat="1" ht="18" hidden="1" customHeight="1">
      <c r="A51" s="1553">
        <v>39911</v>
      </c>
      <c r="B51" s="1554">
        <v>5.09</v>
      </c>
      <c r="C51" s="1555" t="s">
        <v>770</v>
      </c>
      <c r="D51" s="1556">
        <v>5.0999999999999996</v>
      </c>
      <c r="E51" s="1556">
        <v>4.8099999999999996</v>
      </c>
      <c r="F51" s="1555" t="s">
        <v>770</v>
      </c>
      <c r="G51" s="1556" t="s">
        <v>875</v>
      </c>
      <c r="H51" s="1557" t="s">
        <v>1984</v>
      </c>
      <c r="I51" s="1557" t="s">
        <v>2508</v>
      </c>
      <c r="J51" s="1556">
        <v>4.79</v>
      </c>
      <c r="K51" s="1558">
        <v>10.220000000000001</v>
      </c>
      <c r="L51" s="1560"/>
      <c r="M51" s="1560"/>
    </row>
    <row r="52" spans="1:13" s="1561" customFormat="1" ht="18" hidden="1" customHeight="1">
      <c r="A52" s="1553">
        <v>39941</v>
      </c>
      <c r="B52" s="1554">
        <v>4.79</v>
      </c>
      <c r="C52" s="1555" t="s">
        <v>770</v>
      </c>
      <c r="D52" s="1556">
        <v>4.8099999999999996</v>
      </c>
      <c r="E52" s="1556">
        <v>4.7</v>
      </c>
      <c r="F52" s="1555" t="s">
        <v>770</v>
      </c>
      <c r="G52" s="1556" t="s">
        <v>875</v>
      </c>
      <c r="H52" s="1557" t="s">
        <v>1984</v>
      </c>
      <c r="I52" s="1557" t="s">
        <v>2508</v>
      </c>
      <c r="J52" s="1556">
        <v>4.8099999999999996</v>
      </c>
      <c r="K52" s="1558">
        <v>10.210000000000001</v>
      </c>
      <c r="L52" s="1560"/>
      <c r="M52" s="1560"/>
    </row>
    <row r="53" spans="1:13" s="1561" customFormat="1" ht="18" hidden="1" customHeight="1">
      <c r="A53" s="1553">
        <v>39972</v>
      </c>
      <c r="B53" s="1554">
        <v>4.72</v>
      </c>
      <c r="C53" s="1555" t="s">
        <v>770</v>
      </c>
      <c r="D53" s="1556">
        <v>4.75</v>
      </c>
      <c r="E53" s="1556">
        <v>4.28</v>
      </c>
      <c r="F53" s="1555" t="s">
        <v>770</v>
      </c>
      <c r="G53" s="1556" t="s">
        <v>875</v>
      </c>
      <c r="H53" s="1557" t="s">
        <v>1984</v>
      </c>
      <c r="I53" s="1557" t="s">
        <v>2508</v>
      </c>
      <c r="J53" s="1556">
        <v>4.78</v>
      </c>
      <c r="K53" s="1558">
        <v>10.119999999999999</v>
      </c>
      <c r="L53" s="1560"/>
      <c r="M53" s="1560"/>
    </row>
    <row r="54" spans="1:13" s="1561" customFormat="1" ht="18" hidden="1" customHeight="1" thickTop="1">
      <c r="A54" s="1562">
        <v>40002</v>
      </c>
      <c r="B54" s="1554">
        <v>4.66</v>
      </c>
      <c r="C54" s="1555" t="s">
        <v>770</v>
      </c>
      <c r="D54" s="1556">
        <v>4.6900000000000004</v>
      </c>
      <c r="E54" s="1556">
        <v>4.05</v>
      </c>
      <c r="F54" s="1555" t="s">
        <v>770</v>
      </c>
      <c r="G54" s="1556" t="s">
        <v>875</v>
      </c>
      <c r="H54" s="1557" t="s">
        <v>1984</v>
      </c>
      <c r="I54" s="1557" t="s">
        <v>2508</v>
      </c>
      <c r="J54" s="1556">
        <v>4.75</v>
      </c>
      <c r="K54" s="1558">
        <v>10.16</v>
      </c>
      <c r="L54" s="1560"/>
      <c r="M54" s="1560"/>
    </row>
    <row r="55" spans="1:13" s="1561" customFormat="1" ht="18" hidden="1" customHeight="1">
      <c r="A55" s="1562">
        <v>40033</v>
      </c>
      <c r="B55" s="1554">
        <v>4.5</v>
      </c>
      <c r="C55" s="1555" t="s">
        <v>770</v>
      </c>
      <c r="D55" s="1556">
        <v>4.51</v>
      </c>
      <c r="E55" s="1556">
        <v>4.0199999999999996</v>
      </c>
      <c r="F55" s="1555" t="s">
        <v>770</v>
      </c>
      <c r="G55" s="1556" t="s">
        <v>875</v>
      </c>
      <c r="H55" s="1557" t="s">
        <v>1984</v>
      </c>
      <c r="I55" s="1557" t="s">
        <v>2508</v>
      </c>
      <c r="J55" s="1556">
        <v>4.74</v>
      </c>
      <c r="K55" s="1558">
        <v>10.119999999999999</v>
      </c>
      <c r="L55" s="1560"/>
      <c r="M55" s="1560"/>
    </row>
    <row r="56" spans="1:13" s="1561" customFormat="1" ht="18" hidden="1" customHeight="1">
      <c r="A56" s="1562">
        <v>40064</v>
      </c>
      <c r="B56" s="1554">
        <v>4.45</v>
      </c>
      <c r="C56" s="1555" t="s">
        <v>770</v>
      </c>
      <c r="D56" s="1556">
        <v>4.4400000000000004</v>
      </c>
      <c r="E56" s="1556">
        <v>4.0599999999999996</v>
      </c>
      <c r="F56" s="1555" t="s">
        <v>770</v>
      </c>
      <c r="G56" s="1556" t="s">
        <v>875</v>
      </c>
      <c r="H56" s="1557" t="s">
        <v>1984</v>
      </c>
      <c r="I56" s="1557" t="s">
        <v>2508</v>
      </c>
      <c r="J56" s="1556">
        <v>4.66</v>
      </c>
      <c r="K56" s="1558">
        <v>10.09</v>
      </c>
      <c r="L56" s="1560"/>
      <c r="M56" s="1560"/>
    </row>
    <row r="57" spans="1:13" s="1561" customFormat="1" ht="18" hidden="1" customHeight="1">
      <c r="A57" s="1562">
        <v>40094</v>
      </c>
      <c r="B57" s="1554">
        <v>4.71</v>
      </c>
      <c r="C57" s="1555" t="s">
        <v>770</v>
      </c>
      <c r="D57" s="1556">
        <v>4.7300000000000004</v>
      </c>
      <c r="E57" s="1556">
        <v>4.04</v>
      </c>
      <c r="F57" s="1555" t="s">
        <v>770</v>
      </c>
      <c r="G57" s="1556" t="s">
        <v>875</v>
      </c>
      <c r="H57" s="1557" t="s">
        <v>1984</v>
      </c>
      <c r="I57" s="1557" t="s">
        <v>2508</v>
      </c>
      <c r="J57" s="1556">
        <v>4.6500000000000004</v>
      </c>
      <c r="K57" s="1558">
        <v>10.15</v>
      </c>
      <c r="L57" s="1560"/>
      <c r="M57" s="1560"/>
    </row>
    <row r="58" spans="1:13" s="1561" customFormat="1" ht="18" hidden="1" customHeight="1">
      <c r="A58" s="1562">
        <v>40125</v>
      </c>
      <c r="B58" s="1554">
        <v>4.49</v>
      </c>
      <c r="C58" s="1555" t="s">
        <v>770</v>
      </c>
      <c r="D58" s="1556">
        <v>4.53</v>
      </c>
      <c r="E58" s="1556">
        <v>4.0199999999999996</v>
      </c>
      <c r="F58" s="1555" t="s">
        <v>770</v>
      </c>
      <c r="G58" s="1556" t="s">
        <v>875</v>
      </c>
      <c r="H58" s="1557" t="s">
        <v>1984</v>
      </c>
      <c r="I58" s="1557" t="s">
        <v>2508</v>
      </c>
      <c r="J58" s="1556">
        <v>4.66</v>
      </c>
      <c r="K58" s="1558">
        <v>10.08</v>
      </c>
      <c r="L58" s="1560"/>
      <c r="M58" s="1560"/>
    </row>
    <row r="59" spans="1:13" s="1561" customFormat="1" ht="18" hidden="1" customHeight="1">
      <c r="A59" s="1562">
        <v>40155</v>
      </c>
      <c r="B59" s="1554">
        <v>4.4000000000000004</v>
      </c>
      <c r="C59" s="1555" t="s">
        <v>770</v>
      </c>
      <c r="D59" s="1556">
        <v>4.4000000000000004</v>
      </c>
      <c r="E59" s="1556">
        <v>4.26</v>
      </c>
      <c r="F59" s="1555" t="s">
        <v>770</v>
      </c>
      <c r="G59" s="1556" t="s">
        <v>875</v>
      </c>
      <c r="H59" s="1557" t="s">
        <v>1984</v>
      </c>
      <c r="I59" s="1557" t="s">
        <v>2508</v>
      </c>
      <c r="J59" s="1556">
        <v>4.57</v>
      </c>
      <c r="K59" s="1558">
        <v>10.08</v>
      </c>
      <c r="L59" s="1560"/>
      <c r="M59" s="1560"/>
    </row>
    <row r="60" spans="1:13" s="1561" customFormat="1" ht="18" customHeight="1" thickTop="1">
      <c r="A60" s="1562">
        <v>40186</v>
      </c>
      <c r="B60" s="1554">
        <v>4.5199999999999996</v>
      </c>
      <c r="C60" s="1555" t="s">
        <v>770</v>
      </c>
      <c r="D60" s="1556">
        <v>4.51</v>
      </c>
      <c r="E60" s="1556">
        <v>4.26</v>
      </c>
      <c r="F60" s="1555" t="s">
        <v>770</v>
      </c>
      <c r="G60" s="1556" t="s">
        <v>875</v>
      </c>
      <c r="H60" s="1557" t="s">
        <v>1984</v>
      </c>
      <c r="I60" s="1557" t="s">
        <v>2524</v>
      </c>
      <c r="J60" s="1556" t="s">
        <v>2646</v>
      </c>
      <c r="K60" s="1558">
        <v>10.050000000000001</v>
      </c>
      <c r="L60" s="1560"/>
      <c r="M60" s="1560"/>
    </row>
    <row r="61" spans="1:13" s="1561" customFormat="1" ht="18" customHeight="1">
      <c r="A61" s="1562">
        <v>40217</v>
      </c>
      <c r="B61" s="1554">
        <v>4.4800000000000004</v>
      </c>
      <c r="C61" s="1555" t="s">
        <v>770</v>
      </c>
      <c r="D61" s="1556">
        <v>4.5</v>
      </c>
      <c r="E61" s="1556">
        <v>3.91</v>
      </c>
      <c r="F61" s="1555" t="s">
        <v>770</v>
      </c>
      <c r="G61" s="1556" t="s">
        <v>875</v>
      </c>
      <c r="H61" s="1557" t="s">
        <v>1984</v>
      </c>
      <c r="I61" s="1557" t="s">
        <v>2524</v>
      </c>
      <c r="J61" s="1556">
        <v>4.55</v>
      </c>
      <c r="K61" s="1558">
        <v>10.01</v>
      </c>
      <c r="L61" s="1560"/>
      <c r="M61" s="1560"/>
    </row>
    <row r="62" spans="1:13" s="1561" customFormat="1" ht="18" customHeight="1">
      <c r="A62" s="1562">
        <v>40245</v>
      </c>
      <c r="B62" s="1554">
        <v>4.24</v>
      </c>
      <c r="C62" s="1555" t="s">
        <v>770</v>
      </c>
      <c r="D62" s="1556">
        <v>4.3099999999999996</v>
      </c>
      <c r="E62" s="1556">
        <v>3.88</v>
      </c>
      <c r="F62" s="1555" t="s">
        <v>770</v>
      </c>
      <c r="G62" s="1556" t="s">
        <v>875</v>
      </c>
      <c r="H62" s="1557" t="s">
        <v>1984</v>
      </c>
      <c r="I62" s="1557" t="s">
        <v>2524</v>
      </c>
      <c r="J62" s="1556">
        <v>4.5199999999999996</v>
      </c>
      <c r="K62" s="1558">
        <v>9.99</v>
      </c>
      <c r="L62" s="1560"/>
      <c r="M62" s="1560"/>
    </row>
    <row r="63" spans="1:13" s="1561" customFormat="1" ht="18" customHeight="1">
      <c r="A63" s="1562">
        <v>40276</v>
      </c>
      <c r="B63" s="1554">
        <v>4.49</v>
      </c>
      <c r="C63" s="1555" t="s">
        <v>770</v>
      </c>
      <c r="D63" s="1556">
        <v>4.51</v>
      </c>
      <c r="E63" s="1556">
        <v>3.94</v>
      </c>
      <c r="F63" s="1555" t="s">
        <v>770</v>
      </c>
      <c r="G63" s="1556" t="s">
        <v>875</v>
      </c>
      <c r="H63" s="1557" t="s">
        <v>1984</v>
      </c>
      <c r="I63" s="1557" t="s">
        <v>2524</v>
      </c>
      <c r="J63" s="1556">
        <v>4.5599999999999996</v>
      </c>
      <c r="K63" s="1558">
        <v>10.029999999999999</v>
      </c>
      <c r="L63" s="1560"/>
      <c r="M63" s="1560"/>
    </row>
    <row r="64" spans="1:13" s="1561" customFormat="1" ht="18" customHeight="1">
      <c r="A64" s="1562">
        <v>40306</v>
      </c>
      <c r="B64" s="1554">
        <v>3.91</v>
      </c>
      <c r="C64" s="1563" t="s">
        <v>770</v>
      </c>
      <c r="D64" s="1556">
        <v>4.04</v>
      </c>
      <c r="E64" s="1556">
        <v>3.74</v>
      </c>
      <c r="F64" s="1563" t="s">
        <v>770</v>
      </c>
      <c r="G64" s="1556" t="s">
        <v>875</v>
      </c>
      <c r="H64" s="1557" t="s">
        <v>1984</v>
      </c>
      <c r="I64" s="1557" t="s">
        <v>2524</v>
      </c>
      <c r="J64" s="1556">
        <v>4.5199999999999996</v>
      </c>
      <c r="K64" s="1558">
        <v>10.02</v>
      </c>
      <c r="L64" s="1560"/>
      <c r="M64" s="1560"/>
    </row>
    <row r="65" spans="1:13" s="1561" customFormat="1" ht="18" customHeight="1">
      <c r="A65" s="1562">
        <v>40337</v>
      </c>
      <c r="B65" s="1554">
        <v>3.48</v>
      </c>
      <c r="C65" s="1563" t="s">
        <v>770</v>
      </c>
      <c r="D65" s="1556">
        <v>3.47</v>
      </c>
      <c r="E65" s="1556">
        <v>3.36</v>
      </c>
      <c r="F65" s="1563" t="s">
        <v>770</v>
      </c>
      <c r="G65" s="1556" t="s">
        <v>875</v>
      </c>
      <c r="H65" s="1557" t="s">
        <v>1984</v>
      </c>
      <c r="I65" s="1557" t="s">
        <v>2524</v>
      </c>
      <c r="J65" s="1556">
        <v>4.57</v>
      </c>
      <c r="K65" s="1558">
        <v>10.06</v>
      </c>
      <c r="L65" s="1560"/>
      <c r="M65" s="1560"/>
    </row>
    <row r="66" spans="1:13" s="1561" customFormat="1" ht="18" customHeight="1">
      <c r="A66" s="1562">
        <v>40367</v>
      </c>
      <c r="B66" s="1554">
        <v>3.77</v>
      </c>
      <c r="C66" s="1563" t="s">
        <v>770</v>
      </c>
      <c r="D66" s="1556">
        <v>3.87</v>
      </c>
      <c r="E66" s="1556">
        <v>3.45</v>
      </c>
      <c r="F66" s="1563" t="s">
        <v>770</v>
      </c>
      <c r="G66" s="1556" t="s">
        <v>875</v>
      </c>
      <c r="H66" s="1557" t="s">
        <v>1984</v>
      </c>
      <c r="I66" s="1557" t="s">
        <v>2524</v>
      </c>
      <c r="J66" s="1564">
        <v>4.58</v>
      </c>
      <c r="K66" s="1558">
        <v>9.98</v>
      </c>
      <c r="L66" s="1560"/>
      <c r="M66" s="1560"/>
    </row>
    <row r="67" spans="1:13" s="1561" customFormat="1" ht="18" customHeight="1">
      <c r="A67" s="1562">
        <v>40398</v>
      </c>
      <c r="B67" s="1554">
        <v>2.92</v>
      </c>
      <c r="C67" s="1563" t="s">
        <v>770</v>
      </c>
      <c r="D67" s="1556">
        <v>3.02</v>
      </c>
      <c r="E67" s="1556">
        <v>2.52</v>
      </c>
      <c r="F67" s="1563" t="s">
        <v>770</v>
      </c>
      <c r="G67" s="1556" t="s">
        <v>875</v>
      </c>
      <c r="H67" s="1557" t="s">
        <v>1984</v>
      </c>
      <c r="I67" s="1557" t="s">
        <v>2524</v>
      </c>
      <c r="J67" s="1564">
        <v>4.5599999999999996</v>
      </c>
      <c r="K67" s="1558">
        <v>9.91</v>
      </c>
      <c r="L67" s="1560"/>
      <c r="M67" s="1560"/>
    </row>
    <row r="68" spans="1:13" s="1561" customFormat="1" ht="18" customHeight="1">
      <c r="A68" s="1562">
        <v>40429</v>
      </c>
      <c r="B68" s="1554">
        <v>2.81</v>
      </c>
      <c r="C68" s="1563" t="s">
        <v>770</v>
      </c>
      <c r="D68" s="1556">
        <v>2.73</v>
      </c>
      <c r="E68" s="1556">
        <v>2.0699999999999998</v>
      </c>
      <c r="F68" s="1563" t="s">
        <v>770</v>
      </c>
      <c r="G68" s="1556" t="s">
        <v>1805</v>
      </c>
      <c r="H68" s="1557" t="s">
        <v>2647</v>
      </c>
      <c r="I68" s="1557" t="s">
        <v>2524</v>
      </c>
      <c r="J68" s="1556">
        <v>4.5</v>
      </c>
      <c r="K68" s="1558">
        <v>9.9</v>
      </c>
      <c r="L68" s="1560"/>
      <c r="M68" s="1560"/>
    </row>
    <row r="69" spans="1:13" s="1561" customFormat="1" ht="18" customHeight="1">
      <c r="A69" s="1565" t="s">
        <v>356</v>
      </c>
      <c r="B69" s="1554">
        <v>4.42</v>
      </c>
      <c r="C69" s="1563">
        <v>4.3099999999999996</v>
      </c>
      <c r="D69" s="1556">
        <v>4.3099999999999996</v>
      </c>
      <c r="E69" s="1556">
        <v>2.27</v>
      </c>
      <c r="F69" s="1563" t="s">
        <v>770</v>
      </c>
      <c r="G69" s="1556" t="s">
        <v>1039</v>
      </c>
      <c r="H69" s="1557" t="s">
        <v>2647</v>
      </c>
      <c r="I69" s="1557" t="s">
        <v>2410</v>
      </c>
      <c r="J69" s="1556">
        <v>3.85</v>
      </c>
      <c r="K69" s="1558">
        <v>9.23</v>
      </c>
      <c r="L69" s="1560"/>
      <c r="M69" s="1560"/>
    </row>
    <row r="70" spans="1:13" s="1561" customFormat="1" ht="18" customHeight="1">
      <c r="A70" s="1565" t="s">
        <v>2648</v>
      </c>
      <c r="B70" s="1554">
        <v>3.85</v>
      </c>
      <c r="C70" s="1563"/>
      <c r="D70" s="1556">
        <v>3.95</v>
      </c>
      <c r="E70" s="1556">
        <v>2.17</v>
      </c>
      <c r="F70" s="1563"/>
      <c r="G70" s="1556" t="s">
        <v>1039</v>
      </c>
      <c r="H70" s="1557" t="s">
        <v>2649</v>
      </c>
      <c r="I70" s="1557" t="s">
        <v>2525</v>
      </c>
      <c r="J70" s="1556">
        <v>3.78</v>
      </c>
      <c r="K70" s="1558">
        <v>9.26</v>
      </c>
      <c r="L70" s="1560"/>
      <c r="M70" s="1560"/>
    </row>
    <row r="71" spans="1:13" s="1561" customFormat="1" ht="18" customHeight="1">
      <c r="A71" s="1565" t="s">
        <v>2587</v>
      </c>
      <c r="B71" s="1554">
        <v>3.07</v>
      </c>
      <c r="C71" s="1563"/>
      <c r="D71" s="1556">
        <v>3.11</v>
      </c>
      <c r="E71" s="1556">
        <v>2.04</v>
      </c>
      <c r="F71" s="1563"/>
      <c r="G71" s="1556" t="s">
        <v>1039</v>
      </c>
      <c r="H71" s="1557" t="s">
        <v>2649</v>
      </c>
      <c r="I71" s="1557" t="s">
        <v>2525</v>
      </c>
      <c r="J71" s="1556">
        <v>3.65</v>
      </c>
      <c r="K71" s="1558">
        <v>9.2200000000000006</v>
      </c>
      <c r="L71" s="1560"/>
      <c r="M71" s="1560"/>
    </row>
    <row r="72" spans="1:13" s="1561" customFormat="1" ht="18" customHeight="1">
      <c r="A72" s="1565" t="s">
        <v>499</v>
      </c>
      <c r="B72" s="1554">
        <v>3.04</v>
      </c>
      <c r="C72" s="1563"/>
      <c r="D72" s="1556">
        <v>3.02</v>
      </c>
      <c r="E72" s="1556">
        <v>2.0099999999999998</v>
      </c>
      <c r="F72" s="1563"/>
      <c r="G72" s="1556" t="s">
        <v>1039</v>
      </c>
      <c r="H72" s="1557" t="s">
        <v>2649</v>
      </c>
      <c r="I72" s="1557" t="s">
        <v>2525</v>
      </c>
      <c r="J72" s="1556">
        <v>3.59</v>
      </c>
      <c r="K72" s="1558">
        <v>9.17</v>
      </c>
      <c r="L72" s="1560"/>
      <c r="M72" s="1560"/>
    </row>
    <row r="73" spans="1:13" s="1561" customFormat="1" ht="18" customHeight="1">
      <c r="A73" s="1565" t="s">
        <v>2650</v>
      </c>
      <c r="B73" s="1554">
        <v>2.77</v>
      </c>
      <c r="C73" s="1563"/>
      <c r="D73" s="1556">
        <v>2.83</v>
      </c>
      <c r="E73" s="1556">
        <v>1.86</v>
      </c>
      <c r="F73" s="1563"/>
      <c r="G73" s="1556" t="s">
        <v>1039</v>
      </c>
      <c r="H73" s="1557" t="s">
        <v>2649</v>
      </c>
      <c r="I73" s="1557" t="s">
        <v>2525</v>
      </c>
      <c r="J73" s="1556">
        <v>3.56</v>
      </c>
      <c r="K73" s="1558">
        <v>9.1199999999999992</v>
      </c>
      <c r="L73" s="1560"/>
      <c r="M73" s="1560"/>
    </row>
    <row r="74" spans="1:13" s="1561" customFormat="1" ht="18" customHeight="1">
      <c r="A74" s="1565" t="s">
        <v>2651</v>
      </c>
      <c r="B74" s="1554">
        <v>2.39</v>
      </c>
      <c r="C74" s="1563"/>
      <c r="D74" s="1556">
        <v>2.41</v>
      </c>
      <c r="E74" s="1556">
        <v>1.64</v>
      </c>
      <c r="F74" s="1563"/>
      <c r="G74" s="1556" t="s">
        <v>1039</v>
      </c>
      <c r="H74" s="1557" t="s">
        <v>2649</v>
      </c>
      <c r="I74" s="1557" t="s">
        <v>2525</v>
      </c>
      <c r="J74" s="1556">
        <v>3.81</v>
      </c>
      <c r="K74" s="1558">
        <v>9.14</v>
      </c>
      <c r="L74" s="1560"/>
      <c r="M74" s="1560"/>
    </row>
    <row r="75" spans="1:13" s="1561" customFormat="1" ht="18" customHeight="1">
      <c r="A75" s="1565">
        <v>40634</v>
      </c>
      <c r="B75" s="1554">
        <v>4.1500000000000004</v>
      </c>
      <c r="C75" s="1563"/>
      <c r="D75" s="1556">
        <v>4.12</v>
      </c>
      <c r="E75" s="1556">
        <v>1.51</v>
      </c>
      <c r="F75" s="1563"/>
      <c r="G75" s="1556" t="s">
        <v>1039</v>
      </c>
      <c r="H75" s="1557" t="s">
        <v>2649</v>
      </c>
      <c r="I75" s="1557" t="s">
        <v>2525</v>
      </c>
      <c r="J75" s="1556">
        <v>4.13</v>
      </c>
      <c r="K75" s="1558">
        <v>9.4700000000000006</v>
      </c>
      <c r="L75" s="1560"/>
      <c r="M75" s="1560"/>
    </row>
    <row r="76" spans="1:13" s="1561" customFormat="1" ht="18" customHeight="1">
      <c r="A76" s="1565">
        <v>40664</v>
      </c>
      <c r="B76" s="1554">
        <v>4.0599999999999996</v>
      </c>
      <c r="C76" s="1563"/>
      <c r="D76" s="1556">
        <v>4.0599999999999996</v>
      </c>
      <c r="E76" s="1556">
        <v>1.4</v>
      </c>
      <c r="F76" s="1563"/>
      <c r="G76" s="1556" t="s">
        <v>1039</v>
      </c>
      <c r="H76" s="1557" t="s">
        <v>2649</v>
      </c>
      <c r="I76" s="1557" t="s">
        <v>2525</v>
      </c>
      <c r="J76" s="1556">
        <v>4.12</v>
      </c>
      <c r="K76" s="1558">
        <v>9.4499999999999993</v>
      </c>
      <c r="L76" s="1560"/>
      <c r="M76" s="1560"/>
    </row>
    <row r="77" spans="1:13" s="1561" customFormat="1" ht="18" customHeight="1">
      <c r="A77" s="1565">
        <v>40695</v>
      </c>
      <c r="B77" s="1566">
        <v>4.33</v>
      </c>
      <c r="C77" s="1563"/>
      <c r="D77" s="1556">
        <v>4.29</v>
      </c>
      <c r="E77" s="1556">
        <v>2.63</v>
      </c>
      <c r="F77" s="1563"/>
      <c r="G77" s="1556" t="s">
        <v>1804</v>
      </c>
      <c r="H77" s="1557" t="s">
        <v>2649</v>
      </c>
      <c r="I77" s="1557" t="s">
        <v>2525</v>
      </c>
      <c r="J77" s="1556">
        <v>4.25</v>
      </c>
      <c r="K77" s="1558">
        <v>9.58</v>
      </c>
      <c r="L77" s="1560"/>
      <c r="M77" s="1560"/>
    </row>
    <row r="78" spans="1:13" s="1561" customFormat="1" ht="18" customHeight="1">
      <c r="A78" s="1565">
        <v>40725</v>
      </c>
      <c r="B78" s="1566">
        <v>4.4000000000000004</v>
      </c>
      <c r="C78" s="1563"/>
      <c r="D78" s="1556">
        <v>4.41</v>
      </c>
      <c r="E78" s="1556">
        <v>1.95</v>
      </c>
      <c r="F78" s="1563"/>
      <c r="G78" s="1556" t="s">
        <v>1804</v>
      </c>
      <c r="H78" s="1557" t="s">
        <v>2649</v>
      </c>
      <c r="I78" s="1557" t="s">
        <v>2525</v>
      </c>
      <c r="J78" s="1556">
        <v>4.37</v>
      </c>
      <c r="K78" s="1558">
        <v>9.65</v>
      </c>
      <c r="L78" s="1560"/>
      <c r="M78" s="1560"/>
    </row>
    <row r="79" spans="1:13" s="1561" customFormat="1" ht="18" customHeight="1">
      <c r="A79" s="1565">
        <v>40756</v>
      </c>
      <c r="B79" s="1566">
        <v>4.42</v>
      </c>
      <c r="C79" s="1563"/>
      <c r="D79" s="1556">
        <v>4.3899999999999997</v>
      </c>
      <c r="E79" s="1556">
        <v>3.58</v>
      </c>
      <c r="F79" s="1563"/>
      <c r="G79" s="1556" t="s">
        <v>1804</v>
      </c>
      <c r="H79" s="1557" t="s">
        <v>2649</v>
      </c>
      <c r="I79" s="1557" t="s">
        <v>2469</v>
      </c>
      <c r="J79" s="1556">
        <v>4.33</v>
      </c>
      <c r="K79" s="1558">
        <v>9.66</v>
      </c>
      <c r="L79" s="1560"/>
      <c r="M79" s="1560"/>
    </row>
    <row r="80" spans="1:13" s="1561" customFormat="1" ht="18" customHeight="1">
      <c r="A80" s="1565">
        <v>40787</v>
      </c>
      <c r="B80" s="1566">
        <v>4.45</v>
      </c>
      <c r="C80" s="1563"/>
      <c r="D80" s="1556">
        <v>4.46</v>
      </c>
      <c r="E80" s="1556">
        <v>3.27</v>
      </c>
      <c r="F80" s="1563"/>
      <c r="G80" s="1556" t="s">
        <v>1804</v>
      </c>
      <c r="H80" s="1557" t="s">
        <v>2649</v>
      </c>
      <c r="I80" s="1557" t="s">
        <v>2469</v>
      </c>
      <c r="J80" s="1556">
        <v>4.34</v>
      </c>
      <c r="K80" s="1558">
        <v>9.33</v>
      </c>
      <c r="L80" s="1560"/>
      <c r="M80" s="1560"/>
    </row>
    <row r="81" spans="1:13" ht="18" customHeight="1">
      <c r="A81" s="1565">
        <v>40817</v>
      </c>
      <c r="B81" s="1554">
        <v>4.42</v>
      </c>
      <c r="C81" s="1555"/>
      <c r="D81" s="1556">
        <v>4.43</v>
      </c>
      <c r="E81" s="1556">
        <v>2.61</v>
      </c>
      <c r="F81" s="1555"/>
      <c r="G81" s="1556" t="s">
        <v>1804</v>
      </c>
      <c r="H81" s="1557" t="s">
        <v>2649</v>
      </c>
      <c r="I81" s="1557" t="s">
        <v>2469</v>
      </c>
      <c r="J81" s="1556">
        <v>4.34</v>
      </c>
      <c r="K81" s="1558">
        <v>9.32</v>
      </c>
      <c r="M81" s="1567"/>
    </row>
    <row r="82" spans="1:13" ht="18" customHeight="1">
      <c r="A82" s="1568">
        <v>40848</v>
      </c>
      <c r="B82" s="1554">
        <v>4.51</v>
      </c>
      <c r="C82" s="1555"/>
      <c r="D82" s="1556">
        <v>4.42</v>
      </c>
      <c r="E82" s="1556">
        <v>2.96</v>
      </c>
      <c r="F82" s="1555"/>
      <c r="G82" s="1556" t="s">
        <v>1804</v>
      </c>
      <c r="H82" s="1557" t="s">
        <v>2649</v>
      </c>
      <c r="I82" s="1557" t="s">
        <v>2652</v>
      </c>
      <c r="J82" s="1556">
        <v>4.32</v>
      </c>
      <c r="K82" s="1558">
        <v>9.27</v>
      </c>
      <c r="M82" s="1567"/>
    </row>
    <row r="83" spans="1:13" s="1570" customFormat="1" ht="13.5" customHeight="1">
      <c r="A83" s="1568">
        <v>40878</v>
      </c>
      <c r="B83" s="1569">
        <v>4.59</v>
      </c>
      <c r="C83" s="1555"/>
      <c r="D83" s="1556">
        <v>4.5199999999999996</v>
      </c>
      <c r="E83" s="1556">
        <v>3.32</v>
      </c>
      <c r="F83" s="1555"/>
      <c r="G83" s="1556" t="s">
        <v>1804</v>
      </c>
      <c r="H83" s="1557" t="s">
        <v>2649</v>
      </c>
      <c r="I83" s="1557" t="s">
        <v>2653</v>
      </c>
      <c r="J83" s="1556">
        <v>4.29</v>
      </c>
      <c r="K83" s="1558">
        <v>9.1999999999999993</v>
      </c>
    </row>
    <row r="84" spans="1:13" s="1570" customFormat="1" ht="13.5" customHeight="1">
      <c r="A84" s="1568">
        <v>40910</v>
      </c>
      <c r="B84" s="1569">
        <v>4.33</v>
      </c>
      <c r="C84" s="1555"/>
      <c r="D84" s="1556">
        <v>4.33</v>
      </c>
      <c r="E84" s="1556">
        <v>2.4</v>
      </c>
      <c r="F84" s="1555"/>
      <c r="G84" s="1556" t="s">
        <v>1804</v>
      </c>
      <c r="H84" s="1557" t="s">
        <v>2649</v>
      </c>
      <c r="I84" s="1557" t="s">
        <v>2653</v>
      </c>
      <c r="J84" s="1556">
        <v>4.1500000000000004</v>
      </c>
      <c r="K84" s="1558">
        <v>9.09</v>
      </c>
    </row>
    <row r="85" spans="1:13" s="1570" customFormat="1" ht="15" customHeight="1">
      <c r="A85" s="1568">
        <v>40941</v>
      </c>
      <c r="B85" s="1569">
        <v>4.25</v>
      </c>
      <c r="C85" s="1555"/>
      <c r="D85" s="1556">
        <v>4.22</v>
      </c>
      <c r="E85" s="1556">
        <v>2.34</v>
      </c>
      <c r="F85" s="1555"/>
      <c r="G85" s="1556" t="s">
        <v>1804</v>
      </c>
      <c r="H85" s="1557" t="s">
        <v>2649</v>
      </c>
      <c r="I85" s="1557" t="s">
        <v>2653</v>
      </c>
      <c r="J85" s="1556">
        <v>4.13</v>
      </c>
      <c r="K85" s="1558">
        <v>9.06</v>
      </c>
    </row>
    <row r="86" spans="1:13" s="1570" customFormat="1" ht="15" customHeight="1">
      <c r="A86" s="1568">
        <v>40970</v>
      </c>
      <c r="B86" s="1569">
        <v>4.08</v>
      </c>
      <c r="C86" s="1555"/>
      <c r="D86" s="1556">
        <v>4.0999999999999996</v>
      </c>
      <c r="E86" s="1556">
        <v>1.97</v>
      </c>
      <c r="F86" s="1555"/>
      <c r="G86" s="1556" t="s">
        <v>1803</v>
      </c>
      <c r="H86" s="1557" t="s">
        <v>2654</v>
      </c>
      <c r="I86" s="1557" t="s">
        <v>2655</v>
      </c>
      <c r="J86" s="1556">
        <v>3.86</v>
      </c>
      <c r="K86" s="1558">
        <v>8.9600000000000009</v>
      </c>
    </row>
    <row r="87" spans="1:13" s="1570" customFormat="1" ht="15" customHeight="1">
      <c r="A87" s="1568">
        <v>41001</v>
      </c>
      <c r="B87" s="1569">
        <v>3.77</v>
      </c>
      <c r="C87" s="1555"/>
      <c r="D87" s="1556">
        <v>3.7</v>
      </c>
      <c r="E87" s="1556">
        <v>1.87</v>
      </c>
      <c r="F87" s="1555"/>
      <c r="G87" s="1556" t="s">
        <v>1802</v>
      </c>
      <c r="H87" s="1557" t="s">
        <v>2656</v>
      </c>
      <c r="I87" s="1557" t="s">
        <v>2657</v>
      </c>
      <c r="J87" s="1556">
        <v>3.8</v>
      </c>
      <c r="K87" s="1558">
        <v>8.57</v>
      </c>
    </row>
    <row r="88" spans="1:13" s="1570" customFormat="1" ht="15" customHeight="1">
      <c r="A88" s="1568">
        <v>41031</v>
      </c>
      <c r="B88" s="1569">
        <v>3.71</v>
      </c>
      <c r="C88" s="1555"/>
      <c r="D88" s="1556">
        <v>3.64</v>
      </c>
      <c r="E88" s="1556">
        <v>1.59</v>
      </c>
      <c r="F88" s="1555"/>
      <c r="G88" s="1556" t="s">
        <v>1802</v>
      </c>
      <c r="H88" s="1557" t="s">
        <v>2656</v>
      </c>
      <c r="I88" s="1557" t="s">
        <v>2658</v>
      </c>
      <c r="J88" s="1556">
        <v>3.82</v>
      </c>
      <c r="K88" s="1558">
        <v>8.59</v>
      </c>
    </row>
    <row r="89" spans="1:13" s="1570" customFormat="1" ht="15" customHeight="1">
      <c r="A89" s="1568">
        <v>41062</v>
      </c>
      <c r="B89" s="1569">
        <v>3.44</v>
      </c>
      <c r="C89" s="1555"/>
      <c r="D89" s="1556">
        <v>3.51</v>
      </c>
      <c r="E89" s="1556">
        <v>1.75</v>
      </c>
      <c r="F89" s="1555"/>
      <c r="G89" s="1556" t="s">
        <v>1802</v>
      </c>
      <c r="H89" s="1557" t="s">
        <v>2659</v>
      </c>
      <c r="I89" s="1557" t="s">
        <v>2657</v>
      </c>
      <c r="J89" s="1556">
        <v>3.65</v>
      </c>
      <c r="K89" s="1558">
        <v>8.5299999999999994</v>
      </c>
    </row>
    <row r="90" spans="1:13" s="1570" customFormat="1" ht="15" customHeight="1">
      <c r="A90" s="1568">
        <v>41092</v>
      </c>
      <c r="B90" s="1569">
        <v>3.55</v>
      </c>
      <c r="C90" s="1555"/>
      <c r="D90" s="1556">
        <v>3.39</v>
      </c>
      <c r="E90" s="1556">
        <v>1.91</v>
      </c>
      <c r="F90" s="1555"/>
      <c r="G90" s="1556" t="s">
        <v>1802</v>
      </c>
      <c r="H90" s="1557" t="s">
        <v>2659</v>
      </c>
      <c r="I90" s="1557" t="s">
        <v>2657</v>
      </c>
      <c r="J90" s="1556">
        <v>3.64</v>
      </c>
      <c r="K90" s="1558">
        <v>8.52</v>
      </c>
    </row>
    <row r="91" spans="1:13" s="1570" customFormat="1" ht="15" customHeight="1">
      <c r="A91" s="1568">
        <v>41123</v>
      </c>
      <c r="B91" s="1569">
        <v>3.56</v>
      </c>
      <c r="C91" s="1555"/>
      <c r="D91" s="1556">
        <v>3.43</v>
      </c>
      <c r="E91" s="1556">
        <v>1.85</v>
      </c>
      <c r="F91" s="1555"/>
      <c r="G91" s="1556" t="s">
        <v>1802</v>
      </c>
      <c r="H91" s="1557" t="s">
        <v>2659</v>
      </c>
      <c r="I91" s="1557" t="s">
        <v>2657</v>
      </c>
      <c r="J91" s="1556">
        <v>3.67</v>
      </c>
      <c r="K91" s="1558">
        <v>8.5399999999999991</v>
      </c>
    </row>
    <row r="92" spans="1:13" s="1570" customFormat="1" ht="15" customHeight="1">
      <c r="A92" s="1568">
        <v>41154</v>
      </c>
      <c r="B92" s="1569">
        <v>3.6</v>
      </c>
      <c r="C92" s="1555"/>
      <c r="D92" s="1556">
        <v>3.47</v>
      </c>
      <c r="E92" s="1556">
        <v>1.67</v>
      </c>
      <c r="F92" s="1555"/>
      <c r="G92" s="1556" t="s">
        <v>1802</v>
      </c>
      <c r="H92" s="1557" t="s">
        <v>2659</v>
      </c>
      <c r="I92" s="1557" t="s">
        <v>2657</v>
      </c>
      <c r="J92" s="1556">
        <v>3.63</v>
      </c>
      <c r="K92" s="1558">
        <v>8.49</v>
      </c>
    </row>
    <row r="93" spans="1:13" s="1570" customFormat="1" ht="15" customHeight="1">
      <c r="A93" s="1568">
        <v>41184</v>
      </c>
      <c r="B93" s="1569">
        <v>3.23</v>
      </c>
      <c r="C93" s="1555"/>
      <c r="D93" s="1556">
        <v>3.26</v>
      </c>
      <c r="E93" s="1556">
        <v>1.57</v>
      </c>
      <c r="F93" s="1555"/>
      <c r="G93" s="1556" t="s">
        <v>1802</v>
      </c>
      <c r="H93" s="1557" t="s">
        <v>2659</v>
      </c>
      <c r="I93" s="1557" t="s">
        <v>2657</v>
      </c>
      <c r="J93" s="1556">
        <v>3.65</v>
      </c>
      <c r="K93" s="1558">
        <v>8.52</v>
      </c>
    </row>
    <row r="94" spans="1:13" s="1570" customFormat="1" ht="15" customHeight="1">
      <c r="A94" s="1568">
        <v>41215</v>
      </c>
      <c r="B94" s="1569">
        <v>3.09</v>
      </c>
      <c r="C94" s="1555"/>
      <c r="D94" s="1556">
        <v>3.08</v>
      </c>
      <c r="E94" s="1556">
        <v>1.53</v>
      </c>
      <c r="F94" s="1555"/>
      <c r="G94" s="1556" t="s">
        <v>1802</v>
      </c>
      <c r="H94" s="1557" t="s">
        <v>2660</v>
      </c>
      <c r="I94" s="1557" t="s">
        <v>2657</v>
      </c>
      <c r="J94" s="1571">
        <v>3.64</v>
      </c>
      <c r="K94" s="1572">
        <v>8.48</v>
      </c>
    </row>
    <row r="95" spans="1:13" s="1570" customFormat="1" ht="15" customHeight="1">
      <c r="A95" s="1568">
        <v>41245</v>
      </c>
      <c r="B95" s="1569">
        <v>2.92</v>
      </c>
      <c r="C95" s="1555"/>
      <c r="D95" s="1556">
        <v>2.95</v>
      </c>
      <c r="E95" s="1556">
        <v>1.61</v>
      </c>
      <c r="F95" s="1555"/>
      <c r="G95" s="1556" t="s">
        <v>1802</v>
      </c>
      <c r="H95" s="1557" t="s">
        <v>2660</v>
      </c>
      <c r="I95" s="1557" t="s">
        <v>2657</v>
      </c>
      <c r="J95" s="1571">
        <v>3.51</v>
      </c>
      <c r="K95" s="1572">
        <v>8.42</v>
      </c>
    </row>
    <row r="96" spans="1:13" s="1570" customFormat="1" ht="15" customHeight="1" thickBot="1">
      <c r="A96" s="1573">
        <v>41276</v>
      </c>
      <c r="B96" s="1574">
        <v>2.88</v>
      </c>
      <c r="C96" s="1575"/>
      <c r="D96" s="1576">
        <v>2.84</v>
      </c>
      <c r="E96" s="1576">
        <v>1.46</v>
      </c>
      <c r="F96" s="1575"/>
      <c r="G96" s="1576" t="s">
        <v>1802</v>
      </c>
      <c r="H96" s="1577" t="s">
        <v>2660</v>
      </c>
      <c r="I96" s="1577" t="s">
        <v>2657</v>
      </c>
      <c r="J96" s="1578">
        <v>3.35</v>
      </c>
      <c r="K96" s="1579">
        <v>8.42</v>
      </c>
    </row>
    <row r="97" spans="1:11">
      <c r="A97" s="1580" t="s">
        <v>303</v>
      </c>
      <c r="B97" s="1581"/>
      <c r="C97" s="1581"/>
      <c r="D97" s="1581"/>
      <c r="E97" s="1581"/>
      <c r="F97" s="1581"/>
      <c r="G97" s="1581"/>
      <c r="H97" s="1580"/>
      <c r="I97" s="1580"/>
      <c r="J97" s="1581"/>
      <c r="K97" s="1581"/>
    </row>
    <row r="98" spans="1:11" s="1581" customFormat="1" ht="16.5" customHeight="1">
      <c r="H98" s="1580"/>
      <c r="I98" s="1580"/>
    </row>
    <row r="99" spans="1:11" s="1535" customFormat="1">
      <c r="I99" s="1580"/>
      <c r="J99" s="1582"/>
    </row>
    <row r="100" spans="1:11">
      <c r="A100" s="1537"/>
      <c r="B100" s="1537"/>
      <c r="C100" s="1537"/>
      <c r="D100" s="1537"/>
      <c r="E100" s="1537"/>
      <c r="F100" s="1537"/>
      <c r="G100" s="1537"/>
      <c r="H100" s="1537"/>
      <c r="I100" s="1537"/>
      <c r="J100" s="1537"/>
      <c r="K100" s="1537"/>
    </row>
    <row r="101" spans="1:11">
      <c r="A101" s="1537"/>
      <c r="B101" s="1537"/>
      <c r="C101" s="1537"/>
      <c r="D101" s="1537"/>
      <c r="E101" s="1537"/>
      <c r="F101" s="1537" t="s">
        <v>2661</v>
      </c>
      <c r="G101" s="1537"/>
      <c r="H101" s="1537"/>
      <c r="I101" s="1537"/>
      <c r="J101" s="1537"/>
      <c r="K101" s="1537"/>
    </row>
    <row r="102" spans="1:11">
      <c r="A102" s="1537"/>
      <c r="B102" s="1537"/>
      <c r="C102" s="1537"/>
      <c r="D102" s="1537"/>
      <c r="E102" s="1537"/>
      <c r="F102" s="1537"/>
      <c r="G102" s="1537"/>
      <c r="H102" s="1537"/>
      <c r="I102" s="1537"/>
      <c r="J102" s="1537"/>
      <c r="K102" s="1537"/>
    </row>
    <row r="103" spans="1:11">
      <c r="A103" s="1537"/>
      <c r="B103" s="1537"/>
      <c r="C103" s="1537"/>
      <c r="D103" s="1537"/>
      <c r="E103" s="1537"/>
      <c r="F103" s="1537"/>
      <c r="G103" s="1537"/>
      <c r="H103" s="1537"/>
      <c r="I103" s="1537"/>
      <c r="J103" s="1537"/>
      <c r="K103" s="1537"/>
    </row>
    <row r="104" spans="1:11">
      <c r="A104" s="1537"/>
      <c r="B104" s="1537"/>
      <c r="C104" s="1537"/>
      <c r="D104" s="1537"/>
      <c r="E104" s="1537"/>
      <c r="F104" s="1537"/>
      <c r="G104" s="1537"/>
      <c r="H104" s="1537"/>
      <c r="I104" s="1537"/>
      <c r="J104" s="1537"/>
      <c r="K104" s="1537"/>
    </row>
    <row r="105" spans="1:11">
      <c r="A105" s="1537"/>
      <c r="B105" s="1537"/>
      <c r="C105" s="1537"/>
      <c r="D105" s="1537"/>
      <c r="E105" s="1537"/>
      <c r="F105" s="1537"/>
      <c r="G105" s="1537"/>
      <c r="H105" s="1537"/>
      <c r="I105" s="1537"/>
      <c r="J105" s="1537"/>
      <c r="K105" s="1537"/>
    </row>
    <row r="106" spans="1:11">
      <c r="A106" s="1537"/>
      <c r="B106" s="1537"/>
      <c r="C106" s="1537"/>
      <c r="D106" s="1537"/>
      <c r="E106" s="1537"/>
      <c r="F106" s="1537"/>
      <c r="G106" s="1537"/>
      <c r="H106" s="1537"/>
      <c r="I106" s="1537"/>
      <c r="J106" s="1537"/>
      <c r="K106" s="1537"/>
    </row>
    <row r="107" spans="1:11">
      <c r="A107" s="1537"/>
      <c r="B107" s="1537"/>
      <c r="C107" s="1537"/>
      <c r="D107" s="1537"/>
      <c r="E107" s="1537"/>
      <c r="F107" s="1537"/>
      <c r="G107" s="1537"/>
      <c r="H107" s="1537"/>
      <c r="I107" s="1537"/>
      <c r="J107" s="1537"/>
      <c r="K107" s="1537"/>
    </row>
    <row r="108" spans="1:11">
      <c r="A108" s="1537"/>
      <c r="B108" s="1537"/>
      <c r="C108" s="1537"/>
      <c r="D108" s="1537"/>
      <c r="E108" s="1537"/>
      <c r="F108" s="1537"/>
      <c r="G108" s="1537"/>
      <c r="H108" s="1537"/>
      <c r="I108" s="1537"/>
      <c r="J108" s="1537"/>
      <c r="K108" s="1537"/>
    </row>
    <row r="109" spans="1:11">
      <c r="A109" s="1537"/>
      <c r="B109" s="1537"/>
      <c r="C109" s="1537"/>
      <c r="D109" s="1537"/>
      <c r="E109" s="1537"/>
      <c r="F109" s="1537"/>
      <c r="G109" s="1537"/>
      <c r="H109" s="1537"/>
      <c r="I109" s="1537"/>
      <c r="J109" s="1537"/>
      <c r="K109" s="1537"/>
    </row>
    <row r="110" spans="1:11">
      <c r="A110" s="1537"/>
      <c r="B110" s="1537"/>
      <c r="C110" s="1537"/>
      <c r="D110" s="1537"/>
      <c r="E110" s="1537"/>
      <c r="F110" s="1537"/>
      <c r="G110" s="1537"/>
      <c r="H110" s="1537"/>
      <c r="I110" s="1537"/>
      <c r="J110" s="1537"/>
      <c r="K110" s="1537"/>
    </row>
    <row r="111" spans="1:11">
      <c r="A111" s="1537"/>
      <c r="B111" s="1537"/>
      <c r="C111" s="1537"/>
      <c r="D111" s="1537"/>
      <c r="E111" s="1537"/>
      <c r="F111" s="1537"/>
      <c r="G111" s="1537"/>
      <c r="H111" s="1537"/>
      <c r="I111" s="1537"/>
      <c r="J111" s="1537"/>
      <c r="K111" s="1537"/>
    </row>
    <row r="112" spans="1:11">
      <c r="A112" s="1537"/>
      <c r="B112" s="1537"/>
      <c r="C112" s="1537"/>
      <c r="D112" s="1537"/>
      <c r="E112" s="1537"/>
      <c r="F112" s="1537"/>
      <c r="G112" s="1537"/>
      <c r="H112" s="1537"/>
      <c r="I112" s="1537"/>
      <c r="J112" s="1537"/>
      <c r="K112" s="1537"/>
    </row>
    <row r="113" spans="1:11">
      <c r="A113" s="1537"/>
      <c r="B113" s="1537"/>
      <c r="C113" s="1537"/>
      <c r="D113" s="1537"/>
      <c r="E113" s="1537"/>
      <c r="F113" s="1537"/>
      <c r="G113" s="1537"/>
      <c r="H113" s="1537"/>
      <c r="I113" s="1537"/>
      <c r="J113" s="1537"/>
      <c r="K113" s="1537"/>
    </row>
    <row r="114" spans="1:11">
      <c r="A114" s="1537"/>
      <c r="B114" s="1537"/>
      <c r="C114" s="1537"/>
      <c r="D114" s="1537"/>
      <c r="E114" s="1537"/>
      <c r="F114" s="1537"/>
      <c r="G114" s="1537"/>
      <c r="H114" s="1537"/>
      <c r="I114" s="1537"/>
      <c r="J114" s="1537"/>
      <c r="K114" s="1537"/>
    </row>
    <row r="115" spans="1:11">
      <c r="A115" s="1537"/>
      <c r="B115" s="1537"/>
      <c r="C115" s="1537"/>
      <c r="D115" s="1537"/>
      <c r="E115" s="1537"/>
      <c r="F115" s="1537"/>
      <c r="G115" s="1537"/>
      <c r="H115" s="1537"/>
      <c r="I115" s="1537"/>
      <c r="J115" s="1537"/>
      <c r="K115" s="1537"/>
    </row>
    <row r="116" spans="1:11">
      <c r="A116" s="1537"/>
      <c r="B116" s="1537"/>
      <c r="C116" s="1537"/>
      <c r="D116" s="1537"/>
      <c r="E116" s="1537"/>
      <c r="F116" s="1537"/>
      <c r="G116" s="1537"/>
      <c r="H116" s="1537"/>
      <c r="I116" s="1537"/>
      <c r="J116" s="1537"/>
      <c r="K116" s="1537"/>
    </row>
    <row r="117" spans="1:11">
      <c r="A117" s="1537"/>
      <c r="B117" s="1537"/>
      <c r="C117" s="1537"/>
      <c r="D117" s="1537"/>
      <c r="E117" s="1537"/>
      <c r="F117" s="1537"/>
      <c r="G117" s="1537"/>
      <c r="H117" s="1537"/>
      <c r="I117" s="1537"/>
      <c r="J117" s="1537"/>
      <c r="K117" s="1537"/>
    </row>
    <row r="118" spans="1:11">
      <c r="A118" s="1537"/>
      <c r="B118" s="1537"/>
      <c r="C118" s="1537"/>
      <c r="D118" s="1537"/>
      <c r="E118" s="1537"/>
      <c r="F118" s="1537"/>
      <c r="G118" s="1537"/>
      <c r="H118" s="1537"/>
      <c r="I118" s="1537"/>
      <c r="J118" s="1537"/>
      <c r="K118" s="1537"/>
    </row>
    <row r="119" spans="1:11">
      <c r="A119" s="1537"/>
      <c r="B119" s="1537"/>
      <c r="C119" s="1537"/>
      <c r="D119" s="1537"/>
      <c r="E119" s="1537"/>
      <c r="F119" s="1537"/>
      <c r="G119" s="1537"/>
      <c r="H119" s="1537"/>
      <c r="I119" s="1537"/>
      <c r="J119" s="1537"/>
      <c r="K119" s="1537"/>
    </row>
    <row r="120" spans="1:11">
      <c r="A120" s="1537"/>
      <c r="B120" s="1537"/>
      <c r="C120" s="1537"/>
      <c r="D120" s="1537"/>
      <c r="E120" s="1537"/>
      <c r="F120" s="1537"/>
      <c r="G120" s="1537"/>
      <c r="H120" s="1537"/>
      <c r="I120" s="1537"/>
      <c r="J120" s="1537"/>
      <c r="K120" s="1537"/>
    </row>
    <row r="121" spans="1:11">
      <c r="A121" s="1537"/>
      <c r="B121" s="1537"/>
      <c r="C121" s="1537"/>
      <c r="D121" s="1537"/>
      <c r="E121" s="1537"/>
      <c r="F121" s="1537"/>
      <c r="G121" s="1537"/>
      <c r="H121" s="1537"/>
      <c r="I121" s="1537"/>
      <c r="J121" s="1537"/>
      <c r="K121" s="1537"/>
    </row>
    <row r="122" spans="1:11">
      <c r="A122" s="1537"/>
      <c r="B122" s="1537"/>
      <c r="C122" s="1537"/>
      <c r="D122" s="1537"/>
      <c r="E122" s="1537"/>
      <c r="F122" s="1537"/>
      <c r="G122" s="1537"/>
      <c r="H122" s="1537"/>
      <c r="I122" s="1537"/>
      <c r="J122" s="1537"/>
      <c r="K122" s="1537"/>
    </row>
    <row r="123" spans="1:11">
      <c r="A123" s="1537"/>
      <c r="B123" s="1537"/>
      <c r="C123" s="1537"/>
      <c r="D123" s="1537"/>
      <c r="E123" s="1537"/>
      <c r="F123" s="1537"/>
      <c r="G123" s="1537"/>
      <c r="H123" s="1537"/>
      <c r="I123" s="1537"/>
      <c r="J123" s="1537"/>
      <c r="K123" s="1537"/>
    </row>
    <row r="124" spans="1:11">
      <c r="A124" s="1537"/>
      <c r="B124" s="1537"/>
      <c r="C124" s="1537"/>
      <c r="D124" s="1537"/>
      <c r="E124" s="1537"/>
      <c r="F124" s="1537"/>
      <c r="G124" s="1537"/>
      <c r="H124" s="1537"/>
      <c r="I124" s="1537"/>
      <c r="J124" s="1537"/>
      <c r="K124" s="1537"/>
    </row>
    <row r="125" spans="1:11">
      <c r="A125" s="1537"/>
      <c r="B125" s="1537"/>
      <c r="C125" s="1537"/>
      <c r="D125" s="1537"/>
      <c r="E125" s="1537"/>
      <c r="F125" s="1537"/>
      <c r="G125" s="1537"/>
      <c r="H125" s="1537"/>
      <c r="I125" s="1537"/>
      <c r="J125" s="1537"/>
      <c r="K125" s="1537"/>
    </row>
    <row r="126" spans="1:11">
      <c r="A126" s="1537"/>
      <c r="B126" s="1537"/>
      <c r="C126" s="1537"/>
      <c r="D126" s="1537"/>
      <c r="E126" s="1537"/>
      <c r="F126" s="1537"/>
      <c r="G126" s="1537"/>
      <c r="H126" s="1537"/>
      <c r="I126" s="1537"/>
      <c r="J126" s="1537"/>
      <c r="K126" s="1537"/>
    </row>
    <row r="127" spans="1:11">
      <c r="A127" s="1537"/>
      <c r="B127" s="1537"/>
      <c r="C127" s="1537"/>
      <c r="D127" s="1537"/>
      <c r="E127" s="1537"/>
      <c r="F127" s="1537"/>
      <c r="G127" s="1537"/>
      <c r="H127" s="1537"/>
      <c r="I127" s="1537"/>
      <c r="J127" s="1537"/>
      <c r="K127" s="1537"/>
    </row>
    <row r="128" spans="1:11">
      <c r="A128" s="1537"/>
      <c r="B128" s="1537"/>
      <c r="C128" s="1537"/>
      <c r="D128" s="1537"/>
      <c r="E128" s="1537"/>
      <c r="F128" s="1537"/>
      <c r="G128" s="1537"/>
      <c r="H128" s="1537"/>
      <c r="I128" s="1537"/>
      <c r="J128" s="1537"/>
      <c r="K128" s="1537"/>
    </row>
    <row r="129" spans="1:11">
      <c r="A129" s="1537"/>
      <c r="B129" s="1537"/>
      <c r="C129" s="1537"/>
      <c r="D129" s="1537"/>
      <c r="E129" s="1537"/>
      <c r="F129" s="1537"/>
      <c r="G129" s="1537"/>
      <c r="H129" s="1537"/>
      <c r="I129" s="1537"/>
      <c r="J129" s="1537"/>
      <c r="K129" s="1537"/>
    </row>
    <row r="130" spans="1:11">
      <c r="A130" s="1537"/>
      <c r="B130" s="1537"/>
      <c r="C130" s="1537"/>
      <c r="D130" s="1537"/>
      <c r="E130" s="1537"/>
      <c r="F130" s="1537"/>
      <c r="G130" s="1537"/>
      <c r="H130" s="1537"/>
      <c r="I130" s="1537"/>
      <c r="J130" s="1537"/>
      <c r="K130" s="1537"/>
    </row>
    <row r="131" spans="1:11">
      <c r="A131" s="1537"/>
      <c r="B131" s="1537"/>
      <c r="C131" s="1537"/>
      <c r="D131" s="1537"/>
      <c r="E131" s="1537"/>
      <c r="F131" s="1537"/>
      <c r="G131" s="1537"/>
      <c r="H131" s="1537"/>
      <c r="I131" s="1537"/>
      <c r="J131" s="1537"/>
      <c r="K131" s="1537"/>
    </row>
    <row r="132" spans="1:11">
      <c r="A132" s="1537"/>
      <c r="B132" s="1537"/>
      <c r="C132" s="1537"/>
      <c r="D132" s="1537"/>
      <c r="E132" s="1537"/>
      <c r="F132" s="1537"/>
      <c r="G132" s="1537"/>
      <c r="H132" s="1537"/>
      <c r="I132" s="1537"/>
      <c r="J132" s="1537"/>
      <c r="K132" s="1537"/>
    </row>
    <row r="133" spans="1:11">
      <c r="A133" s="1537"/>
      <c r="B133" s="1537"/>
      <c r="C133" s="1537"/>
      <c r="D133" s="1537"/>
      <c r="E133" s="1537"/>
      <c r="F133" s="1537"/>
      <c r="G133" s="1537"/>
      <c r="H133" s="1537"/>
      <c r="I133" s="1537"/>
      <c r="J133" s="1537"/>
      <c r="K133" s="1537"/>
    </row>
    <row r="134" spans="1:11">
      <c r="A134" s="1537"/>
      <c r="B134" s="1537"/>
      <c r="C134" s="1537"/>
      <c r="D134" s="1537"/>
      <c r="E134" s="1537"/>
      <c r="F134" s="1537"/>
      <c r="G134" s="1537"/>
      <c r="H134" s="1537"/>
      <c r="I134" s="1537"/>
      <c r="J134" s="1537"/>
      <c r="K134" s="1537"/>
    </row>
    <row r="135" spans="1:11">
      <c r="A135" s="1537"/>
      <c r="B135" s="1537"/>
      <c r="C135" s="1537"/>
      <c r="D135" s="1537"/>
      <c r="E135" s="1537"/>
      <c r="F135" s="1537"/>
      <c r="G135" s="1537"/>
      <c r="H135" s="1537"/>
      <c r="I135" s="1537"/>
      <c r="J135" s="1537"/>
      <c r="K135" s="1537"/>
    </row>
    <row r="136" spans="1:11">
      <c r="A136" s="1537"/>
      <c r="B136" s="1537"/>
      <c r="C136" s="1537"/>
      <c r="D136" s="1537"/>
      <c r="E136" s="1537"/>
      <c r="F136" s="1537"/>
      <c r="G136" s="1537"/>
      <c r="H136" s="1537"/>
      <c r="I136" s="1537"/>
      <c r="J136" s="1537"/>
      <c r="K136" s="1537"/>
    </row>
    <row r="137" spans="1:11">
      <c r="A137" s="1537"/>
      <c r="B137" s="1537"/>
      <c r="C137" s="1537"/>
      <c r="D137" s="1537"/>
      <c r="E137" s="1537"/>
      <c r="F137" s="1537"/>
      <c r="G137" s="1537"/>
      <c r="H137" s="1537"/>
      <c r="I137" s="1537"/>
      <c r="J137" s="1537"/>
      <c r="K137" s="1537"/>
    </row>
    <row r="138" spans="1:11">
      <c r="A138" s="1537"/>
      <c r="B138" s="1537"/>
      <c r="C138" s="1537"/>
      <c r="D138" s="1537"/>
      <c r="E138" s="1537"/>
      <c r="F138" s="1537"/>
      <c r="G138" s="1537"/>
      <c r="H138" s="1537"/>
      <c r="I138" s="1537"/>
      <c r="J138" s="1537"/>
      <c r="K138" s="1537"/>
    </row>
    <row r="139" spans="1:11">
      <c r="A139" s="1537"/>
      <c r="B139" s="1537"/>
      <c r="C139" s="1537"/>
      <c r="D139" s="1537"/>
      <c r="E139" s="1537"/>
      <c r="F139" s="1537"/>
      <c r="G139" s="1537"/>
      <c r="H139" s="1537"/>
      <c r="I139" s="1537"/>
      <c r="J139" s="1537"/>
      <c r="K139" s="1537"/>
    </row>
    <row r="140" spans="1:11">
      <c r="A140" s="1537"/>
      <c r="B140" s="1537"/>
      <c r="C140" s="1537"/>
      <c r="D140" s="1537"/>
      <c r="E140" s="1537"/>
      <c r="F140" s="1537"/>
      <c r="G140" s="1537"/>
      <c r="H140" s="1537"/>
      <c r="I140" s="1537"/>
      <c r="J140" s="1537"/>
      <c r="K140" s="1537"/>
    </row>
    <row r="141" spans="1:11">
      <c r="A141" s="1537"/>
      <c r="B141" s="1537"/>
      <c r="C141" s="1537"/>
      <c r="D141" s="1537"/>
      <c r="E141" s="1537"/>
      <c r="F141" s="1537"/>
      <c r="G141" s="1537"/>
      <c r="H141" s="1537"/>
      <c r="I141" s="1537"/>
      <c r="J141" s="1537"/>
      <c r="K141" s="1537"/>
    </row>
    <row r="142" spans="1:11">
      <c r="A142" s="1537"/>
      <c r="B142" s="1537"/>
      <c r="C142" s="1537"/>
      <c r="D142" s="1537"/>
      <c r="E142" s="1537"/>
      <c r="F142" s="1537"/>
      <c r="G142" s="1537"/>
      <c r="H142" s="1537"/>
      <c r="I142" s="1537"/>
      <c r="J142" s="1537"/>
      <c r="K142" s="1537"/>
    </row>
    <row r="143" spans="1:11">
      <c r="A143" s="1537"/>
      <c r="B143" s="1537"/>
      <c r="C143" s="1537"/>
      <c r="D143" s="1537"/>
      <c r="E143" s="1537"/>
      <c r="F143" s="1537"/>
      <c r="G143" s="1537"/>
      <c r="H143" s="1537"/>
      <c r="I143" s="1537"/>
      <c r="J143" s="1537"/>
      <c r="K143" s="1537"/>
    </row>
    <row r="144" spans="1:11">
      <c r="A144" s="1537"/>
      <c r="B144" s="1537"/>
      <c r="C144" s="1537"/>
      <c r="D144" s="1537"/>
      <c r="E144" s="1537"/>
      <c r="F144" s="1537"/>
      <c r="G144" s="1537"/>
      <c r="H144" s="1537"/>
      <c r="I144" s="1537"/>
      <c r="J144" s="1537"/>
      <c r="K144" s="1537"/>
    </row>
    <row r="145" spans="1:11">
      <c r="A145" s="1537"/>
      <c r="B145" s="1537"/>
      <c r="C145" s="1537"/>
      <c r="D145" s="1537"/>
      <c r="E145" s="1537"/>
      <c r="F145" s="1537"/>
      <c r="G145" s="1537"/>
      <c r="H145" s="1537"/>
      <c r="I145" s="1537"/>
      <c r="J145" s="1537"/>
      <c r="K145" s="1537"/>
    </row>
    <row r="146" spans="1:11">
      <c r="A146" s="1537"/>
      <c r="B146" s="1537"/>
      <c r="C146" s="1537"/>
      <c r="D146" s="1537"/>
      <c r="E146" s="1537"/>
      <c r="F146" s="1537"/>
      <c r="G146" s="1537"/>
      <c r="H146" s="1537"/>
      <c r="I146" s="1537"/>
      <c r="J146" s="1537"/>
      <c r="K146" s="1537"/>
    </row>
    <row r="147" spans="1:11">
      <c r="A147" s="1537"/>
      <c r="B147" s="1537"/>
      <c r="C147" s="1537"/>
      <c r="D147" s="1537"/>
      <c r="E147" s="1537"/>
      <c r="F147" s="1537"/>
      <c r="G147" s="1537"/>
      <c r="H147" s="1537"/>
      <c r="I147" s="1537"/>
      <c r="J147" s="1537"/>
      <c r="K147" s="1537"/>
    </row>
    <row r="148" spans="1:11">
      <c r="A148" s="1537"/>
      <c r="B148" s="1537"/>
      <c r="C148" s="1537"/>
      <c r="D148" s="1537"/>
      <c r="E148" s="1537"/>
      <c r="F148" s="1537"/>
      <c r="G148" s="1537"/>
      <c r="H148" s="1537"/>
      <c r="I148" s="1537"/>
      <c r="J148" s="1537"/>
      <c r="K148" s="1537"/>
    </row>
    <row r="149" spans="1:11">
      <c r="A149" s="1537"/>
      <c r="B149" s="1537"/>
      <c r="C149" s="1537"/>
      <c r="D149" s="1537"/>
      <c r="E149" s="1537"/>
      <c r="F149" s="1537"/>
      <c r="G149" s="1537"/>
      <c r="H149" s="1537"/>
      <c r="I149" s="1537"/>
      <c r="J149" s="1537"/>
      <c r="K149" s="1537"/>
    </row>
    <row r="150" spans="1:11">
      <c r="A150" s="1537"/>
      <c r="B150" s="1537"/>
      <c r="C150" s="1537"/>
      <c r="D150" s="1537"/>
      <c r="E150" s="1537"/>
      <c r="F150" s="1537"/>
      <c r="G150" s="1537"/>
      <c r="H150" s="1537"/>
      <c r="I150" s="1537"/>
      <c r="J150" s="1537"/>
      <c r="K150" s="1537"/>
    </row>
    <row r="151" spans="1:11">
      <c r="A151" s="1537"/>
      <c r="B151" s="1537"/>
      <c r="C151" s="1537"/>
      <c r="D151" s="1537"/>
      <c r="E151" s="1537"/>
      <c r="F151" s="1537"/>
      <c r="G151" s="1537"/>
      <c r="H151" s="1537"/>
      <c r="I151" s="1537"/>
      <c r="J151" s="1537"/>
      <c r="K151" s="1537"/>
    </row>
    <row r="152" spans="1:11">
      <c r="A152" s="1537"/>
      <c r="B152" s="1537"/>
      <c r="C152" s="1537"/>
      <c r="D152" s="1537"/>
      <c r="E152" s="1537"/>
      <c r="F152" s="1537"/>
      <c r="G152" s="1537"/>
      <c r="H152" s="1537"/>
      <c r="I152" s="1537"/>
      <c r="J152" s="1537"/>
      <c r="K152" s="1537"/>
    </row>
    <row r="153" spans="1:11">
      <c r="A153" s="1537"/>
      <c r="B153" s="1537"/>
      <c r="C153" s="1537"/>
      <c r="D153" s="1537"/>
      <c r="E153" s="1537"/>
      <c r="F153" s="1537"/>
      <c r="G153" s="1537"/>
      <c r="H153" s="1537"/>
      <c r="I153" s="1537"/>
      <c r="J153" s="1537"/>
      <c r="K153" s="1537"/>
    </row>
    <row r="154" spans="1:11">
      <c r="A154" s="1537"/>
      <c r="B154" s="1537"/>
      <c r="C154" s="1537"/>
      <c r="D154" s="1537"/>
      <c r="E154" s="1537"/>
      <c r="F154" s="1537"/>
      <c r="G154" s="1537"/>
      <c r="H154" s="1537"/>
      <c r="I154" s="1537"/>
      <c r="J154" s="1537"/>
      <c r="K154" s="1537"/>
    </row>
    <row r="155" spans="1:11">
      <c r="A155" s="1537"/>
      <c r="B155" s="1537"/>
      <c r="C155" s="1537"/>
      <c r="D155" s="1537"/>
      <c r="E155" s="1537"/>
      <c r="F155" s="1537"/>
      <c r="G155" s="1537"/>
      <c r="H155" s="1537"/>
      <c r="I155" s="1537"/>
      <c r="J155" s="1537"/>
      <c r="K155" s="1537"/>
    </row>
    <row r="156" spans="1:11">
      <c r="A156" s="1537"/>
      <c r="B156" s="1537"/>
      <c r="C156" s="1537"/>
      <c r="D156" s="1537"/>
      <c r="E156" s="1537"/>
      <c r="F156" s="1537"/>
      <c r="G156" s="1537"/>
      <c r="H156" s="1537"/>
      <c r="I156" s="1537"/>
      <c r="J156" s="1537"/>
      <c r="K156" s="1537"/>
    </row>
    <row r="157" spans="1:11">
      <c r="A157" s="1537"/>
      <c r="B157" s="1537"/>
      <c r="C157" s="1537"/>
      <c r="D157" s="1537"/>
      <c r="E157" s="1537"/>
      <c r="F157" s="1537"/>
      <c r="G157" s="1537"/>
      <c r="H157" s="1537"/>
      <c r="I157" s="1537"/>
      <c r="J157" s="1537"/>
      <c r="K157" s="1537"/>
    </row>
    <row r="158" spans="1:11">
      <c r="A158" s="1537"/>
      <c r="B158" s="1537"/>
      <c r="C158" s="1537"/>
      <c r="D158" s="1537"/>
      <c r="E158" s="1537"/>
      <c r="F158" s="1537"/>
      <c r="G158" s="1537"/>
      <c r="H158" s="1537"/>
      <c r="I158" s="1537"/>
      <c r="J158" s="1537"/>
      <c r="K158" s="1537"/>
    </row>
    <row r="159" spans="1:11">
      <c r="A159" s="1537"/>
      <c r="B159" s="1537"/>
      <c r="C159" s="1537"/>
      <c r="D159" s="1537"/>
      <c r="E159" s="1537"/>
      <c r="F159" s="1537"/>
      <c r="G159" s="1537"/>
      <c r="H159" s="1537"/>
      <c r="I159" s="1537"/>
      <c r="J159" s="1537"/>
      <c r="K159" s="1537"/>
    </row>
    <row r="160" spans="1:11">
      <c r="A160" s="1537"/>
      <c r="B160" s="1537"/>
      <c r="C160" s="1537"/>
      <c r="D160" s="1537"/>
      <c r="E160" s="1537"/>
      <c r="F160" s="1537"/>
      <c r="G160" s="1537"/>
      <c r="H160" s="1537"/>
      <c r="I160" s="1537"/>
      <c r="J160" s="1537"/>
      <c r="K160" s="1537"/>
    </row>
    <row r="161" spans="1:11">
      <c r="A161" s="1537"/>
      <c r="B161" s="1537"/>
      <c r="C161" s="1537"/>
      <c r="D161" s="1537"/>
      <c r="E161" s="1537"/>
      <c r="F161" s="1537"/>
      <c r="G161" s="1537"/>
      <c r="H161" s="1537"/>
      <c r="I161" s="1537"/>
      <c r="J161" s="1537"/>
      <c r="K161" s="1537"/>
    </row>
    <row r="162" spans="1:11">
      <c r="A162" s="1537"/>
      <c r="B162" s="1537"/>
      <c r="C162" s="1537"/>
      <c r="D162" s="1537"/>
      <c r="E162" s="1537"/>
      <c r="F162" s="1537"/>
      <c r="G162" s="1537"/>
      <c r="H162" s="1537"/>
      <c r="I162" s="1537"/>
      <c r="J162" s="1537"/>
      <c r="K162" s="1537"/>
    </row>
    <row r="163" spans="1:11">
      <c r="A163" s="1537"/>
      <c r="B163" s="1537"/>
      <c r="C163" s="1537"/>
      <c r="D163" s="1537"/>
      <c r="E163" s="1537"/>
      <c r="F163" s="1537"/>
      <c r="G163" s="1537"/>
      <c r="H163" s="1537"/>
      <c r="I163" s="1537"/>
      <c r="J163" s="1537"/>
      <c r="K163" s="1537"/>
    </row>
    <row r="164" spans="1:11">
      <c r="A164" s="1537"/>
      <c r="B164" s="1537"/>
      <c r="C164" s="1537"/>
      <c r="D164" s="1537"/>
      <c r="E164" s="1537"/>
      <c r="F164" s="1537"/>
      <c r="G164" s="1537"/>
      <c r="H164" s="1537"/>
      <c r="I164" s="1537"/>
      <c r="J164" s="1537"/>
      <c r="K164" s="1537"/>
    </row>
    <row r="165" spans="1:11">
      <c r="A165" s="1537"/>
      <c r="B165" s="1537"/>
      <c r="C165" s="1537"/>
      <c r="D165" s="1537"/>
      <c r="E165" s="1537"/>
      <c r="F165" s="1537"/>
      <c r="G165" s="1537"/>
      <c r="H165" s="1537"/>
      <c r="I165" s="1537"/>
      <c r="J165" s="1537"/>
      <c r="K165" s="1537"/>
    </row>
    <row r="166" spans="1:11">
      <c r="A166" s="1537"/>
      <c r="B166" s="1537"/>
      <c r="C166" s="1537"/>
      <c r="D166" s="1537"/>
      <c r="E166" s="1537"/>
      <c r="F166" s="1537"/>
      <c r="G166" s="1537"/>
      <c r="H166" s="1537"/>
      <c r="I166" s="1537"/>
      <c r="J166" s="1537"/>
      <c r="K166" s="1537"/>
    </row>
    <row r="167" spans="1:11">
      <c r="A167" s="1537"/>
      <c r="B167" s="1537"/>
      <c r="C167" s="1537"/>
      <c r="D167" s="1537"/>
      <c r="E167" s="1537"/>
      <c r="F167" s="1537"/>
      <c r="G167" s="1537"/>
      <c r="H167" s="1537"/>
      <c r="I167" s="1537"/>
      <c r="J167" s="1537"/>
      <c r="K167" s="1537"/>
    </row>
    <row r="168" spans="1:11">
      <c r="A168" s="1537"/>
      <c r="B168" s="1537"/>
      <c r="C168" s="1537"/>
      <c r="D168" s="1537"/>
      <c r="E168" s="1537"/>
      <c r="F168" s="1537"/>
      <c r="G168" s="1537"/>
      <c r="H168" s="1537"/>
      <c r="I168" s="1537"/>
      <c r="J168" s="1537"/>
      <c r="K168" s="1537"/>
    </row>
    <row r="169" spans="1:11">
      <c r="A169" s="1537"/>
      <c r="B169" s="1537"/>
      <c r="C169" s="1537"/>
      <c r="D169" s="1537"/>
      <c r="E169" s="1537"/>
      <c r="F169" s="1537"/>
      <c r="G169" s="1537"/>
      <c r="H169" s="1537"/>
      <c r="I169" s="1537"/>
      <c r="J169" s="1537"/>
      <c r="K169" s="1537"/>
    </row>
    <row r="170" spans="1:11">
      <c r="A170" s="1537"/>
      <c r="B170" s="1537"/>
      <c r="C170" s="1537"/>
      <c r="D170" s="1537"/>
      <c r="E170" s="1537"/>
      <c r="F170" s="1537"/>
      <c r="G170" s="1537"/>
      <c r="H170" s="1537"/>
      <c r="I170" s="1537"/>
      <c r="J170" s="1537"/>
      <c r="K170" s="1537"/>
    </row>
    <row r="171" spans="1:11">
      <c r="A171" s="1537"/>
      <c r="B171" s="1537"/>
      <c r="C171" s="1537"/>
      <c r="D171" s="1537"/>
      <c r="E171" s="1537"/>
      <c r="F171" s="1537"/>
      <c r="G171" s="1537"/>
      <c r="H171" s="1537"/>
      <c r="I171" s="1537"/>
      <c r="J171" s="1537"/>
      <c r="K171" s="1537"/>
    </row>
    <row r="172" spans="1:11">
      <c r="A172" s="1537"/>
      <c r="B172" s="1537"/>
      <c r="C172" s="1537"/>
      <c r="D172" s="1537"/>
      <c r="E172" s="1537"/>
      <c r="F172" s="1537"/>
      <c r="G172" s="1537"/>
      <c r="H172" s="1537"/>
      <c r="I172" s="1537"/>
      <c r="J172" s="1537"/>
      <c r="K172" s="1537"/>
    </row>
    <row r="173" spans="1:11">
      <c r="A173" s="1537"/>
      <c r="B173" s="1537"/>
      <c r="C173" s="1537"/>
      <c r="D173" s="1537"/>
      <c r="E173" s="1537"/>
      <c r="F173" s="1537"/>
      <c r="G173" s="1537"/>
      <c r="H173" s="1537"/>
      <c r="I173" s="1537"/>
      <c r="J173" s="1537"/>
      <c r="K173" s="1537"/>
    </row>
    <row r="174" spans="1:11">
      <c r="A174" s="1537"/>
      <c r="B174" s="1537"/>
      <c r="C174" s="1537"/>
      <c r="D174" s="1537"/>
      <c r="E174" s="1537"/>
      <c r="F174" s="1537"/>
      <c r="G174" s="1537"/>
      <c r="H174" s="1537"/>
      <c r="I174" s="1537"/>
      <c r="J174" s="1537"/>
      <c r="K174" s="1537"/>
    </row>
    <row r="175" spans="1:11">
      <c r="A175" s="1537"/>
      <c r="B175" s="1537"/>
      <c r="C175" s="1537"/>
      <c r="D175" s="1537"/>
      <c r="E175" s="1537"/>
      <c r="F175" s="1537"/>
      <c r="G175" s="1537"/>
      <c r="H175" s="1537"/>
      <c r="I175" s="1537"/>
      <c r="J175" s="1537"/>
      <c r="K175" s="1537"/>
    </row>
    <row r="176" spans="1:11">
      <c r="A176" s="1537"/>
      <c r="B176" s="1537"/>
      <c r="C176" s="1537"/>
      <c r="D176" s="1537"/>
      <c r="E176" s="1537"/>
      <c r="F176" s="1537"/>
      <c r="G176" s="1537"/>
      <c r="H176" s="1537"/>
      <c r="I176" s="1537"/>
      <c r="J176" s="1537"/>
      <c r="K176" s="1537"/>
    </row>
    <row r="177" spans="1:11">
      <c r="A177" s="1537"/>
      <c r="B177" s="1537"/>
      <c r="C177" s="1537"/>
      <c r="D177" s="1537"/>
      <c r="E177" s="1537"/>
      <c r="F177" s="1537"/>
      <c r="G177" s="1537"/>
      <c r="H177" s="1537"/>
      <c r="I177" s="1537"/>
      <c r="J177" s="1537"/>
      <c r="K177" s="1537"/>
    </row>
    <row r="178" spans="1:11">
      <c r="A178" s="1537"/>
      <c r="B178" s="1537"/>
      <c r="C178" s="1537"/>
      <c r="D178" s="1537"/>
      <c r="E178" s="1537"/>
      <c r="F178" s="1537"/>
      <c r="G178" s="1537"/>
      <c r="H178" s="1537"/>
      <c r="I178" s="1537"/>
      <c r="J178" s="1537"/>
      <c r="K178" s="1537"/>
    </row>
    <row r="179" spans="1:11">
      <c r="A179" s="1537"/>
      <c r="B179" s="1537"/>
      <c r="C179" s="1537"/>
      <c r="D179" s="1537"/>
      <c r="E179" s="1537"/>
      <c r="F179" s="1537"/>
      <c r="G179" s="1537"/>
      <c r="H179" s="1537"/>
      <c r="I179" s="1537"/>
      <c r="J179" s="1537"/>
      <c r="K179" s="1537"/>
    </row>
    <row r="180" spans="1:11">
      <c r="A180" s="1537"/>
      <c r="B180" s="1537"/>
      <c r="C180" s="1537"/>
      <c r="D180" s="1537"/>
      <c r="E180" s="1537"/>
      <c r="F180" s="1537"/>
      <c r="G180" s="1537"/>
      <c r="H180" s="1537"/>
      <c r="I180" s="1537"/>
      <c r="J180" s="1537"/>
      <c r="K180" s="1537"/>
    </row>
    <row r="181" spans="1:11">
      <c r="A181" s="1537"/>
      <c r="B181" s="1537"/>
      <c r="C181" s="1537"/>
      <c r="D181" s="1537"/>
      <c r="E181" s="1537"/>
      <c r="F181" s="1537"/>
      <c r="G181" s="1537"/>
      <c r="H181" s="1537"/>
      <c r="I181" s="1537"/>
      <c r="J181" s="1537"/>
      <c r="K181" s="1537"/>
    </row>
    <row r="182" spans="1:11">
      <c r="A182" s="1537"/>
      <c r="B182" s="1537"/>
      <c r="C182" s="1537"/>
      <c r="D182" s="1537"/>
      <c r="E182" s="1537"/>
      <c r="F182" s="1537"/>
      <c r="G182" s="1537"/>
      <c r="H182" s="1537"/>
      <c r="I182" s="1537"/>
      <c r="J182" s="1537"/>
      <c r="K182" s="1537"/>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sqref="A1:M36"/>
    </sheetView>
  </sheetViews>
  <sheetFormatPr defaultRowHeight="12.75"/>
  <cols>
    <col min="1" max="1" width="39.85546875" style="1585" customWidth="1"/>
    <col min="2" max="2" width="8.140625" style="1585" bestFit="1" customWidth="1"/>
    <col min="3" max="3" width="12.7109375" style="1585" bestFit="1" customWidth="1"/>
    <col min="4" max="4" width="8.140625" style="1585" bestFit="1" customWidth="1"/>
    <col min="5" max="5" width="11.140625" style="1585" bestFit="1" customWidth="1"/>
    <col min="6" max="6" width="13.28515625" style="1585" customWidth="1"/>
    <col min="7" max="7" width="12.85546875" style="1585" customWidth="1"/>
    <col min="8" max="8" width="14" style="1585" customWidth="1"/>
    <col min="9" max="9" width="12.5703125" style="1585" customWidth="1"/>
    <col min="10" max="10" width="8.140625" style="1585" bestFit="1" customWidth="1"/>
    <col min="11" max="11" width="8.85546875" style="1585" bestFit="1" customWidth="1"/>
    <col min="12" max="12" width="8.140625" style="1585" bestFit="1" customWidth="1"/>
    <col min="13" max="13" width="10.85546875" style="1585" bestFit="1" customWidth="1"/>
    <col min="14" max="14" width="14.140625" style="1585" customWidth="1"/>
    <col min="15" max="16" width="10.85546875" style="1585" bestFit="1" customWidth="1"/>
    <col min="17" max="18" width="3.42578125" style="1585" bestFit="1" customWidth="1"/>
    <col min="19" max="19" width="11.140625" style="1585" bestFit="1" customWidth="1"/>
    <col min="20" max="21" width="9.140625" style="1585"/>
    <col min="22" max="22" width="10.140625" style="1585" bestFit="1" customWidth="1"/>
    <col min="23" max="256" width="9.140625" style="1585"/>
    <col min="257" max="257" width="39.85546875" style="1585" customWidth="1"/>
    <col min="258" max="258" width="8.140625" style="1585" bestFit="1" customWidth="1"/>
    <col min="259" max="259" width="12.7109375" style="1585" bestFit="1" customWidth="1"/>
    <col min="260" max="260" width="8.140625" style="1585" bestFit="1" customWidth="1"/>
    <col min="261" max="261" width="11.140625" style="1585" bestFit="1" customWidth="1"/>
    <col min="262" max="262" width="13.28515625" style="1585" customWidth="1"/>
    <col min="263" max="263" width="12.85546875" style="1585" customWidth="1"/>
    <col min="264" max="264" width="14" style="1585" customWidth="1"/>
    <col min="265" max="265" width="12.5703125" style="1585" customWidth="1"/>
    <col min="266" max="266" width="8.140625" style="1585" bestFit="1" customWidth="1"/>
    <col min="267" max="267" width="8.85546875" style="1585" bestFit="1" customWidth="1"/>
    <col min="268" max="268" width="8.140625" style="1585" bestFit="1" customWidth="1"/>
    <col min="269" max="269" width="10.85546875" style="1585" bestFit="1" customWidth="1"/>
    <col min="270" max="270" width="14.140625" style="1585" customWidth="1"/>
    <col min="271" max="272" width="10.85546875" style="1585" bestFit="1" customWidth="1"/>
    <col min="273" max="274" width="3.42578125" style="1585" bestFit="1" customWidth="1"/>
    <col min="275" max="275" width="11.140625" style="1585" bestFit="1" customWidth="1"/>
    <col min="276" max="277" width="9.140625" style="1585"/>
    <col min="278" max="278" width="10.140625" style="1585" bestFit="1" customWidth="1"/>
    <col min="279" max="512" width="9.140625" style="1585"/>
    <col min="513" max="513" width="39.85546875" style="1585" customWidth="1"/>
    <col min="514" max="514" width="8.140625" style="1585" bestFit="1" customWidth="1"/>
    <col min="515" max="515" width="12.7109375" style="1585" bestFit="1" customWidth="1"/>
    <col min="516" max="516" width="8.140625" style="1585" bestFit="1" customWidth="1"/>
    <col min="517" max="517" width="11.140625" style="1585" bestFit="1" customWidth="1"/>
    <col min="518" max="518" width="13.28515625" style="1585" customWidth="1"/>
    <col min="519" max="519" width="12.85546875" style="1585" customWidth="1"/>
    <col min="520" max="520" width="14" style="1585" customWidth="1"/>
    <col min="521" max="521" width="12.5703125" style="1585" customWidth="1"/>
    <col min="522" max="522" width="8.140625" style="1585" bestFit="1" customWidth="1"/>
    <col min="523" max="523" width="8.85546875" style="1585" bestFit="1" customWidth="1"/>
    <col min="524" max="524" width="8.140625" style="1585" bestFit="1" customWidth="1"/>
    <col min="525" max="525" width="10.85546875" style="1585" bestFit="1" customWidth="1"/>
    <col min="526" max="526" width="14.140625" style="1585" customWidth="1"/>
    <col min="527" max="528" width="10.85546875" style="1585" bestFit="1" customWidth="1"/>
    <col min="529" max="530" width="3.42578125" style="1585" bestFit="1" customWidth="1"/>
    <col min="531" max="531" width="11.140625" style="1585" bestFit="1" customWidth="1"/>
    <col min="532" max="533" width="9.140625" style="1585"/>
    <col min="534" max="534" width="10.140625" style="1585" bestFit="1" customWidth="1"/>
    <col min="535" max="768" width="9.140625" style="1585"/>
    <col min="769" max="769" width="39.85546875" style="1585" customWidth="1"/>
    <col min="770" max="770" width="8.140625" style="1585" bestFit="1" customWidth="1"/>
    <col min="771" max="771" width="12.7109375" style="1585" bestFit="1" customWidth="1"/>
    <col min="772" max="772" width="8.140625" style="1585" bestFit="1" customWidth="1"/>
    <col min="773" max="773" width="11.140625" style="1585" bestFit="1" customWidth="1"/>
    <col min="774" max="774" width="13.28515625" style="1585" customWidth="1"/>
    <col min="775" max="775" width="12.85546875" style="1585" customWidth="1"/>
    <col min="776" max="776" width="14" style="1585" customWidth="1"/>
    <col min="777" max="777" width="12.5703125" style="1585" customWidth="1"/>
    <col min="778" max="778" width="8.140625" style="1585" bestFit="1" customWidth="1"/>
    <col min="779" max="779" width="8.85546875" style="1585" bestFit="1" customWidth="1"/>
    <col min="780" max="780" width="8.140625" style="1585" bestFit="1" customWidth="1"/>
    <col min="781" max="781" width="10.85546875" style="1585" bestFit="1" customWidth="1"/>
    <col min="782" max="782" width="14.140625" style="1585" customWidth="1"/>
    <col min="783" max="784" width="10.85546875" style="1585" bestFit="1" customWidth="1"/>
    <col min="785" max="786" width="3.42578125" style="1585" bestFit="1" customWidth="1"/>
    <col min="787" max="787" width="11.140625" style="1585" bestFit="1" customWidth="1"/>
    <col min="788" max="789" width="9.140625" style="1585"/>
    <col min="790" max="790" width="10.140625" style="1585" bestFit="1" customWidth="1"/>
    <col min="791" max="1024" width="9.140625" style="1585"/>
    <col min="1025" max="1025" width="39.85546875" style="1585" customWidth="1"/>
    <col min="1026" max="1026" width="8.140625" style="1585" bestFit="1" customWidth="1"/>
    <col min="1027" max="1027" width="12.7109375" style="1585" bestFit="1" customWidth="1"/>
    <col min="1028" max="1028" width="8.140625" style="1585" bestFit="1" customWidth="1"/>
    <col min="1029" max="1029" width="11.140625" style="1585" bestFit="1" customWidth="1"/>
    <col min="1030" max="1030" width="13.28515625" style="1585" customWidth="1"/>
    <col min="1031" max="1031" width="12.85546875" style="1585" customWidth="1"/>
    <col min="1032" max="1032" width="14" style="1585" customWidth="1"/>
    <col min="1033" max="1033" width="12.5703125" style="1585" customWidth="1"/>
    <col min="1034" max="1034" width="8.140625" style="1585" bestFit="1" customWidth="1"/>
    <col min="1035" max="1035" width="8.85546875" style="1585" bestFit="1" customWidth="1"/>
    <col min="1036" max="1036" width="8.140625" style="1585" bestFit="1" customWidth="1"/>
    <col min="1037" max="1037" width="10.85546875" style="1585" bestFit="1" customWidth="1"/>
    <col min="1038" max="1038" width="14.140625" style="1585" customWidth="1"/>
    <col min="1039" max="1040" width="10.85546875" style="1585" bestFit="1" customWidth="1"/>
    <col min="1041" max="1042" width="3.42578125" style="1585" bestFit="1" customWidth="1"/>
    <col min="1043" max="1043" width="11.140625" style="1585" bestFit="1" customWidth="1"/>
    <col min="1044" max="1045" width="9.140625" style="1585"/>
    <col min="1046" max="1046" width="10.140625" style="1585" bestFit="1" customWidth="1"/>
    <col min="1047" max="1280" width="9.140625" style="1585"/>
    <col min="1281" max="1281" width="39.85546875" style="1585" customWidth="1"/>
    <col min="1282" max="1282" width="8.140625" style="1585" bestFit="1" customWidth="1"/>
    <col min="1283" max="1283" width="12.7109375" style="1585" bestFit="1" customWidth="1"/>
    <col min="1284" max="1284" width="8.140625" style="1585" bestFit="1" customWidth="1"/>
    <col min="1285" max="1285" width="11.140625" style="1585" bestFit="1" customWidth="1"/>
    <col min="1286" max="1286" width="13.28515625" style="1585" customWidth="1"/>
    <col min="1287" max="1287" width="12.85546875" style="1585" customWidth="1"/>
    <col min="1288" max="1288" width="14" style="1585" customWidth="1"/>
    <col min="1289" max="1289" width="12.5703125" style="1585" customWidth="1"/>
    <col min="1290" max="1290" width="8.140625" style="1585" bestFit="1" customWidth="1"/>
    <col min="1291" max="1291" width="8.85546875" style="1585" bestFit="1" customWidth="1"/>
    <col min="1292" max="1292" width="8.140625" style="1585" bestFit="1" customWidth="1"/>
    <col min="1293" max="1293" width="10.85546875" style="1585" bestFit="1" customWidth="1"/>
    <col min="1294" max="1294" width="14.140625" style="1585" customWidth="1"/>
    <col min="1295" max="1296" width="10.85546875" style="1585" bestFit="1" customWidth="1"/>
    <col min="1297" max="1298" width="3.42578125" style="1585" bestFit="1" customWidth="1"/>
    <col min="1299" max="1299" width="11.140625" style="1585" bestFit="1" customWidth="1"/>
    <col min="1300" max="1301" width="9.140625" style="1585"/>
    <col min="1302" max="1302" width="10.140625" style="1585" bestFit="1" customWidth="1"/>
    <col min="1303" max="1536" width="9.140625" style="1585"/>
    <col min="1537" max="1537" width="39.85546875" style="1585" customWidth="1"/>
    <col min="1538" max="1538" width="8.140625" style="1585" bestFit="1" customWidth="1"/>
    <col min="1539" max="1539" width="12.7109375" style="1585" bestFit="1" customWidth="1"/>
    <col min="1540" max="1540" width="8.140625" style="1585" bestFit="1" customWidth="1"/>
    <col min="1541" max="1541" width="11.140625" style="1585" bestFit="1" customWidth="1"/>
    <col min="1542" max="1542" width="13.28515625" style="1585" customWidth="1"/>
    <col min="1543" max="1543" width="12.85546875" style="1585" customWidth="1"/>
    <col min="1544" max="1544" width="14" style="1585" customWidth="1"/>
    <col min="1545" max="1545" width="12.5703125" style="1585" customWidth="1"/>
    <col min="1546" max="1546" width="8.140625" style="1585" bestFit="1" customWidth="1"/>
    <col min="1547" max="1547" width="8.85546875" style="1585" bestFit="1" customWidth="1"/>
    <col min="1548" max="1548" width="8.140625" style="1585" bestFit="1" customWidth="1"/>
    <col min="1549" max="1549" width="10.85546875" style="1585" bestFit="1" customWidth="1"/>
    <col min="1550" max="1550" width="14.140625" style="1585" customWidth="1"/>
    <col min="1551" max="1552" width="10.85546875" style="1585" bestFit="1" customWidth="1"/>
    <col min="1553" max="1554" width="3.42578125" style="1585" bestFit="1" customWidth="1"/>
    <col min="1555" max="1555" width="11.140625" style="1585" bestFit="1" customWidth="1"/>
    <col min="1556" max="1557" width="9.140625" style="1585"/>
    <col min="1558" max="1558" width="10.140625" style="1585" bestFit="1" customWidth="1"/>
    <col min="1559" max="1792" width="9.140625" style="1585"/>
    <col min="1793" max="1793" width="39.85546875" style="1585" customWidth="1"/>
    <col min="1794" max="1794" width="8.140625" style="1585" bestFit="1" customWidth="1"/>
    <col min="1795" max="1795" width="12.7109375" style="1585" bestFit="1" customWidth="1"/>
    <col min="1796" max="1796" width="8.140625" style="1585" bestFit="1" customWidth="1"/>
    <col min="1797" max="1797" width="11.140625" style="1585" bestFit="1" customWidth="1"/>
    <col min="1798" max="1798" width="13.28515625" style="1585" customWidth="1"/>
    <col min="1799" max="1799" width="12.85546875" style="1585" customWidth="1"/>
    <col min="1800" max="1800" width="14" style="1585" customWidth="1"/>
    <col min="1801" max="1801" width="12.5703125" style="1585" customWidth="1"/>
    <col min="1802" max="1802" width="8.140625" style="1585" bestFit="1" customWidth="1"/>
    <col min="1803" max="1803" width="8.85546875" style="1585" bestFit="1" customWidth="1"/>
    <col min="1804" max="1804" width="8.140625" style="1585" bestFit="1" customWidth="1"/>
    <col min="1805" max="1805" width="10.85546875" style="1585" bestFit="1" customWidth="1"/>
    <col min="1806" max="1806" width="14.140625" style="1585" customWidth="1"/>
    <col min="1807" max="1808" width="10.85546875" style="1585" bestFit="1" customWidth="1"/>
    <col min="1809" max="1810" width="3.42578125" style="1585" bestFit="1" customWidth="1"/>
    <col min="1811" max="1811" width="11.140625" style="1585" bestFit="1" customWidth="1"/>
    <col min="1812" max="1813" width="9.140625" style="1585"/>
    <col min="1814" max="1814" width="10.140625" style="1585" bestFit="1" customWidth="1"/>
    <col min="1815" max="2048" width="9.140625" style="1585"/>
    <col min="2049" max="2049" width="39.85546875" style="1585" customWidth="1"/>
    <col min="2050" max="2050" width="8.140625" style="1585" bestFit="1" customWidth="1"/>
    <col min="2051" max="2051" width="12.7109375" style="1585" bestFit="1" customWidth="1"/>
    <col min="2052" max="2052" width="8.140625" style="1585" bestFit="1" customWidth="1"/>
    <col min="2053" max="2053" width="11.140625" style="1585" bestFit="1" customWidth="1"/>
    <col min="2054" max="2054" width="13.28515625" style="1585" customWidth="1"/>
    <col min="2055" max="2055" width="12.85546875" style="1585" customWidth="1"/>
    <col min="2056" max="2056" width="14" style="1585" customWidth="1"/>
    <col min="2057" max="2057" width="12.5703125" style="1585" customWidth="1"/>
    <col min="2058" max="2058" width="8.140625" style="1585" bestFit="1" customWidth="1"/>
    <col min="2059" max="2059" width="8.85546875" style="1585" bestFit="1" customWidth="1"/>
    <col min="2060" max="2060" width="8.140625" style="1585" bestFit="1" customWidth="1"/>
    <col min="2061" max="2061" width="10.85546875" style="1585" bestFit="1" customWidth="1"/>
    <col min="2062" max="2062" width="14.140625" style="1585" customWidth="1"/>
    <col min="2063" max="2064" width="10.85546875" style="1585" bestFit="1" customWidth="1"/>
    <col min="2065" max="2066" width="3.42578125" style="1585" bestFit="1" customWidth="1"/>
    <col min="2067" max="2067" width="11.140625" style="1585" bestFit="1" customWidth="1"/>
    <col min="2068" max="2069" width="9.140625" style="1585"/>
    <col min="2070" max="2070" width="10.140625" style="1585" bestFit="1" customWidth="1"/>
    <col min="2071" max="2304" width="9.140625" style="1585"/>
    <col min="2305" max="2305" width="39.85546875" style="1585" customWidth="1"/>
    <col min="2306" max="2306" width="8.140625" style="1585" bestFit="1" customWidth="1"/>
    <col min="2307" max="2307" width="12.7109375" style="1585" bestFit="1" customWidth="1"/>
    <col min="2308" max="2308" width="8.140625" style="1585" bestFit="1" customWidth="1"/>
    <col min="2309" max="2309" width="11.140625" style="1585" bestFit="1" customWidth="1"/>
    <col min="2310" max="2310" width="13.28515625" style="1585" customWidth="1"/>
    <col min="2311" max="2311" width="12.85546875" style="1585" customWidth="1"/>
    <col min="2312" max="2312" width="14" style="1585" customWidth="1"/>
    <col min="2313" max="2313" width="12.5703125" style="1585" customWidth="1"/>
    <col min="2314" max="2314" width="8.140625" style="1585" bestFit="1" customWidth="1"/>
    <col min="2315" max="2315" width="8.85546875" style="1585" bestFit="1" customWidth="1"/>
    <col min="2316" max="2316" width="8.140625" style="1585" bestFit="1" customWidth="1"/>
    <col min="2317" max="2317" width="10.85546875" style="1585" bestFit="1" customWidth="1"/>
    <col min="2318" max="2318" width="14.140625" style="1585" customWidth="1"/>
    <col min="2319" max="2320" width="10.85546875" style="1585" bestFit="1" customWidth="1"/>
    <col min="2321" max="2322" width="3.42578125" style="1585" bestFit="1" customWidth="1"/>
    <col min="2323" max="2323" width="11.140625" style="1585" bestFit="1" customWidth="1"/>
    <col min="2324" max="2325" width="9.140625" style="1585"/>
    <col min="2326" max="2326" width="10.140625" style="1585" bestFit="1" customWidth="1"/>
    <col min="2327" max="2560" width="9.140625" style="1585"/>
    <col min="2561" max="2561" width="39.85546875" style="1585" customWidth="1"/>
    <col min="2562" max="2562" width="8.140625" style="1585" bestFit="1" customWidth="1"/>
    <col min="2563" max="2563" width="12.7109375" style="1585" bestFit="1" customWidth="1"/>
    <col min="2564" max="2564" width="8.140625" style="1585" bestFit="1" customWidth="1"/>
    <col min="2565" max="2565" width="11.140625" style="1585" bestFit="1" customWidth="1"/>
    <col min="2566" max="2566" width="13.28515625" style="1585" customWidth="1"/>
    <col min="2567" max="2567" width="12.85546875" style="1585" customWidth="1"/>
    <col min="2568" max="2568" width="14" style="1585" customWidth="1"/>
    <col min="2569" max="2569" width="12.5703125" style="1585" customWidth="1"/>
    <col min="2570" max="2570" width="8.140625" style="1585" bestFit="1" customWidth="1"/>
    <col min="2571" max="2571" width="8.85546875" style="1585" bestFit="1" customWidth="1"/>
    <col min="2572" max="2572" width="8.140625" style="1585" bestFit="1" customWidth="1"/>
    <col min="2573" max="2573" width="10.85546875" style="1585" bestFit="1" customWidth="1"/>
    <col min="2574" max="2574" width="14.140625" style="1585" customWidth="1"/>
    <col min="2575" max="2576" width="10.85546875" style="1585" bestFit="1" customWidth="1"/>
    <col min="2577" max="2578" width="3.42578125" style="1585" bestFit="1" customWidth="1"/>
    <col min="2579" max="2579" width="11.140625" style="1585" bestFit="1" customWidth="1"/>
    <col min="2580" max="2581" width="9.140625" style="1585"/>
    <col min="2582" max="2582" width="10.140625" style="1585" bestFit="1" customWidth="1"/>
    <col min="2583" max="2816" width="9.140625" style="1585"/>
    <col min="2817" max="2817" width="39.85546875" style="1585" customWidth="1"/>
    <col min="2818" max="2818" width="8.140625" style="1585" bestFit="1" customWidth="1"/>
    <col min="2819" max="2819" width="12.7109375" style="1585" bestFit="1" customWidth="1"/>
    <col min="2820" max="2820" width="8.140625" style="1585" bestFit="1" customWidth="1"/>
    <col min="2821" max="2821" width="11.140625" style="1585" bestFit="1" customWidth="1"/>
    <col min="2822" max="2822" width="13.28515625" style="1585" customWidth="1"/>
    <col min="2823" max="2823" width="12.85546875" style="1585" customWidth="1"/>
    <col min="2824" max="2824" width="14" style="1585" customWidth="1"/>
    <col min="2825" max="2825" width="12.5703125" style="1585" customWidth="1"/>
    <col min="2826" max="2826" width="8.140625" style="1585" bestFit="1" customWidth="1"/>
    <col min="2827" max="2827" width="8.85546875" style="1585" bestFit="1" customWidth="1"/>
    <col min="2828" max="2828" width="8.140625" style="1585" bestFit="1" customWidth="1"/>
    <col min="2829" max="2829" width="10.85546875" style="1585" bestFit="1" customWidth="1"/>
    <col min="2830" max="2830" width="14.140625" style="1585" customWidth="1"/>
    <col min="2831" max="2832" width="10.85546875" style="1585" bestFit="1" customWidth="1"/>
    <col min="2833" max="2834" width="3.42578125" style="1585" bestFit="1" customWidth="1"/>
    <col min="2835" max="2835" width="11.140625" style="1585" bestFit="1" customWidth="1"/>
    <col min="2836" max="2837" width="9.140625" style="1585"/>
    <col min="2838" max="2838" width="10.140625" style="1585" bestFit="1" customWidth="1"/>
    <col min="2839" max="3072" width="9.140625" style="1585"/>
    <col min="3073" max="3073" width="39.85546875" style="1585" customWidth="1"/>
    <col min="3074" max="3074" width="8.140625" style="1585" bestFit="1" customWidth="1"/>
    <col min="3075" max="3075" width="12.7109375" style="1585" bestFit="1" customWidth="1"/>
    <col min="3076" max="3076" width="8.140625" style="1585" bestFit="1" customWidth="1"/>
    <col min="3077" max="3077" width="11.140625" style="1585" bestFit="1" customWidth="1"/>
    <col min="3078" max="3078" width="13.28515625" style="1585" customWidth="1"/>
    <col min="3079" max="3079" width="12.85546875" style="1585" customWidth="1"/>
    <col min="3080" max="3080" width="14" style="1585" customWidth="1"/>
    <col min="3081" max="3081" width="12.5703125" style="1585" customWidth="1"/>
    <col min="3082" max="3082" width="8.140625" style="1585" bestFit="1" customWidth="1"/>
    <col min="3083" max="3083" width="8.85546875" style="1585" bestFit="1" customWidth="1"/>
    <col min="3084" max="3084" width="8.140625" style="1585" bestFit="1" customWidth="1"/>
    <col min="3085" max="3085" width="10.85546875" style="1585" bestFit="1" customWidth="1"/>
    <col min="3086" max="3086" width="14.140625" style="1585" customWidth="1"/>
    <col min="3087" max="3088" width="10.85546875" style="1585" bestFit="1" customWidth="1"/>
    <col min="3089" max="3090" width="3.42578125" style="1585" bestFit="1" customWidth="1"/>
    <col min="3091" max="3091" width="11.140625" style="1585" bestFit="1" customWidth="1"/>
    <col min="3092" max="3093" width="9.140625" style="1585"/>
    <col min="3094" max="3094" width="10.140625" style="1585" bestFit="1" customWidth="1"/>
    <col min="3095" max="3328" width="9.140625" style="1585"/>
    <col min="3329" max="3329" width="39.85546875" style="1585" customWidth="1"/>
    <col min="3330" max="3330" width="8.140625" style="1585" bestFit="1" customWidth="1"/>
    <col min="3331" max="3331" width="12.7109375" style="1585" bestFit="1" customWidth="1"/>
    <col min="3332" max="3332" width="8.140625" style="1585" bestFit="1" customWidth="1"/>
    <col min="3333" max="3333" width="11.140625" style="1585" bestFit="1" customWidth="1"/>
    <col min="3334" max="3334" width="13.28515625" style="1585" customWidth="1"/>
    <col min="3335" max="3335" width="12.85546875" style="1585" customWidth="1"/>
    <col min="3336" max="3336" width="14" style="1585" customWidth="1"/>
    <col min="3337" max="3337" width="12.5703125" style="1585" customWidth="1"/>
    <col min="3338" max="3338" width="8.140625" style="1585" bestFit="1" customWidth="1"/>
    <col min="3339" max="3339" width="8.85546875" style="1585" bestFit="1" customWidth="1"/>
    <col min="3340" max="3340" width="8.140625" style="1585" bestFit="1" customWidth="1"/>
    <col min="3341" max="3341" width="10.85546875" style="1585" bestFit="1" customWidth="1"/>
    <col min="3342" max="3342" width="14.140625" style="1585" customWidth="1"/>
    <col min="3343" max="3344" width="10.85546875" style="1585" bestFit="1" customWidth="1"/>
    <col min="3345" max="3346" width="3.42578125" style="1585" bestFit="1" customWidth="1"/>
    <col min="3347" max="3347" width="11.140625" style="1585" bestFit="1" customWidth="1"/>
    <col min="3348" max="3349" width="9.140625" style="1585"/>
    <col min="3350" max="3350" width="10.140625" style="1585" bestFit="1" customWidth="1"/>
    <col min="3351" max="3584" width="9.140625" style="1585"/>
    <col min="3585" max="3585" width="39.85546875" style="1585" customWidth="1"/>
    <col min="3586" max="3586" width="8.140625" style="1585" bestFit="1" customWidth="1"/>
    <col min="3587" max="3587" width="12.7109375" style="1585" bestFit="1" customWidth="1"/>
    <col min="3588" max="3588" width="8.140625" style="1585" bestFit="1" customWidth="1"/>
    <col min="3589" max="3589" width="11.140625" style="1585" bestFit="1" customWidth="1"/>
    <col min="3590" max="3590" width="13.28515625" style="1585" customWidth="1"/>
    <col min="3591" max="3591" width="12.85546875" style="1585" customWidth="1"/>
    <col min="3592" max="3592" width="14" style="1585" customWidth="1"/>
    <col min="3593" max="3593" width="12.5703125" style="1585" customWidth="1"/>
    <col min="3594" max="3594" width="8.140625" style="1585" bestFit="1" customWidth="1"/>
    <col min="3595" max="3595" width="8.85546875" style="1585" bestFit="1" customWidth="1"/>
    <col min="3596" max="3596" width="8.140625" style="1585" bestFit="1" customWidth="1"/>
    <col min="3597" max="3597" width="10.85546875" style="1585" bestFit="1" customWidth="1"/>
    <col min="3598" max="3598" width="14.140625" style="1585" customWidth="1"/>
    <col min="3599" max="3600" width="10.85546875" style="1585" bestFit="1" customWidth="1"/>
    <col min="3601" max="3602" width="3.42578125" style="1585" bestFit="1" customWidth="1"/>
    <col min="3603" max="3603" width="11.140625" style="1585" bestFit="1" customWidth="1"/>
    <col min="3604" max="3605" width="9.140625" style="1585"/>
    <col min="3606" max="3606" width="10.140625" style="1585" bestFit="1" customWidth="1"/>
    <col min="3607" max="3840" width="9.140625" style="1585"/>
    <col min="3841" max="3841" width="39.85546875" style="1585" customWidth="1"/>
    <col min="3842" max="3842" width="8.140625" style="1585" bestFit="1" customWidth="1"/>
    <col min="3843" max="3843" width="12.7109375" style="1585" bestFit="1" customWidth="1"/>
    <col min="3844" max="3844" width="8.140625" style="1585" bestFit="1" customWidth="1"/>
    <col min="3845" max="3845" width="11.140625" style="1585" bestFit="1" customWidth="1"/>
    <col min="3846" max="3846" width="13.28515625" style="1585" customWidth="1"/>
    <col min="3847" max="3847" width="12.85546875" style="1585" customWidth="1"/>
    <col min="3848" max="3848" width="14" style="1585" customWidth="1"/>
    <col min="3849" max="3849" width="12.5703125" style="1585" customWidth="1"/>
    <col min="3850" max="3850" width="8.140625" style="1585" bestFit="1" customWidth="1"/>
    <col min="3851" max="3851" width="8.85546875" style="1585" bestFit="1" customWidth="1"/>
    <col min="3852" max="3852" width="8.140625" style="1585" bestFit="1" customWidth="1"/>
    <col min="3853" max="3853" width="10.85546875" style="1585" bestFit="1" customWidth="1"/>
    <col min="3854" max="3854" width="14.140625" style="1585" customWidth="1"/>
    <col min="3855" max="3856" width="10.85546875" style="1585" bestFit="1" customWidth="1"/>
    <col min="3857" max="3858" width="3.42578125" style="1585" bestFit="1" customWidth="1"/>
    <col min="3859" max="3859" width="11.140625" style="1585" bestFit="1" customWidth="1"/>
    <col min="3860" max="3861" width="9.140625" style="1585"/>
    <col min="3862" max="3862" width="10.140625" style="1585" bestFit="1" customWidth="1"/>
    <col min="3863" max="4096" width="9.140625" style="1585"/>
    <col min="4097" max="4097" width="39.85546875" style="1585" customWidth="1"/>
    <col min="4098" max="4098" width="8.140625" style="1585" bestFit="1" customWidth="1"/>
    <col min="4099" max="4099" width="12.7109375" style="1585" bestFit="1" customWidth="1"/>
    <col min="4100" max="4100" width="8.140625" style="1585" bestFit="1" customWidth="1"/>
    <col min="4101" max="4101" width="11.140625" style="1585" bestFit="1" customWidth="1"/>
    <col min="4102" max="4102" width="13.28515625" style="1585" customWidth="1"/>
    <col min="4103" max="4103" width="12.85546875" style="1585" customWidth="1"/>
    <col min="4104" max="4104" width="14" style="1585" customWidth="1"/>
    <col min="4105" max="4105" width="12.5703125" style="1585" customWidth="1"/>
    <col min="4106" max="4106" width="8.140625" style="1585" bestFit="1" customWidth="1"/>
    <col min="4107" max="4107" width="8.85546875" style="1585" bestFit="1" customWidth="1"/>
    <col min="4108" max="4108" width="8.140625" style="1585" bestFit="1" customWidth="1"/>
    <col min="4109" max="4109" width="10.85546875" style="1585" bestFit="1" customWidth="1"/>
    <col min="4110" max="4110" width="14.140625" style="1585" customWidth="1"/>
    <col min="4111" max="4112" width="10.85546875" style="1585" bestFit="1" customWidth="1"/>
    <col min="4113" max="4114" width="3.42578125" style="1585" bestFit="1" customWidth="1"/>
    <col min="4115" max="4115" width="11.140625" style="1585" bestFit="1" customWidth="1"/>
    <col min="4116" max="4117" width="9.140625" style="1585"/>
    <col min="4118" max="4118" width="10.140625" style="1585" bestFit="1" customWidth="1"/>
    <col min="4119" max="4352" width="9.140625" style="1585"/>
    <col min="4353" max="4353" width="39.85546875" style="1585" customWidth="1"/>
    <col min="4354" max="4354" width="8.140625" style="1585" bestFit="1" customWidth="1"/>
    <col min="4355" max="4355" width="12.7109375" style="1585" bestFit="1" customWidth="1"/>
    <col min="4356" max="4356" width="8.140625" style="1585" bestFit="1" customWidth="1"/>
    <col min="4357" max="4357" width="11.140625" style="1585" bestFit="1" customWidth="1"/>
    <col min="4358" max="4358" width="13.28515625" style="1585" customWidth="1"/>
    <col min="4359" max="4359" width="12.85546875" style="1585" customWidth="1"/>
    <col min="4360" max="4360" width="14" style="1585" customWidth="1"/>
    <col min="4361" max="4361" width="12.5703125" style="1585" customWidth="1"/>
    <col min="4362" max="4362" width="8.140625" style="1585" bestFit="1" customWidth="1"/>
    <col min="4363" max="4363" width="8.85546875" style="1585" bestFit="1" customWidth="1"/>
    <col min="4364" max="4364" width="8.140625" style="1585" bestFit="1" customWidth="1"/>
    <col min="4365" max="4365" width="10.85546875" style="1585" bestFit="1" customWidth="1"/>
    <col min="4366" max="4366" width="14.140625" style="1585" customWidth="1"/>
    <col min="4367" max="4368" width="10.85546875" style="1585" bestFit="1" customWidth="1"/>
    <col min="4369" max="4370" width="3.42578125" style="1585" bestFit="1" customWidth="1"/>
    <col min="4371" max="4371" width="11.140625" style="1585" bestFit="1" customWidth="1"/>
    <col min="4372" max="4373" width="9.140625" style="1585"/>
    <col min="4374" max="4374" width="10.140625" style="1585" bestFit="1" customWidth="1"/>
    <col min="4375" max="4608" width="9.140625" style="1585"/>
    <col min="4609" max="4609" width="39.85546875" style="1585" customWidth="1"/>
    <col min="4610" max="4610" width="8.140625" style="1585" bestFit="1" customWidth="1"/>
    <col min="4611" max="4611" width="12.7109375" style="1585" bestFit="1" customWidth="1"/>
    <col min="4612" max="4612" width="8.140625" style="1585" bestFit="1" customWidth="1"/>
    <col min="4613" max="4613" width="11.140625" style="1585" bestFit="1" customWidth="1"/>
    <col min="4614" max="4614" width="13.28515625" style="1585" customWidth="1"/>
    <col min="4615" max="4615" width="12.85546875" style="1585" customWidth="1"/>
    <col min="4616" max="4616" width="14" style="1585" customWidth="1"/>
    <col min="4617" max="4617" width="12.5703125" style="1585" customWidth="1"/>
    <col min="4618" max="4618" width="8.140625" style="1585" bestFit="1" customWidth="1"/>
    <col min="4619" max="4619" width="8.85546875" style="1585" bestFit="1" customWidth="1"/>
    <col min="4620" max="4620" width="8.140625" style="1585" bestFit="1" customWidth="1"/>
    <col min="4621" max="4621" width="10.85546875" style="1585" bestFit="1" customWidth="1"/>
    <col min="4622" max="4622" width="14.140625" style="1585" customWidth="1"/>
    <col min="4623" max="4624" width="10.85546875" style="1585" bestFit="1" customWidth="1"/>
    <col min="4625" max="4626" width="3.42578125" style="1585" bestFit="1" customWidth="1"/>
    <col min="4627" max="4627" width="11.140625" style="1585" bestFit="1" customWidth="1"/>
    <col min="4628" max="4629" width="9.140625" style="1585"/>
    <col min="4630" max="4630" width="10.140625" style="1585" bestFit="1" customWidth="1"/>
    <col min="4631" max="4864" width="9.140625" style="1585"/>
    <col min="4865" max="4865" width="39.85546875" style="1585" customWidth="1"/>
    <col min="4866" max="4866" width="8.140625" style="1585" bestFit="1" customWidth="1"/>
    <col min="4867" max="4867" width="12.7109375" style="1585" bestFit="1" customWidth="1"/>
    <col min="4868" max="4868" width="8.140625" style="1585" bestFit="1" customWidth="1"/>
    <col min="4869" max="4869" width="11.140625" style="1585" bestFit="1" customWidth="1"/>
    <col min="4870" max="4870" width="13.28515625" style="1585" customWidth="1"/>
    <col min="4871" max="4871" width="12.85546875" style="1585" customWidth="1"/>
    <col min="4872" max="4872" width="14" style="1585" customWidth="1"/>
    <col min="4873" max="4873" width="12.5703125" style="1585" customWidth="1"/>
    <col min="4874" max="4874" width="8.140625" style="1585" bestFit="1" customWidth="1"/>
    <col min="4875" max="4875" width="8.85546875" style="1585" bestFit="1" customWidth="1"/>
    <col min="4876" max="4876" width="8.140625" style="1585" bestFit="1" customWidth="1"/>
    <col min="4877" max="4877" width="10.85546875" style="1585" bestFit="1" customWidth="1"/>
    <col min="4878" max="4878" width="14.140625" style="1585" customWidth="1"/>
    <col min="4879" max="4880" width="10.85546875" style="1585" bestFit="1" customWidth="1"/>
    <col min="4881" max="4882" width="3.42578125" style="1585" bestFit="1" customWidth="1"/>
    <col min="4883" max="4883" width="11.140625" style="1585" bestFit="1" customWidth="1"/>
    <col min="4884" max="4885" width="9.140625" style="1585"/>
    <col min="4886" max="4886" width="10.140625" style="1585" bestFit="1" customWidth="1"/>
    <col min="4887" max="5120" width="9.140625" style="1585"/>
    <col min="5121" max="5121" width="39.85546875" style="1585" customWidth="1"/>
    <col min="5122" max="5122" width="8.140625" style="1585" bestFit="1" customWidth="1"/>
    <col min="5123" max="5123" width="12.7109375" style="1585" bestFit="1" customWidth="1"/>
    <col min="5124" max="5124" width="8.140625" style="1585" bestFit="1" customWidth="1"/>
    <col min="5125" max="5125" width="11.140625" style="1585" bestFit="1" customWidth="1"/>
    <col min="5126" max="5126" width="13.28515625" style="1585" customWidth="1"/>
    <col min="5127" max="5127" width="12.85546875" style="1585" customWidth="1"/>
    <col min="5128" max="5128" width="14" style="1585" customWidth="1"/>
    <col min="5129" max="5129" width="12.5703125" style="1585" customWidth="1"/>
    <col min="5130" max="5130" width="8.140625" style="1585" bestFit="1" customWidth="1"/>
    <col min="5131" max="5131" width="8.85546875" style="1585" bestFit="1" customWidth="1"/>
    <col min="5132" max="5132" width="8.140625" style="1585" bestFit="1" customWidth="1"/>
    <col min="5133" max="5133" width="10.85546875" style="1585" bestFit="1" customWidth="1"/>
    <col min="5134" max="5134" width="14.140625" style="1585" customWidth="1"/>
    <col min="5135" max="5136" width="10.85546875" style="1585" bestFit="1" customWidth="1"/>
    <col min="5137" max="5138" width="3.42578125" style="1585" bestFit="1" customWidth="1"/>
    <col min="5139" max="5139" width="11.140625" style="1585" bestFit="1" customWidth="1"/>
    <col min="5140" max="5141" width="9.140625" style="1585"/>
    <col min="5142" max="5142" width="10.140625" style="1585" bestFit="1" customWidth="1"/>
    <col min="5143" max="5376" width="9.140625" style="1585"/>
    <col min="5377" max="5377" width="39.85546875" style="1585" customWidth="1"/>
    <col min="5378" max="5378" width="8.140625" style="1585" bestFit="1" customWidth="1"/>
    <col min="5379" max="5379" width="12.7109375" style="1585" bestFit="1" customWidth="1"/>
    <col min="5380" max="5380" width="8.140625" style="1585" bestFit="1" customWidth="1"/>
    <col min="5381" max="5381" width="11.140625" style="1585" bestFit="1" customWidth="1"/>
    <col min="5382" max="5382" width="13.28515625" style="1585" customWidth="1"/>
    <col min="5383" max="5383" width="12.85546875" style="1585" customWidth="1"/>
    <col min="5384" max="5384" width="14" style="1585" customWidth="1"/>
    <col min="5385" max="5385" width="12.5703125" style="1585" customWidth="1"/>
    <col min="5386" max="5386" width="8.140625" style="1585" bestFit="1" customWidth="1"/>
    <col min="5387" max="5387" width="8.85546875" style="1585" bestFit="1" customWidth="1"/>
    <col min="5388" max="5388" width="8.140625" style="1585" bestFit="1" customWidth="1"/>
    <col min="5389" max="5389" width="10.85546875" style="1585" bestFit="1" customWidth="1"/>
    <col min="5390" max="5390" width="14.140625" style="1585" customWidth="1"/>
    <col min="5391" max="5392" width="10.85546875" style="1585" bestFit="1" customWidth="1"/>
    <col min="5393" max="5394" width="3.42578125" style="1585" bestFit="1" customWidth="1"/>
    <col min="5395" max="5395" width="11.140625" style="1585" bestFit="1" customWidth="1"/>
    <col min="5396" max="5397" width="9.140625" style="1585"/>
    <col min="5398" max="5398" width="10.140625" style="1585" bestFit="1" customWidth="1"/>
    <col min="5399" max="5632" width="9.140625" style="1585"/>
    <col min="5633" max="5633" width="39.85546875" style="1585" customWidth="1"/>
    <col min="5634" max="5634" width="8.140625" style="1585" bestFit="1" customWidth="1"/>
    <col min="5635" max="5635" width="12.7109375" style="1585" bestFit="1" customWidth="1"/>
    <col min="5636" max="5636" width="8.140625" style="1585" bestFit="1" customWidth="1"/>
    <col min="5637" max="5637" width="11.140625" style="1585" bestFit="1" customWidth="1"/>
    <col min="5638" max="5638" width="13.28515625" style="1585" customWidth="1"/>
    <col min="5639" max="5639" width="12.85546875" style="1585" customWidth="1"/>
    <col min="5640" max="5640" width="14" style="1585" customWidth="1"/>
    <col min="5641" max="5641" width="12.5703125" style="1585" customWidth="1"/>
    <col min="5642" max="5642" width="8.140625" style="1585" bestFit="1" customWidth="1"/>
    <col min="5643" max="5643" width="8.85546875" style="1585" bestFit="1" customWidth="1"/>
    <col min="5644" max="5644" width="8.140625" style="1585" bestFit="1" customWidth="1"/>
    <col min="5645" max="5645" width="10.85546875" style="1585" bestFit="1" customWidth="1"/>
    <col min="5646" max="5646" width="14.140625" style="1585" customWidth="1"/>
    <col min="5647" max="5648" width="10.85546875" style="1585" bestFit="1" customWidth="1"/>
    <col min="5649" max="5650" width="3.42578125" style="1585" bestFit="1" customWidth="1"/>
    <col min="5651" max="5651" width="11.140625" style="1585" bestFit="1" customWidth="1"/>
    <col min="5652" max="5653" width="9.140625" style="1585"/>
    <col min="5654" max="5654" width="10.140625" style="1585" bestFit="1" customWidth="1"/>
    <col min="5655" max="5888" width="9.140625" style="1585"/>
    <col min="5889" max="5889" width="39.85546875" style="1585" customWidth="1"/>
    <col min="5890" max="5890" width="8.140625" style="1585" bestFit="1" customWidth="1"/>
    <col min="5891" max="5891" width="12.7109375" style="1585" bestFit="1" customWidth="1"/>
    <col min="5892" max="5892" width="8.140625" style="1585" bestFit="1" customWidth="1"/>
    <col min="5893" max="5893" width="11.140625" style="1585" bestFit="1" customWidth="1"/>
    <col min="5894" max="5894" width="13.28515625" style="1585" customWidth="1"/>
    <col min="5895" max="5895" width="12.85546875" style="1585" customWidth="1"/>
    <col min="5896" max="5896" width="14" style="1585" customWidth="1"/>
    <col min="5897" max="5897" width="12.5703125" style="1585" customWidth="1"/>
    <col min="5898" max="5898" width="8.140625" style="1585" bestFit="1" customWidth="1"/>
    <col min="5899" max="5899" width="8.85546875" style="1585" bestFit="1" customWidth="1"/>
    <col min="5900" max="5900" width="8.140625" style="1585" bestFit="1" customWidth="1"/>
    <col min="5901" max="5901" width="10.85546875" style="1585" bestFit="1" customWidth="1"/>
    <col min="5902" max="5902" width="14.140625" style="1585" customWidth="1"/>
    <col min="5903" max="5904" width="10.85546875" style="1585" bestFit="1" customWidth="1"/>
    <col min="5905" max="5906" width="3.42578125" style="1585" bestFit="1" customWidth="1"/>
    <col min="5907" max="5907" width="11.140625" style="1585" bestFit="1" customWidth="1"/>
    <col min="5908" max="5909" width="9.140625" style="1585"/>
    <col min="5910" max="5910" width="10.140625" style="1585" bestFit="1" customWidth="1"/>
    <col min="5911" max="6144" width="9.140625" style="1585"/>
    <col min="6145" max="6145" width="39.85546875" style="1585" customWidth="1"/>
    <col min="6146" max="6146" width="8.140625" style="1585" bestFit="1" customWidth="1"/>
    <col min="6147" max="6147" width="12.7109375" style="1585" bestFit="1" customWidth="1"/>
    <col min="6148" max="6148" width="8.140625" style="1585" bestFit="1" customWidth="1"/>
    <col min="6149" max="6149" width="11.140625" style="1585" bestFit="1" customWidth="1"/>
    <col min="6150" max="6150" width="13.28515625" style="1585" customWidth="1"/>
    <col min="6151" max="6151" width="12.85546875" style="1585" customWidth="1"/>
    <col min="6152" max="6152" width="14" style="1585" customWidth="1"/>
    <col min="6153" max="6153" width="12.5703125" style="1585" customWidth="1"/>
    <col min="6154" max="6154" width="8.140625" style="1585" bestFit="1" customWidth="1"/>
    <col min="6155" max="6155" width="8.85546875" style="1585" bestFit="1" customWidth="1"/>
    <col min="6156" max="6156" width="8.140625" style="1585" bestFit="1" customWidth="1"/>
    <col min="6157" max="6157" width="10.85546875" style="1585" bestFit="1" customWidth="1"/>
    <col min="6158" max="6158" width="14.140625" style="1585" customWidth="1"/>
    <col min="6159" max="6160" width="10.85546875" style="1585" bestFit="1" customWidth="1"/>
    <col min="6161" max="6162" width="3.42578125" style="1585" bestFit="1" customWidth="1"/>
    <col min="6163" max="6163" width="11.140625" style="1585" bestFit="1" customWidth="1"/>
    <col min="6164" max="6165" width="9.140625" style="1585"/>
    <col min="6166" max="6166" width="10.140625" style="1585" bestFit="1" customWidth="1"/>
    <col min="6167" max="6400" width="9.140625" style="1585"/>
    <col min="6401" max="6401" width="39.85546875" style="1585" customWidth="1"/>
    <col min="6402" max="6402" width="8.140625" style="1585" bestFit="1" customWidth="1"/>
    <col min="6403" max="6403" width="12.7109375" style="1585" bestFit="1" customWidth="1"/>
    <col min="6404" max="6404" width="8.140625" style="1585" bestFit="1" customWidth="1"/>
    <col min="6405" max="6405" width="11.140625" style="1585" bestFit="1" customWidth="1"/>
    <col min="6406" max="6406" width="13.28515625" style="1585" customWidth="1"/>
    <col min="6407" max="6407" width="12.85546875" style="1585" customWidth="1"/>
    <col min="6408" max="6408" width="14" style="1585" customWidth="1"/>
    <col min="6409" max="6409" width="12.5703125" style="1585" customWidth="1"/>
    <col min="6410" max="6410" width="8.140625" style="1585" bestFit="1" customWidth="1"/>
    <col min="6411" max="6411" width="8.85546875" style="1585" bestFit="1" customWidth="1"/>
    <col min="6412" max="6412" width="8.140625" style="1585" bestFit="1" customWidth="1"/>
    <col min="6413" max="6413" width="10.85546875" style="1585" bestFit="1" customWidth="1"/>
    <col min="6414" max="6414" width="14.140625" style="1585" customWidth="1"/>
    <col min="6415" max="6416" width="10.85546875" style="1585" bestFit="1" customWidth="1"/>
    <col min="6417" max="6418" width="3.42578125" style="1585" bestFit="1" customWidth="1"/>
    <col min="6419" max="6419" width="11.140625" style="1585" bestFit="1" customWidth="1"/>
    <col min="6420" max="6421" width="9.140625" style="1585"/>
    <col min="6422" max="6422" width="10.140625" style="1585" bestFit="1" customWidth="1"/>
    <col min="6423" max="6656" width="9.140625" style="1585"/>
    <col min="6657" max="6657" width="39.85546875" style="1585" customWidth="1"/>
    <col min="6658" max="6658" width="8.140625" style="1585" bestFit="1" customWidth="1"/>
    <col min="6659" max="6659" width="12.7109375" style="1585" bestFit="1" customWidth="1"/>
    <col min="6660" max="6660" width="8.140625" style="1585" bestFit="1" customWidth="1"/>
    <col min="6661" max="6661" width="11.140625" style="1585" bestFit="1" customWidth="1"/>
    <col min="6662" max="6662" width="13.28515625" style="1585" customWidth="1"/>
    <col min="6663" max="6663" width="12.85546875" style="1585" customWidth="1"/>
    <col min="6664" max="6664" width="14" style="1585" customWidth="1"/>
    <col min="6665" max="6665" width="12.5703125" style="1585" customWidth="1"/>
    <col min="6666" max="6666" width="8.140625" style="1585" bestFit="1" customWidth="1"/>
    <col min="6667" max="6667" width="8.85546875" style="1585" bestFit="1" customWidth="1"/>
    <col min="6668" max="6668" width="8.140625" style="1585" bestFit="1" customWidth="1"/>
    <col min="6669" max="6669" width="10.85546875" style="1585" bestFit="1" customWidth="1"/>
    <col min="6670" max="6670" width="14.140625" style="1585" customWidth="1"/>
    <col min="6671" max="6672" width="10.85546875" style="1585" bestFit="1" customWidth="1"/>
    <col min="6673" max="6674" width="3.42578125" style="1585" bestFit="1" customWidth="1"/>
    <col min="6675" max="6675" width="11.140625" style="1585" bestFit="1" customWidth="1"/>
    <col min="6676" max="6677" width="9.140625" style="1585"/>
    <col min="6678" max="6678" width="10.140625" style="1585" bestFit="1" customWidth="1"/>
    <col min="6679" max="6912" width="9.140625" style="1585"/>
    <col min="6913" max="6913" width="39.85546875" style="1585" customWidth="1"/>
    <col min="6914" max="6914" width="8.140625" style="1585" bestFit="1" customWidth="1"/>
    <col min="6915" max="6915" width="12.7109375" style="1585" bestFit="1" customWidth="1"/>
    <col min="6916" max="6916" width="8.140625" style="1585" bestFit="1" customWidth="1"/>
    <col min="6917" max="6917" width="11.140625" style="1585" bestFit="1" customWidth="1"/>
    <col min="6918" max="6918" width="13.28515625" style="1585" customWidth="1"/>
    <col min="6919" max="6919" width="12.85546875" style="1585" customWidth="1"/>
    <col min="6920" max="6920" width="14" style="1585" customWidth="1"/>
    <col min="6921" max="6921" width="12.5703125" style="1585" customWidth="1"/>
    <col min="6922" max="6922" width="8.140625" style="1585" bestFit="1" customWidth="1"/>
    <col min="6923" max="6923" width="8.85546875" style="1585" bestFit="1" customWidth="1"/>
    <col min="6924" max="6924" width="8.140625" style="1585" bestFit="1" customWidth="1"/>
    <col min="6925" max="6925" width="10.85546875" style="1585" bestFit="1" customWidth="1"/>
    <col min="6926" max="6926" width="14.140625" style="1585" customWidth="1"/>
    <col min="6927" max="6928" width="10.85546875" style="1585" bestFit="1" customWidth="1"/>
    <col min="6929" max="6930" width="3.42578125" style="1585" bestFit="1" customWidth="1"/>
    <col min="6931" max="6931" width="11.140625" style="1585" bestFit="1" customWidth="1"/>
    <col min="6932" max="6933" width="9.140625" style="1585"/>
    <col min="6934" max="6934" width="10.140625" style="1585" bestFit="1" customWidth="1"/>
    <col min="6935" max="7168" width="9.140625" style="1585"/>
    <col min="7169" max="7169" width="39.85546875" style="1585" customWidth="1"/>
    <col min="7170" max="7170" width="8.140625" style="1585" bestFit="1" customWidth="1"/>
    <col min="7171" max="7171" width="12.7109375" style="1585" bestFit="1" customWidth="1"/>
    <col min="7172" max="7172" width="8.140625" style="1585" bestFit="1" customWidth="1"/>
    <col min="7173" max="7173" width="11.140625" style="1585" bestFit="1" customWidth="1"/>
    <col min="7174" max="7174" width="13.28515625" style="1585" customWidth="1"/>
    <col min="7175" max="7175" width="12.85546875" style="1585" customWidth="1"/>
    <col min="7176" max="7176" width="14" style="1585" customWidth="1"/>
    <col min="7177" max="7177" width="12.5703125" style="1585" customWidth="1"/>
    <col min="7178" max="7178" width="8.140625" style="1585" bestFit="1" customWidth="1"/>
    <col min="7179" max="7179" width="8.85546875" style="1585" bestFit="1" customWidth="1"/>
    <col min="7180" max="7180" width="8.140625" style="1585" bestFit="1" customWidth="1"/>
    <col min="7181" max="7181" width="10.85546875" style="1585" bestFit="1" customWidth="1"/>
    <col min="7182" max="7182" width="14.140625" style="1585" customWidth="1"/>
    <col min="7183" max="7184" width="10.85546875" style="1585" bestFit="1" customWidth="1"/>
    <col min="7185" max="7186" width="3.42578125" style="1585" bestFit="1" customWidth="1"/>
    <col min="7187" max="7187" width="11.140625" style="1585" bestFit="1" customWidth="1"/>
    <col min="7188" max="7189" width="9.140625" style="1585"/>
    <col min="7190" max="7190" width="10.140625" style="1585" bestFit="1" customWidth="1"/>
    <col min="7191" max="7424" width="9.140625" style="1585"/>
    <col min="7425" max="7425" width="39.85546875" style="1585" customWidth="1"/>
    <col min="7426" max="7426" width="8.140625" style="1585" bestFit="1" customWidth="1"/>
    <col min="7427" max="7427" width="12.7109375" style="1585" bestFit="1" customWidth="1"/>
    <col min="7428" max="7428" width="8.140625" style="1585" bestFit="1" customWidth="1"/>
    <col min="7429" max="7429" width="11.140625" style="1585" bestFit="1" customWidth="1"/>
    <col min="7430" max="7430" width="13.28515625" style="1585" customWidth="1"/>
    <col min="7431" max="7431" width="12.85546875" style="1585" customWidth="1"/>
    <col min="7432" max="7432" width="14" style="1585" customWidth="1"/>
    <col min="7433" max="7433" width="12.5703125" style="1585" customWidth="1"/>
    <col min="7434" max="7434" width="8.140625" style="1585" bestFit="1" customWidth="1"/>
    <col min="7435" max="7435" width="8.85546875" style="1585" bestFit="1" customWidth="1"/>
    <col min="7436" max="7436" width="8.140625" style="1585" bestFit="1" customWidth="1"/>
    <col min="7437" max="7437" width="10.85546875" style="1585" bestFit="1" customWidth="1"/>
    <col min="7438" max="7438" width="14.140625" style="1585" customWidth="1"/>
    <col min="7439" max="7440" width="10.85546875" style="1585" bestFit="1" customWidth="1"/>
    <col min="7441" max="7442" width="3.42578125" style="1585" bestFit="1" customWidth="1"/>
    <col min="7443" max="7443" width="11.140625" style="1585" bestFit="1" customWidth="1"/>
    <col min="7444" max="7445" width="9.140625" style="1585"/>
    <col min="7446" max="7446" width="10.140625" style="1585" bestFit="1" customWidth="1"/>
    <col min="7447" max="7680" width="9.140625" style="1585"/>
    <col min="7681" max="7681" width="39.85546875" style="1585" customWidth="1"/>
    <col min="7682" max="7682" width="8.140625" style="1585" bestFit="1" customWidth="1"/>
    <col min="7683" max="7683" width="12.7109375" style="1585" bestFit="1" customWidth="1"/>
    <col min="7684" max="7684" width="8.140625" style="1585" bestFit="1" customWidth="1"/>
    <col min="7685" max="7685" width="11.140625" style="1585" bestFit="1" customWidth="1"/>
    <col min="7686" max="7686" width="13.28515625" style="1585" customWidth="1"/>
    <col min="7687" max="7687" width="12.85546875" style="1585" customWidth="1"/>
    <col min="7688" max="7688" width="14" style="1585" customWidth="1"/>
    <col min="7689" max="7689" width="12.5703125" style="1585" customWidth="1"/>
    <col min="7690" max="7690" width="8.140625" style="1585" bestFit="1" customWidth="1"/>
    <col min="7691" max="7691" width="8.85546875" style="1585" bestFit="1" customWidth="1"/>
    <col min="7692" max="7692" width="8.140625" style="1585" bestFit="1" customWidth="1"/>
    <col min="7693" max="7693" width="10.85546875" style="1585" bestFit="1" customWidth="1"/>
    <col min="7694" max="7694" width="14.140625" style="1585" customWidth="1"/>
    <col min="7695" max="7696" width="10.85546875" style="1585" bestFit="1" customWidth="1"/>
    <col min="7697" max="7698" width="3.42578125" style="1585" bestFit="1" customWidth="1"/>
    <col min="7699" max="7699" width="11.140625" style="1585" bestFit="1" customWidth="1"/>
    <col min="7700" max="7701" width="9.140625" style="1585"/>
    <col min="7702" max="7702" width="10.140625" style="1585" bestFit="1" customWidth="1"/>
    <col min="7703" max="7936" width="9.140625" style="1585"/>
    <col min="7937" max="7937" width="39.85546875" style="1585" customWidth="1"/>
    <col min="7938" max="7938" width="8.140625" style="1585" bestFit="1" customWidth="1"/>
    <col min="7939" max="7939" width="12.7109375" style="1585" bestFit="1" customWidth="1"/>
    <col min="7940" max="7940" width="8.140625" style="1585" bestFit="1" customWidth="1"/>
    <col min="7941" max="7941" width="11.140625" style="1585" bestFit="1" customWidth="1"/>
    <col min="7942" max="7942" width="13.28515625" style="1585" customWidth="1"/>
    <col min="7943" max="7943" width="12.85546875" style="1585" customWidth="1"/>
    <col min="7944" max="7944" width="14" style="1585" customWidth="1"/>
    <col min="7945" max="7945" width="12.5703125" style="1585" customWidth="1"/>
    <col min="7946" max="7946" width="8.140625" style="1585" bestFit="1" customWidth="1"/>
    <col min="7947" max="7947" width="8.85546875" style="1585" bestFit="1" customWidth="1"/>
    <col min="7948" max="7948" width="8.140625" style="1585" bestFit="1" customWidth="1"/>
    <col min="7949" max="7949" width="10.85546875" style="1585" bestFit="1" customWidth="1"/>
    <col min="7950" max="7950" width="14.140625" style="1585" customWidth="1"/>
    <col min="7951" max="7952" width="10.85546875" style="1585" bestFit="1" customWidth="1"/>
    <col min="7953" max="7954" width="3.42578125" style="1585" bestFit="1" customWidth="1"/>
    <col min="7955" max="7955" width="11.140625" style="1585" bestFit="1" customWidth="1"/>
    <col min="7956" max="7957" width="9.140625" style="1585"/>
    <col min="7958" max="7958" width="10.140625" style="1585" bestFit="1" customWidth="1"/>
    <col min="7959" max="8192" width="9.140625" style="1585"/>
    <col min="8193" max="8193" width="39.85546875" style="1585" customWidth="1"/>
    <col min="8194" max="8194" width="8.140625" style="1585" bestFit="1" customWidth="1"/>
    <col min="8195" max="8195" width="12.7109375" style="1585" bestFit="1" customWidth="1"/>
    <col min="8196" max="8196" width="8.140625" style="1585" bestFit="1" customWidth="1"/>
    <col min="8197" max="8197" width="11.140625" style="1585" bestFit="1" customWidth="1"/>
    <col min="8198" max="8198" width="13.28515625" style="1585" customWidth="1"/>
    <col min="8199" max="8199" width="12.85546875" style="1585" customWidth="1"/>
    <col min="8200" max="8200" width="14" style="1585" customWidth="1"/>
    <col min="8201" max="8201" width="12.5703125" style="1585" customWidth="1"/>
    <col min="8202" max="8202" width="8.140625" style="1585" bestFit="1" customWidth="1"/>
    <col min="8203" max="8203" width="8.85546875" style="1585" bestFit="1" customWidth="1"/>
    <col min="8204" max="8204" width="8.140625" style="1585" bestFit="1" customWidth="1"/>
    <col min="8205" max="8205" width="10.85546875" style="1585" bestFit="1" customWidth="1"/>
    <col min="8206" max="8206" width="14.140625" style="1585" customWidth="1"/>
    <col min="8207" max="8208" width="10.85546875" style="1585" bestFit="1" customWidth="1"/>
    <col min="8209" max="8210" width="3.42578125" style="1585" bestFit="1" customWidth="1"/>
    <col min="8211" max="8211" width="11.140625" style="1585" bestFit="1" customWidth="1"/>
    <col min="8212" max="8213" width="9.140625" style="1585"/>
    <col min="8214" max="8214" width="10.140625" style="1585" bestFit="1" customWidth="1"/>
    <col min="8215" max="8448" width="9.140625" style="1585"/>
    <col min="8449" max="8449" width="39.85546875" style="1585" customWidth="1"/>
    <col min="8450" max="8450" width="8.140625" style="1585" bestFit="1" customWidth="1"/>
    <col min="8451" max="8451" width="12.7109375" style="1585" bestFit="1" customWidth="1"/>
    <col min="8452" max="8452" width="8.140625" style="1585" bestFit="1" customWidth="1"/>
    <col min="8453" max="8453" width="11.140625" style="1585" bestFit="1" customWidth="1"/>
    <col min="8454" max="8454" width="13.28515625" style="1585" customWidth="1"/>
    <col min="8455" max="8455" width="12.85546875" style="1585" customWidth="1"/>
    <col min="8456" max="8456" width="14" style="1585" customWidth="1"/>
    <col min="8457" max="8457" width="12.5703125" style="1585" customWidth="1"/>
    <col min="8458" max="8458" width="8.140625" style="1585" bestFit="1" customWidth="1"/>
    <col min="8459" max="8459" width="8.85546875" style="1585" bestFit="1" customWidth="1"/>
    <col min="8460" max="8460" width="8.140625" style="1585" bestFit="1" customWidth="1"/>
    <col min="8461" max="8461" width="10.85546875" style="1585" bestFit="1" customWidth="1"/>
    <col min="8462" max="8462" width="14.140625" style="1585" customWidth="1"/>
    <col min="8463" max="8464" width="10.85546875" style="1585" bestFit="1" customWidth="1"/>
    <col min="8465" max="8466" width="3.42578125" style="1585" bestFit="1" customWidth="1"/>
    <col min="8467" max="8467" width="11.140625" style="1585" bestFit="1" customWidth="1"/>
    <col min="8468" max="8469" width="9.140625" style="1585"/>
    <col min="8470" max="8470" width="10.140625" style="1585" bestFit="1" customWidth="1"/>
    <col min="8471" max="8704" width="9.140625" style="1585"/>
    <col min="8705" max="8705" width="39.85546875" style="1585" customWidth="1"/>
    <col min="8706" max="8706" width="8.140625" style="1585" bestFit="1" customWidth="1"/>
    <col min="8707" max="8707" width="12.7109375" style="1585" bestFit="1" customWidth="1"/>
    <col min="8708" max="8708" width="8.140625" style="1585" bestFit="1" customWidth="1"/>
    <col min="8709" max="8709" width="11.140625" style="1585" bestFit="1" customWidth="1"/>
    <col min="8710" max="8710" width="13.28515625" style="1585" customWidth="1"/>
    <col min="8711" max="8711" width="12.85546875" style="1585" customWidth="1"/>
    <col min="8712" max="8712" width="14" style="1585" customWidth="1"/>
    <col min="8713" max="8713" width="12.5703125" style="1585" customWidth="1"/>
    <col min="8714" max="8714" width="8.140625" style="1585" bestFit="1" customWidth="1"/>
    <col min="8715" max="8715" width="8.85546875" style="1585" bestFit="1" customWidth="1"/>
    <col min="8716" max="8716" width="8.140625" style="1585" bestFit="1" customWidth="1"/>
    <col min="8717" max="8717" width="10.85546875" style="1585" bestFit="1" customWidth="1"/>
    <col min="8718" max="8718" width="14.140625" style="1585" customWidth="1"/>
    <col min="8719" max="8720" width="10.85546875" style="1585" bestFit="1" customWidth="1"/>
    <col min="8721" max="8722" width="3.42578125" style="1585" bestFit="1" customWidth="1"/>
    <col min="8723" max="8723" width="11.140625" style="1585" bestFit="1" customWidth="1"/>
    <col min="8724" max="8725" width="9.140625" style="1585"/>
    <col min="8726" max="8726" width="10.140625" style="1585" bestFit="1" customWidth="1"/>
    <col min="8727" max="8960" width="9.140625" style="1585"/>
    <col min="8961" max="8961" width="39.85546875" style="1585" customWidth="1"/>
    <col min="8962" max="8962" width="8.140625" style="1585" bestFit="1" customWidth="1"/>
    <col min="8963" max="8963" width="12.7109375" style="1585" bestFit="1" customWidth="1"/>
    <col min="8964" max="8964" width="8.140625" style="1585" bestFit="1" customWidth="1"/>
    <col min="8965" max="8965" width="11.140625" style="1585" bestFit="1" customWidth="1"/>
    <col min="8966" max="8966" width="13.28515625" style="1585" customWidth="1"/>
    <col min="8967" max="8967" width="12.85546875" style="1585" customWidth="1"/>
    <col min="8968" max="8968" width="14" style="1585" customWidth="1"/>
    <col min="8969" max="8969" width="12.5703125" style="1585" customWidth="1"/>
    <col min="8970" max="8970" width="8.140625" style="1585" bestFit="1" customWidth="1"/>
    <col min="8971" max="8971" width="8.85546875" style="1585" bestFit="1" customWidth="1"/>
    <col min="8972" max="8972" width="8.140625" style="1585" bestFit="1" customWidth="1"/>
    <col min="8973" max="8973" width="10.85546875" style="1585" bestFit="1" customWidth="1"/>
    <col min="8974" max="8974" width="14.140625" style="1585" customWidth="1"/>
    <col min="8975" max="8976" width="10.85546875" style="1585" bestFit="1" customWidth="1"/>
    <col min="8977" max="8978" width="3.42578125" style="1585" bestFit="1" customWidth="1"/>
    <col min="8979" max="8979" width="11.140625" style="1585" bestFit="1" customWidth="1"/>
    <col min="8980" max="8981" width="9.140625" style="1585"/>
    <col min="8982" max="8982" width="10.140625" style="1585" bestFit="1" customWidth="1"/>
    <col min="8983" max="9216" width="9.140625" style="1585"/>
    <col min="9217" max="9217" width="39.85546875" style="1585" customWidth="1"/>
    <col min="9218" max="9218" width="8.140625" style="1585" bestFit="1" customWidth="1"/>
    <col min="9219" max="9219" width="12.7109375" style="1585" bestFit="1" customWidth="1"/>
    <col min="9220" max="9220" width="8.140625" style="1585" bestFit="1" customWidth="1"/>
    <col min="9221" max="9221" width="11.140625" style="1585" bestFit="1" customWidth="1"/>
    <col min="9222" max="9222" width="13.28515625" style="1585" customWidth="1"/>
    <col min="9223" max="9223" width="12.85546875" style="1585" customWidth="1"/>
    <col min="9224" max="9224" width="14" style="1585" customWidth="1"/>
    <col min="9225" max="9225" width="12.5703125" style="1585" customWidth="1"/>
    <col min="9226" max="9226" width="8.140625" style="1585" bestFit="1" customWidth="1"/>
    <col min="9227" max="9227" width="8.85546875" style="1585" bestFit="1" customWidth="1"/>
    <col min="9228" max="9228" width="8.140625" style="1585" bestFit="1" customWidth="1"/>
    <col min="9229" max="9229" width="10.85546875" style="1585" bestFit="1" customWidth="1"/>
    <col min="9230" max="9230" width="14.140625" style="1585" customWidth="1"/>
    <col min="9231" max="9232" width="10.85546875" style="1585" bestFit="1" customWidth="1"/>
    <col min="9233" max="9234" width="3.42578125" style="1585" bestFit="1" customWidth="1"/>
    <col min="9235" max="9235" width="11.140625" style="1585" bestFit="1" customWidth="1"/>
    <col min="9236" max="9237" width="9.140625" style="1585"/>
    <col min="9238" max="9238" width="10.140625" style="1585" bestFit="1" customWidth="1"/>
    <col min="9239" max="9472" width="9.140625" style="1585"/>
    <col min="9473" max="9473" width="39.85546875" style="1585" customWidth="1"/>
    <col min="9474" max="9474" width="8.140625" style="1585" bestFit="1" customWidth="1"/>
    <col min="9475" max="9475" width="12.7109375" style="1585" bestFit="1" customWidth="1"/>
    <col min="9476" max="9476" width="8.140625" style="1585" bestFit="1" customWidth="1"/>
    <col min="9477" max="9477" width="11.140625" style="1585" bestFit="1" customWidth="1"/>
    <col min="9478" max="9478" width="13.28515625" style="1585" customWidth="1"/>
    <col min="9479" max="9479" width="12.85546875" style="1585" customWidth="1"/>
    <col min="9480" max="9480" width="14" style="1585" customWidth="1"/>
    <col min="9481" max="9481" width="12.5703125" style="1585" customWidth="1"/>
    <col min="9482" max="9482" width="8.140625" style="1585" bestFit="1" customWidth="1"/>
    <col min="9483" max="9483" width="8.85546875" style="1585" bestFit="1" customWidth="1"/>
    <col min="9484" max="9484" width="8.140625" style="1585" bestFit="1" customWidth="1"/>
    <col min="9485" max="9485" width="10.85546875" style="1585" bestFit="1" customWidth="1"/>
    <col min="9486" max="9486" width="14.140625" style="1585" customWidth="1"/>
    <col min="9487" max="9488" width="10.85546875" style="1585" bestFit="1" customWidth="1"/>
    <col min="9489" max="9490" width="3.42578125" style="1585" bestFit="1" customWidth="1"/>
    <col min="9491" max="9491" width="11.140625" style="1585" bestFit="1" customWidth="1"/>
    <col min="9492" max="9493" width="9.140625" style="1585"/>
    <col min="9494" max="9494" width="10.140625" style="1585" bestFit="1" customWidth="1"/>
    <col min="9495" max="9728" width="9.140625" style="1585"/>
    <col min="9729" max="9729" width="39.85546875" style="1585" customWidth="1"/>
    <col min="9730" max="9730" width="8.140625" style="1585" bestFit="1" customWidth="1"/>
    <col min="9731" max="9731" width="12.7109375" style="1585" bestFit="1" customWidth="1"/>
    <col min="9732" max="9732" width="8.140625" style="1585" bestFit="1" customWidth="1"/>
    <col min="9733" max="9733" width="11.140625" style="1585" bestFit="1" customWidth="1"/>
    <col min="9734" max="9734" width="13.28515625" style="1585" customWidth="1"/>
    <col min="9735" max="9735" width="12.85546875" style="1585" customWidth="1"/>
    <col min="9736" max="9736" width="14" style="1585" customWidth="1"/>
    <col min="9737" max="9737" width="12.5703125" style="1585" customWidth="1"/>
    <col min="9738" max="9738" width="8.140625" style="1585" bestFit="1" customWidth="1"/>
    <col min="9739" max="9739" width="8.85546875" style="1585" bestFit="1" customWidth="1"/>
    <col min="9740" max="9740" width="8.140625" style="1585" bestFit="1" customWidth="1"/>
    <col min="9741" max="9741" width="10.85546875" style="1585" bestFit="1" customWidth="1"/>
    <col min="9742" max="9742" width="14.140625" style="1585" customWidth="1"/>
    <col min="9743" max="9744" width="10.85546875" style="1585" bestFit="1" customWidth="1"/>
    <col min="9745" max="9746" width="3.42578125" style="1585" bestFit="1" customWidth="1"/>
    <col min="9747" max="9747" width="11.140625" style="1585" bestFit="1" customWidth="1"/>
    <col min="9748" max="9749" width="9.140625" style="1585"/>
    <col min="9750" max="9750" width="10.140625" style="1585" bestFit="1" customWidth="1"/>
    <col min="9751" max="9984" width="9.140625" style="1585"/>
    <col min="9985" max="9985" width="39.85546875" style="1585" customWidth="1"/>
    <col min="9986" max="9986" width="8.140625" style="1585" bestFit="1" customWidth="1"/>
    <col min="9987" max="9987" width="12.7109375" style="1585" bestFit="1" customWidth="1"/>
    <col min="9988" max="9988" width="8.140625" style="1585" bestFit="1" customWidth="1"/>
    <col min="9989" max="9989" width="11.140625" style="1585" bestFit="1" customWidth="1"/>
    <col min="9990" max="9990" width="13.28515625" style="1585" customWidth="1"/>
    <col min="9991" max="9991" width="12.85546875" style="1585" customWidth="1"/>
    <col min="9992" max="9992" width="14" style="1585" customWidth="1"/>
    <col min="9993" max="9993" width="12.5703125" style="1585" customWidth="1"/>
    <col min="9994" max="9994" width="8.140625" style="1585" bestFit="1" customWidth="1"/>
    <col min="9995" max="9995" width="8.85546875" style="1585" bestFit="1" customWidth="1"/>
    <col min="9996" max="9996" width="8.140625" style="1585" bestFit="1" customWidth="1"/>
    <col min="9997" max="9997" width="10.85546875" style="1585" bestFit="1" customWidth="1"/>
    <col min="9998" max="9998" width="14.140625" style="1585" customWidth="1"/>
    <col min="9999" max="10000" width="10.85546875" style="1585" bestFit="1" customWidth="1"/>
    <col min="10001" max="10002" width="3.42578125" style="1585" bestFit="1" customWidth="1"/>
    <col min="10003" max="10003" width="11.140625" style="1585" bestFit="1" customWidth="1"/>
    <col min="10004" max="10005" width="9.140625" style="1585"/>
    <col min="10006" max="10006" width="10.140625" style="1585" bestFit="1" customWidth="1"/>
    <col min="10007" max="10240" width="9.140625" style="1585"/>
    <col min="10241" max="10241" width="39.85546875" style="1585" customWidth="1"/>
    <col min="10242" max="10242" width="8.140625" style="1585" bestFit="1" customWidth="1"/>
    <col min="10243" max="10243" width="12.7109375" style="1585" bestFit="1" customWidth="1"/>
    <col min="10244" max="10244" width="8.140625" style="1585" bestFit="1" customWidth="1"/>
    <col min="10245" max="10245" width="11.140625" style="1585" bestFit="1" customWidth="1"/>
    <col min="10246" max="10246" width="13.28515625" style="1585" customWidth="1"/>
    <col min="10247" max="10247" width="12.85546875" style="1585" customWidth="1"/>
    <col min="10248" max="10248" width="14" style="1585" customWidth="1"/>
    <col min="10249" max="10249" width="12.5703125" style="1585" customWidth="1"/>
    <col min="10250" max="10250" width="8.140625" style="1585" bestFit="1" customWidth="1"/>
    <col min="10251" max="10251" width="8.85546875" style="1585" bestFit="1" customWidth="1"/>
    <col min="10252" max="10252" width="8.140625" style="1585" bestFit="1" customWidth="1"/>
    <col min="10253" max="10253" width="10.85546875" style="1585" bestFit="1" customWidth="1"/>
    <col min="10254" max="10254" width="14.140625" style="1585" customWidth="1"/>
    <col min="10255" max="10256" width="10.85546875" style="1585" bestFit="1" customWidth="1"/>
    <col min="10257" max="10258" width="3.42578125" style="1585" bestFit="1" customWidth="1"/>
    <col min="10259" max="10259" width="11.140625" style="1585" bestFit="1" customWidth="1"/>
    <col min="10260" max="10261" width="9.140625" style="1585"/>
    <col min="10262" max="10262" width="10.140625" style="1585" bestFit="1" customWidth="1"/>
    <col min="10263" max="10496" width="9.140625" style="1585"/>
    <col min="10497" max="10497" width="39.85546875" style="1585" customWidth="1"/>
    <col min="10498" max="10498" width="8.140625" style="1585" bestFit="1" customWidth="1"/>
    <col min="10499" max="10499" width="12.7109375" style="1585" bestFit="1" customWidth="1"/>
    <col min="10500" max="10500" width="8.140625" style="1585" bestFit="1" customWidth="1"/>
    <col min="10501" max="10501" width="11.140625" style="1585" bestFit="1" customWidth="1"/>
    <col min="10502" max="10502" width="13.28515625" style="1585" customWidth="1"/>
    <col min="10503" max="10503" width="12.85546875" style="1585" customWidth="1"/>
    <col min="10504" max="10504" width="14" style="1585" customWidth="1"/>
    <col min="10505" max="10505" width="12.5703125" style="1585" customWidth="1"/>
    <col min="10506" max="10506" width="8.140625" style="1585" bestFit="1" customWidth="1"/>
    <col min="10507" max="10507" width="8.85546875" style="1585" bestFit="1" customWidth="1"/>
    <col min="10508" max="10508" width="8.140625" style="1585" bestFit="1" customWidth="1"/>
    <col min="10509" max="10509" width="10.85546875" style="1585" bestFit="1" customWidth="1"/>
    <col min="10510" max="10510" width="14.140625" style="1585" customWidth="1"/>
    <col min="10511" max="10512" width="10.85546875" style="1585" bestFit="1" customWidth="1"/>
    <col min="10513" max="10514" width="3.42578125" style="1585" bestFit="1" customWidth="1"/>
    <col min="10515" max="10515" width="11.140625" style="1585" bestFit="1" customWidth="1"/>
    <col min="10516" max="10517" width="9.140625" style="1585"/>
    <col min="10518" max="10518" width="10.140625" style="1585" bestFit="1" customWidth="1"/>
    <col min="10519" max="10752" width="9.140625" style="1585"/>
    <col min="10753" max="10753" width="39.85546875" style="1585" customWidth="1"/>
    <col min="10754" max="10754" width="8.140625" style="1585" bestFit="1" customWidth="1"/>
    <col min="10755" max="10755" width="12.7109375" style="1585" bestFit="1" customWidth="1"/>
    <col min="10756" max="10756" width="8.140625" style="1585" bestFit="1" customWidth="1"/>
    <col min="10757" max="10757" width="11.140625" style="1585" bestFit="1" customWidth="1"/>
    <col min="10758" max="10758" width="13.28515625" style="1585" customWidth="1"/>
    <col min="10759" max="10759" width="12.85546875" style="1585" customWidth="1"/>
    <col min="10760" max="10760" width="14" style="1585" customWidth="1"/>
    <col min="10761" max="10761" width="12.5703125" style="1585" customWidth="1"/>
    <col min="10762" max="10762" width="8.140625" style="1585" bestFit="1" customWidth="1"/>
    <col min="10763" max="10763" width="8.85546875" style="1585" bestFit="1" customWidth="1"/>
    <col min="10764" max="10764" width="8.140625" style="1585" bestFit="1" customWidth="1"/>
    <col min="10765" max="10765" width="10.85546875" style="1585" bestFit="1" customWidth="1"/>
    <col min="10766" max="10766" width="14.140625" style="1585" customWidth="1"/>
    <col min="10767" max="10768" width="10.85546875" style="1585" bestFit="1" customWidth="1"/>
    <col min="10769" max="10770" width="3.42578125" style="1585" bestFit="1" customWidth="1"/>
    <col min="10771" max="10771" width="11.140625" style="1585" bestFit="1" customWidth="1"/>
    <col min="10772" max="10773" width="9.140625" style="1585"/>
    <col min="10774" max="10774" width="10.140625" style="1585" bestFit="1" customWidth="1"/>
    <col min="10775" max="11008" width="9.140625" style="1585"/>
    <col min="11009" max="11009" width="39.85546875" style="1585" customWidth="1"/>
    <col min="11010" max="11010" width="8.140625" style="1585" bestFit="1" customWidth="1"/>
    <col min="11011" max="11011" width="12.7109375" style="1585" bestFit="1" customWidth="1"/>
    <col min="11012" max="11012" width="8.140625" style="1585" bestFit="1" customWidth="1"/>
    <col min="11013" max="11013" width="11.140625" style="1585" bestFit="1" customWidth="1"/>
    <col min="11014" max="11014" width="13.28515625" style="1585" customWidth="1"/>
    <col min="11015" max="11015" width="12.85546875" style="1585" customWidth="1"/>
    <col min="11016" max="11016" width="14" style="1585" customWidth="1"/>
    <col min="11017" max="11017" width="12.5703125" style="1585" customWidth="1"/>
    <col min="11018" max="11018" width="8.140625" style="1585" bestFit="1" customWidth="1"/>
    <col min="11019" max="11019" width="8.85546875" style="1585" bestFit="1" customWidth="1"/>
    <col min="11020" max="11020" width="8.140625" style="1585" bestFit="1" customWidth="1"/>
    <col min="11021" max="11021" width="10.85546875" style="1585" bestFit="1" customWidth="1"/>
    <col min="11022" max="11022" width="14.140625" style="1585" customWidth="1"/>
    <col min="11023" max="11024" width="10.85546875" style="1585" bestFit="1" customWidth="1"/>
    <col min="11025" max="11026" width="3.42578125" style="1585" bestFit="1" customWidth="1"/>
    <col min="11027" max="11027" width="11.140625" style="1585" bestFit="1" customWidth="1"/>
    <col min="11028" max="11029" width="9.140625" style="1585"/>
    <col min="11030" max="11030" width="10.140625" style="1585" bestFit="1" customWidth="1"/>
    <col min="11031" max="11264" width="9.140625" style="1585"/>
    <col min="11265" max="11265" width="39.85546875" style="1585" customWidth="1"/>
    <col min="11266" max="11266" width="8.140625" style="1585" bestFit="1" customWidth="1"/>
    <col min="11267" max="11267" width="12.7109375" style="1585" bestFit="1" customWidth="1"/>
    <col min="11268" max="11268" width="8.140625" style="1585" bestFit="1" customWidth="1"/>
    <col min="11269" max="11269" width="11.140625" style="1585" bestFit="1" customWidth="1"/>
    <col min="11270" max="11270" width="13.28515625" style="1585" customWidth="1"/>
    <col min="11271" max="11271" width="12.85546875" style="1585" customWidth="1"/>
    <col min="11272" max="11272" width="14" style="1585" customWidth="1"/>
    <col min="11273" max="11273" width="12.5703125" style="1585" customWidth="1"/>
    <col min="11274" max="11274" width="8.140625" style="1585" bestFit="1" customWidth="1"/>
    <col min="11275" max="11275" width="8.85546875" style="1585" bestFit="1" customWidth="1"/>
    <col min="11276" max="11276" width="8.140625" style="1585" bestFit="1" customWidth="1"/>
    <col min="11277" max="11277" width="10.85546875" style="1585" bestFit="1" customWidth="1"/>
    <col min="11278" max="11278" width="14.140625" style="1585" customWidth="1"/>
    <col min="11279" max="11280" width="10.85546875" style="1585" bestFit="1" customWidth="1"/>
    <col min="11281" max="11282" width="3.42578125" style="1585" bestFit="1" customWidth="1"/>
    <col min="11283" max="11283" width="11.140625" style="1585" bestFit="1" customWidth="1"/>
    <col min="11284" max="11285" width="9.140625" style="1585"/>
    <col min="11286" max="11286" width="10.140625" style="1585" bestFit="1" customWidth="1"/>
    <col min="11287" max="11520" width="9.140625" style="1585"/>
    <col min="11521" max="11521" width="39.85546875" style="1585" customWidth="1"/>
    <col min="11522" max="11522" width="8.140625" style="1585" bestFit="1" customWidth="1"/>
    <col min="11523" max="11523" width="12.7109375" style="1585" bestFit="1" customWidth="1"/>
    <col min="11524" max="11524" width="8.140625" style="1585" bestFit="1" customWidth="1"/>
    <col min="11525" max="11525" width="11.140625" style="1585" bestFit="1" customWidth="1"/>
    <col min="11526" max="11526" width="13.28515625" style="1585" customWidth="1"/>
    <col min="11527" max="11527" width="12.85546875" style="1585" customWidth="1"/>
    <col min="11528" max="11528" width="14" style="1585" customWidth="1"/>
    <col min="11529" max="11529" width="12.5703125" style="1585" customWidth="1"/>
    <col min="11530" max="11530" width="8.140625" style="1585" bestFit="1" customWidth="1"/>
    <col min="11531" max="11531" width="8.85546875" style="1585" bestFit="1" customWidth="1"/>
    <col min="11532" max="11532" width="8.140625" style="1585" bestFit="1" customWidth="1"/>
    <col min="11533" max="11533" width="10.85546875" style="1585" bestFit="1" customWidth="1"/>
    <col min="11534" max="11534" width="14.140625" style="1585" customWidth="1"/>
    <col min="11535" max="11536" width="10.85546875" style="1585" bestFit="1" customWidth="1"/>
    <col min="11537" max="11538" width="3.42578125" style="1585" bestFit="1" customWidth="1"/>
    <col min="11539" max="11539" width="11.140625" style="1585" bestFit="1" customWidth="1"/>
    <col min="11540" max="11541" width="9.140625" style="1585"/>
    <col min="11542" max="11542" width="10.140625" style="1585" bestFit="1" customWidth="1"/>
    <col min="11543" max="11776" width="9.140625" style="1585"/>
    <col min="11777" max="11777" width="39.85546875" style="1585" customWidth="1"/>
    <col min="11778" max="11778" width="8.140625" style="1585" bestFit="1" customWidth="1"/>
    <col min="11779" max="11779" width="12.7109375" style="1585" bestFit="1" customWidth="1"/>
    <col min="11780" max="11780" width="8.140625" style="1585" bestFit="1" customWidth="1"/>
    <col min="11781" max="11781" width="11.140625" style="1585" bestFit="1" customWidth="1"/>
    <col min="11782" max="11782" width="13.28515625" style="1585" customWidth="1"/>
    <col min="11783" max="11783" width="12.85546875" style="1585" customWidth="1"/>
    <col min="11784" max="11784" width="14" style="1585" customWidth="1"/>
    <col min="11785" max="11785" width="12.5703125" style="1585" customWidth="1"/>
    <col min="11786" max="11786" width="8.140625" style="1585" bestFit="1" customWidth="1"/>
    <col min="11787" max="11787" width="8.85546875" style="1585" bestFit="1" customWidth="1"/>
    <col min="11788" max="11788" width="8.140625" style="1585" bestFit="1" customWidth="1"/>
    <col min="11789" max="11789" width="10.85546875" style="1585" bestFit="1" customWidth="1"/>
    <col min="11790" max="11790" width="14.140625" style="1585" customWidth="1"/>
    <col min="11791" max="11792" width="10.85546875" style="1585" bestFit="1" customWidth="1"/>
    <col min="11793" max="11794" width="3.42578125" style="1585" bestFit="1" customWidth="1"/>
    <col min="11795" max="11795" width="11.140625" style="1585" bestFit="1" customWidth="1"/>
    <col min="11796" max="11797" width="9.140625" style="1585"/>
    <col min="11798" max="11798" width="10.140625" style="1585" bestFit="1" customWidth="1"/>
    <col min="11799" max="12032" width="9.140625" style="1585"/>
    <col min="12033" max="12033" width="39.85546875" style="1585" customWidth="1"/>
    <col min="12034" max="12034" width="8.140625" style="1585" bestFit="1" customWidth="1"/>
    <col min="12035" max="12035" width="12.7109375" style="1585" bestFit="1" customWidth="1"/>
    <col min="12036" max="12036" width="8.140625" style="1585" bestFit="1" customWidth="1"/>
    <col min="12037" max="12037" width="11.140625" style="1585" bestFit="1" customWidth="1"/>
    <col min="12038" max="12038" width="13.28515625" style="1585" customWidth="1"/>
    <col min="12039" max="12039" width="12.85546875" style="1585" customWidth="1"/>
    <col min="12040" max="12040" width="14" style="1585" customWidth="1"/>
    <col min="12041" max="12041" width="12.5703125" style="1585" customWidth="1"/>
    <col min="12042" max="12042" width="8.140625" style="1585" bestFit="1" customWidth="1"/>
    <col min="12043" max="12043" width="8.85546875" style="1585" bestFit="1" customWidth="1"/>
    <col min="12044" max="12044" width="8.140625" style="1585" bestFit="1" customWidth="1"/>
    <col min="12045" max="12045" width="10.85546875" style="1585" bestFit="1" customWidth="1"/>
    <col min="12046" max="12046" width="14.140625" style="1585" customWidth="1"/>
    <col min="12047" max="12048" width="10.85546875" style="1585" bestFit="1" customWidth="1"/>
    <col min="12049" max="12050" width="3.42578125" style="1585" bestFit="1" customWidth="1"/>
    <col min="12051" max="12051" width="11.140625" style="1585" bestFit="1" customWidth="1"/>
    <col min="12052" max="12053" width="9.140625" style="1585"/>
    <col min="12054" max="12054" width="10.140625" style="1585" bestFit="1" customWidth="1"/>
    <col min="12055" max="12288" width="9.140625" style="1585"/>
    <col min="12289" max="12289" width="39.85546875" style="1585" customWidth="1"/>
    <col min="12290" max="12290" width="8.140625" style="1585" bestFit="1" customWidth="1"/>
    <col min="12291" max="12291" width="12.7109375" style="1585" bestFit="1" customWidth="1"/>
    <col min="12292" max="12292" width="8.140625" style="1585" bestFit="1" customWidth="1"/>
    <col min="12293" max="12293" width="11.140625" style="1585" bestFit="1" customWidth="1"/>
    <col min="12294" max="12294" width="13.28515625" style="1585" customWidth="1"/>
    <col min="12295" max="12295" width="12.85546875" style="1585" customWidth="1"/>
    <col min="12296" max="12296" width="14" style="1585" customWidth="1"/>
    <col min="12297" max="12297" width="12.5703125" style="1585" customWidth="1"/>
    <col min="12298" max="12298" width="8.140625" style="1585" bestFit="1" customWidth="1"/>
    <col min="12299" max="12299" width="8.85546875" style="1585" bestFit="1" customWidth="1"/>
    <col min="12300" max="12300" width="8.140625" style="1585" bestFit="1" customWidth="1"/>
    <col min="12301" max="12301" width="10.85546875" style="1585" bestFit="1" customWidth="1"/>
    <col min="12302" max="12302" width="14.140625" style="1585" customWidth="1"/>
    <col min="12303" max="12304" width="10.85546875" style="1585" bestFit="1" customWidth="1"/>
    <col min="12305" max="12306" width="3.42578125" style="1585" bestFit="1" customWidth="1"/>
    <col min="12307" max="12307" width="11.140625" style="1585" bestFit="1" customWidth="1"/>
    <col min="12308" max="12309" width="9.140625" style="1585"/>
    <col min="12310" max="12310" width="10.140625" style="1585" bestFit="1" customWidth="1"/>
    <col min="12311" max="12544" width="9.140625" style="1585"/>
    <col min="12545" max="12545" width="39.85546875" style="1585" customWidth="1"/>
    <col min="12546" max="12546" width="8.140625" style="1585" bestFit="1" customWidth="1"/>
    <col min="12547" max="12547" width="12.7109375" style="1585" bestFit="1" customWidth="1"/>
    <col min="12548" max="12548" width="8.140625" style="1585" bestFit="1" customWidth="1"/>
    <col min="12549" max="12549" width="11.140625" style="1585" bestFit="1" customWidth="1"/>
    <col min="12550" max="12550" width="13.28515625" style="1585" customWidth="1"/>
    <col min="12551" max="12551" width="12.85546875" style="1585" customWidth="1"/>
    <col min="12552" max="12552" width="14" style="1585" customWidth="1"/>
    <col min="12553" max="12553" width="12.5703125" style="1585" customWidth="1"/>
    <col min="12554" max="12554" width="8.140625" style="1585" bestFit="1" customWidth="1"/>
    <col min="12555" max="12555" width="8.85546875" style="1585" bestFit="1" customWidth="1"/>
    <col min="12556" max="12556" width="8.140625" style="1585" bestFit="1" customWidth="1"/>
    <col min="12557" max="12557" width="10.85546875" style="1585" bestFit="1" customWidth="1"/>
    <col min="12558" max="12558" width="14.140625" style="1585" customWidth="1"/>
    <col min="12559" max="12560" width="10.85546875" style="1585" bestFit="1" customWidth="1"/>
    <col min="12561" max="12562" width="3.42578125" style="1585" bestFit="1" customWidth="1"/>
    <col min="12563" max="12563" width="11.140625" style="1585" bestFit="1" customWidth="1"/>
    <col min="12564" max="12565" width="9.140625" style="1585"/>
    <col min="12566" max="12566" width="10.140625" style="1585" bestFit="1" customWidth="1"/>
    <col min="12567" max="12800" width="9.140625" style="1585"/>
    <col min="12801" max="12801" width="39.85546875" style="1585" customWidth="1"/>
    <col min="12802" max="12802" width="8.140625" style="1585" bestFit="1" customWidth="1"/>
    <col min="12803" max="12803" width="12.7109375" style="1585" bestFit="1" customWidth="1"/>
    <col min="12804" max="12804" width="8.140625" style="1585" bestFit="1" customWidth="1"/>
    <col min="12805" max="12805" width="11.140625" style="1585" bestFit="1" customWidth="1"/>
    <col min="12806" max="12806" width="13.28515625" style="1585" customWidth="1"/>
    <col min="12807" max="12807" width="12.85546875" style="1585" customWidth="1"/>
    <col min="12808" max="12808" width="14" style="1585" customWidth="1"/>
    <col min="12809" max="12809" width="12.5703125" style="1585" customWidth="1"/>
    <col min="12810" max="12810" width="8.140625" style="1585" bestFit="1" customWidth="1"/>
    <col min="12811" max="12811" width="8.85546875" style="1585" bestFit="1" customWidth="1"/>
    <col min="12812" max="12812" width="8.140625" style="1585" bestFit="1" customWidth="1"/>
    <col min="12813" max="12813" width="10.85546875" style="1585" bestFit="1" customWidth="1"/>
    <col min="12814" max="12814" width="14.140625" style="1585" customWidth="1"/>
    <col min="12815" max="12816" width="10.85546875" style="1585" bestFit="1" customWidth="1"/>
    <col min="12817" max="12818" width="3.42578125" style="1585" bestFit="1" customWidth="1"/>
    <col min="12819" max="12819" width="11.140625" style="1585" bestFit="1" customWidth="1"/>
    <col min="12820" max="12821" width="9.140625" style="1585"/>
    <col min="12822" max="12822" width="10.140625" style="1585" bestFit="1" customWidth="1"/>
    <col min="12823" max="13056" width="9.140625" style="1585"/>
    <col min="13057" max="13057" width="39.85546875" style="1585" customWidth="1"/>
    <col min="13058" max="13058" width="8.140625" style="1585" bestFit="1" customWidth="1"/>
    <col min="13059" max="13059" width="12.7109375" style="1585" bestFit="1" customWidth="1"/>
    <col min="13060" max="13060" width="8.140625" style="1585" bestFit="1" customWidth="1"/>
    <col min="13061" max="13061" width="11.140625" style="1585" bestFit="1" customWidth="1"/>
    <col min="13062" max="13062" width="13.28515625" style="1585" customWidth="1"/>
    <col min="13063" max="13063" width="12.85546875" style="1585" customWidth="1"/>
    <col min="13064" max="13064" width="14" style="1585" customWidth="1"/>
    <col min="13065" max="13065" width="12.5703125" style="1585" customWidth="1"/>
    <col min="13066" max="13066" width="8.140625" style="1585" bestFit="1" customWidth="1"/>
    <col min="13067" max="13067" width="8.85546875" style="1585" bestFit="1" customWidth="1"/>
    <col min="13068" max="13068" width="8.140625" style="1585" bestFit="1" customWidth="1"/>
    <col min="13069" max="13069" width="10.85546875" style="1585" bestFit="1" customWidth="1"/>
    <col min="13070" max="13070" width="14.140625" style="1585" customWidth="1"/>
    <col min="13071" max="13072" width="10.85546875" style="1585" bestFit="1" customWidth="1"/>
    <col min="13073" max="13074" width="3.42578125" style="1585" bestFit="1" customWidth="1"/>
    <col min="13075" max="13075" width="11.140625" style="1585" bestFit="1" customWidth="1"/>
    <col min="13076" max="13077" width="9.140625" style="1585"/>
    <col min="13078" max="13078" width="10.140625" style="1585" bestFit="1" customWidth="1"/>
    <col min="13079" max="13312" width="9.140625" style="1585"/>
    <col min="13313" max="13313" width="39.85546875" style="1585" customWidth="1"/>
    <col min="13314" max="13314" width="8.140625" style="1585" bestFit="1" customWidth="1"/>
    <col min="13315" max="13315" width="12.7109375" style="1585" bestFit="1" customWidth="1"/>
    <col min="13316" max="13316" width="8.140625" style="1585" bestFit="1" customWidth="1"/>
    <col min="13317" max="13317" width="11.140625" style="1585" bestFit="1" customWidth="1"/>
    <col min="13318" max="13318" width="13.28515625" style="1585" customWidth="1"/>
    <col min="13319" max="13319" width="12.85546875" style="1585" customWidth="1"/>
    <col min="13320" max="13320" width="14" style="1585" customWidth="1"/>
    <col min="13321" max="13321" width="12.5703125" style="1585" customWidth="1"/>
    <col min="13322" max="13322" width="8.140625" style="1585" bestFit="1" customWidth="1"/>
    <col min="13323" max="13323" width="8.85546875" style="1585" bestFit="1" customWidth="1"/>
    <col min="13324" max="13324" width="8.140625" style="1585" bestFit="1" customWidth="1"/>
    <col min="13325" max="13325" width="10.85546875" style="1585" bestFit="1" customWidth="1"/>
    <col min="13326" max="13326" width="14.140625" style="1585" customWidth="1"/>
    <col min="13327" max="13328" width="10.85546875" style="1585" bestFit="1" customWidth="1"/>
    <col min="13329" max="13330" width="3.42578125" style="1585" bestFit="1" customWidth="1"/>
    <col min="13331" max="13331" width="11.140625" style="1585" bestFit="1" customWidth="1"/>
    <col min="13332" max="13333" width="9.140625" style="1585"/>
    <col min="13334" max="13334" width="10.140625" style="1585" bestFit="1" customWidth="1"/>
    <col min="13335" max="13568" width="9.140625" style="1585"/>
    <col min="13569" max="13569" width="39.85546875" style="1585" customWidth="1"/>
    <col min="13570" max="13570" width="8.140625" style="1585" bestFit="1" customWidth="1"/>
    <col min="13571" max="13571" width="12.7109375" style="1585" bestFit="1" customWidth="1"/>
    <col min="13572" max="13572" width="8.140625" style="1585" bestFit="1" customWidth="1"/>
    <col min="13573" max="13573" width="11.140625" style="1585" bestFit="1" customWidth="1"/>
    <col min="13574" max="13574" width="13.28515625" style="1585" customWidth="1"/>
    <col min="13575" max="13575" width="12.85546875" style="1585" customWidth="1"/>
    <col min="13576" max="13576" width="14" style="1585" customWidth="1"/>
    <col min="13577" max="13577" width="12.5703125" style="1585" customWidth="1"/>
    <col min="13578" max="13578" width="8.140625" style="1585" bestFit="1" customWidth="1"/>
    <col min="13579" max="13579" width="8.85546875" style="1585" bestFit="1" customWidth="1"/>
    <col min="13580" max="13580" width="8.140625" style="1585" bestFit="1" customWidth="1"/>
    <col min="13581" max="13581" width="10.85546875" style="1585" bestFit="1" customWidth="1"/>
    <col min="13582" max="13582" width="14.140625" style="1585" customWidth="1"/>
    <col min="13583" max="13584" width="10.85546875" style="1585" bestFit="1" customWidth="1"/>
    <col min="13585" max="13586" width="3.42578125" style="1585" bestFit="1" customWidth="1"/>
    <col min="13587" max="13587" width="11.140625" style="1585" bestFit="1" customWidth="1"/>
    <col min="13588" max="13589" width="9.140625" style="1585"/>
    <col min="13590" max="13590" width="10.140625" style="1585" bestFit="1" customWidth="1"/>
    <col min="13591" max="13824" width="9.140625" style="1585"/>
    <col min="13825" max="13825" width="39.85546875" style="1585" customWidth="1"/>
    <col min="13826" max="13826" width="8.140625" style="1585" bestFit="1" customWidth="1"/>
    <col min="13827" max="13827" width="12.7109375" style="1585" bestFit="1" customWidth="1"/>
    <col min="13828" max="13828" width="8.140625" style="1585" bestFit="1" customWidth="1"/>
    <col min="13829" max="13829" width="11.140625" style="1585" bestFit="1" customWidth="1"/>
    <col min="13830" max="13830" width="13.28515625" style="1585" customWidth="1"/>
    <col min="13831" max="13831" width="12.85546875" style="1585" customWidth="1"/>
    <col min="13832" max="13832" width="14" style="1585" customWidth="1"/>
    <col min="13833" max="13833" width="12.5703125" style="1585" customWidth="1"/>
    <col min="13834" max="13834" width="8.140625" style="1585" bestFit="1" customWidth="1"/>
    <col min="13835" max="13835" width="8.85546875" style="1585" bestFit="1" customWidth="1"/>
    <col min="13836" max="13836" width="8.140625" style="1585" bestFit="1" customWidth="1"/>
    <col min="13837" max="13837" width="10.85546875" style="1585" bestFit="1" customWidth="1"/>
    <col min="13838" max="13838" width="14.140625" style="1585" customWidth="1"/>
    <col min="13839" max="13840" width="10.85546875" style="1585" bestFit="1" customWidth="1"/>
    <col min="13841" max="13842" width="3.42578125" style="1585" bestFit="1" customWidth="1"/>
    <col min="13843" max="13843" width="11.140625" style="1585" bestFit="1" customWidth="1"/>
    <col min="13844" max="13845" width="9.140625" style="1585"/>
    <col min="13846" max="13846" width="10.140625" style="1585" bestFit="1" customWidth="1"/>
    <col min="13847" max="14080" width="9.140625" style="1585"/>
    <col min="14081" max="14081" width="39.85546875" style="1585" customWidth="1"/>
    <col min="14082" max="14082" width="8.140625" style="1585" bestFit="1" customWidth="1"/>
    <col min="14083" max="14083" width="12.7109375" style="1585" bestFit="1" customWidth="1"/>
    <col min="14084" max="14084" width="8.140625" style="1585" bestFit="1" customWidth="1"/>
    <col min="14085" max="14085" width="11.140625" style="1585" bestFit="1" customWidth="1"/>
    <col min="14086" max="14086" width="13.28515625" style="1585" customWidth="1"/>
    <col min="14087" max="14087" width="12.85546875" style="1585" customWidth="1"/>
    <col min="14088" max="14088" width="14" style="1585" customWidth="1"/>
    <col min="14089" max="14089" width="12.5703125" style="1585" customWidth="1"/>
    <col min="14090" max="14090" width="8.140625" style="1585" bestFit="1" customWidth="1"/>
    <col min="14091" max="14091" width="8.85546875" style="1585" bestFit="1" customWidth="1"/>
    <col min="14092" max="14092" width="8.140625" style="1585" bestFit="1" customWidth="1"/>
    <col min="14093" max="14093" width="10.85546875" style="1585" bestFit="1" customWidth="1"/>
    <col min="14094" max="14094" width="14.140625" style="1585" customWidth="1"/>
    <col min="14095" max="14096" width="10.85546875" style="1585" bestFit="1" customWidth="1"/>
    <col min="14097" max="14098" width="3.42578125" style="1585" bestFit="1" customWidth="1"/>
    <col min="14099" max="14099" width="11.140625" style="1585" bestFit="1" customWidth="1"/>
    <col min="14100" max="14101" width="9.140625" style="1585"/>
    <col min="14102" max="14102" width="10.140625" style="1585" bestFit="1" customWidth="1"/>
    <col min="14103" max="14336" width="9.140625" style="1585"/>
    <col min="14337" max="14337" width="39.85546875" style="1585" customWidth="1"/>
    <col min="14338" max="14338" width="8.140625" style="1585" bestFit="1" customWidth="1"/>
    <col min="14339" max="14339" width="12.7109375" style="1585" bestFit="1" customWidth="1"/>
    <col min="14340" max="14340" width="8.140625" style="1585" bestFit="1" customWidth="1"/>
    <col min="14341" max="14341" width="11.140625" style="1585" bestFit="1" customWidth="1"/>
    <col min="14342" max="14342" width="13.28515625" style="1585" customWidth="1"/>
    <col min="14343" max="14343" width="12.85546875" style="1585" customWidth="1"/>
    <col min="14344" max="14344" width="14" style="1585" customWidth="1"/>
    <col min="14345" max="14345" width="12.5703125" style="1585" customWidth="1"/>
    <col min="14346" max="14346" width="8.140625" style="1585" bestFit="1" customWidth="1"/>
    <col min="14347" max="14347" width="8.85546875" style="1585" bestFit="1" customWidth="1"/>
    <col min="14348" max="14348" width="8.140625" style="1585" bestFit="1" customWidth="1"/>
    <col min="14349" max="14349" width="10.85546875" style="1585" bestFit="1" customWidth="1"/>
    <col min="14350" max="14350" width="14.140625" style="1585" customWidth="1"/>
    <col min="14351" max="14352" width="10.85546875" style="1585" bestFit="1" customWidth="1"/>
    <col min="14353" max="14354" width="3.42578125" style="1585" bestFit="1" customWidth="1"/>
    <col min="14355" max="14355" width="11.140625" style="1585" bestFit="1" customWidth="1"/>
    <col min="14356" max="14357" width="9.140625" style="1585"/>
    <col min="14358" max="14358" width="10.140625" style="1585" bestFit="1" customWidth="1"/>
    <col min="14359" max="14592" width="9.140625" style="1585"/>
    <col min="14593" max="14593" width="39.85546875" style="1585" customWidth="1"/>
    <col min="14594" max="14594" width="8.140625" style="1585" bestFit="1" customWidth="1"/>
    <col min="14595" max="14595" width="12.7109375" style="1585" bestFit="1" customWidth="1"/>
    <col min="14596" max="14596" width="8.140625" style="1585" bestFit="1" customWidth="1"/>
    <col min="14597" max="14597" width="11.140625" style="1585" bestFit="1" customWidth="1"/>
    <col min="14598" max="14598" width="13.28515625" style="1585" customWidth="1"/>
    <col min="14599" max="14599" width="12.85546875" style="1585" customWidth="1"/>
    <col min="14600" max="14600" width="14" style="1585" customWidth="1"/>
    <col min="14601" max="14601" width="12.5703125" style="1585" customWidth="1"/>
    <col min="14602" max="14602" width="8.140625" style="1585" bestFit="1" customWidth="1"/>
    <col min="14603" max="14603" width="8.85546875" style="1585" bestFit="1" customWidth="1"/>
    <col min="14604" max="14604" width="8.140625" style="1585" bestFit="1" customWidth="1"/>
    <col min="14605" max="14605" width="10.85546875" style="1585" bestFit="1" customWidth="1"/>
    <col min="14606" max="14606" width="14.140625" style="1585" customWidth="1"/>
    <col min="14607" max="14608" width="10.85546875" style="1585" bestFit="1" customWidth="1"/>
    <col min="14609" max="14610" width="3.42578125" style="1585" bestFit="1" customWidth="1"/>
    <col min="14611" max="14611" width="11.140625" style="1585" bestFit="1" customWidth="1"/>
    <col min="14612" max="14613" width="9.140625" style="1585"/>
    <col min="14614" max="14614" width="10.140625" style="1585" bestFit="1" customWidth="1"/>
    <col min="14615" max="14848" width="9.140625" style="1585"/>
    <col min="14849" max="14849" width="39.85546875" style="1585" customWidth="1"/>
    <col min="14850" max="14850" width="8.140625" style="1585" bestFit="1" customWidth="1"/>
    <col min="14851" max="14851" width="12.7109375" style="1585" bestFit="1" customWidth="1"/>
    <col min="14852" max="14852" width="8.140625" style="1585" bestFit="1" customWidth="1"/>
    <col min="14853" max="14853" width="11.140625" style="1585" bestFit="1" customWidth="1"/>
    <col min="14854" max="14854" width="13.28515625" style="1585" customWidth="1"/>
    <col min="14855" max="14855" width="12.85546875" style="1585" customWidth="1"/>
    <col min="14856" max="14856" width="14" style="1585" customWidth="1"/>
    <col min="14857" max="14857" width="12.5703125" style="1585" customWidth="1"/>
    <col min="14858" max="14858" width="8.140625" style="1585" bestFit="1" customWidth="1"/>
    <col min="14859" max="14859" width="8.85546875" style="1585" bestFit="1" customWidth="1"/>
    <col min="14860" max="14860" width="8.140625" style="1585" bestFit="1" customWidth="1"/>
    <col min="14861" max="14861" width="10.85546875" style="1585" bestFit="1" customWidth="1"/>
    <col min="14862" max="14862" width="14.140625" style="1585" customWidth="1"/>
    <col min="14863" max="14864" width="10.85546875" style="1585" bestFit="1" customWidth="1"/>
    <col min="14865" max="14866" width="3.42578125" style="1585" bestFit="1" customWidth="1"/>
    <col min="14867" max="14867" width="11.140625" style="1585" bestFit="1" customWidth="1"/>
    <col min="14868" max="14869" width="9.140625" style="1585"/>
    <col min="14870" max="14870" width="10.140625" style="1585" bestFit="1" customWidth="1"/>
    <col min="14871" max="15104" width="9.140625" style="1585"/>
    <col min="15105" max="15105" width="39.85546875" style="1585" customWidth="1"/>
    <col min="15106" max="15106" width="8.140625" style="1585" bestFit="1" customWidth="1"/>
    <col min="15107" max="15107" width="12.7109375" style="1585" bestFit="1" customWidth="1"/>
    <col min="15108" max="15108" width="8.140625" style="1585" bestFit="1" customWidth="1"/>
    <col min="15109" max="15109" width="11.140625" style="1585" bestFit="1" customWidth="1"/>
    <col min="15110" max="15110" width="13.28515625" style="1585" customWidth="1"/>
    <col min="15111" max="15111" width="12.85546875" style="1585" customWidth="1"/>
    <col min="15112" max="15112" width="14" style="1585" customWidth="1"/>
    <col min="15113" max="15113" width="12.5703125" style="1585" customWidth="1"/>
    <col min="15114" max="15114" width="8.140625" style="1585" bestFit="1" customWidth="1"/>
    <col min="15115" max="15115" width="8.85546875" style="1585" bestFit="1" customWidth="1"/>
    <col min="15116" max="15116" width="8.140625" style="1585" bestFit="1" customWidth="1"/>
    <col min="15117" max="15117" width="10.85546875" style="1585" bestFit="1" customWidth="1"/>
    <col min="15118" max="15118" width="14.140625" style="1585" customWidth="1"/>
    <col min="15119" max="15120" width="10.85546875" style="1585" bestFit="1" customWidth="1"/>
    <col min="15121" max="15122" width="3.42578125" style="1585" bestFit="1" customWidth="1"/>
    <col min="15123" max="15123" width="11.140625" style="1585" bestFit="1" customWidth="1"/>
    <col min="15124" max="15125" width="9.140625" style="1585"/>
    <col min="15126" max="15126" width="10.140625" style="1585" bestFit="1" customWidth="1"/>
    <col min="15127" max="15360" width="9.140625" style="1585"/>
    <col min="15361" max="15361" width="39.85546875" style="1585" customWidth="1"/>
    <col min="15362" max="15362" width="8.140625" style="1585" bestFit="1" customWidth="1"/>
    <col min="15363" max="15363" width="12.7109375" style="1585" bestFit="1" customWidth="1"/>
    <col min="15364" max="15364" width="8.140625" style="1585" bestFit="1" customWidth="1"/>
    <col min="15365" max="15365" width="11.140625" style="1585" bestFit="1" customWidth="1"/>
    <col min="15366" max="15366" width="13.28515625" style="1585" customWidth="1"/>
    <col min="15367" max="15367" width="12.85546875" style="1585" customWidth="1"/>
    <col min="15368" max="15368" width="14" style="1585" customWidth="1"/>
    <col min="15369" max="15369" width="12.5703125" style="1585" customWidth="1"/>
    <col min="15370" max="15370" width="8.140625" style="1585" bestFit="1" customWidth="1"/>
    <col min="15371" max="15371" width="8.85546875" style="1585" bestFit="1" customWidth="1"/>
    <col min="15372" max="15372" width="8.140625" style="1585" bestFit="1" customWidth="1"/>
    <col min="15373" max="15373" width="10.85546875" style="1585" bestFit="1" customWidth="1"/>
    <col min="15374" max="15374" width="14.140625" style="1585" customWidth="1"/>
    <col min="15375" max="15376" width="10.85546875" style="1585" bestFit="1" customWidth="1"/>
    <col min="15377" max="15378" width="3.42578125" style="1585" bestFit="1" customWidth="1"/>
    <col min="15379" max="15379" width="11.140625" style="1585" bestFit="1" customWidth="1"/>
    <col min="15380" max="15381" width="9.140625" style="1585"/>
    <col min="15382" max="15382" width="10.140625" style="1585" bestFit="1" customWidth="1"/>
    <col min="15383" max="15616" width="9.140625" style="1585"/>
    <col min="15617" max="15617" width="39.85546875" style="1585" customWidth="1"/>
    <col min="15618" max="15618" width="8.140625" style="1585" bestFit="1" customWidth="1"/>
    <col min="15619" max="15619" width="12.7109375" style="1585" bestFit="1" customWidth="1"/>
    <col min="15620" max="15620" width="8.140625" style="1585" bestFit="1" customWidth="1"/>
    <col min="15621" max="15621" width="11.140625" style="1585" bestFit="1" customWidth="1"/>
    <col min="15622" max="15622" width="13.28515625" style="1585" customWidth="1"/>
    <col min="15623" max="15623" width="12.85546875" style="1585" customWidth="1"/>
    <col min="15624" max="15624" width="14" style="1585" customWidth="1"/>
    <col min="15625" max="15625" width="12.5703125" style="1585" customWidth="1"/>
    <col min="15626" max="15626" width="8.140625" style="1585" bestFit="1" customWidth="1"/>
    <col min="15627" max="15627" width="8.85546875" style="1585" bestFit="1" customWidth="1"/>
    <col min="15628" max="15628" width="8.140625" style="1585" bestFit="1" customWidth="1"/>
    <col min="15629" max="15629" width="10.85546875" style="1585" bestFit="1" customWidth="1"/>
    <col min="15630" max="15630" width="14.140625" style="1585" customWidth="1"/>
    <col min="15631" max="15632" width="10.85546875" style="1585" bestFit="1" customWidth="1"/>
    <col min="15633" max="15634" width="3.42578125" style="1585" bestFit="1" customWidth="1"/>
    <col min="15635" max="15635" width="11.140625" style="1585" bestFit="1" customWidth="1"/>
    <col min="15636" max="15637" width="9.140625" style="1585"/>
    <col min="15638" max="15638" width="10.140625" style="1585" bestFit="1" customWidth="1"/>
    <col min="15639" max="15872" width="9.140625" style="1585"/>
    <col min="15873" max="15873" width="39.85546875" style="1585" customWidth="1"/>
    <col min="15874" max="15874" width="8.140625" style="1585" bestFit="1" customWidth="1"/>
    <col min="15875" max="15875" width="12.7109375" style="1585" bestFit="1" customWidth="1"/>
    <col min="15876" max="15876" width="8.140625" style="1585" bestFit="1" customWidth="1"/>
    <col min="15877" max="15877" width="11.140625" style="1585" bestFit="1" customWidth="1"/>
    <col min="15878" max="15878" width="13.28515625" style="1585" customWidth="1"/>
    <col min="15879" max="15879" width="12.85546875" style="1585" customWidth="1"/>
    <col min="15880" max="15880" width="14" style="1585" customWidth="1"/>
    <col min="15881" max="15881" width="12.5703125" style="1585" customWidth="1"/>
    <col min="15882" max="15882" width="8.140625" style="1585" bestFit="1" customWidth="1"/>
    <col min="15883" max="15883" width="8.85546875" style="1585" bestFit="1" customWidth="1"/>
    <col min="15884" max="15884" width="8.140625" style="1585" bestFit="1" customWidth="1"/>
    <col min="15885" max="15885" width="10.85546875" style="1585" bestFit="1" customWidth="1"/>
    <col min="15886" max="15886" width="14.140625" style="1585" customWidth="1"/>
    <col min="15887" max="15888" width="10.85546875" style="1585" bestFit="1" customWidth="1"/>
    <col min="15889" max="15890" width="3.42578125" style="1585" bestFit="1" customWidth="1"/>
    <col min="15891" max="15891" width="11.140625" style="1585" bestFit="1" customWidth="1"/>
    <col min="15892" max="15893" width="9.140625" style="1585"/>
    <col min="15894" max="15894" width="10.140625" style="1585" bestFit="1" customWidth="1"/>
    <col min="15895" max="16128" width="9.140625" style="1585"/>
    <col min="16129" max="16129" width="39.85546875" style="1585" customWidth="1"/>
    <col min="16130" max="16130" width="8.140625" style="1585" bestFit="1" customWidth="1"/>
    <col min="16131" max="16131" width="12.7109375" style="1585" bestFit="1" customWidth="1"/>
    <col min="16132" max="16132" width="8.140625" style="1585" bestFit="1" customWidth="1"/>
    <col min="16133" max="16133" width="11.140625" style="1585" bestFit="1" customWidth="1"/>
    <col min="16134" max="16134" width="13.28515625" style="1585" customWidth="1"/>
    <col min="16135" max="16135" width="12.85546875" style="1585" customWidth="1"/>
    <col min="16136" max="16136" width="14" style="1585" customWidth="1"/>
    <col min="16137" max="16137" width="12.5703125" style="1585" customWidth="1"/>
    <col min="16138" max="16138" width="8.140625" style="1585" bestFit="1" customWidth="1"/>
    <col min="16139" max="16139" width="8.85546875" style="1585" bestFit="1" customWidth="1"/>
    <col min="16140" max="16140" width="8.140625" style="1585" bestFit="1" customWidth="1"/>
    <col min="16141" max="16141" width="10.85546875" style="1585" bestFit="1" customWidth="1"/>
    <col min="16142" max="16142" width="14.140625" style="1585" customWidth="1"/>
    <col min="16143" max="16144" width="10.85546875" style="1585" bestFit="1" customWidth="1"/>
    <col min="16145" max="16146" width="3.42578125" style="1585" bestFit="1" customWidth="1"/>
    <col min="16147" max="16147" width="11.140625" style="1585" bestFit="1" customWidth="1"/>
    <col min="16148" max="16149" width="9.140625" style="1585"/>
    <col min="16150" max="16150" width="10.140625" style="1585" bestFit="1" customWidth="1"/>
    <col min="16151" max="16384" width="9.140625" style="1585"/>
  </cols>
  <sheetData>
    <row r="1" spans="1:18" s="1583" customFormat="1" ht="18" customHeight="1">
      <c r="A1" s="3387" t="s">
        <v>2662</v>
      </c>
      <c r="B1" s="3388"/>
      <c r="C1" s="3388"/>
      <c r="D1" s="3388"/>
      <c r="E1" s="3388"/>
      <c r="F1" s="3388"/>
      <c r="G1" s="3388"/>
      <c r="H1" s="3388"/>
      <c r="I1" s="3388"/>
      <c r="J1" s="3388"/>
      <c r="K1" s="3388"/>
      <c r="L1" s="3388"/>
      <c r="M1" s="3388"/>
    </row>
    <row r="2" spans="1:18" s="1583" customFormat="1" ht="18" customHeight="1">
      <c r="A2" s="3387" t="s">
        <v>2663</v>
      </c>
      <c r="B2" s="3387"/>
      <c r="C2" s="3387"/>
      <c r="D2" s="3387"/>
      <c r="E2" s="3387"/>
      <c r="F2" s="3387"/>
      <c r="G2" s="3387"/>
      <c r="H2" s="3387"/>
      <c r="I2" s="3387"/>
      <c r="J2" s="3387"/>
      <c r="K2" s="3387"/>
      <c r="L2" s="3387"/>
      <c r="M2" s="3387"/>
    </row>
    <row r="3" spans="1:18" ht="13.5" thickBot="1">
      <c r="A3" s="1584"/>
    </row>
    <row r="4" spans="1:18" ht="39.75" customHeight="1" thickBot="1">
      <c r="A4" s="1586" t="s">
        <v>2664</v>
      </c>
      <c r="B4" s="1587" t="s">
        <v>387</v>
      </c>
      <c r="C4" s="1588"/>
      <c r="D4" s="1589" t="s">
        <v>184</v>
      </c>
      <c r="E4" s="1587"/>
      <c r="F4" s="1590" t="s">
        <v>2665</v>
      </c>
      <c r="G4" s="1591"/>
      <c r="H4" s="3389" t="s">
        <v>2666</v>
      </c>
      <c r="I4" s="3389"/>
      <c r="J4" s="1592" t="s">
        <v>2667</v>
      </c>
      <c r="K4" s="1588"/>
      <c r="L4" s="1589" t="s">
        <v>369</v>
      </c>
      <c r="M4" s="1588"/>
    </row>
    <row r="5" spans="1:18" s="1598" customFormat="1">
      <c r="A5" s="1593"/>
      <c r="B5" s="1594" t="s">
        <v>2668</v>
      </c>
      <c r="C5" s="1595" t="s">
        <v>862</v>
      </c>
      <c r="D5" s="1596" t="s">
        <v>2668</v>
      </c>
      <c r="E5" s="1597" t="s">
        <v>862</v>
      </c>
      <c r="F5" s="1597" t="s">
        <v>2668</v>
      </c>
      <c r="G5" s="1594" t="s">
        <v>862</v>
      </c>
      <c r="H5" s="1596" t="s">
        <v>2669</v>
      </c>
      <c r="I5" s="1597" t="s">
        <v>862</v>
      </c>
      <c r="J5" s="1597" t="s">
        <v>2669</v>
      </c>
      <c r="K5" s="1594" t="s">
        <v>862</v>
      </c>
      <c r="L5" s="1595" t="s">
        <v>2669</v>
      </c>
      <c r="M5" s="1595" t="s">
        <v>862</v>
      </c>
    </row>
    <row r="6" spans="1:18" s="1598" customFormat="1">
      <c r="A6" s="1599"/>
      <c r="B6" s="1600" t="s">
        <v>2670</v>
      </c>
      <c r="C6" s="1601" t="s">
        <v>1353</v>
      </c>
      <c r="D6" s="1602" t="s">
        <v>2670</v>
      </c>
      <c r="E6" s="1603" t="s">
        <v>1353</v>
      </c>
      <c r="F6" s="1603" t="s">
        <v>2670</v>
      </c>
      <c r="G6" s="1600" t="s">
        <v>1353</v>
      </c>
      <c r="H6" s="1602" t="s">
        <v>2670</v>
      </c>
      <c r="I6" s="1603" t="s">
        <v>1353</v>
      </c>
      <c r="J6" s="1603" t="s">
        <v>2670</v>
      </c>
      <c r="K6" s="1600" t="s">
        <v>1353</v>
      </c>
      <c r="L6" s="1601" t="s">
        <v>2670</v>
      </c>
      <c r="M6" s="1601" t="s">
        <v>1353</v>
      </c>
    </row>
    <row r="7" spans="1:18" ht="13.5" thickBot="1">
      <c r="A7" s="1604"/>
      <c r="B7" s="1605"/>
      <c r="C7" s="1606"/>
      <c r="D7" s="1607"/>
      <c r="E7" s="1608"/>
      <c r="F7" s="1608"/>
      <c r="G7" s="1605"/>
      <c r="H7" s="1607"/>
      <c r="I7" s="1608"/>
      <c r="J7" s="1608"/>
      <c r="K7" s="1605"/>
      <c r="L7" s="1606"/>
      <c r="M7" s="1606"/>
    </row>
    <row r="8" spans="1:18" ht="15.75" customHeight="1" thickTop="1">
      <c r="A8" s="1609"/>
      <c r="B8" s="1610"/>
      <c r="C8" s="1611"/>
      <c r="D8" s="1611"/>
      <c r="E8" s="1612"/>
      <c r="F8" s="1610"/>
      <c r="G8" s="1611"/>
      <c r="H8" s="1611"/>
      <c r="I8" s="1613"/>
      <c r="J8" s="1610"/>
      <c r="K8" s="1611"/>
      <c r="L8" s="1611"/>
      <c r="M8" s="1611"/>
    </row>
    <row r="9" spans="1:18" s="1621" customFormat="1" ht="15.75" customHeight="1">
      <c r="A9" s="1614" t="s">
        <v>2671</v>
      </c>
      <c r="B9" s="1615">
        <v>317066</v>
      </c>
      <c r="C9" s="1616">
        <v>3417263.1957606212</v>
      </c>
      <c r="D9" s="1616">
        <v>134457</v>
      </c>
      <c r="E9" s="1617">
        <v>19816801.754850056</v>
      </c>
      <c r="F9" s="1615">
        <v>4655</v>
      </c>
      <c r="G9" s="1616">
        <v>98513.036134537542</v>
      </c>
      <c r="H9" s="1616">
        <v>38273</v>
      </c>
      <c r="I9" s="1618">
        <v>1566586.36727</v>
      </c>
      <c r="J9" s="1615">
        <v>1506</v>
      </c>
      <c r="K9" s="1616">
        <v>347772.95900000003</v>
      </c>
      <c r="L9" s="1616">
        <v>495957</v>
      </c>
      <c r="M9" s="1616">
        <v>25246937.313015215</v>
      </c>
      <c r="N9" s="1619"/>
      <c r="O9" s="1619"/>
      <c r="P9" s="1619"/>
      <c r="Q9" s="1620"/>
      <c r="R9" s="1620"/>
    </row>
    <row r="10" spans="1:18" s="1621" customFormat="1" ht="15.75" customHeight="1">
      <c r="A10" s="1614"/>
      <c r="B10" s="1615"/>
      <c r="C10" s="1616"/>
      <c r="D10" s="1616"/>
      <c r="E10" s="1617"/>
      <c r="F10" s="1615"/>
      <c r="G10" s="1616"/>
      <c r="H10" s="1616"/>
      <c r="I10" s="1618"/>
      <c r="J10" s="1615"/>
      <c r="K10" s="1616"/>
      <c r="L10" s="1616"/>
      <c r="M10" s="1616"/>
      <c r="N10" s="1619"/>
      <c r="O10" s="1619"/>
      <c r="P10" s="1619"/>
      <c r="Q10" s="1620"/>
      <c r="R10" s="1620"/>
    </row>
    <row r="11" spans="1:18" s="1621" customFormat="1" ht="15.75" customHeight="1">
      <c r="A11" s="1614" t="s">
        <v>2672</v>
      </c>
      <c r="B11" s="1615">
        <v>1555</v>
      </c>
      <c r="C11" s="1616">
        <v>1082631.3759397301</v>
      </c>
      <c r="D11" s="1616">
        <v>18530</v>
      </c>
      <c r="E11" s="1617">
        <v>13284601.335660284</v>
      </c>
      <c r="F11" s="1615">
        <v>278</v>
      </c>
      <c r="G11" s="1616">
        <v>206534.35077894543</v>
      </c>
      <c r="H11" s="1616">
        <v>37</v>
      </c>
      <c r="I11" s="1618">
        <v>26494.313449999998</v>
      </c>
      <c r="J11" s="1615">
        <v>705</v>
      </c>
      <c r="K11" s="1616">
        <v>500815.17499999999</v>
      </c>
      <c r="L11" s="1616">
        <v>21105</v>
      </c>
      <c r="M11" s="1616">
        <v>15101076.55082896</v>
      </c>
      <c r="N11" s="1619"/>
      <c r="O11" s="1619"/>
      <c r="P11" s="1619"/>
      <c r="Q11" s="1620"/>
      <c r="R11" s="1620"/>
    </row>
    <row r="12" spans="1:18" s="1621" customFormat="1" ht="15.75" customHeight="1">
      <c r="A12" s="1614"/>
      <c r="B12" s="1615"/>
      <c r="C12" s="1616"/>
      <c r="D12" s="1616"/>
      <c r="E12" s="1617"/>
      <c r="F12" s="1615"/>
      <c r="G12" s="1616"/>
      <c r="H12" s="1616"/>
      <c r="I12" s="1618"/>
      <c r="J12" s="1615"/>
      <c r="K12" s="1616"/>
      <c r="L12" s="1616"/>
      <c r="M12" s="1616"/>
      <c r="N12" s="1619"/>
      <c r="O12" s="1619"/>
      <c r="P12" s="1619"/>
      <c r="Q12" s="1620"/>
      <c r="R12" s="1620"/>
    </row>
    <row r="13" spans="1:18" s="1621" customFormat="1" ht="15.75" customHeight="1">
      <c r="A13" s="1614" t="s">
        <v>2673</v>
      </c>
      <c r="B13" s="1615">
        <v>1019</v>
      </c>
      <c r="C13" s="1616">
        <v>1441171.9856909565</v>
      </c>
      <c r="D13" s="1616">
        <v>10066</v>
      </c>
      <c r="E13" s="1617">
        <v>14362001.034173297</v>
      </c>
      <c r="F13" s="1615">
        <v>297</v>
      </c>
      <c r="G13" s="1616">
        <v>426470.07869412593</v>
      </c>
      <c r="H13" s="1616">
        <v>30</v>
      </c>
      <c r="I13" s="1618">
        <v>42906.86890999999</v>
      </c>
      <c r="J13" s="1615">
        <v>507</v>
      </c>
      <c r="K13" s="1616">
        <v>708530.90700000001</v>
      </c>
      <c r="L13" s="1616">
        <v>11919</v>
      </c>
      <c r="M13" s="1616">
        <v>16981080.874468379</v>
      </c>
      <c r="N13" s="1619"/>
      <c r="O13" s="1619"/>
      <c r="P13" s="1619"/>
      <c r="Q13" s="1620"/>
      <c r="R13" s="1620"/>
    </row>
    <row r="14" spans="1:18" s="1621" customFormat="1" ht="15.75" customHeight="1">
      <c r="A14" s="1614"/>
      <c r="B14" s="1615"/>
      <c r="C14" s="1616"/>
      <c r="D14" s="1616"/>
      <c r="E14" s="1617"/>
      <c r="F14" s="1615"/>
      <c r="G14" s="1616"/>
      <c r="H14" s="1616"/>
      <c r="I14" s="1618"/>
      <c r="J14" s="1615"/>
      <c r="K14" s="1616"/>
      <c r="L14" s="1616"/>
      <c r="M14" s="1616"/>
      <c r="N14" s="1619"/>
      <c r="O14" s="1619"/>
      <c r="P14" s="1619"/>
      <c r="Q14" s="1620"/>
      <c r="R14" s="1620"/>
    </row>
    <row r="15" spans="1:18" s="1621" customFormat="1" ht="15.75" customHeight="1">
      <c r="A15" s="1614" t="s">
        <v>2674</v>
      </c>
      <c r="B15" s="1615">
        <v>877</v>
      </c>
      <c r="C15" s="1616">
        <v>2783387.1243286822</v>
      </c>
      <c r="D15" s="1616">
        <v>5644</v>
      </c>
      <c r="E15" s="1617">
        <v>17128142.17530901</v>
      </c>
      <c r="F15" s="1615">
        <v>356</v>
      </c>
      <c r="G15" s="1616">
        <v>1114372.1408044838</v>
      </c>
      <c r="H15" s="1616">
        <v>27</v>
      </c>
      <c r="I15" s="1618">
        <v>92631.364180000004</v>
      </c>
      <c r="J15" s="1615">
        <v>386</v>
      </c>
      <c r="K15" s="1616">
        <v>1169740.3330000001</v>
      </c>
      <c r="L15" s="1616">
        <v>7290</v>
      </c>
      <c r="M15" s="1616">
        <v>22288273.137622174</v>
      </c>
      <c r="N15" s="1619"/>
      <c r="O15" s="1619"/>
      <c r="P15" s="1619"/>
      <c r="Q15" s="1620"/>
      <c r="R15" s="1620"/>
    </row>
    <row r="16" spans="1:18" s="1621" customFormat="1" ht="15.75" customHeight="1">
      <c r="A16" s="1614"/>
      <c r="B16" s="1615"/>
      <c r="C16" s="1616"/>
      <c r="D16" s="1616"/>
      <c r="E16" s="1617"/>
      <c r="F16" s="1615"/>
      <c r="G16" s="1616"/>
      <c r="H16" s="1616"/>
      <c r="I16" s="1618"/>
      <c r="J16" s="1615"/>
      <c r="K16" s="1616"/>
      <c r="L16" s="1616"/>
      <c r="M16" s="1616"/>
      <c r="N16" s="1619"/>
      <c r="O16" s="1619"/>
      <c r="P16" s="1619"/>
      <c r="Q16" s="1620"/>
      <c r="R16" s="1620"/>
    </row>
    <row r="17" spans="1:18" s="1621" customFormat="1" ht="15.75" customHeight="1">
      <c r="A17" s="1614" t="s">
        <v>2675</v>
      </c>
      <c r="B17" s="1615">
        <v>372</v>
      </c>
      <c r="C17" s="1616">
        <v>2628306.5811310601</v>
      </c>
      <c r="D17" s="1616">
        <v>1227</v>
      </c>
      <c r="E17" s="1617">
        <v>8479673.936368119</v>
      </c>
      <c r="F17" s="1615">
        <v>313</v>
      </c>
      <c r="G17" s="1616">
        <v>2252509.02263181</v>
      </c>
      <c r="H17" s="1616">
        <v>11</v>
      </c>
      <c r="I17" s="1618">
        <v>75426.434659999999</v>
      </c>
      <c r="J17" s="1615">
        <v>94</v>
      </c>
      <c r="K17" s="1616">
        <v>676579.47199999995</v>
      </c>
      <c r="L17" s="1616">
        <v>2017</v>
      </c>
      <c r="M17" s="1616">
        <v>14112495.446790988</v>
      </c>
      <c r="N17" s="1619"/>
      <c r="O17" s="1619"/>
      <c r="P17" s="1619"/>
      <c r="Q17" s="1620"/>
      <c r="R17" s="1620"/>
    </row>
    <row r="18" spans="1:18" s="1621" customFormat="1" ht="15.75" customHeight="1">
      <c r="A18" s="1614"/>
      <c r="B18" s="1615"/>
      <c r="C18" s="1616"/>
      <c r="D18" s="1616"/>
      <c r="E18" s="1617"/>
      <c r="F18" s="1615"/>
      <c r="G18" s="1616"/>
      <c r="H18" s="1616"/>
      <c r="I18" s="1618"/>
      <c r="J18" s="1615"/>
      <c r="K18" s="1616"/>
      <c r="L18" s="1616"/>
      <c r="M18" s="1616"/>
      <c r="N18" s="1619"/>
      <c r="O18" s="1619"/>
      <c r="P18" s="1619"/>
      <c r="Q18" s="1620"/>
      <c r="R18" s="1620"/>
    </row>
    <row r="19" spans="1:18" s="1621" customFormat="1" ht="15.75" customHeight="1">
      <c r="A19" s="1614" t="s">
        <v>2676</v>
      </c>
      <c r="B19" s="1615">
        <v>312</v>
      </c>
      <c r="C19" s="1616">
        <v>4944565.8049789602</v>
      </c>
      <c r="D19" s="1616">
        <v>623</v>
      </c>
      <c r="E19" s="1617">
        <v>9685253.9783848561</v>
      </c>
      <c r="F19" s="1615">
        <v>216</v>
      </c>
      <c r="G19" s="1616">
        <v>3405135.0255953879</v>
      </c>
      <c r="H19" s="1616">
        <v>8</v>
      </c>
      <c r="I19" s="1618">
        <v>141506.89692999999</v>
      </c>
      <c r="J19" s="1615">
        <v>47</v>
      </c>
      <c r="K19" s="1616">
        <v>798085.24</v>
      </c>
      <c r="L19" s="1616">
        <v>1206</v>
      </c>
      <c r="M19" s="1616">
        <v>18974546.945889205</v>
      </c>
      <c r="N19" s="1619"/>
      <c r="O19" s="1619"/>
      <c r="P19" s="1619"/>
      <c r="Q19" s="1620"/>
      <c r="R19" s="1620"/>
    </row>
    <row r="20" spans="1:18" s="1621" customFormat="1" ht="15.75" customHeight="1">
      <c r="A20" s="1614"/>
      <c r="B20" s="1615"/>
      <c r="C20" s="1616"/>
      <c r="D20" s="1616"/>
      <c r="E20" s="1617"/>
      <c r="F20" s="1615"/>
      <c r="G20" s="1616"/>
      <c r="H20" s="1616"/>
      <c r="I20" s="1618"/>
      <c r="J20" s="1615"/>
      <c r="K20" s="1616"/>
      <c r="L20" s="1616"/>
      <c r="M20" s="1616"/>
      <c r="N20" s="1619"/>
      <c r="O20" s="1619"/>
      <c r="P20" s="1619"/>
      <c r="Q20" s="1620"/>
      <c r="R20" s="1620"/>
    </row>
    <row r="21" spans="1:18" s="1621" customFormat="1" ht="15.75" customHeight="1">
      <c r="A21" s="1614" t="s">
        <v>2677</v>
      </c>
      <c r="B21" s="1615">
        <v>151</v>
      </c>
      <c r="C21" s="1616">
        <v>5243102.1454187874</v>
      </c>
      <c r="D21" s="1616">
        <v>311</v>
      </c>
      <c r="E21" s="1617">
        <v>11467072.029131304</v>
      </c>
      <c r="F21" s="1615">
        <v>129</v>
      </c>
      <c r="G21" s="1616">
        <v>4616894.0208499301</v>
      </c>
      <c r="H21" s="1616">
        <v>2</v>
      </c>
      <c r="I21" s="1618">
        <v>67486.209499999997</v>
      </c>
      <c r="J21" s="1615">
        <v>15</v>
      </c>
      <c r="K21" s="1616">
        <v>492208.027</v>
      </c>
      <c r="L21" s="1616">
        <v>608</v>
      </c>
      <c r="M21" s="1616">
        <v>21886762.431900021</v>
      </c>
      <c r="N21" s="1619"/>
      <c r="O21" s="1619"/>
      <c r="P21" s="1619"/>
      <c r="Q21" s="1620"/>
      <c r="R21" s="1620"/>
    </row>
    <row r="22" spans="1:18" s="1621" customFormat="1" ht="15.75" customHeight="1">
      <c r="A22" s="1622"/>
      <c r="B22" s="1615"/>
      <c r="C22" s="1616"/>
      <c r="D22" s="1616"/>
      <c r="E22" s="1617"/>
      <c r="F22" s="1615"/>
      <c r="G22" s="1616"/>
      <c r="H22" s="1616"/>
      <c r="I22" s="1618"/>
      <c r="J22" s="1615"/>
      <c r="K22" s="1616"/>
      <c r="L22" s="1616"/>
      <c r="M22" s="1616"/>
      <c r="N22" s="1619"/>
      <c r="O22" s="1619"/>
      <c r="P22" s="1619"/>
      <c r="Q22" s="1620"/>
      <c r="R22" s="1620"/>
    </row>
    <row r="23" spans="1:18" s="1621" customFormat="1" ht="15.75" customHeight="1">
      <c r="A23" s="1622" t="s">
        <v>2678</v>
      </c>
      <c r="B23" s="1615">
        <v>80</v>
      </c>
      <c r="C23" s="1616">
        <v>5382984.4211478243</v>
      </c>
      <c r="D23" s="1616">
        <v>189</v>
      </c>
      <c r="E23" s="1617">
        <v>14083097.678060291</v>
      </c>
      <c r="F23" s="1615">
        <v>80</v>
      </c>
      <c r="G23" s="1616">
        <v>5755241.9858591594</v>
      </c>
      <c r="H23" s="1616">
        <v>2</v>
      </c>
      <c r="I23" s="1618">
        <v>148694.77446000004</v>
      </c>
      <c r="J23" s="1615">
        <v>2</v>
      </c>
      <c r="K23" s="1616">
        <v>146313</v>
      </c>
      <c r="L23" s="1616">
        <v>353</v>
      </c>
      <c r="M23" s="1616">
        <v>25516331.859527275</v>
      </c>
      <c r="N23" s="1619"/>
      <c r="O23" s="1619"/>
      <c r="P23" s="1619"/>
      <c r="Q23" s="1620"/>
      <c r="R23" s="1620"/>
    </row>
    <row r="24" spans="1:18" s="1621" customFormat="1" ht="15.75" customHeight="1">
      <c r="A24" s="1622"/>
      <c r="B24" s="1615"/>
      <c r="C24" s="1616"/>
      <c r="D24" s="1616"/>
      <c r="E24" s="1617"/>
      <c r="F24" s="1615"/>
      <c r="G24" s="1616"/>
      <c r="H24" s="1616"/>
      <c r="I24" s="1618"/>
      <c r="J24" s="1615"/>
      <c r="K24" s="1616"/>
      <c r="L24" s="1616"/>
      <c r="M24" s="1616"/>
      <c r="N24" s="1619"/>
      <c r="O24" s="1619"/>
      <c r="P24" s="1619"/>
      <c r="Q24" s="1620"/>
      <c r="R24" s="1620"/>
    </row>
    <row r="25" spans="1:18" s="1621" customFormat="1" ht="15.75" customHeight="1">
      <c r="A25" s="1622" t="s">
        <v>2679</v>
      </c>
      <c r="B25" s="1615">
        <v>31</v>
      </c>
      <c r="C25" s="1616">
        <v>3812109.2358945599</v>
      </c>
      <c r="D25" s="1616">
        <v>72</v>
      </c>
      <c r="E25" s="1617">
        <v>9299488.3039398137</v>
      </c>
      <c r="F25" s="1615">
        <v>38</v>
      </c>
      <c r="G25" s="1616">
        <v>4632755.2344141835</v>
      </c>
      <c r="H25" s="1616">
        <v>0</v>
      </c>
      <c r="I25" s="1618">
        <v>0</v>
      </c>
      <c r="J25" s="1615">
        <v>2</v>
      </c>
      <c r="K25" s="1616">
        <v>230571.77799999999</v>
      </c>
      <c r="L25" s="1616">
        <v>143</v>
      </c>
      <c r="M25" s="1616">
        <v>17974924.552248556</v>
      </c>
      <c r="N25" s="1619"/>
      <c r="O25" s="1619"/>
      <c r="P25" s="1619"/>
      <c r="Q25" s="1620"/>
      <c r="R25" s="1620"/>
    </row>
    <row r="26" spans="1:18" s="1621" customFormat="1" ht="15.75" customHeight="1">
      <c r="A26" s="1622"/>
      <c r="B26" s="1615"/>
      <c r="C26" s="1616"/>
      <c r="D26" s="1616"/>
      <c r="E26" s="1617"/>
      <c r="F26" s="1615"/>
      <c r="G26" s="1616"/>
      <c r="H26" s="1616"/>
      <c r="I26" s="1618"/>
      <c r="J26" s="1615"/>
      <c r="K26" s="1616"/>
      <c r="L26" s="1616"/>
      <c r="M26" s="1616"/>
      <c r="N26" s="1619"/>
      <c r="O26" s="1619"/>
      <c r="P26" s="1619"/>
      <c r="Q26" s="1620"/>
      <c r="R26" s="1620"/>
    </row>
    <row r="27" spans="1:18" s="1621" customFormat="1" ht="15.75" customHeight="1">
      <c r="A27" s="1622" t="s">
        <v>2680</v>
      </c>
      <c r="B27" s="1615">
        <v>9</v>
      </c>
      <c r="C27" s="1616">
        <v>1520212.809549999</v>
      </c>
      <c r="D27" s="1616">
        <v>42</v>
      </c>
      <c r="E27" s="1617">
        <v>7361251.770797275</v>
      </c>
      <c r="F27" s="1615">
        <v>31</v>
      </c>
      <c r="G27" s="1616">
        <v>5205855.9368011318</v>
      </c>
      <c r="H27" s="1616">
        <v>0</v>
      </c>
      <c r="I27" s="1618">
        <v>0</v>
      </c>
      <c r="J27" s="1615">
        <v>0</v>
      </c>
      <c r="K27" s="1616">
        <v>0</v>
      </c>
      <c r="L27" s="1616">
        <v>82</v>
      </c>
      <c r="M27" s="1616">
        <v>14087320.517148405</v>
      </c>
      <c r="N27" s="1619"/>
      <c r="O27" s="1619"/>
      <c r="P27" s="1619"/>
      <c r="Q27" s="1620"/>
      <c r="R27" s="1620"/>
    </row>
    <row r="28" spans="1:18" s="1621" customFormat="1" ht="15.75" customHeight="1">
      <c r="A28" s="1622"/>
      <c r="B28" s="1615"/>
      <c r="C28" s="1616"/>
      <c r="D28" s="1616"/>
      <c r="E28" s="1617"/>
      <c r="F28" s="1615"/>
      <c r="G28" s="1616"/>
      <c r="H28" s="1616"/>
      <c r="I28" s="1618"/>
      <c r="J28" s="1615"/>
      <c r="K28" s="1616"/>
      <c r="L28" s="1616"/>
      <c r="M28" s="1616"/>
      <c r="N28" s="1619"/>
      <c r="O28" s="1619"/>
      <c r="P28" s="1619"/>
      <c r="Q28" s="1620"/>
      <c r="R28" s="1620"/>
    </row>
    <row r="29" spans="1:18" s="1621" customFormat="1" ht="15.75" customHeight="1">
      <c r="A29" s="1622" t="s">
        <v>2681</v>
      </c>
      <c r="B29" s="1615">
        <v>13</v>
      </c>
      <c r="C29" s="1616">
        <v>3238283.2333099991</v>
      </c>
      <c r="D29" s="1616">
        <v>35</v>
      </c>
      <c r="E29" s="1617">
        <v>8719862.4726000056</v>
      </c>
      <c r="F29" s="1615">
        <v>20</v>
      </c>
      <c r="G29" s="1616">
        <v>4651438.3848506678</v>
      </c>
      <c r="H29" s="1616">
        <v>0</v>
      </c>
      <c r="I29" s="1618">
        <v>0</v>
      </c>
      <c r="J29" s="1615">
        <v>0</v>
      </c>
      <c r="K29" s="1616">
        <v>0</v>
      </c>
      <c r="L29" s="1616">
        <v>68</v>
      </c>
      <c r="M29" s="1616">
        <v>16609584.090760672</v>
      </c>
      <c r="N29" s="1619"/>
      <c r="O29" s="1619"/>
      <c r="P29" s="1619"/>
      <c r="Q29" s="1620"/>
      <c r="R29" s="1620"/>
    </row>
    <row r="30" spans="1:18" s="1621" customFormat="1" ht="15.75" customHeight="1">
      <c r="A30" s="1622"/>
      <c r="B30" s="1615"/>
      <c r="C30" s="1616"/>
      <c r="D30" s="1616"/>
      <c r="E30" s="1617"/>
      <c r="F30" s="1615"/>
      <c r="G30" s="1616"/>
      <c r="H30" s="1616"/>
      <c r="I30" s="1618"/>
      <c r="J30" s="1615"/>
      <c r="K30" s="1616"/>
      <c r="L30" s="1616"/>
      <c r="M30" s="1616"/>
      <c r="N30" s="1619"/>
      <c r="O30" s="1619"/>
      <c r="P30" s="1619"/>
      <c r="Q30" s="1620"/>
      <c r="R30" s="1620"/>
    </row>
    <row r="31" spans="1:18" s="1621" customFormat="1" ht="15.75" customHeight="1">
      <c r="A31" s="1622" t="s">
        <v>2682</v>
      </c>
      <c r="B31" s="1615">
        <v>13</v>
      </c>
      <c r="C31" s="1616">
        <v>6251484.4874</v>
      </c>
      <c r="D31" s="1616">
        <v>73</v>
      </c>
      <c r="E31" s="1617">
        <v>33734487.492814012</v>
      </c>
      <c r="F31" s="1615">
        <v>48</v>
      </c>
      <c r="G31" s="1616">
        <v>26238067.884324264</v>
      </c>
      <c r="H31" s="1616">
        <v>0</v>
      </c>
      <c r="I31" s="1618">
        <v>0</v>
      </c>
      <c r="J31" s="1615">
        <v>0</v>
      </c>
      <c r="K31" s="1616">
        <v>0</v>
      </c>
      <c r="L31" s="1616">
        <v>134</v>
      </c>
      <c r="M31" s="1616">
        <v>66224039.864538282</v>
      </c>
      <c r="N31" s="1619"/>
      <c r="O31" s="1619"/>
      <c r="P31" s="1619"/>
      <c r="Q31" s="1620"/>
      <c r="R31" s="1620"/>
    </row>
    <row r="32" spans="1:18" s="1621" customFormat="1" ht="15.75" customHeight="1">
      <c r="A32" s="1622"/>
      <c r="B32" s="1623"/>
      <c r="C32" s="1624"/>
      <c r="D32" s="1624"/>
      <c r="E32" s="1625"/>
      <c r="F32" s="1623"/>
      <c r="G32" s="1624"/>
      <c r="H32" s="1624"/>
      <c r="I32" s="1626"/>
      <c r="J32" s="1615"/>
      <c r="K32" s="1616"/>
      <c r="L32" s="1616"/>
      <c r="M32" s="1616"/>
      <c r="N32" s="1619"/>
      <c r="O32" s="1619"/>
      <c r="P32" s="1619"/>
      <c r="Q32" s="1620"/>
      <c r="R32" s="1620"/>
    </row>
    <row r="33" spans="1:252" s="1628" customFormat="1" ht="15.75" customHeight="1">
      <c r="A33" s="1627" t="s">
        <v>369</v>
      </c>
      <c r="B33" s="1623">
        <v>321498</v>
      </c>
      <c r="C33" s="1623">
        <v>41745502.400551178</v>
      </c>
      <c r="D33" s="1624">
        <v>171269</v>
      </c>
      <c r="E33" s="1626">
        <v>167421733.96208832</v>
      </c>
      <c r="F33" s="1623">
        <v>6461</v>
      </c>
      <c r="G33" s="1623">
        <v>58603787.101738632</v>
      </c>
      <c r="H33" s="1624">
        <v>38390</v>
      </c>
      <c r="I33" s="1626">
        <v>2161733.2293600002</v>
      </c>
      <c r="J33" s="1623">
        <v>3264</v>
      </c>
      <c r="K33" s="1624">
        <v>5070616.8909999998</v>
      </c>
      <c r="L33" s="1624">
        <v>540882</v>
      </c>
      <c r="M33" s="1624">
        <v>275003373.58473814</v>
      </c>
      <c r="N33" s="1619"/>
      <c r="O33" s="1619"/>
      <c r="P33" s="1619"/>
      <c r="Q33" s="1620"/>
      <c r="R33" s="1620"/>
      <c r="S33" s="1619"/>
      <c r="T33" s="1619"/>
      <c r="U33" s="1619"/>
      <c r="V33" s="1619"/>
      <c r="W33" s="1619"/>
      <c r="X33" s="1619"/>
      <c r="Y33" s="1619"/>
    </row>
    <row r="34" spans="1:252" ht="15.75" customHeight="1" thickBot="1">
      <c r="A34" s="1629"/>
      <c r="B34" s="1630"/>
      <c r="C34" s="1631"/>
      <c r="D34" s="1631"/>
      <c r="E34" s="1632"/>
      <c r="F34" s="1630"/>
      <c r="G34" s="1631"/>
      <c r="H34" s="1631"/>
      <c r="I34" s="1633"/>
      <c r="J34" s="1630"/>
      <c r="K34" s="1631"/>
      <c r="L34" s="1631"/>
      <c r="M34" s="1631"/>
      <c r="N34" s="1619"/>
      <c r="O34" s="1619"/>
    </row>
    <row r="35" spans="1:252" ht="15.75" customHeight="1">
      <c r="A35" s="1634" t="s">
        <v>2683</v>
      </c>
      <c r="B35" s="1635"/>
      <c r="C35" s="1635"/>
      <c r="D35" s="1635"/>
      <c r="E35" s="1634" t="s">
        <v>361</v>
      </c>
      <c r="F35" s="1635"/>
      <c r="G35" s="1635"/>
      <c r="H35" s="1635"/>
      <c r="I35" s="1635"/>
      <c r="J35" s="1635"/>
      <c r="K35" s="1635"/>
      <c r="L35" s="1635"/>
      <c r="M35" s="1635"/>
      <c r="N35" s="1619"/>
      <c r="O35" s="1619"/>
      <c r="P35" s="1636"/>
      <c r="Q35" s="1636"/>
      <c r="R35" s="1636"/>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AU35" s="1635"/>
      <c r="AV35" s="1635"/>
      <c r="AW35" s="1635"/>
      <c r="AX35" s="1635"/>
      <c r="AY35" s="1635"/>
      <c r="AZ35" s="1635"/>
      <c r="BA35" s="1635"/>
      <c r="BB35" s="1635"/>
      <c r="BC35" s="1635"/>
    </row>
    <row r="36" spans="1:252" s="350" customFormat="1">
      <c r="A36" s="1637" t="s">
        <v>303</v>
      </c>
    </row>
    <row r="37" spans="1:252" ht="15.75" customHeight="1">
      <c r="B37" s="1635"/>
      <c r="C37" s="1635"/>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1635"/>
      <c r="AB37" s="1635"/>
      <c r="AC37" s="1635"/>
      <c r="AD37" s="1635"/>
      <c r="AE37" s="1635"/>
      <c r="AF37" s="1635"/>
      <c r="AG37" s="1635"/>
      <c r="AH37" s="1635"/>
      <c r="AI37" s="1635"/>
      <c r="AJ37" s="1635"/>
      <c r="AK37" s="1635"/>
      <c r="AL37" s="1635"/>
      <c r="AM37" s="1635"/>
      <c r="AN37" s="1635"/>
      <c r="AO37" s="1635"/>
      <c r="AP37" s="1635"/>
      <c r="AQ37" s="1635"/>
      <c r="AR37" s="1635"/>
      <c r="AS37" s="1635"/>
      <c r="AT37" s="1635"/>
      <c r="AU37" s="1635"/>
      <c r="AV37" s="1635"/>
      <c r="AW37" s="1635"/>
      <c r="AX37" s="1635"/>
      <c r="AY37" s="1635"/>
      <c r="AZ37" s="1635"/>
      <c r="BA37" s="1635"/>
      <c r="BB37" s="1635"/>
      <c r="BC37" s="1635"/>
      <c r="BD37" s="1635"/>
      <c r="BE37" s="1635"/>
      <c r="BF37" s="1635"/>
      <c r="BG37" s="1635"/>
      <c r="BH37" s="1635"/>
      <c r="BI37" s="1635"/>
      <c r="BJ37" s="1635"/>
      <c r="BK37" s="1635"/>
      <c r="BL37" s="1635"/>
      <c r="BM37" s="1635"/>
      <c r="BN37" s="1635"/>
      <c r="BO37" s="1635"/>
      <c r="BP37" s="1635"/>
      <c r="BQ37" s="1635"/>
      <c r="BR37" s="1635"/>
      <c r="BS37" s="1635"/>
      <c r="BT37" s="1635"/>
      <c r="BU37" s="1635"/>
      <c r="BV37" s="1635"/>
      <c r="BW37" s="1635"/>
      <c r="BX37" s="1635"/>
      <c r="BY37" s="1635"/>
      <c r="BZ37" s="1635"/>
      <c r="CA37" s="1635"/>
      <c r="CB37" s="1635"/>
      <c r="CC37" s="1635"/>
      <c r="CD37" s="1635"/>
      <c r="CE37" s="1635"/>
      <c r="CF37" s="1635"/>
      <c r="CG37" s="1635"/>
      <c r="CH37" s="1635"/>
      <c r="CI37" s="1635"/>
      <c r="CJ37" s="1635"/>
      <c r="CK37" s="1635"/>
      <c r="CL37" s="1635"/>
      <c r="CM37" s="1635"/>
      <c r="CN37" s="1635"/>
      <c r="CO37" s="1635"/>
      <c r="CP37" s="1635"/>
      <c r="CQ37" s="1635"/>
      <c r="CR37" s="1635"/>
      <c r="CS37" s="1635"/>
      <c r="CT37" s="1635"/>
      <c r="CU37" s="1635"/>
      <c r="CV37" s="1635"/>
      <c r="CW37" s="1635"/>
      <c r="CX37" s="1635"/>
      <c r="CY37" s="1635"/>
      <c r="CZ37" s="1635"/>
      <c r="DA37" s="1635"/>
      <c r="DB37" s="1635"/>
      <c r="DC37" s="1635"/>
      <c r="DD37" s="1635"/>
      <c r="DE37" s="1635"/>
      <c r="DF37" s="1635"/>
      <c r="DG37" s="1635"/>
      <c r="DH37" s="1635"/>
      <c r="DI37" s="1635"/>
      <c r="DJ37" s="1635"/>
      <c r="DK37" s="1635"/>
      <c r="DL37" s="1635"/>
      <c r="DM37" s="1635"/>
      <c r="DN37" s="1635"/>
      <c r="DO37" s="1635"/>
      <c r="DP37" s="1635"/>
      <c r="DQ37" s="1635"/>
      <c r="DR37" s="1635"/>
      <c r="DS37" s="1635"/>
      <c r="DT37" s="1635"/>
      <c r="DU37" s="1635"/>
      <c r="DV37" s="1635"/>
      <c r="DW37" s="1635"/>
      <c r="DX37" s="1635"/>
      <c r="DY37" s="1635"/>
      <c r="DZ37" s="1635"/>
      <c r="EA37" s="1635"/>
      <c r="EB37" s="1635"/>
      <c r="EC37" s="1635"/>
      <c r="ED37" s="1635"/>
      <c r="EE37" s="1635"/>
      <c r="EF37" s="1635"/>
      <c r="EG37" s="1635"/>
      <c r="EH37" s="1635"/>
      <c r="EI37" s="1635"/>
      <c r="EJ37" s="1635"/>
      <c r="EK37" s="1635"/>
      <c r="EL37" s="1635"/>
      <c r="EM37" s="1635"/>
      <c r="EN37" s="1635"/>
      <c r="EO37" s="1635"/>
      <c r="EP37" s="1635"/>
      <c r="EQ37" s="1635"/>
      <c r="ER37" s="1635"/>
      <c r="ES37" s="1635"/>
      <c r="ET37" s="1635"/>
      <c r="EU37" s="1635"/>
      <c r="EV37" s="1635"/>
      <c r="EW37" s="1635"/>
      <c r="EX37" s="1635"/>
      <c r="EY37" s="1635"/>
      <c r="EZ37" s="1635"/>
      <c r="FA37" s="1635"/>
      <c r="FB37" s="1635"/>
      <c r="FC37" s="1635"/>
      <c r="FD37" s="1635"/>
      <c r="FE37" s="1635"/>
      <c r="FF37" s="1635"/>
      <c r="FG37" s="1635"/>
      <c r="FH37" s="1635"/>
      <c r="FI37" s="1635"/>
      <c r="FJ37" s="1635"/>
      <c r="FK37" s="1635"/>
      <c r="FL37" s="1635"/>
      <c r="FM37" s="1635"/>
      <c r="FN37" s="1635"/>
      <c r="FO37" s="1635"/>
      <c r="FP37" s="1635"/>
      <c r="FQ37" s="1635"/>
      <c r="FR37" s="1635"/>
      <c r="FS37" s="1635"/>
      <c r="FT37" s="1635"/>
      <c r="FU37" s="1635"/>
      <c r="FV37" s="1635"/>
      <c r="FW37" s="1635"/>
      <c r="FX37" s="1635"/>
      <c r="FY37" s="1635"/>
      <c r="FZ37" s="1635"/>
      <c r="GA37" s="1635"/>
      <c r="GB37" s="1635"/>
      <c r="GC37" s="1635"/>
      <c r="GD37" s="1635"/>
      <c r="GE37" s="1635"/>
      <c r="GF37" s="1635"/>
      <c r="GG37" s="1635"/>
      <c r="GH37" s="1635"/>
      <c r="GI37" s="1635"/>
      <c r="GJ37" s="1635"/>
      <c r="GK37" s="1635"/>
      <c r="GL37" s="1635"/>
      <c r="GM37" s="1635"/>
      <c r="GN37" s="1635"/>
      <c r="GO37" s="1635"/>
      <c r="GP37" s="1635"/>
      <c r="GQ37" s="1635"/>
      <c r="GR37" s="1635"/>
      <c r="GS37" s="1635"/>
      <c r="GT37" s="1635"/>
      <c r="GU37" s="1635"/>
      <c r="GV37" s="1635"/>
      <c r="GW37" s="1635"/>
      <c r="GX37" s="1635"/>
      <c r="GY37" s="1635"/>
      <c r="GZ37" s="1635"/>
      <c r="HA37" s="1635"/>
      <c r="HB37" s="1635"/>
      <c r="HC37" s="1635"/>
      <c r="HD37" s="1635"/>
      <c r="HE37" s="1635"/>
      <c r="HF37" s="1635"/>
      <c r="HG37" s="1635"/>
      <c r="HH37" s="1635"/>
      <c r="HI37" s="1635"/>
      <c r="HJ37" s="1635"/>
      <c r="HK37" s="1635"/>
      <c r="HL37" s="1635"/>
      <c r="HM37" s="1635"/>
      <c r="HN37" s="1635"/>
      <c r="HO37" s="1635"/>
      <c r="HP37" s="1635"/>
      <c r="HQ37" s="1635"/>
      <c r="HR37" s="1635"/>
      <c r="HS37" s="1635"/>
      <c r="HT37" s="1635"/>
      <c r="HU37" s="1635"/>
      <c r="HV37" s="1635"/>
      <c r="HW37" s="1635"/>
      <c r="HX37" s="1635"/>
      <c r="HY37" s="1635"/>
      <c r="HZ37" s="1635"/>
      <c r="IA37" s="1635"/>
      <c r="IB37" s="1635"/>
      <c r="IC37" s="1635"/>
      <c r="ID37" s="1635"/>
      <c r="IE37" s="1635"/>
      <c r="IF37" s="1635"/>
      <c r="IG37" s="1635"/>
      <c r="IH37" s="1635"/>
      <c r="II37" s="1635"/>
      <c r="IJ37" s="1635"/>
      <c r="IK37" s="1635"/>
      <c r="IL37" s="1635"/>
      <c r="IM37" s="1635"/>
      <c r="IN37" s="1635"/>
      <c r="IO37" s="1635"/>
      <c r="IP37" s="1635"/>
      <c r="IQ37" s="1635"/>
      <c r="IR37" s="1635"/>
    </row>
    <row r="38" spans="1:252" ht="15.75" customHeight="1">
      <c r="B38" s="1635"/>
      <c r="C38" s="1635"/>
      <c r="D38" s="1635"/>
      <c r="E38" s="1635"/>
      <c r="F38" s="1635"/>
      <c r="G38" s="1635"/>
      <c r="H38" s="1635"/>
      <c r="I38" s="1635"/>
      <c r="J38" s="1635"/>
      <c r="K38" s="1635"/>
      <c r="L38" s="1635"/>
      <c r="M38" s="1635"/>
      <c r="N38" s="1619"/>
      <c r="O38" s="1619"/>
    </row>
    <row r="39" spans="1:252" ht="15.75" customHeight="1">
      <c r="B39" s="1635"/>
      <c r="C39" s="1635"/>
      <c r="D39" s="1635"/>
      <c r="E39" s="1635"/>
      <c r="F39" s="1635"/>
      <c r="G39" s="1635"/>
      <c r="H39" s="1635"/>
      <c r="I39" s="1635"/>
      <c r="J39" s="1635"/>
      <c r="K39" s="1635"/>
      <c r="L39" s="1635"/>
      <c r="M39" s="1635"/>
      <c r="N39" s="1619"/>
      <c r="O39" s="1619"/>
    </row>
    <row r="40" spans="1:252" ht="15.75" customHeight="1">
      <c r="B40" s="1635"/>
      <c r="C40" s="1638"/>
      <c r="D40" s="1635"/>
      <c r="E40" s="1638"/>
      <c r="F40" s="1635"/>
      <c r="G40" s="1638"/>
      <c r="H40" s="1635"/>
      <c r="I40" s="1638"/>
      <c r="J40" s="1635"/>
      <c r="K40" s="1638"/>
      <c r="L40" s="1635"/>
      <c r="M40" s="1638"/>
      <c r="N40" s="1619"/>
      <c r="O40" s="1619"/>
    </row>
    <row r="41" spans="1:252" ht="15.75" customHeight="1">
      <c r="L41" s="1635"/>
      <c r="M41" s="1635"/>
      <c r="N41" s="1619"/>
      <c r="O41" s="1619"/>
    </row>
    <row r="42" spans="1:252" ht="15.75" customHeight="1">
      <c r="L42" s="1635"/>
      <c r="M42" s="1635"/>
      <c r="N42" s="1619"/>
      <c r="O42" s="1619"/>
    </row>
    <row r="43" spans="1:252" ht="15.75" customHeight="1">
      <c r="N43" s="1619"/>
      <c r="O43" s="1619"/>
    </row>
    <row r="44" spans="1:252" ht="15.75" customHeight="1">
      <c r="N44" s="1619"/>
      <c r="O44" s="1619"/>
    </row>
    <row r="45" spans="1:252" ht="15.75" customHeight="1">
      <c r="N45" s="1619"/>
      <c r="O45" s="1619"/>
    </row>
    <row r="46" spans="1:252" ht="15.75" customHeight="1">
      <c r="N46" s="1619"/>
      <c r="O46" s="1619"/>
    </row>
    <row r="47" spans="1:252" ht="15.75" customHeight="1">
      <c r="N47" s="1619"/>
      <c r="O47" s="1619"/>
    </row>
    <row r="48" spans="1:252" ht="15.75" customHeight="1">
      <c r="N48" s="1619"/>
      <c r="O48" s="1619"/>
    </row>
    <row r="49" spans="14:15" ht="15.75" customHeight="1">
      <c r="N49" s="1619"/>
      <c r="O49" s="1619"/>
    </row>
    <row r="50" spans="14:15" ht="15.75" customHeight="1">
      <c r="N50" s="1619"/>
      <c r="O50" s="1619"/>
    </row>
    <row r="51" spans="14:15" ht="15.75" customHeight="1">
      <c r="N51" s="1619"/>
      <c r="O51" s="1619"/>
    </row>
    <row r="52" spans="14:15" ht="15.75" customHeight="1">
      <c r="N52" s="1619"/>
      <c r="O52" s="1619"/>
    </row>
    <row r="53" spans="14:15" ht="15.75" customHeight="1">
      <c r="N53" s="1619"/>
      <c r="O53" s="1619"/>
    </row>
    <row r="54" spans="14:15" ht="15.75" customHeight="1">
      <c r="N54" s="1619"/>
      <c r="O54" s="1619"/>
    </row>
    <row r="55" spans="14:15" ht="15.75" customHeight="1">
      <c r="N55" s="1619"/>
      <c r="O55" s="1619"/>
    </row>
    <row r="56" spans="14:15" ht="15.75" customHeight="1">
      <c r="N56" s="1619"/>
      <c r="O56" s="1619"/>
    </row>
    <row r="57" spans="14:15" ht="15.75" customHeight="1">
      <c r="N57" s="1619"/>
      <c r="O57" s="1619"/>
    </row>
    <row r="58" spans="14:15" ht="15.75" customHeight="1">
      <c r="N58" s="1619"/>
      <c r="O58" s="1619"/>
    </row>
    <row r="59" spans="14:15" ht="15.75" customHeight="1">
      <c r="N59" s="1619"/>
      <c r="O59" s="1619"/>
    </row>
    <row r="60" spans="14:15" ht="15.75" customHeight="1">
      <c r="N60" s="1619"/>
      <c r="O60" s="1619"/>
    </row>
    <row r="61" spans="14:15" ht="15.75" customHeight="1">
      <c r="N61" s="1619"/>
      <c r="O61" s="1619"/>
    </row>
    <row r="62" spans="14:15" ht="15.75" customHeight="1">
      <c r="N62" s="1619"/>
      <c r="O62" s="1619"/>
    </row>
    <row r="63" spans="14:15" ht="15.75" customHeight="1">
      <c r="N63" s="1619"/>
      <c r="O63" s="1619"/>
    </row>
    <row r="64" spans="14:15" ht="15.75" customHeight="1">
      <c r="N64" s="1619"/>
      <c r="O64" s="1619"/>
    </row>
    <row r="65" spans="14:15" ht="15.75" customHeight="1">
      <c r="N65" s="1619"/>
      <c r="O65" s="1619"/>
    </row>
    <row r="66" spans="14:15" ht="15.75" customHeight="1">
      <c r="N66" s="1619"/>
      <c r="O66" s="1619"/>
    </row>
    <row r="67" spans="14:15" ht="15.75" customHeight="1">
      <c r="N67" s="1619"/>
      <c r="O67" s="1619"/>
    </row>
    <row r="68" spans="14:15" ht="15.75" customHeight="1">
      <c r="N68" s="1619"/>
      <c r="O68" s="1619"/>
    </row>
    <row r="69" spans="14:15" ht="15.75" customHeight="1">
      <c r="N69" s="1619"/>
      <c r="O69" s="1619"/>
    </row>
    <row r="70" spans="14:15" ht="15.75" customHeight="1">
      <c r="N70" s="1619"/>
      <c r="O70" s="1619"/>
    </row>
    <row r="71" spans="14:15" ht="15.75" customHeight="1">
      <c r="N71" s="1619"/>
      <c r="O71" s="1619"/>
    </row>
    <row r="72" spans="14:15" ht="15.75" customHeight="1">
      <c r="N72" s="1619"/>
      <c r="O72" s="1619"/>
    </row>
    <row r="73" spans="14:15" ht="15.75" customHeight="1">
      <c r="N73" s="1619"/>
      <c r="O73" s="1619"/>
    </row>
    <row r="74" spans="14:15" ht="15.75" customHeight="1">
      <c r="N74" s="1619"/>
      <c r="O74" s="1619"/>
    </row>
    <row r="75" spans="14:15" ht="15.75" customHeight="1">
      <c r="N75" s="1619"/>
      <c r="O75" s="1619"/>
    </row>
    <row r="76" spans="14:15" ht="15.75" customHeight="1">
      <c r="N76" s="1619"/>
      <c r="O76" s="1619"/>
    </row>
    <row r="77" spans="14:15" ht="15.75" customHeight="1">
      <c r="N77" s="1619"/>
      <c r="O77" s="1619"/>
    </row>
    <row r="78" spans="14:15" ht="15.75" customHeight="1">
      <c r="N78" s="1619"/>
      <c r="O78" s="1619"/>
    </row>
    <row r="79" spans="14:15" ht="15.75" customHeight="1">
      <c r="N79" s="1619"/>
      <c r="O79" s="1619"/>
    </row>
    <row r="80" spans="14:15" ht="15.75" customHeight="1">
      <c r="N80" s="1619"/>
      <c r="O80" s="1619"/>
    </row>
    <row r="81" spans="14:15" ht="15.75" customHeight="1">
      <c r="N81" s="1619"/>
      <c r="O81" s="1619"/>
    </row>
    <row r="82" spans="14:15" ht="15.75" customHeight="1">
      <c r="N82" s="1619"/>
      <c r="O82" s="1619"/>
    </row>
    <row r="83" spans="14:15" ht="15.75" customHeight="1">
      <c r="N83" s="1619"/>
      <c r="O83" s="1619"/>
    </row>
    <row r="84" spans="14:15" ht="15.75" customHeight="1">
      <c r="N84" s="1619"/>
      <c r="O84" s="1619"/>
    </row>
    <row r="85" spans="14:15" ht="15.75" customHeight="1">
      <c r="N85" s="1619"/>
      <c r="O85" s="1619"/>
    </row>
    <row r="86" spans="14:15" ht="15.75" customHeight="1">
      <c r="N86" s="1619"/>
      <c r="O86" s="1619"/>
    </row>
    <row r="87" spans="14:15" ht="15.75" customHeight="1">
      <c r="N87" s="1619"/>
      <c r="O87" s="1619"/>
    </row>
    <row r="88" spans="14:15" ht="15.75" customHeight="1">
      <c r="N88" s="1619"/>
      <c r="O88" s="1619"/>
    </row>
    <row r="89" spans="14:15" ht="15.75" customHeight="1">
      <c r="N89" s="1619"/>
      <c r="O89" s="1619"/>
    </row>
    <row r="90" spans="14:15" ht="15.75" customHeight="1">
      <c r="N90" s="1619"/>
      <c r="O90" s="1619"/>
    </row>
    <row r="91" spans="14:15" ht="15.75" customHeight="1">
      <c r="N91" s="1619"/>
      <c r="O91" s="1619"/>
    </row>
    <row r="92" spans="14:15" ht="15.75" customHeight="1">
      <c r="N92" s="1619"/>
      <c r="O92" s="1619"/>
    </row>
    <row r="93" spans="14:15" ht="15.75" customHeight="1">
      <c r="N93" s="1619"/>
      <c r="O93" s="1619"/>
    </row>
    <row r="94" spans="14:15" ht="15.75" customHeight="1">
      <c r="N94" s="1619"/>
      <c r="O94" s="1619"/>
    </row>
    <row r="95" spans="14:15" ht="15.75" customHeight="1">
      <c r="N95" s="1619"/>
      <c r="O95" s="1619"/>
    </row>
    <row r="96" spans="14:15" ht="15.75" customHeight="1">
      <c r="N96" s="1619"/>
      <c r="O96" s="1619"/>
    </row>
    <row r="97" spans="14:15" ht="15.75" customHeight="1">
      <c r="N97" s="1619"/>
      <c r="O97" s="1619"/>
    </row>
    <row r="98" spans="14:15" ht="15.75" customHeight="1">
      <c r="N98" s="1619"/>
      <c r="O98" s="1619"/>
    </row>
    <row r="99" spans="14:15" ht="15.75" customHeight="1">
      <c r="N99" s="1619"/>
      <c r="O99" s="1619"/>
    </row>
    <row r="100" spans="14:15" ht="15.75" customHeight="1">
      <c r="N100" s="1619"/>
      <c r="O100" s="1619"/>
    </row>
    <row r="101" spans="14:15" ht="15.75" customHeight="1">
      <c r="N101" s="1619"/>
      <c r="O101" s="1619"/>
    </row>
    <row r="102" spans="14:15" ht="15.75" customHeight="1">
      <c r="N102" s="1619"/>
      <c r="O102" s="1619"/>
    </row>
    <row r="103" spans="14:15" ht="15.75" customHeight="1">
      <c r="N103" s="1619"/>
      <c r="O103" s="1619"/>
    </row>
    <row r="104" spans="14:15" ht="15.75" customHeight="1">
      <c r="N104" s="1619"/>
      <c r="O104" s="1619"/>
    </row>
    <row r="105" spans="14:15" ht="15.75" customHeight="1">
      <c r="N105" s="1619"/>
      <c r="O105" s="1619"/>
    </row>
    <row r="106" spans="14:15" ht="15.75" customHeight="1">
      <c r="N106" s="1619"/>
      <c r="O106" s="1619"/>
    </row>
    <row r="107" spans="14:15" ht="15.75" customHeight="1">
      <c r="N107" s="1619"/>
      <c r="O107" s="1619"/>
    </row>
    <row r="108" spans="14:15" ht="15.75" customHeight="1">
      <c r="N108" s="1619"/>
      <c r="O108" s="1619"/>
    </row>
    <row r="109" spans="14:15" ht="15.75" customHeight="1">
      <c r="N109" s="1619"/>
      <c r="O109" s="1619"/>
    </row>
    <row r="110" spans="14:15" ht="15.75" customHeight="1">
      <c r="N110" s="1619"/>
      <c r="O110" s="1619"/>
    </row>
    <row r="111" spans="14:15" ht="15.75" customHeight="1">
      <c r="N111" s="1619"/>
      <c r="O111" s="1619"/>
    </row>
    <row r="112" spans="14:15" ht="15.75" customHeight="1">
      <c r="N112" s="1619"/>
      <c r="O112" s="1619"/>
    </row>
    <row r="113" spans="14:15" ht="15.75" customHeight="1">
      <c r="N113" s="1619"/>
      <c r="O113" s="1619"/>
    </row>
    <row r="114" spans="14:15" ht="15.75" customHeight="1">
      <c r="N114" s="1619"/>
      <c r="O114" s="1619"/>
    </row>
    <row r="115" spans="14:15" ht="15.75" customHeight="1">
      <c r="N115" s="1619"/>
      <c r="O115" s="1619"/>
    </row>
    <row r="116" spans="14:15" ht="15.75" customHeight="1">
      <c r="N116" s="1619"/>
      <c r="O116" s="1619"/>
    </row>
    <row r="117" spans="14:15" ht="15.75" customHeight="1">
      <c r="N117" s="1619"/>
      <c r="O117" s="1619"/>
    </row>
    <row r="118" spans="14:15" ht="15.75" customHeight="1">
      <c r="N118" s="1619"/>
      <c r="O118" s="1619"/>
    </row>
    <row r="119" spans="14:15" ht="15.75" customHeight="1">
      <c r="N119" s="1619"/>
      <c r="O119" s="1619"/>
    </row>
    <row r="120" spans="14:15" ht="15.75" customHeight="1">
      <c r="N120" s="1619"/>
      <c r="O120" s="1619"/>
    </row>
    <row r="121" spans="14:15" ht="15.75" customHeight="1">
      <c r="N121" s="1619"/>
      <c r="O121" s="1619"/>
    </row>
    <row r="122" spans="14:15" ht="15.75" customHeight="1">
      <c r="N122" s="1619"/>
      <c r="O122" s="1619"/>
    </row>
    <row r="123" spans="14:15" ht="15.75" customHeight="1">
      <c r="N123" s="1619"/>
      <c r="O123" s="1619"/>
    </row>
    <row r="124" spans="14:15" ht="15.75" customHeight="1">
      <c r="N124" s="1619"/>
      <c r="O124" s="1619"/>
    </row>
    <row r="125" spans="14:15" ht="15.75" customHeight="1">
      <c r="N125" s="1619"/>
      <c r="O125" s="1619"/>
    </row>
    <row r="126" spans="14:15" ht="15.75" customHeight="1">
      <c r="N126" s="1619"/>
      <c r="O126" s="1619"/>
    </row>
    <row r="127" spans="14:15" ht="15.75" customHeight="1">
      <c r="N127" s="1619"/>
      <c r="O127" s="1619"/>
    </row>
    <row r="128" spans="14:15" ht="15.75" customHeight="1">
      <c r="N128" s="1619"/>
      <c r="O128" s="1619"/>
    </row>
    <row r="129" spans="14:15" ht="15.75" customHeight="1">
      <c r="N129" s="1619"/>
      <c r="O129" s="1619"/>
    </row>
    <row r="130" spans="14:15" ht="15.75" customHeight="1">
      <c r="N130" s="1619"/>
      <c r="O130" s="1619"/>
    </row>
    <row r="131" spans="14:15" ht="15.75" customHeight="1">
      <c r="N131" s="1619"/>
      <c r="O131" s="1619"/>
    </row>
    <row r="132" spans="14:15">
      <c r="N132" s="1619"/>
      <c r="O132" s="1619"/>
    </row>
    <row r="133" spans="14:15">
      <c r="N133" s="1619"/>
      <c r="O133" s="1619"/>
    </row>
    <row r="134" spans="14:15">
      <c r="N134" s="1619"/>
      <c r="O134" s="1619"/>
    </row>
    <row r="135" spans="14:15">
      <c r="N135" s="1619"/>
      <c r="O135" s="1619"/>
    </row>
    <row r="136" spans="14:15">
      <c r="N136" s="1619"/>
      <c r="O136" s="1619"/>
    </row>
    <row r="137" spans="14:15">
      <c r="N137" s="1619"/>
      <c r="O137" s="1619"/>
    </row>
    <row r="138" spans="14:15">
      <c r="N138" s="1619"/>
      <c r="O138" s="1619"/>
    </row>
    <row r="139" spans="14:15">
      <c r="N139" s="1619"/>
      <c r="O139" s="1619"/>
    </row>
    <row r="140" spans="14:15">
      <c r="N140" s="1619"/>
      <c r="O140" s="1619"/>
    </row>
    <row r="141" spans="14:15">
      <c r="N141" s="1619"/>
      <c r="O141" s="1619"/>
    </row>
    <row r="142" spans="14:15">
      <c r="N142" s="1619"/>
      <c r="O142" s="1619"/>
    </row>
    <row r="143" spans="14:15">
      <c r="N143" s="1619"/>
      <c r="O143" s="1619"/>
    </row>
    <row r="144" spans="14:15">
      <c r="N144" s="1619"/>
      <c r="O144" s="1619"/>
    </row>
    <row r="145" spans="14:15">
      <c r="N145" s="1619"/>
      <c r="O145" s="1619"/>
    </row>
    <row r="146" spans="14:15">
      <c r="N146" s="1619"/>
      <c r="O146" s="1619"/>
    </row>
    <row r="147" spans="14:15">
      <c r="N147" s="1619"/>
      <c r="O147" s="1619"/>
    </row>
    <row r="148" spans="14:15">
      <c r="N148" s="1619"/>
      <c r="O148" s="1619"/>
    </row>
    <row r="149" spans="14:15">
      <c r="N149" s="1619"/>
      <c r="O149" s="1619"/>
    </row>
    <row r="150" spans="14:15">
      <c r="N150" s="1619"/>
      <c r="O150" s="1619"/>
    </row>
    <row r="151" spans="14:15">
      <c r="N151" s="1619"/>
      <c r="O151" s="1619"/>
    </row>
    <row r="152" spans="14:15">
      <c r="N152" s="1619"/>
      <c r="O152" s="1619"/>
    </row>
    <row r="153" spans="14:15">
      <c r="N153" s="1619"/>
      <c r="O153" s="1619"/>
    </row>
    <row r="154" spans="14:15">
      <c r="N154" s="1619"/>
      <c r="O154" s="1619"/>
    </row>
    <row r="155" spans="14:15">
      <c r="N155" s="1619"/>
      <c r="O155" s="1619"/>
    </row>
    <row r="156" spans="14:15">
      <c r="N156" s="1619"/>
      <c r="O156" s="1619"/>
    </row>
    <row r="157" spans="14:15">
      <c r="N157" s="1619"/>
      <c r="O157" s="1619"/>
    </row>
    <row r="158" spans="14:15">
      <c r="N158" s="1619"/>
      <c r="O158" s="1619"/>
    </row>
    <row r="159" spans="14:15">
      <c r="N159" s="1619"/>
      <c r="O159" s="1619"/>
    </row>
    <row r="160" spans="14:15">
      <c r="N160" s="1619"/>
      <c r="O160" s="1619"/>
    </row>
    <row r="161" spans="14:15">
      <c r="N161" s="1619"/>
      <c r="O161" s="1619"/>
    </row>
    <row r="162" spans="14:15">
      <c r="N162" s="1619"/>
      <c r="O162" s="1619"/>
    </row>
    <row r="163" spans="14:15">
      <c r="N163" s="1619"/>
      <c r="O163" s="1619"/>
    </row>
    <row r="164" spans="14:15">
      <c r="N164" s="1619"/>
      <c r="O164" s="1619"/>
    </row>
    <row r="165" spans="14:15">
      <c r="N165" s="1619"/>
      <c r="O165" s="1619"/>
    </row>
    <row r="166" spans="14:15">
      <c r="N166" s="1619"/>
      <c r="O166" s="1619"/>
    </row>
    <row r="167" spans="14:15">
      <c r="N167" s="1619"/>
      <c r="O167" s="1619"/>
    </row>
    <row r="168" spans="14:15">
      <c r="N168" s="1619"/>
      <c r="O168" s="1619"/>
    </row>
    <row r="169" spans="14:15">
      <c r="N169" s="1619"/>
      <c r="O169" s="1619"/>
    </row>
    <row r="170" spans="14:15">
      <c r="N170" s="1619"/>
      <c r="O170" s="1619"/>
    </row>
    <row r="171" spans="14:15">
      <c r="N171" s="1619"/>
      <c r="O171" s="1619"/>
    </row>
    <row r="172" spans="14:15">
      <c r="N172" s="1619"/>
      <c r="O172" s="1619"/>
    </row>
    <row r="173" spans="14:15">
      <c r="N173" s="1619"/>
      <c r="O173" s="1619"/>
    </row>
    <row r="174" spans="14:15">
      <c r="N174" s="1619"/>
      <c r="O174" s="1619"/>
    </row>
    <row r="175" spans="14:15">
      <c r="N175" s="1619"/>
      <c r="O175" s="1619"/>
    </row>
    <row r="176" spans="14:15">
      <c r="N176" s="1619"/>
      <c r="O176" s="1619"/>
    </row>
    <row r="177" spans="14:15">
      <c r="N177" s="1619"/>
      <c r="O177" s="1619"/>
    </row>
    <row r="178" spans="14:15">
      <c r="N178" s="1619"/>
      <c r="O178" s="1619"/>
    </row>
    <row r="179" spans="14:15">
      <c r="N179" s="1619"/>
      <c r="O179" s="1619"/>
    </row>
    <row r="180" spans="14:15">
      <c r="N180" s="1619"/>
      <c r="O180" s="1619"/>
    </row>
    <row r="181" spans="14:15">
      <c r="N181" s="1619"/>
      <c r="O181" s="1619"/>
    </row>
    <row r="182" spans="14:15">
      <c r="N182" s="1619"/>
      <c r="O182" s="1619"/>
    </row>
    <row r="183" spans="14:15">
      <c r="N183" s="1619"/>
      <c r="O183" s="1619"/>
    </row>
    <row r="184" spans="14:15">
      <c r="N184" s="1619"/>
      <c r="O184" s="1619"/>
    </row>
    <row r="185" spans="14:15">
      <c r="N185" s="1619"/>
      <c r="O185" s="1619"/>
    </row>
    <row r="186" spans="14:15">
      <c r="N186" s="1619"/>
      <c r="O186" s="1619"/>
    </row>
    <row r="187" spans="14:15">
      <c r="N187" s="1619"/>
      <c r="O187" s="1619"/>
    </row>
    <row r="188" spans="14:15">
      <c r="N188" s="1619"/>
      <c r="O188" s="1619"/>
    </row>
    <row r="189" spans="14:15">
      <c r="N189" s="1619"/>
      <c r="O189" s="1619"/>
    </row>
    <row r="190" spans="14:15">
      <c r="N190" s="1619"/>
      <c r="O190" s="1619"/>
    </row>
    <row r="191" spans="14:15">
      <c r="N191" s="1619"/>
      <c r="O191" s="1619"/>
    </row>
    <row r="192" spans="14:15">
      <c r="N192" s="1619"/>
      <c r="O192" s="1619"/>
    </row>
    <row r="193" spans="14:15">
      <c r="N193" s="1619"/>
      <c r="O193" s="1619"/>
    </row>
    <row r="194" spans="14:15">
      <c r="N194" s="1619"/>
      <c r="O194" s="1619"/>
    </row>
    <row r="195" spans="14:15">
      <c r="N195" s="1619"/>
      <c r="O195" s="1619"/>
    </row>
    <row r="196" spans="14:15">
      <c r="N196" s="1619"/>
      <c r="O196" s="1619"/>
    </row>
    <row r="197" spans="14:15">
      <c r="N197" s="1619"/>
      <c r="O197" s="1619"/>
    </row>
    <row r="198" spans="14:15">
      <c r="N198" s="1619"/>
      <c r="O198" s="1619"/>
    </row>
    <row r="199" spans="14:15">
      <c r="N199" s="1619"/>
      <c r="O199" s="1619"/>
    </row>
    <row r="200" spans="14:15">
      <c r="N200" s="1619"/>
      <c r="O200" s="1619"/>
    </row>
    <row r="201" spans="14:15">
      <c r="N201" s="1619"/>
      <c r="O201" s="1619"/>
    </row>
    <row r="202" spans="14:15">
      <c r="N202" s="1619"/>
      <c r="O202" s="1619"/>
    </row>
    <row r="203" spans="14:15">
      <c r="N203" s="1619"/>
      <c r="O203" s="1619"/>
    </row>
    <row r="204" spans="14:15">
      <c r="N204" s="1619"/>
      <c r="O204" s="1619"/>
    </row>
    <row r="205" spans="14:15">
      <c r="N205" s="1619"/>
      <c r="O205" s="1619"/>
    </row>
    <row r="206" spans="14:15">
      <c r="N206" s="1619"/>
      <c r="O206" s="1619"/>
    </row>
    <row r="207" spans="14:15">
      <c r="N207" s="1619"/>
      <c r="O207" s="1619"/>
    </row>
    <row r="208" spans="14:15">
      <c r="N208" s="1619"/>
      <c r="O208" s="1619"/>
    </row>
    <row r="209" spans="14:15">
      <c r="N209" s="1619"/>
      <c r="O209" s="1619"/>
    </row>
    <row r="210" spans="14:15">
      <c r="N210" s="1619"/>
      <c r="O210" s="1619"/>
    </row>
    <row r="211" spans="14:15">
      <c r="N211" s="1619"/>
      <c r="O211" s="1619"/>
    </row>
    <row r="212" spans="14:15">
      <c r="N212" s="1619"/>
      <c r="O212" s="1619"/>
    </row>
    <row r="213" spans="14:15">
      <c r="N213" s="1619"/>
    </row>
    <row r="214" spans="14:15">
      <c r="N214" s="1619"/>
    </row>
    <row r="215" spans="14:15">
      <c r="N215" s="1619"/>
    </row>
    <row r="216" spans="14:15">
      <c r="N216" s="1619"/>
    </row>
    <row r="217" spans="14:15">
      <c r="N217" s="1619"/>
    </row>
    <row r="218" spans="14:15">
      <c r="N218" s="1619"/>
    </row>
    <row r="219" spans="14:15">
      <c r="N219" s="1619"/>
    </row>
    <row r="220" spans="14:15">
      <c r="N220" s="1619"/>
    </row>
    <row r="221" spans="14:15">
      <c r="N221" s="1619"/>
    </row>
    <row r="222" spans="14:15">
      <c r="N222" s="1619"/>
    </row>
    <row r="223" spans="14:15">
      <c r="N223" s="1619"/>
    </row>
    <row r="224" spans="14:15">
      <c r="N224" s="1619"/>
    </row>
    <row r="225" spans="14:14">
      <c r="N225" s="1619"/>
    </row>
    <row r="226" spans="14:14">
      <c r="N226" s="1619"/>
    </row>
    <row r="227" spans="14:14">
      <c r="N227" s="1619"/>
    </row>
    <row r="228" spans="14:14">
      <c r="N228" s="1619"/>
    </row>
    <row r="229" spans="14:14">
      <c r="N229" s="1619"/>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8" activePane="bottomRight" state="frozen"/>
      <selection pane="topRight" activeCell="B1" sqref="B1"/>
      <selection pane="bottomLeft" activeCell="A7" sqref="A7"/>
      <selection pane="bottomRight" activeCell="A54" sqref="A54"/>
    </sheetView>
  </sheetViews>
  <sheetFormatPr defaultRowHeight="15.75" customHeight="1"/>
  <cols>
    <col min="1" max="1" width="42.85546875" style="1643" customWidth="1"/>
    <col min="2" max="2" width="9" style="1643" bestFit="1" customWidth="1"/>
    <col min="3" max="3" width="11.5703125" style="1643" bestFit="1" customWidth="1"/>
    <col min="4" max="4" width="9" style="1643" bestFit="1" customWidth="1"/>
    <col min="5" max="5" width="12.7109375" style="1643" bestFit="1" customWidth="1"/>
    <col min="6" max="6" width="12.85546875" style="1643" customWidth="1"/>
    <col min="7" max="7" width="13" style="1643" customWidth="1"/>
    <col min="8" max="8" width="9" style="1643" bestFit="1" customWidth="1"/>
    <col min="9" max="9" width="10.42578125" style="1643" bestFit="1" customWidth="1"/>
    <col min="10" max="10" width="9" style="1643" bestFit="1" customWidth="1"/>
    <col min="11" max="11" width="11.7109375" style="1643" customWidth="1"/>
    <col min="12" max="12" width="9" style="1643" bestFit="1" customWidth="1"/>
    <col min="13" max="13" width="11.140625" style="1643" bestFit="1" customWidth="1"/>
    <col min="14" max="14" width="10.140625" style="1644" bestFit="1" customWidth="1"/>
    <col min="15" max="15" width="11.140625" style="1643" customWidth="1"/>
    <col min="16" max="16" width="9.140625" style="1643"/>
    <col min="17" max="17" width="9.85546875" style="1643" bestFit="1" customWidth="1"/>
    <col min="18" max="19" width="3.28515625" style="1643" bestFit="1" customWidth="1"/>
    <col min="20" max="256" width="9.140625" style="1643"/>
    <col min="257" max="257" width="42.85546875" style="1643" customWidth="1"/>
    <col min="258" max="258" width="9" style="1643" bestFit="1" customWidth="1"/>
    <col min="259" max="259" width="11.5703125" style="1643" bestFit="1" customWidth="1"/>
    <col min="260" max="260" width="9" style="1643" bestFit="1" customWidth="1"/>
    <col min="261" max="261" width="12.7109375" style="1643" bestFit="1" customWidth="1"/>
    <col min="262" max="262" width="12.85546875" style="1643" customWidth="1"/>
    <col min="263" max="263" width="13" style="1643" customWidth="1"/>
    <col min="264" max="264" width="9" style="1643" bestFit="1" customWidth="1"/>
    <col min="265" max="265" width="10.42578125" style="1643" bestFit="1" customWidth="1"/>
    <col min="266" max="266" width="9" style="1643" bestFit="1" customWidth="1"/>
    <col min="267" max="267" width="11.7109375" style="1643" customWidth="1"/>
    <col min="268" max="268" width="9" style="1643" bestFit="1" customWidth="1"/>
    <col min="269" max="269" width="11.140625" style="1643" bestFit="1" customWidth="1"/>
    <col min="270" max="270" width="10.140625" style="1643" bestFit="1" customWidth="1"/>
    <col min="271" max="271" width="11.140625" style="1643" customWidth="1"/>
    <col min="272" max="272" width="9.140625" style="1643"/>
    <col min="273" max="273" width="9.85546875" style="1643" bestFit="1" customWidth="1"/>
    <col min="274" max="275" width="3.28515625" style="1643" bestFit="1" customWidth="1"/>
    <col min="276" max="512" width="9.140625" style="1643"/>
    <col min="513" max="513" width="42.85546875" style="1643" customWidth="1"/>
    <col min="514" max="514" width="9" style="1643" bestFit="1" customWidth="1"/>
    <col min="515" max="515" width="11.5703125" style="1643" bestFit="1" customWidth="1"/>
    <col min="516" max="516" width="9" style="1643" bestFit="1" customWidth="1"/>
    <col min="517" max="517" width="12.7109375" style="1643" bestFit="1" customWidth="1"/>
    <col min="518" max="518" width="12.85546875" style="1643" customWidth="1"/>
    <col min="519" max="519" width="13" style="1643" customWidth="1"/>
    <col min="520" max="520" width="9" style="1643" bestFit="1" customWidth="1"/>
    <col min="521" max="521" width="10.42578125" style="1643" bestFit="1" customWidth="1"/>
    <col min="522" max="522" width="9" style="1643" bestFit="1" customWidth="1"/>
    <col min="523" max="523" width="11.7109375" style="1643" customWidth="1"/>
    <col min="524" max="524" width="9" style="1643" bestFit="1" customWidth="1"/>
    <col min="525" max="525" width="11.140625" style="1643" bestFit="1" customWidth="1"/>
    <col min="526" max="526" width="10.140625" style="1643" bestFit="1" customWidth="1"/>
    <col min="527" max="527" width="11.140625" style="1643" customWidth="1"/>
    <col min="528" max="528" width="9.140625" style="1643"/>
    <col min="529" max="529" width="9.85546875" style="1643" bestFit="1" customWidth="1"/>
    <col min="530" max="531" width="3.28515625" style="1643" bestFit="1" customWidth="1"/>
    <col min="532" max="768" width="9.140625" style="1643"/>
    <col min="769" max="769" width="42.85546875" style="1643" customWidth="1"/>
    <col min="770" max="770" width="9" style="1643" bestFit="1" customWidth="1"/>
    <col min="771" max="771" width="11.5703125" style="1643" bestFit="1" customWidth="1"/>
    <col min="772" max="772" width="9" style="1643" bestFit="1" customWidth="1"/>
    <col min="773" max="773" width="12.7109375" style="1643" bestFit="1" customWidth="1"/>
    <col min="774" max="774" width="12.85546875" style="1643" customWidth="1"/>
    <col min="775" max="775" width="13" style="1643" customWidth="1"/>
    <col min="776" max="776" width="9" style="1643" bestFit="1" customWidth="1"/>
    <col min="777" max="777" width="10.42578125" style="1643" bestFit="1" customWidth="1"/>
    <col min="778" max="778" width="9" style="1643" bestFit="1" customWidth="1"/>
    <col min="779" max="779" width="11.7109375" style="1643" customWidth="1"/>
    <col min="780" max="780" width="9" style="1643" bestFit="1" customWidth="1"/>
    <col min="781" max="781" width="11.140625" style="1643" bestFit="1" customWidth="1"/>
    <col min="782" max="782" width="10.140625" style="1643" bestFit="1" customWidth="1"/>
    <col min="783" max="783" width="11.140625" style="1643" customWidth="1"/>
    <col min="784" max="784" width="9.140625" style="1643"/>
    <col min="785" max="785" width="9.85546875" style="1643" bestFit="1" customWidth="1"/>
    <col min="786" max="787" width="3.28515625" style="1643" bestFit="1" customWidth="1"/>
    <col min="788" max="1024" width="9.140625" style="1643"/>
    <col min="1025" max="1025" width="42.85546875" style="1643" customWidth="1"/>
    <col min="1026" max="1026" width="9" style="1643" bestFit="1" customWidth="1"/>
    <col min="1027" max="1027" width="11.5703125" style="1643" bestFit="1" customWidth="1"/>
    <col min="1028" max="1028" width="9" style="1643" bestFit="1" customWidth="1"/>
    <col min="1029" max="1029" width="12.7109375" style="1643" bestFit="1" customWidth="1"/>
    <col min="1030" max="1030" width="12.85546875" style="1643" customWidth="1"/>
    <col min="1031" max="1031" width="13" style="1643" customWidth="1"/>
    <col min="1032" max="1032" width="9" style="1643" bestFit="1" customWidth="1"/>
    <col min="1033" max="1033" width="10.42578125" style="1643" bestFit="1" customWidth="1"/>
    <col min="1034" max="1034" width="9" style="1643" bestFit="1" customWidth="1"/>
    <col min="1035" max="1035" width="11.7109375" style="1643" customWidth="1"/>
    <col min="1036" max="1036" width="9" style="1643" bestFit="1" customWidth="1"/>
    <col min="1037" max="1037" width="11.140625" style="1643" bestFit="1" customWidth="1"/>
    <col min="1038" max="1038" width="10.140625" style="1643" bestFit="1" customWidth="1"/>
    <col min="1039" max="1039" width="11.140625" style="1643" customWidth="1"/>
    <col min="1040" max="1040" width="9.140625" style="1643"/>
    <col min="1041" max="1041" width="9.85546875" style="1643" bestFit="1" customWidth="1"/>
    <col min="1042" max="1043" width="3.28515625" style="1643" bestFit="1" customWidth="1"/>
    <col min="1044" max="1280" width="9.140625" style="1643"/>
    <col min="1281" max="1281" width="42.85546875" style="1643" customWidth="1"/>
    <col min="1282" max="1282" width="9" style="1643" bestFit="1" customWidth="1"/>
    <col min="1283" max="1283" width="11.5703125" style="1643" bestFit="1" customWidth="1"/>
    <col min="1284" max="1284" width="9" style="1643" bestFit="1" customWidth="1"/>
    <col min="1285" max="1285" width="12.7109375" style="1643" bestFit="1" customWidth="1"/>
    <col min="1286" max="1286" width="12.85546875" style="1643" customWidth="1"/>
    <col min="1287" max="1287" width="13" style="1643" customWidth="1"/>
    <col min="1288" max="1288" width="9" style="1643" bestFit="1" customWidth="1"/>
    <col min="1289" max="1289" width="10.42578125" style="1643" bestFit="1" customWidth="1"/>
    <col min="1290" max="1290" width="9" style="1643" bestFit="1" customWidth="1"/>
    <col min="1291" max="1291" width="11.7109375" style="1643" customWidth="1"/>
    <col min="1292" max="1292" width="9" style="1643" bestFit="1" customWidth="1"/>
    <col min="1293" max="1293" width="11.140625" style="1643" bestFit="1" customWidth="1"/>
    <col min="1294" max="1294" width="10.140625" style="1643" bestFit="1" customWidth="1"/>
    <col min="1295" max="1295" width="11.140625" style="1643" customWidth="1"/>
    <col min="1296" max="1296" width="9.140625" style="1643"/>
    <col min="1297" max="1297" width="9.85546875" style="1643" bestFit="1" customWidth="1"/>
    <col min="1298" max="1299" width="3.28515625" style="1643" bestFit="1" customWidth="1"/>
    <col min="1300" max="1536" width="9.140625" style="1643"/>
    <col min="1537" max="1537" width="42.85546875" style="1643" customWidth="1"/>
    <col min="1538" max="1538" width="9" style="1643" bestFit="1" customWidth="1"/>
    <col min="1539" max="1539" width="11.5703125" style="1643" bestFit="1" customWidth="1"/>
    <col min="1540" max="1540" width="9" style="1643" bestFit="1" customWidth="1"/>
    <col min="1541" max="1541" width="12.7109375" style="1643" bestFit="1" customWidth="1"/>
    <col min="1542" max="1542" width="12.85546875" style="1643" customWidth="1"/>
    <col min="1543" max="1543" width="13" style="1643" customWidth="1"/>
    <col min="1544" max="1544" width="9" style="1643" bestFit="1" customWidth="1"/>
    <col min="1545" max="1545" width="10.42578125" style="1643" bestFit="1" customWidth="1"/>
    <col min="1546" max="1546" width="9" style="1643" bestFit="1" customWidth="1"/>
    <col min="1547" max="1547" width="11.7109375" style="1643" customWidth="1"/>
    <col min="1548" max="1548" width="9" style="1643" bestFit="1" customWidth="1"/>
    <col min="1549" max="1549" width="11.140625" style="1643" bestFit="1" customWidth="1"/>
    <col min="1550" max="1550" width="10.140625" style="1643" bestFit="1" customWidth="1"/>
    <col min="1551" max="1551" width="11.140625" style="1643" customWidth="1"/>
    <col min="1552" max="1552" width="9.140625" style="1643"/>
    <col min="1553" max="1553" width="9.85546875" style="1643" bestFit="1" customWidth="1"/>
    <col min="1554" max="1555" width="3.28515625" style="1643" bestFit="1" customWidth="1"/>
    <col min="1556" max="1792" width="9.140625" style="1643"/>
    <col min="1793" max="1793" width="42.85546875" style="1643" customWidth="1"/>
    <col min="1794" max="1794" width="9" style="1643" bestFit="1" customWidth="1"/>
    <col min="1795" max="1795" width="11.5703125" style="1643" bestFit="1" customWidth="1"/>
    <col min="1796" max="1796" width="9" style="1643" bestFit="1" customWidth="1"/>
    <col min="1797" max="1797" width="12.7109375" style="1643" bestFit="1" customWidth="1"/>
    <col min="1798" max="1798" width="12.85546875" style="1643" customWidth="1"/>
    <col min="1799" max="1799" width="13" style="1643" customWidth="1"/>
    <col min="1800" max="1800" width="9" style="1643" bestFit="1" customWidth="1"/>
    <col min="1801" max="1801" width="10.42578125" style="1643" bestFit="1" customWidth="1"/>
    <col min="1802" max="1802" width="9" style="1643" bestFit="1" customWidth="1"/>
    <col min="1803" max="1803" width="11.7109375" style="1643" customWidth="1"/>
    <col min="1804" max="1804" width="9" style="1643" bestFit="1" customWidth="1"/>
    <col min="1805" max="1805" width="11.140625" style="1643" bestFit="1" customWidth="1"/>
    <col min="1806" max="1806" width="10.140625" style="1643" bestFit="1" customWidth="1"/>
    <col min="1807" max="1807" width="11.140625" style="1643" customWidth="1"/>
    <col min="1808" max="1808" width="9.140625" style="1643"/>
    <col min="1809" max="1809" width="9.85546875" style="1643" bestFit="1" customWidth="1"/>
    <col min="1810" max="1811" width="3.28515625" style="1643" bestFit="1" customWidth="1"/>
    <col min="1812" max="2048" width="9.140625" style="1643"/>
    <col min="2049" max="2049" width="42.85546875" style="1643" customWidth="1"/>
    <col min="2050" max="2050" width="9" style="1643" bestFit="1" customWidth="1"/>
    <col min="2051" max="2051" width="11.5703125" style="1643" bestFit="1" customWidth="1"/>
    <col min="2052" max="2052" width="9" style="1643" bestFit="1" customWidth="1"/>
    <col min="2053" max="2053" width="12.7109375" style="1643" bestFit="1" customWidth="1"/>
    <col min="2054" max="2054" width="12.85546875" style="1643" customWidth="1"/>
    <col min="2055" max="2055" width="13" style="1643" customWidth="1"/>
    <col min="2056" max="2056" width="9" style="1643" bestFit="1" customWidth="1"/>
    <col min="2057" max="2057" width="10.42578125" style="1643" bestFit="1" customWidth="1"/>
    <col min="2058" max="2058" width="9" style="1643" bestFit="1" customWidth="1"/>
    <col min="2059" max="2059" width="11.7109375" style="1643" customWidth="1"/>
    <col min="2060" max="2060" width="9" style="1643" bestFit="1" customWidth="1"/>
    <col min="2061" max="2061" width="11.140625" style="1643" bestFit="1" customWidth="1"/>
    <col min="2062" max="2062" width="10.140625" style="1643" bestFit="1" customWidth="1"/>
    <col min="2063" max="2063" width="11.140625" style="1643" customWidth="1"/>
    <col min="2064" max="2064" width="9.140625" style="1643"/>
    <col min="2065" max="2065" width="9.85546875" style="1643" bestFit="1" customWidth="1"/>
    <col min="2066" max="2067" width="3.28515625" style="1643" bestFit="1" customWidth="1"/>
    <col min="2068" max="2304" width="9.140625" style="1643"/>
    <col min="2305" max="2305" width="42.85546875" style="1643" customWidth="1"/>
    <col min="2306" max="2306" width="9" style="1643" bestFit="1" customWidth="1"/>
    <col min="2307" max="2307" width="11.5703125" style="1643" bestFit="1" customWidth="1"/>
    <col min="2308" max="2308" width="9" style="1643" bestFit="1" customWidth="1"/>
    <col min="2309" max="2309" width="12.7109375" style="1643" bestFit="1" customWidth="1"/>
    <col min="2310" max="2310" width="12.85546875" style="1643" customWidth="1"/>
    <col min="2311" max="2311" width="13" style="1643" customWidth="1"/>
    <col min="2312" max="2312" width="9" style="1643" bestFit="1" customWidth="1"/>
    <col min="2313" max="2313" width="10.42578125" style="1643" bestFit="1" customWidth="1"/>
    <col min="2314" max="2314" width="9" style="1643" bestFit="1" customWidth="1"/>
    <col min="2315" max="2315" width="11.7109375" style="1643" customWidth="1"/>
    <col min="2316" max="2316" width="9" style="1643" bestFit="1" customWidth="1"/>
    <col min="2317" max="2317" width="11.140625" style="1643" bestFit="1" customWidth="1"/>
    <col min="2318" max="2318" width="10.140625" style="1643" bestFit="1" customWidth="1"/>
    <col min="2319" max="2319" width="11.140625" style="1643" customWidth="1"/>
    <col min="2320" max="2320" width="9.140625" style="1643"/>
    <col min="2321" max="2321" width="9.85546875" style="1643" bestFit="1" customWidth="1"/>
    <col min="2322" max="2323" width="3.28515625" style="1643" bestFit="1" customWidth="1"/>
    <col min="2324" max="2560" width="9.140625" style="1643"/>
    <col min="2561" max="2561" width="42.85546875" style="1643" customWidth="1"/>
    <col min="2562" max="2562" width="9" style="1643" bestFit="1" customWidth="1"/>
    <col min="2563" max="2563" width="11.5703125" style="1643" bestFit="1" customWidth="1"/>
    <col min="2564" max="2564" width="9" style="1643" bestFit="1" customWidth="1"/>
    <col min="2565" max="2565" width="12.7109375" style="1643" bestFit="1" customWidth="1"/>
    <col min="2566" max="2566" width="12.85546875" style="1643" customWidth="1"/>
    <col min="2567" max="2567" width="13" style="1643" customWidth="1"/>
    <col min="2568" max="2568" width="9" style="1643" bestFit="1" customWidth="1"/>
    <col min="2569" max="2569" width="10.42578125" style="1643" bestFit="1" customWidth="1"/>
    <col min="2570" max="2570" width="9" style="1643" bestFit="1" customWidth="1"/>
    <col min="2571" max="2571" width="11.7109375" style="1643" customWidth="1"/>
    <col min="2572" max="2572" width="9" style="1643" bestFit="1" customWidth="1"/>
    <col min="2573" max="2573" width="11.140625" style="1643" bestFit="1" customWidth="1"/>
    <col min="2574" max="2574" width="10.140625" style="1643" bestFit="1" customWidth="1"/>
    <col min="2575" max="2575" width="11.140625" style="1643" customWidth="1"/>
    <col min="2576" max="2576" width="9.140625" style="1643"/>
    <col min="2577" max="2577" width="9.85546875" style="1643" bestFit="1" customWidth="1"/>
    <col min="2578" max="2579" width="3.28515625" style="1643" bestFit="1" customWidth="1"/>
    <col min="2580" max="2816" width="9.140625" style="1643"/>
    <col min="2817" max="2817" width="42.85546875" style="1643" customWidth="1"/>
    <col min="2818" max="2818" width="9" style="1643" bestFit="1" customWidth="1"/>
    <col min="2819" max="2819" width="11.5703125" style="1643" bestFit="1" customWidth="1"/>
    <col min="2820" max="2820" width="9" style="1643" bestFit="1" customWidth="1"/>
    <col min="2821" max="2821" width="12.7109375" style="1643" bestFit="1" customWidth="1"/>
    <col min="2822" max="2822" width="12.85546875" style="1643" customWidth="1"/>
    <col min="2823" max="2823" width="13" style="1643" customWidth="1"/>
    <col min="2824" max="2824" width="9" style="1643" bestFit="1" customWidth="1"/>
    <col min="2825" max="2825" width="10.42578125" style="1643" bestFit="1" customWidth="1"/>
    <col min="2826" max="2826" width="9" style="1643" bestFit="1" customWidth="1"/>
    <col min="2827" max="2827" width="11.7109375" style="1643" customWidth="1"/>
    <col min="2828" max="2828" width="9" style="1643" bestFit="1" customWidth="1"/>
    <col min="2829" max="2829" width="11.140625" style="1643" bestFit="1" customWidth="1"/>
    <col min="2830" max="2830" width="10.140625" style="1643" bestFit="1" customWidth="1"/>
    <col min="2831" max="2831" width="11.140625" style="1643" customWidth="1"/>
    <col min="2832" max="2832" width="9.140625" style="1643"/>
    <col min="2833" max="2833" width="9.85546875" style="1643" bestFit="1" customWidth="1"/>
    <col min="2834" max="2835" width="3.28515625" style="1643" bestFit="1" customWidth="1"/>
    <col min="2836" max="3072" width="9.140625" style="1643"/>
    <col min="3073" max="3073" width="42.85546875" style="1643" customWidth="1"/>
    <col min="3074" max="3074" width="9" style="1643" bestFit="1" customWidth="1"/>
    <col min="3075" max="3075" width="11.5703125" style="1643" bestFit="1" customWidth="1"/>
    <col min="3076" max="3076" width="9" style="1643" bestFit="1" customWidth="1"/>
    <col min="3077" max="3077" width="12.7109375" style="1643" bestFit="1" customWidth="1"/>
    <col min="3078" max="3078" width="12.85546875" style="1643" customWidth="1"/>
    <col min="3079" max="3079" width="13" style="1643" customWidth="1"/>
    <col min="3080" max="3080" width="9" style="1643" bestFit="1" customWidth="1"/>
    <col min="3081" max="3081" width="10.42578125" style="1643" bestFit="1" customWidth="1"/>
    <col min="3082" max="3082" width="9" style="1643" bestFit="1" customWidth="1"/>
    <col min="3083" max="3083" width="11.7109375" style="1643" customWidth="1"/>
    <col min="3084" max="3084" width="9" style="1643" bestFit="1" customWidth="1"/>
    <col min="3085" max="3085" width="11.140625" style="1643" bestFit="1" customWidth="1"/>
    <col min="3086" max="3086" width="10.140625" style="1643" bestFit="1" customWidth="1"/>
    <col min="3087" max="3087" width="11.140625" style="1643" customWidth="1"/>
    <col min="3088" max="3088" width="9.140625" style="1643"/>
    <col min="3089" max="3089" width="9.85546875" style="1643" bestFit="1" customWidth="1"/>
    <col min="3090" max="3091" width="3.28515625" style="1643" bestFit="1" customWidth="1"/>
    <col min="3092" max="3328" width="9.140625" style="1643"/>
    <col min="3329" max="3329" width="42.85546875" style="1643" customWidth="1"/>
    <col min="3330" max="3330" width="9" style="1643" bestFit="1" customWidth="1"/>
    <col min="3331" max="3331" width="11.5703125" style="1643" bestFit="1" customWidth="1"/>
    <col min="3332" max="3332" width="9" style="1643" bestFit="1" customWidth="1"/>
    <col min="3333" max="3333" width="12.7109375" style="1643" bestFit="1" customWidth="1"/>
    <col min="3334" max="3334" width="12.85546875" style="1643" customWidth="1"/>
    <col min="3335" max="3335" width="13" style="1643" customWidth="1"/>
    <col min="3336" max="3336" width="9" style="1643" bestFit="1" customWidth="1"/>
    <col min="3337" max="3337" width="10.42578125" style="1643" bestFit="1" customWidth="1"/>
    <col min="3338" max="3338" width="9" style="1643" bestFit="1" customWidth="1"/>
    <col min="3339" max="3339" width="11.7109375" style="1643" customWidth="1"/>
    <col min="3340" max="3340" width="9" style="1643" bestFit="1" customWidth="1"/>
    <col min="3341" max="3341" width="11.140625" style="1643" bestFit="1" customWidth="1"/>
    <col min="3342" max="3342" width="10.140625" style="1643" bestFit="1" customWidth="1"/>
    <col min="3343" max="3343" width="11.140625" style="1643" customWidth="1"/>
    <col min="3344" max="3344" width="9.140625" style="1643"/>
    <col min="3345" max="3345" width="9.85546875" style="1643" bestFit="1" customWidth="1"/>
    <col min="3346" max="3347" width="3.28515625" style="1643" bestFit="1" customWidth="1"/>
    <col min="3348" max="3584" width="9.140625" style="1643"/>
    <col min="3585" max="3585" width="42.85546875" style="1643" customWidth="1"/>
    <col min="3586" max="3586" width="9" style="1643" bestFit="1" customWidth="1"/>
    <col min="3587" max="3587" width="11.5703125" style="1643" bestFit="1" customWidth="1"/>
    <col min="3588" max="3588" width="9" style="1643" bestFit="1" customWidth="1"/>
    <col min="3589" max="3589" width="12.7109375" style="1643" bestFit="1" customWidth="1"/>
    <col min="3590" max="3590" width="12.85546875" style="1643" customWidth="1"/>
    <col min="3591" max="3591" width="13" style="1643" customWidth="1"/>
    <col min="3592" max="3592" width="9" style="1643" bestFit="1" customWidth="1"/>
    <col min="3593" max="3593" width="10.42578125" style="1643" bestFit="1" customWidth="1"/>
    <col min="3594" max="3594" width="9" style="1643" bestFit="1" customWidth="1"/>
    <col min="3595" max="3595" width="11.7109375" style="1643" customWidth="1"/>
    <col min="3596" max="3596" width="9" style="1643" bestFit="1" customWidth="1"/>
    <col min="3597" max="3597" width="11.140625" style="1643" bestFit="1" customWidth="1"/>
    <col min="3598" max="3598" width="10.140625" style="1643" bestFit="1" customWidth="1"/>
    <col min="3599" max="3599" width="11.140625" style="1643" customWidth="1"/>
    <col min="3600" max="3600" width="9.140625" style="1643"/>
    <col min="3601" max="3601" width="9.85546875" style="1643" bestFit="1" customWidth="1"/>
    <col min="3602" max="3603" width="3.28515625" style="1643" bestFit="1" customWidth="1"/>
    <col min="3604" max="3840" width="9.140625" style="1643"/>
    <col min="3841" max="3841" width="42.85546875" style="1643" customWidth="1"/>
    <col min="3842" max="3842" width="9" style="1643" bestFit="1" customWidth="1"/>
    <col min="3843" max="3843" width="11.5703125" style="1643" bestFit="1" customWidth="1"/>
    <col min="3844" max="3844" width="9" style="1643" bestFit="1" customWidth="1"/>
    <col min="3845" max="3845" width="12.7109375" style="1643" bestFit="1" customWidth="1"/>
    <col min="3846" max="3846" width="12.85546875" style="1643" customWidth="1"/>
    <col min="3847" max="3847" width="13" style="1643" customWidth="1"/>
    <col min="3848" max="3848" width="9" style="1643" bestFit="1" customWidth="1"/>
    <col min="3849" max="3849" width="10.42578125" style="1643" bestFit="1" customWidth="1"/>
    <col min="3850" max="3850" width="9" style="1643" bestFit="1" customWidth="1"/>
    <col min="3851" max="3851" width="11.7109375" style="1643" customWidth="1"/>
    <col min="3852" max="3852" width="9" style="1643" bestFit="1" customWidth="1"/>
    <col min="3853" max="3853" width="11.140625" style="1643" bestFit="1" customWidth="1"/>
    <col min="3854" max="3854" width="10.140625" style="1643" bestFit="1" customWidth="1"/>
    <col min="3855" max="3855" width="11.140625" style="1643" customWidth="1"/>
    <col min="3856" max="3856" width="9.140625" style="1643"/>
    <col min="3857" max="3857" width="9.85546875" style="1643" bestFit="1" customWidth="1"/>
    <col min="3858" max="3859" width="3.28515625" style="1643" bestFit="1" customWidth="1"/>
    <col min="3860" max="4096" width="9.140625" style="1643"/>
    <col min="4097" max="4097" width="42.85546875" style="1643" customWidth="1"/>
    <col min="4098" max="4098" width="9" style="1643" bestFit="1" customWidth="1"/>
    <col min="4099" max="4099" width="11.5703125" style="1643" bestFit="1" customWidth="1"/>
    <col min="4100" max="4100" width="9" style="1643" bestFit="1" customWidth="1"/>
    <col min="4101" max="4101" width="12.7109375" style="1643" bestFit="1" customWidth="1"/>
    <col min="4102" max="4102" width="12.85546875" style="1643" customWidth="1"/>
    <col min="4103" max="4103" width="13" style="1643" customWidth="1"/>
    <col min="4104" max="4104" width="9" style="1643" bestFit="1" customWidth="1"/>
    <col min="4105" max="4105" width="10.42578125" style="1643" bestFit="1" customWidth="1"/>
    <col min="4106" max="4106" width="9" style="1643" bestFit="1" customWidth="1"/>
    <col min="4107" max="4107" width="11.7109375" style="1643" customWidth="1"/>
    <col min="4108" max="4108" width="9" style="1643" bestFit="1" customWidth="1"/>
    <col min="4109" max="4109" width="11.140625" style="1643" bestFit="1" customWidth="1"/>
    <col min="4110" max="4110" width="10.140625" style="1643" bestFit="1" customWidth="1"/>
    <col min="4111" max="4111" width="11.140625" style="1643" customWidth="1"/>
    <col min="4112" max="4112" width="9.140625" style="1643"/>
    <col min="4113" max="4113" width="9.85546875" style="1643" bestFit="1" customWidth="1"/>
    <col min="4114" max="4115" width="3.28515625" style="1643" bestFit="1" customWidth="1"/>
    <col min="4116" max="4352" width="9.140625" style="1643"/>
    <col min="4353" max="4353" width="42.85546875" style="1643" customWidth="1"/>
    <col min="4354" max="4354" width="9" style="1643" bestFit="1" customWidth="1"/>
    <col min="4355" max="4355" width="11.5703125" style="1643" bestFit="1" customWidth="1"/>
    <col min="4356" max="4356" width="9" style="1643" bestFit="1" customWidth="1"/>
    <col min="4357" max="4357" width="12.7109375" style="1643" bestFit="1" customWidth="1"/>
    <col min="4358" max="4358" width="12.85546875" style="1643" customWidth="1"/>
    <col min="4359" max="4359" width="13" style="1643" customWidth="1"/>
    <col min="4360" max="4360" width="9" style="1643" bestFit="1" customWidth="1"/>
    <col min="4361" max="4361" width="10.42578125" style="1643" bestFit="1" customWidth="1"/>
    <col min="4362" max="4362" width="9" style="1643" bestFit="1" customWidth="1"/>
    <col min="4363" max="4363" width="11.7109375" style="1643" customWidth="1"/>
    <col min="4364" max="4364" width="9" style="1643" bestFit="1" customWidth="1"/>
    <col min="4365" max="4365" width="11.140625" style="1643" bestFit="1" customWidth="1"/>
    <col min="4366" max="4366" width="10.140625" style="1643" bestFit="1" customWidth="1"/>
    <col min="4367" max="4367" width="11.140625" style="1643" customWidth="1"/>
    <col min="4368" max="4368" width="9.140625" style="1643"/>
    <col min="4369" max="4369" width="9.85546875" style="1643" bestFit="1" customWidth="1"/>
    <col min="4370" max="4371" width="3.28515625" style="1643" bestFit="1" customWidth="1"/>
    <col min="4372" max="4608" width="9.140625" style="1643"/>
    <col min="4609" max="4609" width="42.85546875" style="1643" customWidth="1"/>
    <col min="4610" max="4610" width="9" style="1643" bestFit="1" customWidth="1"/>
    <col min="4611" max="4611" width="11.5703125" style="1643" bestFit="1" customWidth="1"/>
    <col min="4612" max="4612" width="9" style="1643" bestFit="1" customWidth="1"/>
    <col min="4613" max="4613" width="12.7109375" style="1643" bestFit="1" customWidth="1"/>
    <col min="4614" max="4614" width="12.85546875" style="1643" customWidth="1"/>
    <col min="4615" max="4615" width="13" style="1643" customWidth="1"/>
    <col min="4616" max="4616" width="9" style="1643" bestFit="1" customWidth="1"/>
    <col min="4617" max="4617" width="10.42578125" style="1643" bestFit="1" customWidth="1"/>
    <col min="4618" max="4618" width="9" style="1643" bestFit="1" customWidth="1"/>
    <col min="4619" max="4619" width="11.7109375" style="1643" customWidth="1"/>
    <col min="4620" max="4620" width="9" style="1643" bestFit="1" customWidth="1"/>
    <col min="4621" max="4621" width="11.140625" style="1643" bestFit="1" customWidth="1"/>
    <col min="4622" max="4622" width="10.140625" style="1643" bestFit="1" customWidth="1"/>
    <col min="4623" max="4623" width="11.140625" style="1643" customWidth="1"/>
    <col min="4624" max="4624" width="9.140625" style="1643"/>
    <col min="4625" max="4625" width="9.85546875" style="1643" bestFit="1" customWidth="1"/>
    <col min="4626" max="4627" width="3.28515625" style="1643" bestFit="1" customWidth="1"/>
    <col min="4628" max="4864" width="9.140625" style="1643"/>
    <col min="4865" max="4865" width="42.85546875" style="1643" customWidth="1"/>
    <col min="4866" max="4866" width="9" style="1643" bestFit="1" customWidth="1"/>
    <col min="4867" max="4867" width="11.5703125" style="1643" bestFit="1" customWidth="1"/>
    <col min="4868" max="4868" width="9" style="1643" bestFit="1" customWidth="1"/>
    <col min="4869" max="4869" width="12.7109375" style="1643" bestFit="1" customWidth="1"/>
    <col min="4870" max="4870" width="12.85546875" style="1643" customWidth="1"/>
    <col min="4871" max="4871" width="13" style="1643" customWidth="1"/>
    <col min="4872" max="4872" width="9" style="1643" bestFit="1" customWidth="1"/>
    <col min="4873" max="4873" width="10.42578125" style="1643" bestFit="1" customWidth="1"/>
    <col min="4874" max="4874" width="9" style="1643" bestFit="1" customWidth="1"/>
    <col min="4875" max="4875" width="11.7109375" style="1643" customWidth="1"/>
    <col min="4876" max="4876" width="9" style="1643" bestFit="1" customWidth="1"/>
    <col min="4877" max="4877" width="11.140625" style="1643" bestFit="1" customWidth="1"/>
    <col min="4878" max="4878" width="10.140625" style="1643" bestFit="1" customWidth="1"/>
    <col min="4879" max="4879" width="11.140625" style="1643" customWidth="1"/>
    <col min="4880" max="4880" width="9.140625" style="1643"/>
    <col min="4881" max="4881" width="9.85546875" style="1643" bestFit="1" customWidth="1"/>
    <col min="4882" max="4883" width="3.28515625" style="1643" bestFit="1" customWidth="1"/>
    <col min="4884" max="5120" width="9.140625" style="1643"/>
    <col min="5121" max="5121" width="42.85546875" style="1643" customWidth="1"/>
    <col min="5122" max="5122" width="9" style="1643" bestFit="1" customWidth="1"/>
    <col min="5123" max="5123" width="11.5703125" style="1643" bestFit="1" customWidth="1"/>
    <col min="5124" max="5124" width="9" style="1643" bestFit="1" customWidth="1"/>
    <col min="5125" max="5125" width="12.7109375" style="1643" bestFit="1" customWidth="1"/>
    <col min="5126" max="5126" width="12.85546875" style="1643" customWidth="1"/>
    <col min="5127" max="5127" width="13" style="1643" customWidth="1"/>
    <col min="5128" max="5128" width="9" style="1643" bestFit="1" customWidth="1"/>
    <col min="5129" max="5129" width="10.42578125" style="1643" bestFit="1" customWidth="1"/>
    <col min="5130" max="5130" width="9" style="1643" bestFit="1" customWidth="1"/>
    <col min="5131" max="5131" width="11.7109375" style="1643" customWidth="1"/>
    <col min="5132" max="5132" width="9" style="1643" bestFit="1" customWidth="1"/>
    <col min="5133" max="5133" width="11.140625" style="1643" bestFit="1" customWidth="1"/>
    <col min="5134" max="5134" width="10.140625" style="1643" bestFit="1" customWidth="1"/>
    <col min="5135" max="5135" width="11.140625" style="1643" customWidth="1"/>
    <col min="5136" max="5136" width="9.140625" style="1643"/>
    <col min="5137" max="5137" width="9.85546875" style="1643" bestFit="1" customWidth="1"/>
    <col min="5138" max="5139" width="3.28515625" style="1643" bestFit="1" customWidth="1"/>
    <col min="5140" max="5376" width="9.140625" style="1643"/>
    <col min="5377" max="5377" width="42.85546875" style="1643" customWidth="1"/>
    <col min="5378" max="5378" width="9" style="1643" bestFit="1" customWidth="1"/>
    <col min="5379" max="5379" width="11.5703125" style="1643" bestFit="1" customWidth="1"/>
    <col min="5380" max="5380" width="9" style="1643" bestFit="1" customWidth="1"/>
    <col min="5381" max="5381" width="12.7109375" style="1643" bestFit="1" customWidth="1"/>
    <col min="5382" max="5382" width="12.85546875" style="1643" customWidth="1"/>
    <col min="5383" max="5383" width="13" style="1643" customWidth="1"/>
    <col min="5384" max="5384" width="9" style="1643" bestFit="1" customWidth="1"/>
    <col min="5385" max="5385" width="10.42578125" style="1643" bestFit="1" customWidth="1"/>
    <col min="5386" max="5386" width="9" style="1643" bestFit="1" customWidth="1"/>
    <col min="5387" max="5387" width="11.7109375" style="1643" customWidth="1"/>
    <col min="5388" max="5388" width="9" style="1643" bestFit="1" customWidth="1"/>
    <col min="5389" max="5389" width="11.140625" style="1643" bestFit="1" customWidth="1"/>
    <col min="5390" max="5390" width="10.140625" style="1643" bestFit="1" customWidth="1"/>
    <col min="5391" max="5391" width="11.140625" style="1643" customWidth="1"/>
    <col min="5392" max="5392" width="9.140625" style="1643"/>
    <col min="5393" max="5393" width="9.85546875" style="1643" bestFit="1" customWidth="1"/>
    <col min="5394" max="5395" width="3.28515625" style="1643" bestFit="1" customWidth="1"/>
    <col min="5396" max="5632" width="9.140625" style="1643"/>
    <col min="5633" max="5633" width="42.85546875" style="1643" customWidth="1"/>
    <col min="5634" max="5634" width="9" style="1643" bestFit="1" customWidth="1"/>
    <col min="5635" max="5635" width="11.5703125" style="1643" bestFit="1" customWidth="1"/>
    <col min="5636" max="5636" width="9" style="1643" bestFit="1" customWidth="1"/>
    <col min="5637" max="5637" width="12.7109375" style="1643" bestFit="1" customWidth="1"/>
    <col min="5638" max="5638" width="12.85546875" style="1643" customWidth="1"/>
    <col min="5639" max="5639" width="13" style="1643" customWidth="1"/>
    <col min="5640" max="5640" width="9" style="1643" bestFit="1" customWidth="1"/>
    <col min="5641" max="5641" width="10.42578125" style="1643" bestFit="1" customWidth="1"/>
    <col min="5642" max="5642" width="9" style="1643" bestFit="1" customWidth="1"/>
    <col min="5643" max="5643" width="11.7109375" style="1643" customWidth="1"/>
    <col min="5644" max="5644" width="9" style="1643" bestFit="1" customWidth="1"/>
    <col min="5645" max="5645" width="11.140625" style="1643" bestFit="1" customWidth="1"/>
    <col min="5646" max="5646" width="10.140625" style="1643" bestFit="1" customWidth="1"/>
    <col min="5647" max="5647" width="11.140625" style="1643" customWidth="1"/>
    <col min="5648" max="5648" width="9.140625" style="1643"/>
    <col min="5649" max="5649" width="9.85546875" style="1643" bestFit="1" customWidth="1"/>
    <col min="5650" max="5651" width="3.28515625" style="1643" bestFit="1" customWidth="1"/>
    <col min="5652" max="5888" width="9.140625" style="1643"/>
    <col min="5889" max="5889" width="42.85546875" style="1643" customWidth="1"/>
    <col min="5890" max="5890" width="9" style="1643" bestFit="1" customWidth="1"/>
    <col min="5891" max="5891" width="11.5703125" style="1643" bestFit="1" customWidth="1"/>
    <col min="5892" max="5892" width="9" style="1643" bestFit="1" customWidth="1"/>
    <col min="5893" max="5893" width="12.7109375" style="1643" bestFit="1" customWidth="1"/>
    <col min="5894" max="5894" width="12.85546875" style="1643" customWidth="1"/>
    <col min="5895" max="5895" width="13" style="1643" customWidth="1"/>
    <col min="5896" max="5896" width="9" style="1643" bestFit="1" customWidth="1"/>
    <col min="5897" max="5897" width="10.42578125" style="1643" bestFit="1" customWidth="1"/>
    <col min="5898" max="5898" width="9" style="1643" bestFit="1" customWidth="1"/>
    <col min="5899" max="5899" width="11.7109375" style="1643" customWidth="1"/>
    <col min="5900" max="5900" width="9" style="1643" bestFit="1" customWidth="1"/>
    <col min="5901" max="5901" width="11.140625" style="1643" bestFit="1" customWidth="1"/>
    <col min="5902" max="5902" width="10.140625" style="1643" bestFit="1" customWidth="1"/>
    <col min="5903" max="5903" width="11.140625" style="1643" customWidth="1"/>
    <col min="5904" max="5904" width="9.140625" style="1643"/>
    <col min="5905" max="5905" width="9.85546875" style="1643" bestFit="1" customWidth="1"/>
    <col min="5906" max="5907" width="3.28515625" style="1643" bestFit="1" customWidth="1"/>
    <col min="5908" max="6144" width="9.140625" style="1643"/>
    <col min="6145" max="6145" width="42.85546875" style="1643" customWidth="1"/>
    <col min="6146" max="6146" width="9" style="1643" bestFit="1" customWidth="1"/>
    <col min="6147" max="6147" width="11.5703125" style="1643" bestFit="1" customWidth="1"/>
    <col min="6148" max="6148" width="9" style="1643" bestFit="1" customWidth="1"/>
    <col min="6149" max="6149" width="12.7109375" style="1643" bestFit="1" customWidth="1"/>
    <col min="6150" max="6150" width="12.85546875" style="1643" customWidth="1"/>
    <col min="6151" max="6151" width="13" style="1643" customWidth="1"/>
    <col min="6152" max="6152" width="9" style="1643" bestFit="1" customWidth="1"/>
    <col min="6153" max="6153" width="10.42578125" style="1643" bestFit="1" customWidth="1"/>
    <col min="6154" max="6154" width="9" style="1643" bestFit="1" customWidth="1"/>
    <col min="6155" max="6155" width="11.7109375" style="1643" customWidth="1"/>
    <col min="6156" max="6156" width="9" style="1643" bestFit="1" customWidth="1"/>
    <col min="6157" max="6157" width="11.140625" style="1643" bestFit="1" customWidth="1"/>
    <col min="6158" max="6158" width="10.140625" style="1643" bestFit="1" customWidth="1"/>
    <col min="6159" max="6159" width="11.140625" style="1643" customWidth="1"/>
    <col min="6160" max="6160" width="9.140625" style="1643"/>
    <col min="6161" max="6161" width="9.85546875" style="1643" bestFit="1" customWidth="1"/>
    <col min="6162" max="6163" width="3.28515625" style="1643" bestFit="1" customWidth="1"/>
    <col min="6164" max="6400" width="9.140625" style="1643"/>
    <col min="6401" max="6401" width="42.85546875" style="1643" customWidth="1"/>
    <col min="6402" max="6402" width="9" style="1643" bestFit="1" customWidth="1"/>
    <col min="6403" max="6403" width="11.5703125" style="1643" bestFit="1" customWidth="1"/>
    <col min="6404" max="6404" width="9" style="1643" bestFit="1" customWidth="1"/>
    <col min="6405" max="6405" width="12.7109375" style="1643" bestFit="1" customWidth="1"/>
    <col min="6406" max="6406" width="12.85546875" style="1643" customWidth="1"/>
    <col min="6407" max="6407" width="13" style="1643" customWidth="1"/>
    <col min="6408" max="6408" width="9" style="1643" bestFit="1" customWidth="1"/>
    <col min="6409" max="6409" width="10.42578125" style="1643" bestFit="1" customWidth="1"/>
    <col min="6410" max="6410" width="9" style="1643" bestFit="1" customWidth="1"/>
    <col min="6411" max="6411" width="11.7109375" style="1643" customWidth="1"/>
    <col min="6412" max="6412" width="9" style="1643" bestFit="1" customWidth="1"/>
    <col min="6413" max="6413" width="11.140625" style="1643" bestFit="1" customWidth="1"/>
    <col min="6414" max="6414" width="10.140625" style="1643" bestFit="1" customWidth="1"/>
    <col min="6415" max="6415" width="11.140625" style="1643" customWidth="1"/>
    <col min="6416" max="6416" width="9.140625" style="1643"/>
    <col min="6417" max="6417" width="9.85546875" style="1643" bestFit="1" customWidth="1"/>
    <col min="6418" max="6419" width="3.28515625" style="1643" bestFit="1" customWidth="1"/>
    <col min="6420" max="6656" width="9.140625" style="1643"/>
    <col min="6657" max="6657" width="42.85546875" style="1643" customWidth="1"/>
    <col min="6658" max="6658" width="9" style="1643" bestFit="1" customWidth="1"/>
    <col min="6659" max="6659" width="11.5703125" style="1643" bestFit="1" customWidth="1"/>
    <col min="6660" max="6660" width="9" style="1643" bestFit="1" customWidth="1"/>
    <col min="6661" max="6661" width="12.7109375" style="1643" bestFit="1" customWidth="1"/>
    <col min="6662" max="6662" width="12.85546875" style="1643" customWidth="1"/>
    <col min="6663" max="6663" width="13" style="1643" customWidth="1"/>
    <col min="6664" max="6664" width="9" style="1643" bestFit="1" customWidth="1"/>
    <col min="6665" max="6665" width="10.42578125" style="1643" bestFit="1" customWidth="1"/>
    <col min="6666" max="6666" width="9" style="1643" bestFit="1" customWidth="1"/>
    <col min="6667" max="6667" width="11.7109375" style="1643" customWidth="1"/>
    <col min="6668" max="6668" width="9" style="1643" bestFit="1" customWidth="1"/>
    <col min="6669" max="6669" width="11.140625" style="1643" bestFit="1" customWidth="1"/>
    <col min="6670" max="6670" width="10.140625" style="1643" bestFit="1" customWidth="1"/>
    <col min="6671" max="6671" width="11.140625" style="1643" customWidth="1"/>
    <col min="6672" max="6672" width="9.140625" style="1643"/>
    <col min="6673" max="6673" width="9.85546875" style="1643" bestFit="1" customWidth="1"/>
    <col min="6674" max="6675" width="3.28515625" style="1643" bestFit="1" customWidth="1"/>
    <col min="6676" max="6912" width="9.140625" style="1643"/>
    <col min="6913" max="6913" width="42.85546875" style="1643" customWidth="1"/>
    <col min="6914" max="6914" width="9" style="1643" bestFit="1" customWidth="1"/>
    <col min="6915" max="6915" width="11.5703125" style="1643" bestFit="1" customWidth="1"/>
    <col min="6916" max="6916" width="9" style="1643" bestFit="1" customWidth="1"/>
    <col min="6917" max="6917" width="12.7109375" style="1643" bestFit="1" customWidth="1"/>
    <col min="6918" max="6918" width="12.85546875" style="1643" customWidth="1"/>
    <col min="6919" max="6919" width="13" style="1643" customWidth="1"/>
    <col min="6920" max="6920" width="9" style="1643" bestFit="1" customWidth="1"/>
    <col min="6921" max="6921" width="10.42578125" style="1643" bestFit="1" customWidth="1"/>
    <col min="6922" max="6922" width="9" style="1643" bestFit="1" customWidth="1"/>
    <col min="6923" max="6923" width="11.7109375" style="1643" customWidth="1"/>
    <col min="6924" max="6924" width="9" style="1643" bestFit="1" customWidth="1"/>
    <col min="6925" max="6925" width="11.140625" style="1643" bestFit="1" customWidth="1"/>
    <col min="6926" max="6926" width="10.140625" style="1643" bestFit="1" customWidth="1"/>
    <col min="6927" max="6927" width="11.140625" style="1643" customWidth="1"/>
    <col min="6928" max="6928" width="9.140625" style="1643"/>
    <col min="6929" max="6929" width="9.85546875" style="1643" bestFit="1" customWidth="1"/>
    <col min="6930" max="6931" width="3.28515625" style="1643" bestFit="1" customWidth="1"/>
    <col min="6932" max="7168" width="9.140625" style="1643"/>
    <col min="7169" max="7169" width="42.85546875" style="1643" customWidth="1"/>
    <col min="7170" max="7170" width="9" style="1643" bestFit="1" customWidth="1"/>
    <col min="7171" max="7171" width="11.5703125" style="1643" bestFit="1" customWidth="1"/>
    <col min="7172" max="7172" width="9" style="1643" bestFit="1" customWidth="1"/>
    <col min="7173" max="7173" width="12.7109375" style="1643" bestFit="1" customWidth="1"/>
    <col min="7174" max="7174" width="12.85546875" style="1643" customWidth="1"/>
    <col min="7175" max="7175" width="13" style="1643" customWidth="1"/>
    <col min="7176" max="7176" width="9" style="1643" bestFit="1" customWidth="1"/>
    <col min="7177" max="7177" width="10.42578125" style="1643" bestFit="1" customWidth="1"/>
    <col min="7178" max="7178" width="9" style="1643" bestFit="1" customWidth="1"/>
    <col min="7179" max="7179" width="11.7109375" style="1643" customWidth="1"/>
    <col min="7180" max="7180" width="9" style="1643" bestFit="1" customWidth="1"/>
    <col min="7181" max="7181" width="11.140625" style="1643" bestFit="1" customWidth="1"/>
    <col min="7182" max="7182" width="10.140625" style="1643" bestFit="1" customWidth="1"/>
    <col min="7183" max="7183" width="11.140625" style="1643" customWidth="1"/>
    <col min="7184" max="7184" width="9.140625" style="1643"/>
    <col min="7185" max="7185" width="9.85546875" style="1643" bestFit="1" customWidth="1"/>
    <col min="7186" max="7187" width="3.28515625" style="1643" bestFit="1" customWidth="1"/>
    <col min="7188" max="7424" width="9.140625" style="1643"/>
    <col min="7425" max="7425" width="42.85546875" style="1643" customWidth="1"/>
    <col min="7426" max="7426" width="9" style="1643" bestFit="1" customWidth="1"/>
    <col min="7427" max="7427" width="11.5703125" style="1643" bestFit="1" customWidth="1"/>
    <col min="7428" max="7428" width="9" style="1643" bestFit="1" customWidth="1"/>
    <col min="7429" max="7429" width="12.7109375" style="1643" bestFit="1" customWidth="1"/>
    <col min="7430" max="7430" width="12.85546875" style="1643" customWidth="1"/>
    <col min="7431" max="7431" width="13" style="1643" customWidth="1"/>
    <col min="7432" max="7432" width="9" style="1643" bestFit="1" customWidth="1"/>
    <col min="7433" max="7433" width="10.42578125" style="1643" bestFit="1" customWidth="1"/>
    <col min="7434" max="7434" width="9" style="1643" bestFit="1" customWidth="1"/>
    <col min="7435" max="7435" width="11.7109375" style="1643" customWidth="1"/>
    <col min="7436" max="7436" width="9" style="1643" bestFit="1" customWidth="1"/>
    <col min="7437" max="7437" width="11.140625" style="1643" bestFit="1" customWidth="1"/>
    <col min="7438" max="7438" width="10.140625" style="1643" bestFit="1" customWidth="1"/>
    <col min="7439" max="7439" width="11.140625" style="1643" customWidth="1"/>
    <col min="7440" max="7440" width="9.140625" style="1643"/>
    <col min="7441" max="7441" width="9.85546875" style="1643" bestFit="1" customWidth="1"/>
    <col min="7442" max="7443" width="3.28515625" style="1643" bestFit="1" customWidth="1"/>
    <col min="7444" max="7680" width="9.140625" style="1643"/>
    <col min="7681" max="7681" width="42.85546875" style="1643" customWidth="1"/>
    <col min="7682" max="7682" width="9" style="1643" bestFit="1" customWidth="1"/>
    <col min="7683" max="7683" width="11.5703125" style="1643" bestFit="1" customWidth="1"/>
    <col min="7684" max="7684" width="9" style="1643" bestFit="1" customWidth="1"/>
    <col min="7685" max="7685" width="12.7109375" style="1643" bestFit="1" customWidth="1"/>
    <col min="7686" max="7686" width="12.85546875" style="1643" customWidth="1"/>
    <col min="7687" max="7687" width="13" style="1643" customWidth="1"/>
    <col min="7688" max="7688" width="9" style="1643" bestFit="1" customWidth="1"/>
    <col min="7689" max="7689" width="10.42578125" style="1643" bestFit="1" customWidth="1"/>
    <col min="7690" max="7690" width="9" style="1643" bestFit="1" customWidth="1"/>
    <col min="7691" max="7691" width="11.7109375" style="1643" customWidth="1"/>
    <col min="7692" max="7692" width="9" style="1643" bestFit="1" customWidth="1"/>
    <col min="7693" max="7693" width="11.140625" style="1643" bestFit="1" customWidth="1"/>
    <col min="7694" max="7694" width="10.140625" style="1643" bestFit="1" customWidth="1"/>
    <col min="7695" max="7695" width="11.140625" style="1643" customWidth="1"/>
    <col min="7696" max="7696" width="9.140625" style="1643"/>
    <col min="7697" max="7697" width="9.85546875" style="1643" bestFit="1" customWidth="1"/>
    <col min="7698" max="7699" width="3.28515625" style="1643" bestFit="1" customWidth="1"/>
    <col min="7700" max="7936" width="9.140625" style="1643"/>
    <col min="7937" max="7937" width="42.85546875" style="1643" customWidth="1"/>
    <col min="7938" max="7938" width="9" style="1643" bestFit="1" customWidth="1"/>
    <col min="7939" max="7939" width="11.5703125" style="1643" bestFit="1" customWidth="1"/>
    <col min="7940" max="7940" width="9" style="1643" bestFit="1" customWidth="1"/>
    <col min="7941" max="7941" width="12.7109375" style="1643" bestFit="1" customWidth="1"/>
    <col min="7942" max="7942" width="12.85546875" style="1643" customWidth="1"/>
    <col min="7943" max="7943" width="13" style="1643" customWidth="1"/>
    <col min="7944" max="7944" width="9" style="1643" bestFit="1" customWidth="1"/>
    <col min="7945" max="7945" width="10.42578125" style="1643" bestFit="1" customWidth="1"/>
    <col min="7946" max="7946" width="9" style="1643" bestFit="1" customWidth="1"/>
    <col min="7947" max="7947" width="11.7109375" style="1643" customWidth="1"/>
    <col min="7948" max="7948" width="9" style="1643" bestFit="1" customWidth="1"/>
    <col min="7949" max="7949" width="11.140625" style="1643" bestFit="1" customWidth="1"/>
    <col min="7950" max="7950" width="10.140625" style="1643" bestFit="1" customWidth="1"/>
    <col min="7951" max="7951" width="11.140625" style="1643" customWidth="1"/>
    <col min="7952" max="7952" width="9.140625" style="1643"/>
    <col min="7953" max="7953" width="9.85546875" style="1643" bestFit="1" customWidth="1"/>
    <col min="7954" max="7955" width="3.28515625" style="1643" bestFit="1" customWidth="1"/>
    <col min="7956" max="8192" width="9.140625" style="1643"/>
    <col min="8193" max="8193" width="42.85546875" style="1643" customWidth="1"/>
    <col min="8194" max="8194" width="9" style="1643" bestFit="1" customWidth="1"/>
    <col min="8195" max="8195" width="11.5703125" style="1643" bestFit="1" customWidth="1"/>
    <col min="8196" max="8196" width="9" style="1643" bestFit="1" customWidth="1"/>
    <col min="8197" max="8197" width="12.7109375" style="1643" bestFit="1" customWidth="1"/>
    <col min="8198" max="8198" width="12.85546875" style="1643" customWidth="1"/>
    <col min="8199" max="8199" width="13" style="1643" customWidth="1"/>
    <col min="8200" max="8200" width="9" style="1643" bestFit="1" customWidth="1"/>
    <col min="8201" max="8201" width="10.42578125" style="1643" bestFit="1" customWidth="1"/>
    <col min="8202" max="8202" width="9" style="1643" bestFit="1" customWidth="1"/>
    <col min="8203" max="8203" width="11.7109375" style="1643" customWidth="1"/>
    <col min="8204" max="8204" width="9" style="1643" bestFit="1" customWidth="1"/>
    <col min="8205" max="8205" width="11.140625" style="1643" bestFit="1" customWidth="1"/>
    <col min="8206" max="8206" width="10.140625" style="1643" bestFit="1" customWidth="1"/>
    <col min="8207" max="8207" width="11.140625" style="1643" customWidth="1"/>
    <col min="8208" max="8208" width="9.140625" style="1643"/>
    <col min="8209" max="8209" width="9.85546875" style="1643" bestFit="1" customWidth="1"/>
    <col min="8210" max="8211" width="3.28515625" style="1643" bestFit="1" customWidth="1"/>
    <col min="8212" max="8448" width="9.140625" style="1643"/>
    <col min="8449" max="8449" width="42.85546875" style="1643" customWidth="1"/>
    <col min="8450" max="8450" width="9" style="1643" bestFit="1" customWidth="1"/>
    <col min="8451" max="8451" width="11.5703125" style="1643" bestFit="1" customWidth="1"/>
    <col min="8452" max="8452" width="9" style="1643" bestFit="1" customWidth="1"/>
    <col min="8453" max="8453" width="12.7109375" style="1643" bestFit="1" customWidth="1"/>
    <col min="8454" max="8454" width="12.85546875" style="1643" customWidth="1"/>
    <col min="8455" max="8455" width="13" style="1643" customWidth="1"/>
    <col min="8456" max="8456" width="9" style="1643" bestFit="1" customWidth="1"/>
    <col min="8457" max="8457" width="10.42578125" style="1643" bestFit="1" customWidth="1"/>
    <col min="8458" max="8458" width="9" style="1643" bestFit="1" customWidth="1"/>
    <col min="8459" max="8459" width="11.7109375" style="1643" customWidth="1"/>
    <col min="8460" max="8460" width="9" style="1643" bestFit="1" customWidth="1"/>
    <col min="8461" max="8461" width="11.140625" style="1643" bestFit="1" customWidth="1"/>
    <col min="8462" max="8462" width="10.140625" style="1643" bestFit="1" customWidth="1"/>
    <col min="8463" max="8463" width="11.140625" style="1643" customWidth="1"/>
    <col min="8464" max="8464" width="9.140625" style="1643"/>
    <col min="8465" max="8465" width="9.85546875" style="1643" bestFit="1" customWidth="1"/>
    <col min="8466" max="8467" width="3.28515625" style="1643" bestFit="1" customWidth="1"/>
    <col min="8468" max="8704" width="9.140625" style="1643"/>
    <col min="8705" max="8705" width="42.85546875" style="1643" customWidth="1"/>
    <col min="8706" max="8706" width="9" style="1643" bestFit="1" customWidth="1"/>
    <col min="8707" max="8707" width="11.5703125" style="1643" bestFit="1" customWidth="1"/>
    <col min="8708" max="8708" width="9" style="1643" bestFit="1" customWidth="1"/>
    <col min="8709" max="8709" width="12.7109375" style="1643" bestFit="1" customWidth="1"/>
    <col min="8710" max="8710" width="12.85546875" style="1643" customWidth="1"/>
    <col min="8711" max="8711" width="13" style="1643" customWidth="1"/>
    <col min="8712" max="8712" width="9" style="1643" bestFit="1" customWidth="1"/>
    <col min="8713" max="8713" width="10.42578125" style="1643" bestFit="1" customWidth="1"/>
    <col min="8714" max="8714" width="9" style="1643" bestFit="1" customWidth="1"/>
    <col min="8715" max="8715" width="11.7109375" style="1643" customWidth="1"/>
    <col min="8716" max="8716" width="9" style="1643" bestFit="1" customWidth="1"/>
    <col min="8717" max="8717" width="11.140625" style="1643" bestFit="1" customWidth="1"/>
    <col min="8718" max="8718" width="10.140625" style="1643" bestFit="1" customWidth="1"/>
    <col min="8719" max="8719" width="11.140625" style="1643" customWidth="1"/>
    <col min="8720" max="8720" width="9.140625" style="1643"/>
    <col min="8721" max="8721" width="9.85546875" style="1643" bestFit="1" customWidth="1"/>
    <col min="8722" max="8723" width="3.28515625" style="1643" bestFit="1" customWidth="1"/>
    <col min="8724" max="8960" width="9.140625" style="1643"/>
    <col min="8961" max="8961" width="42.85546875" style="1643" customWidth="1"/>
    <col min="8962" max="8962" width="9" style="1643" bestFit="1" customWidth="1"/>
    <col min="8963" max="8963" width="11.5703125" style="1643" bestFit="1" customWidth="1"/>
    <col min="8964" max="8964" width="9" style="1643" bestFit="1" customWidth="1"/>
    <col min="8965" max="8965" width="12.7109375" style="1643" bestFit="1" customWidth="1"/>
    <col min="8966" max="8966" width="12.85546875" style="1643" customWidth="1"/>
    <col min="8967" max="8967" width="13" style="1643" customWidth="1"/>
    <col min="8968" max="8968" width="9" style="1643" bestFit="1" customWidth="1"/>
    <col min="8969" max="8969" width="10.42578125" style="1643" bestFit="1" customWidth="1"/>
    <col min="8970" max="8970" width="9" style="1643" bestFit="1" customWidth="1"/>
    <col min="8971" max="8971" width="11.7109375" style="1643" customWidth="1"/>
    <col min="8972" max="8972" width="9" style="1643" bestFit="1" customWidth="1"/>
    <col min="8973" max="8973" width="11.140625" style="1643" bestFit="1" customWidth="1"/>
    <col min="8974" max="8974" width="10.140625" style="1643" bestFit="1" customWidth="1"/>
    <col min="8975" max="8975" width="11.140625" style="1643" customWidth="1"/>
    <col min="8976" max="8976" width="9.140625" style="1643"/>
    <col min="8977" max="8977" width="9.85546875" style="1643" bestFit="1" customWidth="1"/>
    <col min="8978" max="8979" width="3.28515625" style="1643" bestFit="1" customWidth="1"/>
    <col min="8980" max="9216" width="9.140625" style="1643"/>
    <col min="9217" max="9217" width="42.85546875" style="1643" customWidth="1"/>
    <col min="9218" max="9218" width="9" style="1643" bestFit="1" customWidth="1"/>
    <col min="9219" max="9219" width="11.5703125" style="1643" bestFit="1" customWidth="1"/>
    <col min="9220" max="9220" width="9" style="1643" bestFit="1" customWidth="1"/>
    <col min="9221" max="9221" width="12.7109375" style="1643" bestFit="1" customWidth="1"/>
    <col min="9222" max="9222" width="12.85546875" style="1643" customWidth="1"/>
    <col min="9223" max="9223" width="13" style="1643" customWidth="1"/>
    <col min="9224" max="9224" width="9" style="1643" bestFit="1" customWidth="1"/>
    <col min="9225" max="9225" width="10.42578125" style="1643" bestFit="1" customWidth="1"/>
    <col min="9226" max="9226" width="9" style="1643" bestFit="1" customWidth="1"/>
    <col min="9227" max="9227" width="11.7109375" style="1643" customWidth="1"/>
    <col min="9228" max="9228" width="9" style="1643" bestFit="1" customWidth="1"/>
    <col min="9229" max="9229" width="11.140625" style="1643" bestFit="1" customWidth="1"/>
    <col min="9230" max="9230" width="10.140625" style="1643" bestFit="1" customWidth="1"/>
    <col min="9231" max="9231" width="11.140625" style="1643" customWidth="1"/>
    <col min="9232" max="9232" width="9.140625" style="1643"/>
    <col min="9233" max="9233" width="9.85546875" style="1643" bestFit="1" customWidth="1"/>
    <col min="9234" max="9235" width="3.28515625" style="1643" bestFit="1" customWidth="1"/>
    <col min="9236" max="9472" width="9.140625" style="1643"/>
    <col min="9473" max="9473" width="42.85546875" style="1643" customWidth="1"/>
    <col min="9474" max="9474" width="9" style="1643" bestFit="1" customWidth="1"/>
    <col min="9475" max="9475" width="11.5703125" style="1643" bestFit="1" customWidth="1"/>
    <col min="9476" max="9476" width="9" style="1643" bestFit="1" customWidth="1"/>
    <col min="9477" max="9477" width="12.7109375" style="1643" bestFit="1" customWidth="1"/>
    <col min="9478" max="9478" width="12.85546875" style="1643" customWidth="1"/>
    <col min="9479" max="9479" width="13" style="1643" customWidth="1"/>
    <col min="9480" max="9480" width="9" style="1643" bestFit="1" customWidth="1"/>
    <col min="9481" max="9481" width="10.42578125" style="1643" bestFit="1" customWidth="1"/>
    <col min="9482" max="9482" width="9" style="1643" bestFit="1" customWidth="1"/>
    <col min="9483" max="9483" width="11.7109375" style="1643" customWidth="1"/>
    <col min="9484" max="9484" width="9" style="1643" bestFit="1" customWidth="1"/>
    <col min="9485" max="9485" width="11.140625" style="1643" bestFit="1" customWidth="1"/>
    <col min="9486" max="9486" width="10.140625" style="1643" bestFit="1" customWidth="1"/>
    <col min="9487" max="9487" width="11.140625" style="1643" customWidth="1"/>
    <col min="9488" max="9488" width="9.140625" style="1643"/>
    <col min="9489" max="9489" width="9.85546875" style="1643" bestFit="1" customWidth="1"/>
    <col min="9490" max="9491" width="3.28515625" style="1643" bestFit="1" customWidth="1"/>
    <col min="9492" max="9728" width="9.140625" style="1643"/>
    <col min="9729" max="9729" width="42.85546875" style="1643" customWidth="1"/>
    <col min="9730" max="9730" width="9" style="1643" bestFit="1" customWidth="1"/>
    <col min="9731" max="9731" width="11.5703125" style="1643" bestFit="1" customWidth="1"/>
    <col min="9732" max="9732" width="9" style="1643" bestFit="1" customWidth="1"/>
    <col min="9733" max="9733" width="12.7109375" style="1643" bestFit="1" customWidth="1"/>
    <col min="9734" max="9734" width="12.85546875" style="1643" customWidth="1"/>
    <col min="9735" max="9735" width="13" style="1643" customWidth="1"/>
    <col min="9736" max="9736" width="9" style="1643" bestFit="1" customWidth="1"/>
    <col min="9737" max="9737" width="10.42578125" style="1643" bestFit="1" customWidth="1"/>
    <col min="9738" max="9738" width="9" style="1643" bestFit="1" customWidth="1"/>
    <col min="9739" max="9739" width="11.7109375" style="1643" customWidth="1"/>
    <col min="9740" max="9740" width="9" style="1643" bestFit="1" customWidth="1"/>
    <col min="9741" max="9741" width="11.140625" style="1643" bestFit="1" customWidth="1"/>
    <col min="9742" max="9742" width="10.140625" style="1643" bestFit="1" customWidth="1"/>
    <col min="9743" max="9743" width="11.140625" style="1643" customWidth="1"/>
    <col min="9744" max="9744" width="9.140625" style="1643"/>
    <col min="9745" max="9745" width="9.85546875" style="1643" bestFit="1" customWidth="1"/>
    <col min="9746" max="9747" width="3.28515625" style="1643" bestFit="1" customWidth="1"/>
    <col min="9748" max="9984" width="9.140625" style="1643"/>
    <col min="9985" max="9985" width="42.85546875" style="1643" customWidth="1"/>
    <col min="9986" max="9986" width="9" style="1643" bestFit="1" customWidth="1"/>
    <col min="9987" max="9987" width="11.5703125" style="1643" bestFit="1" customWidth="1"/>
    <col min="9988" max="9988" width="9" style="1643" bestFit="1" customWidth="1"/>
    <col min="9989" max="9989" width="12.7109375" style="1643" bestFit="1" customWidth="1"/>
    <col min="9990" max="9990" width="12.85546875" style="1643" customWidth="1"/>
    <col min="9991" max="9991" width="13" style="1643" customWidth="1"/>
    <col min="9992" max="9992" width="9" style="1643" bestFit="1" customWidth="1"/>
    <col min="9993" max="9993" width="10.42578125" style="1643" bestFit="1" customWidth="1"/>
    <col min="9994" max="9994" width="9" style="1643" bestFit="1" customWidth="1"/>
    <col min="9995" max="9995" width="11.7109375" style="1643" customWidth="1"/>
    <col min="9996" max="9996" width="9" style="1643" bestFit="1" customWidth="1"/>
    <col min="9997" max="9997" width="11.140625" style="1643" bestFit="1" customWidth="1"/>
    <col min="9998" max="9998" width="10.140625" style="1643" bestFit="1" customWidth="1"/>
    <col min="9999" max="9999" width="11.140625" style="1643" customWidth="1"/>
    <col min="10000" max="10000" width="9.140625" style="1643"/>
    <col min="10001" max="10001" width="9.85546875" style="1643" bestFit="1" customWidth="1"/>
    <col min="10002" max="10003" width="3.28515625" style="1643" bestFit="1" customWidth="1"/>
    <col min="10004" max="10240" width="9.140625" style="1643"/>
    <col min="10241" max="10241" width="42.85546875" style="1643" customWidth="1"/>
    <col min="10242" max="10242" width="9" style="1643" bestFit="1" customWidth="1"/>
    <col min="10243" max="10243" width="11.5703125" style="1643" bestFit="1" customWidth="1"/>
    <col min="10244" max="10244" width="9" style="1643" bestFit="1" customWidth="1"/>
    <col min="10245" max="10245" width="12.7109375" style="1643" bestFit="1" customWidth="1"/>
    <col min="10246" max="10246" width="12.85546875" style="1643" customWidth="1"/>
    <col min="10247" max="10247" width="13" style="1643" customWidth="1"/>
    <col min="10248" max="10248" width="9" style="1643" bestFit="1" customWidth="1"/>
    <col min="10249" max="10249" width="10.42578125" style="1643" bestFit="1" customWidth="1"/>
    <col min="10250" max="10250" width="9" style="1643" bestFit="1" customWidth="1"/>
    <col min="10251" max="10251" width="11.7109375" style="1643" customWidth="1"/>
    <col min="10252" max="10252" width="9" style="1643" bestFit="1" customWidth="1"/>
    <col min="10253" max="10253" width="11.140625" style="1643" bestFit="1" customWidth="1"/>
    <col min="10254" max="10254" width="10.140625" style="1643" bestFit="1" customWidth="1"/>
    <col min="10255" max="10255" width="11.140625" style="1643" customWidth="1"/>
    <col min="10256" max="10256" width="9.140625" style="1643"/>
    <col min="10257" max="10257" width="9.85546875" style="1643" bestFit="1" customWidth="1"/>
    <col min="10258" max="10259" width="3.28515625" style="1643" bestFit="1" customWidth="1"/>
    <col min="10260" max="10496" width="9.140625" style="1643"/>
    <col min="10497" max="10497" width="42.85546875" style="1643" customWidth="1"/>
    <col min="10498" max="10498" width="9" style="1643" bestFit="1" customWidth="1"/>
    <col min="10499" max="10499" width="11.5703125" style="1643" bestFit="1" customWidth="1"/>
    <col min="10500" max="10500" width="9" style="1643" bestFit="1" customWidth="1"/>
    <col min="10501" max="10501" width="12.7109375" style="1643" bestFit="1" customWidth="1"/>
    <col min="10502" max="10502" width="12.85546875" style="1643" customWidth="1"/>
    <col min="10503" max="10503" width="13" style="1643" customWidth="1"/>
    <col min="10504" max="10504" width="9" style="1643" bestFit="1" customWidth="1"/>
    <col min="10505" max="10505" width="10.42578125" style="1643" bestFit="1" customWidth="1"/>
    <col min="10506" max="10506" width="9" style="1643" bestFit="1" customWidth="1"/>
    <col min="10507" max="10507" width="11.7109375" style="1643" customWidth="1"/>
    <col min="10508" max="10508" width="9" style="1643" bestFit="1" customWidth="1"/>
    <col min="10509" max="10509" width="11.140625" style="1643" bestFit="1" customWidth="1"/>
    <col min="10510" max="10510" width="10.140625" style="1643" bestFit="1" customWidth="1"/>
    <col min="10511" max="10511" width="11.140625" style="1643" customWidth="1"/>
    <col min="10512" max="10512" width="9.140625" style="1643"/>
    <col min="10513" max="10513" width="9.85546875" style="1643" bestFit="1" customWidth="1"/>
    <col min="10514" max="10515" width="3.28515625" style="1643" bestFit="1" customWidth="1"/>
    <col min="10516" max="10752" width="9.140625" style="1643"/>
    <col min="10753" max="10753" width="42.85546875" style="1643" customWidth="1"/>
    <col min="10754" max="10754" width="9" style="1643" bestFit="1" customWidth="1"/>
    <col min="10755" max="10755" width="11.5703125" style="1643" bestFit="1" customWidth="1"/>
    <col min="10756" max="10756" width="9" style="1643" bestFit="1" customWidth="1"/>
    <col min="10757" max="10757" width="12.7109375" style="1643" bestFit="1" customWidth="1"/>
    <col min="10758" max="10758" width="12.85546875" style="1643" customWidth="1"/>
    <col min="10759" max="10759" width="13" style="1643" customWidth="1"/>
    <col min="10760" max="10760" width="9" style="1643" bestFit="1" customWidth="1"/>
    <col min="10761" max="10761" width="10.42578125" style="1643" bestFit="1" customWidth="1"/>
    <col min="10762" max="10762" width="9" style="1643" bestFit="1" customWidth="1"/>
    <col min="10763" max="10763" width="11.7109375" style="1643" customWidth="1"/>
    <col min="10764" max="10764" width="9" style="1643" bestFit="1" customWidth="1"/>
    <col min="10765" max="10765" width="11.140625" style="1643" bestFit="1" customWidth="1"/>
    <col min="10766" max="10766" width="10.140625" style="1643" bestFit="1" customWidth="1"/>
    <col min="10767" max="10767" width="11.140625" style="1643" customWidth="1"/>
    <col min="10768" max="10768" width="9.140625" style="1643"/>
    <col min="10769" max="10769" width="9.85546875" style="1643" bestFit="1" customWidth="1"/>
    <col min="10770" max="10771" width="3.28515625" style="1643" bestFit="1" customWidth="1"/>
    <col min="10772" max="11008" width="9.140625" style="1643"/>
    <col min="11009" max="11009" width="42.85546875" style="1643" customWidth="1"/>
    <col min="11010" max="11010" width="9" style="1643" bestFit="1" customWidth="1"/>
    <col min="11011" max="11011" width="11.5703125" style="1643" bestFit="1" customWidth="1"/>
    <col min="11012" max="11012" width="9" style="1643" bestFit="1" customWidth="1"/>
    <col min="11013" max="11013" width="12.7109375" style="1643" bestFit="1" customWidth="1"/>
    <col min="11014" max="11014" width="12.85546875" style="1643" customWidth="1"/>
    <col min="11015" max="11015" width="13" style="1643" customWidth="1"/>
    <col min="11016" max="11016" width="9" style="1643" bestFit="1" customWidth="1"/>
    <col min="11017" max="11017" width="10.42578125" style="1643" bestFit="1" customWidth="1"/>
    <col min="11018" max="11018" width="9" style="1643" bestFit="1" customWidth="1"/>
    <col min="11019" max="11019" width="11.7109375" style="1643" customWidth="1"/>
    <col min="11020" max="11020" width="9" style="1643" bestFit="1" customWidth="1"/>
    <col min="11021" max="11021" width="11.140625" style="1643" bestFit="1" customWidth="1"/>
    <col min="11022" max="11022" width="10.140625" style="1643" bestFit="1" customWidth="1"/>
    <col min="11023" max="11023" width="11.140625" style="1643" customWidth="1"/>
    <col min="11024" max="11024" width="9.140625" style="1643"/>
    <col min="11025" max="11025" width="9.85546875" style="1643" bestFit="1" customWidth="1"/>
    <col min="11026" max="11027" width="3.28515625" style="1643" bestFit="1" customWidth="1"/>
    <col min="11028" max="11264" width="9.140625" style="1643"/>
    <col min="11265" max="11265" width="42.85546875" style="1643" customWidth="1"/>
    <col min="11266" max="11266" width="9" style="1643" bestFit="1" customWidth="1"/>
    <col min="11267" max="11267" width="11.5703125" style="1643" bestFit="1" customWidth="1"/>
    <col min="11268" max="11268" width="9" style="1643" bestFit="1" customWidth="1"/>
    <col min="11269" max="11269" width="12.7109375" style="1643" bestFit="1" customWidth="1"/>
    <col min="11270" max="11270" width="12.85546875" style="1643" customWidth="1"/>
    <col min="11271" max="11271" width="13" style="1643" customWidth="1"/>
    <col min="11272" max="11272" width="9" style="1643" bestFit="1" customWidth="1"/>
    <col min="11273" max="11273" width="10.42578125" style="1643" bestFit="1" customWidth="1"/>
    <col min="11274" max="11274" width="9" style="1643" bestFit="1" customWidth="1"/>
    <col min="11275" max="11275" width="11.7109375" style="1643" customWidth="1"/>
    <col min="11276" max="11276" width="9" style="1643" bestFit="1" customWidth="1"/>
    <col min="11277" max="11277" width="11.140625" style="1643" bestFit="1" customWidth="1"/>
    <col min="11278" max="11278" width="10.140625" style="1643" bestFit="1" customWidth="1"/>
    <col min="11279" max="11279" width="11.140625" style="1643" customWidth="1"/>
    <col min="11280" max="11280" width="9.140625" style="1643"/>
    <col min="11281" max="11281" width="9.85546875" style="1643" bestFit="1" customWidth="1"/>
    <col min="11282" max="11283" width="3.28515625" style="1643" bestFit="1" customWidth="1"/>
    <col min="11284" max="11520" width="9.140625" style="1643"/>
    <col min="11521" max="11521" width="42.85546875" style="1643" customWidth="1"/>
    <col min="11522" max="11522" width="9" style="1643" bestFit="1" customWidth="1"/>
    <col min="11523" max="11523" width="11.5703125" style="1643" bestFit="1" customWidth="1"/>
    <col min="11524" max="11524" width="9" style="1643" bestFit="1" customWidth="1"/>
    <col min="11525" max="11525" width="12.7109375" style="1643" bestFit="1" customWidth="1"/>
    <col min="11526" max="11526" width="12.85546875" style="1643" customWidth="1"/>
    <col min="11527" max="11527" width="13" style="1643" customWidth="1"/>
    <col min="11528" max="11528" width="9" style="1643" bestFit="1" customWidth="1"/>
    <col min="11529" max="11529" width="10.42578125" style="1643" bestFit="1" customWidth="1"/>
    <col min="11530" max="11530" width="9" style="1643" bestFit="1" customWidth="1"/>
    <col min="11531" max="11531" width="11.7109375" style="1643" customWidth="1"/>
    <col min="11532" max="11532" width="9" style="1643" bestFit="1" customWidth="1"/>
    <col min="11533" max="11533" width="11.140625" style="1643" bestFit="1" customWidth="1"/>
    <col min="11534" max="11534" width="10.140625" style="1643" bestFit="1" customWidth="1"/>
    <col min="11535" max="11535" width="11.140625" style="1643" customWidth="1"/>
    <col min="11536" max="11536" width="9.140625" style="1643"/>
    <col min="11537" max="11537" width="9.85546875" style="1643" bestFit="1" customWidth="1"/>
    <col min="11538" max="11539" width="3.28515625" style="1643" bestFit="1" customWidth="1"/>
    <col min="11540" max="11776" width="9.140625" style="1643"/>
    <col min="11777" max="11777" width="42.85546875" style="1643" customWidth="1"/>
    <col min="11778" max="11778" width="9" style="1643" bestFit="1" customWidth="1"/>
    <col min="11779" max="11779" width="11.5703125" style="1643" bestFit="1" customWidth="1"/>
    <col min="11780" max="11780" width="9" style="1643" bestFit="1" customWidth="1"/>
    <col min="11781" max="11781" width="12.7109375" style="1643" bestFit="1" customWidth="1"/>
    <col min="11782" max="11782" width="12.85546875" style="1643" customWidth="1"/>
    <col min="11783" max="11783" width="13" style="1643" customWidth="1"/>
    <col min="11784" max="11784" width="9" style="1643" bestFit="1" customWidth="1"/>
    <col min="11785" max="11785" width="10.42578125" style="1643" bestFit="1" customWidth="1"/>
    <col min="11786" max="11786" width="9" style="1643" bestFit="1" customWidth="1"/>
    <col min="11787" max="11787" width="11.7109375" style="1643" customWidth="1"/>
    <col min="11788" max="11788" width="9" style="1643" bestFit="1" customWidth="1"/>
    <col min="11789" max="11789" width="11.140625" style="1643" bestFit="1" customWidth="1"/>
    <col min="11790" max="11790" width="10.140625" style="1643" bestFit="1" customWidth="1"/>
    <col min="11791" max="11791" width="11.140625" style="1643" customWidth="1"/>
    <col min="11792" max="11792" width="9.140625" style="1643"/>
    <col min="11793" max="11793" width="9.85546875" style="1643" bestFit="1" customWidth="1"/>
    <col min="11794" max="11795" width="3.28515625" style="1643" bestFit="1" customWidth="1"/>
    <col min="11796" max="12032" width="9.140625" style="1643"/>
    <col min="12033" max="12033" width="42.85546875" style="1643" customWidth="1"/>
    <col min="12034" max="12034" width="9" style="1643" bestFit="1" customWidth="1"/>
    <col min="12035" max="12035" width="11.5703125" style="1643" bestFit="1" customWidth="1"/>
    <col min="12036" max="12036" width="9" style="1643" bestFit="1" customWidth="1"/>
    <col min="12037" max="12037" width="12.7109375" style="1643" bestFit="1" customWidth="1"/>
    <col min="12038" max="12038" width="12.85546875" style="1643" customWidth="1"/>
    <col min="12039" max="12039" width="13" style="1643" customWidth="1"/>
    <col min="12040" max="12040" width="9" style="1643" bestFit="1" customWidth="1"/>
    <col min="12041" max="12041" width="10.42578125" style="1643" bestFit="1" customWidth="1"/>
    <col min="12042" max="12042" width="9" style="1643" bestFit="1" customWidth="1"/>
    <col min="12043" max="12043" width="11.7109375" style="1643" customWidth="1"/>
    <col min="12044" max="12044" width="9" style="1643" bestFit="1" customWidth="1"/>
    <col min="12045" max="12045" width="11.140625" style="1643" bestFit="1" customWidth="1"/>
    <col min="12046" max="12046" width="10.140625" style="1643" bestFit="1" customWidth="1"/>
    <col min="12047" max="12047" width="11.140625" style="1643" customWidth="1"/>
    <col min="12048" max="12048" width="9.140625" style="1643"/>
    <col min="12049" max="12049" width="9.85546875" style="1643" bestFit="1" customWidth="1"/>
    <col min="12050" max="12051" width="3.28515625" style="1643" bestFit="1" customWidth="1"/>
    <col min="12052" max="12288" width="9.140625" style="1643"/>
    <col min="12289" max="12289" width="42.85546875" style="1643" customWidth="1"/>
    <col min="12290" max="12290" width="9" style="1643" bestFit="1" customWidth="1"/>
    <col min="12291" max="12291" width="11.5703125" style="1643" bestFit="1" customWidth="1"/>
    <col min="12292" max="12292" width="9" style="1643" bestFit="1" customWidth="1"/>
    <col min="12293" max="12293" width="12.7109375" style="1643" bestFit="1" customWidth="1"/>
    <col min="12294" max="12294" width="12.85546875" style="1643" customWidth="1"/>
    <col min="12295" max="12295" width="13" style="1643" customWidth="1"/>
    <col min="12296" max="12296" width="9" style="1643" bestFit="1" customWidth="1"/>
    <col min="12297" max="12297" width="10.42578125" style="1643" bestFit="1" customWidth="1"/>
    <col min="12298" max="12298" width="9" style="1643" bestFit="1" customWidth="1"/>
    <col min="12299" max="12299" width="11.7109375" style="1643" customWidth="1"/>
    <col min="12300" max="12300" width="9" style="1643" bestFit="1" customWidth="1"/>
    <col min="12301" max="12301" width="11.140625" style="1643" bestFit="1" customWidth="1"/>
    <col min="12302" max="12302" width="10.140625" style="1643" bestFit="1" customWidth="1"/>
    <col min="12303" max="12303" width="11.140625" style="1643" customWidth="1"/>
    <col min="12304" max="12304" width="9.140625" style="1643"/>
    <col min="12305" max="12305" width="9.85546875" style="1643" bestFit="1" customWidth="1"/>
    <col min="12306" max="12307" width="3.28515625" style="1643" bestFit="1" customWidth="1"/>
    <col min="12308" max="12544" width="9.140625" style="1643"/>
    <col min="12545" max="12545" width="42.85546875" style="1643" customWidth="1"/>
    <col min="12546" max="12546" width="9" style="1643" bestFit="1" customWidth="1"/>
    <col min="12547" max="12547" width="11.5703125" style="1643" bestFit="1" customWidth="1"/>
    <col min="12548" max="12548" width="9" style="1643" bestFit="1" customWidth="1"/>
    <col min="12549" max="12549" width="12.7109375" style="1643" bestFit="1" customWidth="1"/>
    <col min="12550" max="12550" width="12.85546875" style="1643" customWidth="1"/>
    <col min="12551" max="12551" width="13" style="1643" customWidth="1"/>
    <col min="12552" max="12552" width="9" style="1643" bestFit="1" customWidth="1"/>
    <col min="12553" max="12553" width="10.42578125" style="1643" bestFit="1" customWidth="1"/>
    <col min="12554" max="12554" width="9" style="1643" bestFit="1" customWidth="1"/>
    <col min="12555" max="12555" width="11.7109375" style="1643" customWidth="1"/>
    <col min="12556" max="12556" width="9" style="1643" bestFit="1" customWidth="1"/>
    <col min="12557" max="12557" width="11.140625" style="1643" bestFit="1" customWidth="1"/>
    <col min="12558" max="12558" width="10.140625" style="1643" bestFit="1" customWidth="1"/>
    <col min="12559" max="12559" width="11.140625" style="1643" customWidth="1"/>
    <col min="12560" max="12560" width="9.140625" style="1643"/>
    <col min="12561" max="12561" width="9.85546875" style="1643" bestFit="1" customWidth="1"/>
    <col min="12562" max="12563" width="3.28515625" style="1643" bestFit="1" customWidth="1"/>
    <col min="12564" max="12800" width="9.140625" style="1643"/>
    <col min="12801" max="12801" width="42.85546875" style="1643" customWidth="1"/>
    <col min="12802" max="12802" width="9" style="1643" bestFit="1" customWidth="1"/>
    <col min="12803" max="12803" width="11.5703125" style="1643" bestFit="1" customWidth="1"/>
    <col min="12804" max="12804" width="9" style="1643" bestFit="1" customWidth="1"/>
    <col min="12805" max="12805" width="12.7109375" style="1643" bestFit="1" customWidth="1"/>
    <col min="12806" max="12806" width="12.85546875" style="1643" customWidth="1"/>
    <col min="12807" max="12807" width="13" style="1643" customWidth="1"/>
    <col min="12808" max="12808" width="9" style="1643" bestFit="1" customWidth="1"/>
    <col min="12809" max="12809" width="10.42578125" style="1643" bestFit="1" customWidth="1"/>
    <col min="12810" max="12810" width="9" style="1643" bestFit="1" customWidth="1"/>
    <col min="12811" max="12811" width="11.7109375" style="1643" customWidth="1"/>
    <col min="12812" max="12812" width="9" style="1643" bestFit="1" customWidth="1"/>
    <col min="12813" max="12813" width="11.140625" style="1643" bestFit="1" customWidth="1"/>
    <col min="12814" max="12814" width="10.140625" style="1643" bestFit="1" customWidth="1"/>
    <col min="12815" max="12815" width="11.140625" style="1643" customWidth="1"/>
    <col min="12816" max="12816" width="9.140625" style="1643"/>
    <col min="12817" max="12817" width="9.85546875" style="1643" bestFit="1" customWidth="1"/>
    <col min="12818" max="12819" width="3.28515625" style="1643" bestFit="1" customWidth="1"/>
    <col min="12820" max="13056" width="9.140625" style="1643"/>
    <col min="13057" max="13057" width="42.85546875" style="1643" customWidth="1"/>
    <col min="13058" max="13058" width="9" style="1643" bestFit="1" customWidth="1"/>
    <col min="13059" max="13059" width="11.5703125" style="1643" bestFit="1" customWidth="1"/>
    <col min="13060" max="13060" width="9" style="1643" bestFit="1" customWidth="1"/>
    <col min="13061" max="13061" width="12.7109375" style="1643" bestFit="1" customWidth="1"/>
    <col min="13062" max="13062" width="12.85546875" style="1643" customWidth="1"/>
    <col min="13063" max="13063" width="13" style="1643" customWidth="1"/>
    <col min="13064" max="13064" width="9" style="1643" bestFit="1" customWidth="1"/>
    <col min="13065" max="13065" width="10.42578125" style="1643" bestFit="1" customWidth="1"/>
    <col min="13066" max="13066" width="9" style="1643" bestFit="1" customWidth="1"/>
    <col min="13067" max="13067" width="11.7109375" style="1643" customWidth="1"/>
    <col min="13068" max="13068" width="9" style="1643" bestFit="1" customWidth="1"/>
    <col min="13069" max="13069" width="11.140625" style="1643" bestFit="1" customWidth="1"/>
    <col min="13070" max="13070" width="10.140625" style="1643" bestFit="1" customWidth="1"/>
    <col min="13071" max="13071" width="11.140625" style="1643" customWidth="1"/>
    <col min="13072" max="13072" width="9.140625" style="1643"/>
    <col min="13073" max="13073" width="9.85546875" style="1643" bestFit="1" customWidth="1"/>
    <col min="13074" max="13075" width="3.28515625" style="1643" bestFit="1" customWidth="1"/>
    <col min="13076" max="13312" width="9.140625" style="1643"/>
    <col min="13313" max="13313" width="42.85546875" style="1643" customWidth="1"/>
    <col min="13314" max="13314" width="9" style="1643" bestFit="1" customWidth="1"/>
    <col min="13315" max="13315" width="11.5703125" style="1643" bestFit="1" customWidth="1"/>
    <col min="13316" max="13316" width="9" style="1643" bestFit="1" customWidth="1"/>
    <col min="13317" max="13317" width="12.7109375" style="1643" bestFit="1" customWidth="1"/>
    <col min="13318" max="13318" width="12.85546875" style="1643" customWidth="1"/>
    <col min="13319" max="13319" width="13" style="1643" customWidth="1"/>
    <col min="13320" max="13320" width="9" style="1643" bestFit="1" customWidth="1"/>
    <col min="13321" max="13321" width="10.42578125" style="1643" bestFit="1" customWidth="1"/>
    <col min="13322" max="13322" width="9" style="1643" bestFit="1" customWidth="1"/>
    <col min="13323" max="13323" width="11.7109375" style="1643" customWidth="1"/>
    <col min="13324" max="13324" width="9" style="1643" bestFit="1" customWidth="1"/>
    <col min="13325" max="13325" width="11.140625" style="1643" bestFit="1" customWidth="1"/>
    <col min="13326" max="13326" width="10.140625" style="1643" bestFit="1" customWidth="1"/>
    <col min="13327" max="13327" width="11.140625" style="1643" customWidth="1"/>
    <col min="13328" max="13328" width="9.140625" style="1643"/>
    <col min="13329" max="13329" width="9.85546875" style="1643" bestFit="1" customWidth="1"/>
    <col min="13330" max="13331" width="3.28515625" style="1643" bestFit="1" customWidth="1"/>
    <col min="13332" max="13568" width="9.140625" style="1643"/>
    <col min="13569" max="13569" width="42.85546875" style="1643" customWidth="1"/>
    <col min="13570" max="13570" width="9" style="1643" bestFit="1" customWidth="1"/>
    <col min="13571" max="13571" width="11.5703125" style="1643" bestFit="1" customWidth="1"/>
    <col min="13572" max="13572" width="9" style="1643" bestFit="1" customWidth="1"/>
    <col min="13573" max="13573" width="12.7109375" style="1643" bestFit="1" customWidth="1"/>
    <col min="13574" max="13574" width="12.85546875" style="1643" customWidth="1"/>
    <col min="13575" max="13575" width="13" style="1643" customWidth="1"/>
    <col min="13576" max="13576" width="9" style="1643" bestFit="1" customWidth="1"/>
    <col min="13577" max="13577" width="10.42578125" style="1643" bestFit="1" customWidth="1"/>
    <col min="13578" max="13578" width="9" style="1643" bestFit="1" customWidth="1"/>
    <col min="13579" max="13579" width="11.7109375" style="1643" customWidth="1"/>
    <col min="13580" max="13580" width="9" style="1643" bestFit="1" customWidth="1"/>
    <col min="13581" max="13581" width="11.140625" style="1643" bestFit="1" customWidth="1"/>
    <col min="13582" max="13582" width="10.140625" style="1643" bestFit="1" customWidth="1"/>
    <col min="13583" max="13583" width="11.140625" style="1643" customWidth="1"/>
    <col min="13584" max="13584" width="9.140625" style="1643"/>
    <col min="13585" max="13585" width="9.85546875" style="1643" bestFit="1" customWidth="1"/>
    <col min="13586" max="13587" width="3.28515625" style="1643" bestFit="1" customWidth="1"/>
    <col min="13588" max="13824" width="9.140625" style="1643"/>
    <col min="13825" max="13825" width="42.85546875" style="1643" customWidth="1"/>
    <col min="13826" max="13826" width="9" style="1643" bestFit="1" customWidth="1"/>
    <col min="13827" max="13827" width="11.5703125" style="1643" bestFit="1" customWidth="1"/>
    <col min="13828" max="13828" width="9" style="1643" bestFit="1" customWidth="1"/>
    <col min="13829" max="13829" width="12.7109375" style="1643" bestFit="1" customWidth="1"/>
    <col min="13830" max="13830" width="12.85546875" style="1643" customWidth="1"/>
    <col min="13831" max="13831" width="13" style="1643" customWidth="1"/>
    <col min="13832" max="13832" width="9" style="1643" bestFit="1" customWidth="1"/>
    <col min="13833" max="13833" width="10.42578125" style="1643" bestFit="1" customWidth="1"/>
    <col min="13834" max="13834" width="9" style="1643" bestFit="1" customWidth="1"/>
    <col min="13835" max="13835" width="11.7109375" style="1643" customWidth="1"/>
    <col min="13836" max="13836" width="9" style="1643" bestFit="1" customWidth="1"/>
    <col min="13837" max="13837" width="11.140625" style="1643" bestFit="1" customWidth="1"/>
    <col min="13838" max="13838" width="10.140625" style="1643" bestFit="1" customWidth="1"/>
    <col min="13839" max="13839" width="11.140625" style="1643" customWidth="1"/>
    <col min="13840" max="13840" width="9.140625" style="1643"/>
    <col min="13841" max="13841" width="9.85546875" style="1643" bestFit="1" customWidth="1"/>
    <col min="13842" max="13843" width="3.28515625" style="1643" bestFit="1" customWidth="1"/>
    <col min="13844" max="14080" width="9.140625" style="1643"/>
    <col min="14081" max="14081" width="42.85546875" style="1643" customWidth="1"/>
    <col min="14082" max="14082" width="9" style="1643" bestFit="1" customWidth="1"/>
    <col min="14083" max="14083" width="11.5703125" style="1643" bestFit="1" customWidth="1"/>
    <col min="14084" max="14084" width="9" style="1643" bestFit="1" customWidth="1"/>
    <col min="14085" max="14085" width="12.7109375" style="1643" bestFit="1" customWidth="1"/>
    <col min="14086" max="14086" width="12.85546875" style="1643" customWidth="1"/>
    <col min="14087" max="14087" width="13" style="1643" customWidth="1"/>
    <col min="14088" max="14088" width="9" style="1643" bestFit="1" customWidth="1"/>
    <col min="14089" max="14089" width="10.42578125" style="1643" bestFit="1" customWidth="1"/>
    <col min="14090" max="14090" width="9" style="1643" bestFit="1" customWidth="1"/>
    <col min="14091" max="14091" width="11.7109375" style="1643" customWidth="1"/>
    <col min="14092" max="14092" width="9" style="1643" bestFit="1" customWidth="1"/>
    <col min="14093" max="14093" width="11.140625" style="1643" bestFit="1" customWidth="1"/>
    <col min="14094" max="14094" width="10.140625" style="1643" bestFit="1" customWidth="1"/>
    <col min="14095" max="14095" width="11.140625" style="1643" customWidth="1"/>
    <col min="14096" max="14096" width="9.140625" style="1643"/>
    <col min="14097" max="14097" width="9.85546875" style="1643" bestFit="1" customWidth="1"/>
    <col min="14098" max="14099" width="3.28515625" style="1643" bestFit="1" customWidth="1"/>
    <col min="14100" max="14336" width="9.140625" style="1643"/>
    <col min="14337" max="14337" width="42.85546875" style="1643" customWidth="1"/>
    <col min="14338" max="14338" width="9" style="1643" bestFit="1" customWidth="1"/>
    <col min="14339" max="14339" width="11.5703125" style="1643" bestFit="1" customWidth="1"/>
    <col min="14340" max="14340" width="9" style="1643" bestFit="1" customWidth="1"/>
    <col min="14341" max="14341" width="12.7109375" style="1643" bestFit="1" customWidth="1"/>
    <col min="14342" max="14342" width="12.85546875" style="1643" customWidth="1"/>
    <col min="14343" max="14343" width="13" style="1643" customWidth="1"/>
    <col min="14344" max="14344" width="9" style="1643" bestFit="1" customWidth="1"/>
    <col min="14345" max="14345" width="10.42578125" style="1643" bestFit="1" customWidth="1"/>
    <col min="14346" max="14346" width="9" style="1643" bestFit="1" customWidth="1"/>
    <col min="14347" max="14347" width="11.7109375" style="1643" customWidth="1"/>
    <col min="14348" max="14348" width="9" style="1643" bestFit="1" customWidth="1"/>
    <col min="14349" max="14349" width="11.140625" style="1643" bestFit="1" customWidth="1"/>
    <col min="14350" max="14350" width="10.140625" style="1643" bestFit="1" customWidth="1"/>
    <col min="14351" max="14351" width="11.140625" style="1643" customWidth="1"/>
    <col min="14352" max="14352" width="9.140625" style="1643"/>
    <col min="14353" max="14353" width="9.85546875" style="1643" bestFit="1" customWidth="1"/>
    <col min="14354" max="14355" width="3.28515625" style="1643" bestFit="1" customWidth="1"/>
    <col min="14356" max="14592" width="9.140625" style="1643"/>
    <col min="14593" max="14593" width="42.85546875" style="1643" customWidth="1"/>
    <col min="14594" max="14594" width="9" style="1643" bestFit="1" customWidth="1"/>
    <col min="14595" max="14595" width="11.5703125" style="1643" bestFit="1" customWidth="1"/>
    <col min="14596" max="14596" width="9" style="1643" bestFit="1" customWidth="1"/>
    <col min="14597" max="14597" width="12.7109375" style="1643" bestFit="1" customWidth="1"/>
    <col min="14598" max="14598" width="12.85546875" style="1643" customWidth="1"/>
    <col min="14599" max="14599" width="13" style="1643" customWidth="1"/>
    <col min="14600" max="14600" width="9" style="1643" bestFit="1" customWidth="1"/>
    <col min="14601" max="14601" width="10.42578125" style="1643" bestFit="1" customWidth="1"/>
    <col min="14602" max="14602" width="9" style="1643" bestFit="1" customWidth="1"/>
    <col min="14603" max="14603" width="11.7109375" style="1643" customWidth="1"/>
    <col min="14604" max="14604" width="9" style="1643" bestFit="1" customWidth="1"/>
    <col min="14605" max="14605" width="11.140625" style="1643" bestFit="1" customWidth="1"/>
    <col min="14606" max="14606" width="10.140625" style="1643" bestFit="1" customWidth="1"/>
    <col min="14607" max="14607" width="11.140625" style="1643" customWidth="1"/>
    <col min="14608" max="14608" width="9.140625" style="1643"/>
    <col min="14609" max="14609" width="9.85546875" style="1643" bestFit="1" customWidth="1"/>
    <col min="14610" max="14611" width="3.28515625" style="1643" bestFit="1" customWidth="1"/>
    <col min="14612" max="14848" width="9.140625" style="1643"/>
    <col min="14849" max="14849" width="42.85546875" style="1643" customWidth="1"/>
    <col min="14850" max="14850" width="9" style="1643" bestFit="1" customWidth="1"/>
    <col min="14851" max="14851" width="11.5703125" style="1643" bestFit="1" customWidth="1"/>
    <col min="14852" max="14852" width="9" style="1643" bestFit="1" customWidth="1"/>
    <col min="14853" max="14853" width="12.7109375" style="1643" bestFit="1" customWidth="1"/>
    <col min="14854" max="14854" width="12.85546875" style="1643" customWidth="1"/>
    <col min="14855" max="14855" width="13" style="1643" customWidth="1"/>
    <col min="14856" max="14856" width="9" style="1643" bestFit="1" customWidth="1"/>
    <col min="14857" max="14857" width="10.42578125" style="1643" bestFit="1" customWidth="1"/>
    <col min="14858" max="14858" width="9" style="1643" bestFit="1" customWidth="1"/>
    <col min="14859" max="14859" width="11.7109375" style="1643" customWidth="1"/>
    <col min="14860" max="14860" width="9" style="1643" bestFit="1" customWidth="1"/>
    <col min="14861" max="14861" width="11.140625" style="1643" bestFit="1" customWidth="1"/>
    <col min="14862" max="14862" width="10.140625" style="1643" bestFit="1" customWidth="1"/>
    <col min="14863" max="14863" width="11.140625" style="1643" customWidth="1"/>
    <col min="14864" max="14864" width="9.140625" style="1643"/>
    <col min="14865" max="14865" width="9.85546875" style="1643" bestFit="1" customWidth="1"/>
    <col min="14866" max="14867" width="3.28515625" style="1643" bestFit="1" customWidth="1"/>
    <col min="14868" max="15104" width="9.140625" style="1643"/>
    <col min="15105" max="15105" width="42.85546875" style="1643" customWidth="1"/>
    <col min="15106" max="15106" width="9" style="1643" bestFit="1" customWidth="1"/>
    <col min="15107" max="15107" width="11.5703125" style="1643" bestFit="1" customWidth="1"/>
    <col min="15108" max="15108" width="9" style="1643" bestFit="1" customWidth="1"/>
    <col min="15109" max="15109" width="12.7109375" style="1643" bestFit="1" customWidth="1"/>
    <col min="15110" max="15110" width="12.85546875" style="1643" customWidth="1"/>
    <col min="15111" max="15111" width="13" style="1643" customWidth="1"/>
    <col min="15112" max="15112" width="9" style="1643" bestFit="1" customWidth="1"/>
    <col min="15113" max="15113" width="10.42578125" style="1643" bestFit="1" customWidth="1"/>
    <col min="15114" max="15114" width="9" style="1643" bestFit="1" customWidth="1"/>
    <col min="15115" max="15115" width="11.7109375" style="1643" customWidth="1"/>
    <col min="15116" max="15116" width="9" style="1643" bestFit="1" customWidth="1"/>
    <col min="15117" max="15117" width="11.140625" style="1643" bestFit="1" customWidth="1"/>
    <col min="15118" max="15118" width="10.140625" style="1643" bestFit="1" customWidth="1"/>
    <col min="15119" max="15119" width="11.140625" style="1643" customWidth="1"/>
    <col min="15120" max="15120" width="9.140625" style="1643"/>
    <col min="15121" max="15121" width="9.85546875" style="1643" bestFit="1" customWidth="1"/>
    <col min="15122" max="15123" width="3.28515625" style="1643" bestFit="1" customWidth="1"/>
    <col min="15124" max="15360" width="9.140625" style="1643"/>
    <col min="15361" max="15361" width="42.85546875" style="1643" customWidth="1"/>
    <col min="15362" max="15362" width="9" style="1643" bestFit="1" customWidth="1"/>
    <col min="15363" max="15363" width="11.5703125" style="1643" bestFit="1" customWidth="1"/>
    <col min="15364" max="15364" width="9" style="1643" bestFit="1" customWidth="1"/>
    <col min="15365" max="15365" width="12.7109375" style="1643" bestFit="1" customWidth="1"/>
    <col min="15366" max="15366" width="12.85546875" style="1643" customWidth="1"/>
    <col min="15367" max="15367" width="13" style="1643" customWidth="1"/>
    <col min="15368" max="15368" width="9" style="1643" bestFit="1" customWidth="1"/>
    <col min="15369" max="15369" width="10.42578125" style="1643" bestFit="1" customWidth="1"/>
    <col min="15370" max="15370" width="9" style="1643" bestFit="1" customWidth="1"/>
    <col min="15371" max="15371" width="11.7109375" style="1643" customWidth="1"/>
    <col min="15372" max="15372" width="9" style="1643" bestFit="1" customWidth="1"/>
    <col min="15373" max="15373" width="11.140625" style="1643" bestFit="1" customWidth="1"/>
    <col min="15374" max="15374" width="10.140625" style="1643" bestFit="1" customWidth="1"/>
    <col min="15375" max="15375" width="11.140625" style="1643" customWidth="1"/>
    <col min="15376" max="15376" width="9.140625" style="1643"/>
    <col min="15377" max="15377" width="9.85546875" style="1643" bestFit="1" customWidth="1"/>
    <col min="15378" max="15379" width="3.28515625" style="1643" bestFit="1" customWidth="1"/>
    <col min="15380" max="15616" width="9.140625" style="1643"/>
    <col min="15617" max="15617" width="42.85546875" style="1643" customWidth="1"/>
    <col min="15618" max="15618" width="9" style="1643" bestFit="1" customWidth="1"/>
    <col min="15619" max="15619" width="11.5703125" style="1643" bestFit="1" customWidth="1"/>
    <col min="15620" max="15620" width="9" style="1643" bestFit="1" customWidth="1"/>
    <col min="15621" max="15621" width="12.7109375" style="1643" bestFit="1" customWidth="1"/>
    <col min="15622" max="15622" width="12.85546875" style="1643" customWidth="1"/>
    <col min="15623" max="15623" width="13" style="1643" customWidth="1"/>
    <col min="15624" max="15624" width="9" style="1643" bestFit="1" customWidth="1"/>
    <col min="15625" max="15625" width="10.42578125" style="1643" bestFit="1" customWidth="1"/>
    <col min="15626" max="15626" width="9" style="1643" bestFit="1" customWidth="1"/>
    <col min="15627" max="15627" width="11.7109375" style="1643" customWidth="1"/>
    <col min="15628" max="15628" width="9" style="1643" bestFit="1" customWidth="1"/>
    <col min="15629" max="15629" width="11.140625" style="1643" bestFit="1" customWidth="1"/>
    <col min="15630" max="15630" width="10.140625" style="1643" bestFit="1" customWidth="1"/>
    <col min="15631" max="15631" width="11.140625" style="1643" customWidth="1"/>
    <col min="15632" max="15632" width="9.140625" style="1643"/>
    <col min="15633" max="15633" width="9.85546875" style="1643" bestFit="1" customWidth="1"/>
    <col min="15634" max="15635" width="3.28515625" style="1643" bestFit="1" customWidth="1"/>
    <col min="15636" max="15872" width="9.140625" style="1643"/>
    <col min="15873" max="15873" width="42.85546875" style="1643" customWidth="1"/>
    <col min="15874" max="15874" width="9" style="1643" bestFit="1" customWidth="1"/>
    <col min="15875" max="15875" width="11.5703125" style="1643" bestFit="1" customWidth="1"/>
    <col min="15876" max="15876" width="9" style="1643" bestFit="1" customWidth="1"/>
    <col min="15877" max="15877" width="12.7109375" style="1643" bestFit="1" customWidth="1"/>
    <col min="15878" max="15878" width="12.85546875" style="1643" customWidth="1"/>
    <col min="15879" max="15879" width="13" style="1643" customWidth="1"/>
    <col min="15880" max="15880" width="9" style="1643" bestFit="1" customWidth="1"/>
    <col min="15881" max="15881" width="10.42578125" style="1643" bestFit="1" customWidth="1"/>
    <col min="15882" max="15882" width="9" style="1643" bestFit="1" customWidth="1"/>
    <col min="15883" max="15883" width="11.7109375" style="1643" customWidth="1"/>
    <col min="15884" max="15884" width="9" style="1643" bestFit="1" customWidth="1"/>
    <col min="15885" max="15885" width="11.140625" style="1643" bestFit="1" customWidth="1"/>
    <col min="15886" max="15886" width="10.140625" style="1643" bestFit="1" customWidth="1"/>
    <col min="15887" max="15887" width="11.140625" style="1643" customWidth="1"/>
    <col min="15888" max="15888" width="9.140625" style="1643"/>
    <col min="15889" max="15889" width="9.85546875" style="1643" bestFit="1" customWidth="1"/>
    <col min="15890" max="15891" width="3.28515625" style="1643" bestFit="1" customWidth="1"/>
    <col min="15892" max="16128" width="9.140625" style="1643"/>
    <col min="16129" max="16129" width="42.85546875" style="1643" customWidth="1"/>
    <col min="16130" max="16130" width="9" style="1643" bestFit="1" customWidth="1"/>
    <col min="16131" max="16131" width="11.5703125" style="1643" bestFit="1" customWidth="1"/>
    <col min="16132" max="16132" width="9" style="1643" bestFit="1" customWidth="1"/>
    <col min="16133" max="16133" width="12.7109375" style="1643" bestFit="1" customWidth="1"/>
    <col min="16134" max="16134" width="12.85546875" style="1643" customWidth="1"/>
    <col min="16135" max="16135" width="13" style="1643" customWidth="1"/>
    <col min="16136" max="16136" width="9" style="1643" bestFit="1" customWidth="1"/>
    <col min="16137" max="16137" width="10.42578125" style="1643" bestFit="1" customWidth="1"/>
    <col min="16138" max="16138" width="9" style="1643" bestFit="1" customWidth="1"/>
    <col min="16139" max="16139" width="11.7109375" style="1643" customWidth="1"/>
    <col min="16140" max="16140" width="9" style="1643" bestFit="1" customWidth="1"/>
    <col min="16141" max="16141" width="11.140625" style="1643" bestFit="1" customWidth="1"/>
    <col min="16142" max="16142" width="10.140625" style="1643" bestFit="1" customWidth="1"/>
    <col min="16143" max="16143" width="11.140625" style="1643" customWidth="1"/>
    <col min="16144" max="16144" width="9.140625" style="1643"/>
    <col min="16145" max="16145" width="9.85546875" style="1643" bestFit="1" customWidth="1"/>
    <col min="16146" max="16147" width="3.28515625" style="1643" bestFit="1" customWidth="1"/>
    <col min="16148" max="16384" width="9.140625" style="1643"/>
  </cols>
  <sheetData>
    <row r="1" spans="1:19" s="1641" customFormat="1" ht="14.25">
      <c r="A1" s="1639" t="s">
        <v>2684</v>
      </c>
      <c r="B1" s="1640"/>
      <c r="C1" s="1640"/>
      <c r="D1" s="1640"/>
      <c r="E1" s="1640"/>
      <c r="F1" s="1640"/>
      <c r="G1" s="1640"/>
      <c r="H1" s="1640"/>
      <c r="I1" s="1640"/>
      <c r="J1" s="1640"/>
      <c r="K1" s="1640"/>
      <c r="N1" s="1642"/>
    </row>
    <row r="2" spans="1:19" s="1639" customFormat="1" ht="14.25">
      <c r="A2" s="1639" t="s">
        <v>2685</v>
      </c>
    </row>
    <row r="3" spans="1:19" ht="15.75" customHeight="1" thickBot="1"/>
    <row r="4" spans="1:19" s="1640" customFormat="1" ht="29.25" customHeight="1" thickTop="1" thickBot="1">
      <c r="A4" s="1645" t="s">
        <v>2686</v>
      </c>
      <c r="B4" s="1646" t="s">
        <v>2687</v>
      </c>
      <c r="C4" s="1647"/>
      <c r="D4" s="1646" t="s">
        <v>322</v>
      </c>
      <c r="E4" s="1647"/>
      <c r="F4" s="1648" t="s">
        <v>2688</v>
      </c>
      <c r="G4" s="1649"/>
      <c r="H4" s="3390" t="s">
        <v>2689</v>
      </c>
      <c r="I4" s="3391"/>
      <c r="J4" s="1646" t="s">
        <v>2690</v>
      </c>
      <c r="K4" s="1647"/>
      <c r="L4" s="1650" t="s">
        <v>319</v>
      </c>
      <c r="M4" s="1651"/>
      <c r="N4" s="1652"/>
    </row>
    <row r="5" spans="1:19" s="1640" customFormat="1" ht="15.75" customHeight="1">
      <c r="A5" s="1653"/>
      <c r="B5" s="1654" t="s">
        <v>2668</v>
      </c>
      <c r="C5" s="1655" t="s">
        <v>862</v>
      </c>
      <c r="D5" s="1654" t="s">
        <v>2669</v>
      </c>
      <c r="E5" s="1655" t="s">
        <v>862</v>
      </c>
      <c r="F5" s="1654" t="s">
        <v>2669</v>
      </c>
      <c r="G5" s="1655" t="s">
        <v>862</v>
      </c>
      <c r="H5" s="1654" t="s">
        <v>2669</v>
      </c>
      <c r="I5" s="1655" t="s">
        <v>862</v>
      </c>
      <c r="J5" s="1654" t="s">
        <v>2669</v>
      </c>
      <c r="K5" s="1655" t="s">
        <v>862</v>
      </c>
      <c r="L5" s="1656" t="s">
        <v>2669</v>
      </c>
      <c r="M5" s="1657" t="s">
        <v>862</v>
      </c>
      <c r="N5" s="1652"/>
    </row>
    <row r="6" spans="1:19" s="1640" customFormat="1" ht="15.75" customHeight="1" thickBot="1">
      <c r="A6" s="1658"/>
      <c r="B6" s="1659" t="s">
        <v>2670</v>
      </c>
      <c r="C6" s="1660" t="s">
        <v>1353</v>
      </c>
      <c r="D6" s="1659" t="s">
        <v>2670</v>
      </c>
      <c r="E6" s="1660" t="s">
        <v>1353</v>
      </c>
      <c r="F6" s="1659" t="s">
        <v>2670</v>
      </c>
      <c r="G6" s="1660" t="s">
        <v>1353</v>
      </c>
      <c r="H6" s="1659" t="s">
        <v>2670</v>
      </c>
      <c r="I6" s="1660" t="s">
        <v>1353</v>
      </c>
      <c r="J6" s="1659" t="s">
        <v>2670</v>
      </c>
      <c r="K6" s="1660" t="s">
        <v>1353</v>
      </c>
      <c r="L6" s="1661" t="s">
        <v>2670</v>
      </c>
      <c r="M6" s="1662" t="s">
        <v>1353</v>
      </c>
      <c r="N6" s="1652"/>
    </row>
    <row r="7" spans="1:19" ht="5.0999999999999996" customHeight="1" thickTop="1">
      <c r="A7" s="1663"/>
      <c r="B7" s="1664"/>
      <c r="C7" s="1665"/>
      <c r="D7" s="1664"/>
      <c r="E7" s="1665"/>
      <c r="F7" s="1664"/>
      <c r="G7" s="1665"/>
      <c r="H7" s="1664"/>
      <c r="I7" s="1665"/>
      <c r="J7" s="1664"/>
      <c r="K7" s="1665"/>
      <c r="L7" s="1666"/>
      <c r="M7" s="1667"/>
    </row>
    <row r="8" spans="1:19" s="1675" customFormat="1" ht="15.75" customHeight="1">
      <c r="A8" s="1668" t="s">
        <v>397</v>
      </c>
      <c r="B8" s="1669">
        <v>661</v>
      </c>
      <c r="C8" s="1670">
        <v>4166320.8618693333</v>
      </c>
      <c r="D8" s="1669">
        <v>768</v>
      </c>
      <c r="E8" s="1670">
        <v>11565482.877024133</v>
      </c>
      <c r="F8" s="1669">
        <v>50</v>
      </c>
      <c r="G8" s="1670">
        <v>2094233.8679633334</v>
      </c>
      <c r="H8" s="1669">
        <v>4</v>
      </c>
      <c r="I8" s="1670">
        <v>73</v>
      </c>
      <c r="J8" s="1669">
        <v>42</v>
      </c>
      <c r="K8" s="1670">
        <v>63031</v>
      </c>
      <c r="L8" s="1671">
        <v>1525</v>
      </c>
      <c r="M8" s="1671">
        <v>17889141.606856801</v>
      </c>
      <c r="N8" s="1672"/>
      <c r="O8" s="1672"/>
      <c r="P8" s="1673"/>
      <c r="Q8" s="1673"/>
      <c r="R8" s="1674"/>
      <c r="S8" s="1674"/>
    </row>
    <row r="9" spans="1:19" s="1675" customFormat="1" ht="5.0999999999999996" customHeight="1">
      <c r="A9" s="1668"/>
      <c r="B9" s="1669"/>
      <c r="C9" s="1670"/>
      <c r="D9" s="1669"/>
      <c r="E9" s="1670"/>
      <c r="F9" s="1669"/>
      <c r="G9" s="1670"/>
      <c r="H9" s="1669"/>
      <c r="I9" s="1670"/>
      <c r="J9" s="1669"/>
      <c r="K9" s="1670"/>
      <c r="L9" s="1671"/>
      <c r="M9" s="1671"/>
      <c r="N9" s="1672"/>
      <c r="O9" s="1672"/>
      <c r="P9" s="1673"/>
      <c r="Q9" s="1673"/>
      <c r="R9" s="1674"/>
      <c r="S9" s="1674"/>
    </row>
    <row r="10" spans="1:19" s="1675" customFormat="1" ht="15.75" customHeight="1">
      <c r="A10" s="1668" t="s">
        <v>408</v>
      </c>
      <c r="B10" s="1669">
        <v>2890</v>
      </c>
      <c r="C10" s="1670">
        <v>6055614.4334129328</v>
      </c>
      <c r="D10" s="1669">
        <v>2556</v>
      </c>
      <c r="E10" s="1670">
        <v>6407367.6818420263</v>
      </c>
      <c r="F10" s="1669">
        <v>804</v>
      </c>
      <c r="G10" s="1670">
        <v>4413717.3702956783</v>
      </c>
      <c r="H10" s="1669">
        <v>12</v>
      </c>
      <c r="I10" s="1670">
        <v>186802.31198</v>
      </c>
      <c r="J10" s="1669">
        <v>1078</v>
      </c>
      <c r="K10" s="1670">
        <v>1620428.649</v>
      </c>
      <c r="L10" s="1671">
        <v>7340</v>
      </c>
      <c r="M10" s="1671">
        <v>18683930.44653064</v>
      </c>
      <c r="N10" s="1672"/>
      <c r="O10" s="1672"/>
      <c r="P10" s="1673"/>
      <c r="Q10" s="1673"/>
      <c r="R10" s="1674"/>
      <c r="S10" s="1674"/>
    </row>
    <row r="11" spans="1:19" s="1675" customFormat="1" ht="5.0999999999999996" customHeight="1">
      <c r="A11" s="1668"/>
      <c r="B11" s="1669"/>
      <c r="C11" s="1670"/>
      <c r="D11" s="1669"/>
      <c r="E11" s="1670"/>
      <c r="F11" s="1669"/>
      <c r="G11" s="1670"/>
      <c r="H11" s="1669"/>
      <c r="I11" s="1670"/>
      <c r="J11" s="1669"/>
      <c r="K11" s="1670"/>
      <c r="L11" s="1671"/>
      <c r="M11" s="1671"/>
      <c r="N11" s="1672"/>
      <c r="O11" s="1672"/>
      <c r="P11" s="1673"/>
      <c r="Q11" s="1673"/>
      <c r="R11" s="1674"/>
      <c r="S11" s="1674"/>
    </row>
    <row r="12" spans="1:19" s="1675" customFormat="1" ht="15.75" customHeight="1">
      <c r="A12" s="1668" t="s">
        <v>425</v>
      </c>
      <c r="B12" s="1669">
        <v>1197</v>
      </c>
      <c r="C12" s="1670">
        <v>4185036.0838734671</v>
      </c>
      <c r="D12" s="1669">
        <v>1350</v>
      </c>
      <c r="E12" s="1670">
        <v>25598222.098209862</v>
      </c>
      <c r="F12" s="1669">
        <v>265</v>
      </c>
      <c r="G12" s="1670">
        <v>14699897.807909964</v>
      </c>
      <c r="H12" s="1669">
        <v>0</v>
      </c>
      <c r="I12" s="1670">
        <v>0</v>
      </c>
      <c r="J12" s="1669">
        <v>1</v>
      </c>
      <c r="K12" s="1670">
        <v>84</v>
      </c>
      <c r="L12" s="1671">
        <v>2813</v>
      </c>
      <c r="M12" s="1671">
        <v>44483239.989993289</v>
      </c>
      <c r="N12" s="1672"/>
      <c r="O12" s="1672"/>
      <c r="P12" s="1673"/>
      <c r="Q12" s="1673"/>
      <c r="R12" s="1674"/>
      <c r="S12" s="1674"/>
    </row>
    <row r="13" spans="1:19" s="1675" customFormat="1" ht="5.0999999999999996" customHeight="1">
      <c r="A13" s="1668"/>
      <c r="B13" s="1669"/>
      <c r="C13" s="1670"/>
      <c r="D13" s="1669"/>
      <c r="E13" s="1670"/>
      <c r="F13" s="1669"/>
      <c r="G13" s="1670"/>
      <c r="H13" s="1669"/>
      <c r="I13" s="1670"/>
      <c r="J13" s="1669"/>
      <c r="K13" s="1670"/>
      <c r="L13" s="1671"/>
      <c r="M13" s="1671"/>
      <c r="N13" s="1672"/>
      <c r="O13" s="1672"/>
      <c r="P13" s="1673"/>
      <c r="Q13" s="1673"/>
      <c r="R13" s="1674"/>
      <c r="S13" s="1674"/>
    </row>
    <row r="14" spans="1:19" s="1675" customFormat="1" ht="15.75" customHeight="1">
      <c r="A14" s="1668" t="s">
        <v>432</v>
      </c>
      <c r="B14" s="1669">
        <v>750</v>
      </c>
      <c r="C14" s="1670">
        <v>509151.37526324665</v>
      </c>
      <c r="D14" s="1669">
        <v>3124</v>
      </c>
      <c r="E14" s="1670">
        <v>2513831.1622463996</v>
      </c>
      <c r="F14" s="1669">
        <v>62</v>
      </c>
      <c r="G14" s="1670">
        <v>1391891.9283449333</v>
      </c>
      <c r="H14" s="1669">
        <v>0</v>
      </c>
      <c r="I14" s="1670">
        <v>0</v>
      </c>
      <c r="J14" s="1669">
        <v>9</v>
      </c>
      <c r="K14" s="1670">
        <v>6699</v>
      </c>
      <c r="L14" s="1671">
        <v>3945</v>
      </c>
      <c r="M14" s="1671">
        <v>4421573.4658545796</v>
      </c>
      <c r="N14" s="1672"/>
      <c r="O14" s="1672"/>
      <c r="P14" s="1673"/>
      <c r="Q14" s="1673"/>
      <c r="R14" s="1674"/>
      <c r="S14" s="1674"/>
    </row>
    <row r="15" spans="1:19" s="1675" customFormat="1" ht="5.0999999999999996" customHeight="1">
      <c r="A15" s="1668"/>
      <c r="B15" s="1669"/>
      <c r="C15" s="1670"/>
      <c r="D15" s="1669"/>
      <c r="E15" s="1670"/>
      <c r="F15" s="1669"/>
      <c r="G15" s="1670"/>
      <c r="H15" s="1669"/>
      <c r="I15" s="1670"/>
      <c r="J15" s="1669"/>
      <c r="K15" s="1670"/>
      <c r="L15" s="1671"/>
      <c r="M15" s="1671"/>
      <c r="N15" s="1672"/>
      <c r="O15" s="1672"/>
      <c r="P15" s="1673"/>
      <c r="Q15" s="1673"/>
      <c r="R15" s="1674"/>
      <c r="S15" s="1674"/>
    </row>
    <row r="16" spans="1:19" s="1675" customFormat="1" ht="15.75" customHeight="1">
      <c r="A16" s="1668" t="s">
        <v>436</v>
      </c>
      <c r="B16" s="1669">
        <v>1474</v>
      </c>
      <c r="C16" s="1670">
        <v>5710681.1639451105</v>
      </c>
      <c r="D16" s="1669">
        <v>50955</v>
      </c>
      <c r="E16" s="1670">
        <v>58963175.854132898</v>
      </c>
      <c r="F16" s="1669">
        <v>270</v>
      </c>
      <c r="G16" s="1670">
        <v>2613075.2930397741</v>
      </c>
      <c r="H16" s="1669">
        <v>99</v>
      </c>
      <c r="I16" s="1670">
        <v>294859.61832999997</v>
      </c>
      <c r="J16" s="1669">
        <v>96</v>
      </c>
      <c r="K16" s="1670">
        <v>64546</v>
      </c>
      <c r="L16" s="1671">
        <v>52894</v>
      </c>
      <c r="M16" s="1671">
        <v>67646337.929447785</v>
      </c>
      <c r="N16" s="1672"/>
      <c r="O16" s="1672"/>
      <c r="P16" s="1673"/>
      <c r="Q16" s="1673"/>
      <c r="R16" s="1674"/>
      <c r="S16" s="1674"/>
    </row>
    <row r="17" spans="1:19" s="1675" customFormat="1" ht="5.0999999999999996" customHeight="1">
      <c r="A17" s="1668"/>
      <c r="B17" s="1669"/>
      <c r="C17" s="1670"/>
      <c r="D17" s="1669"/>
      <c r="E17" s="1670"/>
      <c r="F17" s="1669"/>
      <c r="G17" s="1670"/>
      <c r="H17" s="1669"/>
      <c r="I17" s="1670"/>
      <c r="J17" s="1669"/>
      <c r="K17" s="1670"/>
      <c r="L17" s="1671"/>
      <c r="M17" s="1671"/>
      <c r="N17" s="1672"/>
      <c r="O17" s="1672"/>
      <c r="P17" s="1673"/>
      <c r="Q17" s="1673"/>
      <c r="R17" s="1674"/>
      <c r="S17" s="1674"/>
    </row>
    <row r="18" spans="1:19" s="1675" customFormat="1" ht="15.75" customHeight="1">
      <c r="A18" s="1668" t="s">
        <v>448</v>
      </c>
      <c r="B18" s="1669">
        <v>8627</v>
      </c>
      <c r="C18" s="1670">
        <v>9530557.937760381</v>
      </c>
      <c r="D18" s="1669">
        <v>7778</v>
      </c>
      <c r="E18" s="1670">
        <v>15977238.804937782</v>
      </c>
      <c r="F18" s="1669">
        <v>1138</v>
      </c>
      <c r="G18" s="1670">
        <v>3678883.6929079578</v>
      </c>
      <c r="H18" s="1669">
        <v>110</v>
      </c>
      <c r="I18" s="1670">
        <v>87614.868000000002</v>
      </c>
      <c r="J18" s="1669">
        <v>1701</v>
      </c>
      <c r="K18" s="1670">
        <v>1996190.156</v>
      </c>
      <c r="L18" s="1671">
        <v>19354</v>
      </c>
      <c r="M18" s="1671">
        <v>31270485.459606122</v>
      </c>
      <c r="N18" s="1672"/>
      <c r="O18" s="1672"/>
      <c r="P18" s="1673"/>
      <c r="Q18" s="1673"/>
      <c r="R18" s="1674"/>
      <c r="S18" s="1674"/>
    </row>
    <row r="19" spans="1:19" s="1676" customFormat="1" ht="5.0999999999999996" customHeight="1">
      <c r="A19" s="1668"/>
      <c r="B19" s="1669"/>
      <c r="C19" s="1670"/>
      <c r="D19" s="1669"/>
      <c r="E19" s="1670"/>
      <c r="F19" s="1669"/>
      <c r="G19" s="1670"/>
      <c r="H19" s="1669"/>
      <c r="I19" s="1670"/>
      <c r="J19" s="1669"/>
      <c r="K19" s="1670"/>
      <c r="L19" s="1671"/>
      <c r="M19" s="1671"/>
      <c r="N19" s="1672"/>
      <c r="O19" s="1672"/>
      <c r="P19" s="1673"/>
      <c r="Q19" s="1673"/>
      <c r="R19" s="1674"/>
      <c r="S19" s="1674"/>
    </row>
    <row r="20" spans="1:19" s="1675" customFormat="1" ht="15.75" customHeight="1">
      <c r="A20" s="1668" t="s">
        <v>459</v>
      </c>
      <c r="B20" s="1669">
        <v>690</v>
      </c>
      <c r="C20" s="1670">
        <v>325018.7201037333</v>
      </c>
      <c r="D20" s="1669">
        <v>501</v>
      </c>
      <c r="E20" s="1670">
        <v>649360.98671226669</v>
      </c>
      <c r="F20" s="1669">
        <v>94</v>
      </c>
      <c r="G20" s="1670">
        <v>355965.95059999998</v>
      </c>
      <c r="H20" s="1669">
        <v>0</v>
      </c>
      <c r="I20" s="1670">
        <v>0</v>
      </c>
      <c r="J20" s="1669">
        <v>25</v>
      </c>
      <c r="K20" s="1670">
        <v>10063</v>
      </c>
      <c r="L20" s="1671">
        <v>1310</v>
      </c>
      <c r="M20" s="1671">
        <v>1340408.657416</v>
      </c>
      <c r="N20" s="1672"/>
      <c r="O20" s="1672"/>
      <c r="P20" s="1673"/>
      <c r="Q20" s="1673"/>
      <c r="R20" s="1674"/>
      <c r="S20" s="1674"/>
    </row>
    <row r="21" spans="1:19" s="1675" customFormat="1" ht="5.0999999999999996" customHeight="1">
      <c r="A21" s="1668"/>
      <c r="B21" s="1669"/>
      <c r="C21" s="1670"/>
      <c r="D21" s="1669"/>
      <c r="E21" s="1670"/>
      <c r="F21" s="1669"/>
      <c r="G21" s="1670"/>
      <c r="H21" s="1669"/>
      <c r="I21" s="1670"/>
      <c r="J21" s="1669"/>
      <c r="K21" s="1670"/>
      <c r="L21" s="1671"/>
      <c r="M21" s="1671"/>
      <c r="N21" s="1672"/>
      <c r="O21" s="1672"/>
      <c r="P21" s="1673"/>
      <c r="Q21" s="1673"/>
      <c r="R21" s="1674"/>
      <c r="S21" s="1674"/>
    </row>
    <row r="22" spans="1:19" s="1675" customFormat="1" ht="15.75" customHeight="1">
      <c r="A22" s="1668" t="s">
        <v>466</v>
      </c>
      <c r="B22" s="1669">
        <v>1207</v>
      </c>
      <c r="C22" s="1670">
        <v>4055485.2199892183</v>
      </c>
      <c r="D22" s="1669">
        <v>635</v>
      </c>
      <c r="E22" s="1670">
        <v>13988845.688370885</v>
      </c>
      <c r="F22" s="1669">
        <v>429</v>
      </c>
      <c r="G22" s="1670">
        <v>2874077.0266051125</v>
      </c>
      <c r="H22" s="1669">
        <v>1</v>
      </c>
      <c r="I22" s="1670">
        <v>6576.6</v>
      </c>
      <c r="J22" s="1669">
        <v>20</v>
      </c>
      <c r="K22" s="1670">
        <v>104774</v>
      </c>
      <c r="L22" s="1671">
        <v>2292</v>
      </c>
      <c r="M22" s="1671">
        <v>21029758.534965217</v>
      </c>
      <c r="N22" s="1672"/>
      <c r="O22" s="1672"/>
      <c r="P22" s="1673"/>
      <c r="Q22" s="1673"/>
      <c r="R22" s="1674"/>
      <c r="S22" s="1674"/>
    </row>
    <row r="23" spans="1:19" s="1675" customFormat="1" ht="5.0999999999999996" customHeight="1">
      <c r="A23" s="1668"/>
      <c r="B23" s="1669"/>
      <c r="C23" s="1670"/>
      <c r="D23" s="1669"/>
      <c r="E23" s="1670"/>
      <c r="F23" s="1669"/>
      <c r="G23" s="1670"/>
      <c r="H23" s="1669"/>
      <c r="I23" s="1670"/>
      <c r="J23" s="1669"/>
      <c r="K23" s="1670"/>
      <c r="L23" s="1671"/>
      <c r="M23" s="1671"/>
      <c r="N23" s="1672"/>
      <c r="O23" s="1672"/>
      <c r="P23" s="1673"/>
      <c r="Q23" s="1673"/>
      <c r="R23" s="1674"/>
      <c r="S23" s="1674"/>
    </row>
    <row r="24" spans="1:19" s="1675" customFormat="1" ht="15.75" customHeight="1">
      <c r="A24" s="1668" t="s">
        <v>474</v>
      </c>
      <c r="B24" s="1669">
        <v>90</v>
      </c>
      <c r="C24" s="1670">
        <v>227348.61409386666</v>
      </c>
      <c r="D24" s="1669">
        <v>130</v>
      </c>
      <c r="E24" s="1670">
        <v>4559142.7734175203</v>
      </c>
      <c r="F24" s="1669">
        <v>21</v>
      </c>
      <c r="G24" s="1670">
        <v>149705.12544667066</v>
      </c>
      <c r="H24" s="1669">
        <v>1</v>
      </c>
      <c r="I24" s="1670">
        <v>45</v>
      </c>
      <c r="J24" s="1669">
        <v>8</v>
      </c>
      <c r="K24" s="1670">
        <v>3462</v>
      </c>
      <c r="L24" s="1671">
        <v>250</v>
      </c>
      <c r="M24" s="1671">
        <v>4939703.5129580582</v>
      </c>
      <c r="N24" s="1672"/>
      <c r="O24" s="1672"/>
      <c r="P24" s="1673"/>
      <c r="Q24" s="1673"/>
      <c r="R24" s="1674"/>
      <c r="S24" s="1674"/>
    </row>
    <row r="25" spans="1:19" s="1675" customFormat="1" ht="5.0999999999999996" customHeight="1">
      <c r="A25" s="1668"/>
      <c r="B25" s="1669"/>
      <c r="C25" s="1670"/>
      <c r="D25" s="1669"/>
      <c r="E25" s="1670"/>
      <c r="F25" s="1669"/>
      <c r="G25" s="1670"/>
      <c r="H25" s="1669"/>
      <c r="I25" s="1670"/>
      <c r="J25" s="1669"/>
      <c r="K25" s="1670"/>
      <c r="L25" s="1671"/>
      <c r="M25" s="1671"/>
      <c r="N25" s="1672"/>
      <c r="O25" s="1672"/>
      <c r="P25" s="1673"/>
      <c r="Q25" s="1673"/>
      <c r="R25" s="1674"/>
      <c r="S25" s="1674"/>
    </row>
    <row r="26" spans="1:19" s="1675" customFormat="1" ht="15.75" customHeight="1">
      <c r="A26" s="1668" t="s">
        <v>2691</v>
      </c>
      <c r="B26" s="1669">
        <v>11460.17</v>
      </c>
      <c r="C26" s="1670">
        <v>11545.08275</v>
      </c>
      <c r="D26" s="1669">
        <v>5</v>
      </c>
      <c r="E26" s="1670">
        <v>68174.131150000001</v>
      </c>
      <c r="F26" s="1669">
        <v>1261</v>
      </c>
      <c r="G26" s="1670">
        <v>23002009.464163285</v>
      </c>
      <c r="H26" s="1669">
        <v>0</v>
      </c>
      <c r="I26" s="1670">
        <v>0</v>
      </c>
      <c r="J26" s="1669">
        <v>110</v>
      </c>
      <c r="K26" s="1670">
        <v>1129377</v>
      </c>
      <c r="L26" s="1671">
        <v>12836.17</v>
      </c>
      <c r="M26" s="1671">
        <v>24211105.678063285</v>
      </c>
      <c r="N26" s="1672"/>
      <c r="O26" s="1672"/>
      <c r="P26" s="1673"/>
      <c r="Q26" s="1673"/>
      <c r="R26" s="1674"/>
      <c r="S26" s="1674"/>
    </row>
    <row r="27" spans="1:19" s="1675" customFormat="1" ht="5.0999999999999996" customHeight="1">
      <c r="A27" s="1668"/>
      <c r="B27" s="1669"/>
      <c r="C27" s="1670"/>
      <c r="D27" s="1669"/>
      <c r="E27" s="1670"/>
      <c r="F27" s="1669"/>
      <c r="G27" s="1670"/>
      <c r="H27" s="1669"/>
      <c r="I27" s="1670"/>
      <c r="J27" s="1669"/>
      <c r="K27" s="1670"/>
      <c r="L27" s="1671"/>
      <c r="M27" s="1671"/>
      <c r="N27" s="1672"/>
      <c r="O27" s="1672"/>
      <c r="P27" s="1673"/>
      <c r="Q27" s="1673"/>
      <c r="R27" s="1674"/>
      <c r="S27" s="1674"/>
    </row>
    <row r="28" spans="1:19" s="1675" customFormat="1" ht="15.75" customHeight="1">
      <c r="A28" s="1668" t="s">
        <v>480</v>
      </c>
      <c r="B28" s="1669">
        <v>6</v>
      </c>
      <c r="C28" s="1670">
        <v>36.979900000000001</v>
      </c>
      <c r="D28" s="1669">
        <v>4</v>
      </c>
      <c r="E28" s="1670">
        <v>2396</v>
      </c>
      <c r="F28" s="1669">
        <v>0</v>
      </c>
      <c r="G28" s="1670">
        <v>0</v>
      </c>
      <c r="H28" s="1669">
        <v>0</v>
      </c>
      <c r="I28" s="1670">
        <v>0</v>
      </c>
      <c r="J28" s="1669">
        <v>0</v>
      </c>
      <c r="K28" s="1670">
        <v>0</v>
      </c>
      <c r="L28" s="1671">
        <v>10</v>
      </c>
      <c r="M28" s="1671">
        <v>2432.9798999999998</v>
      </c>
      <c r="N28" s="1672"/>
      <c r="O28" s="1672"/>
      <c r="P28" s="1673"/>
      <c r="Q28" s="1673"/>
      <c r="R28" s="1674"/>
      <c r="S28" s="1674"/>
    </row>
    <row r="29" spans="1:19" s="1675" customFormat="1" ht="5.0999999999999996" customHeight="1">
      <c r="A29" s="1668"/>
      <c r="B29" s="1669"/>
      <c r="C29" s="1670"/>
      <c r="D29" s="1669"/>
      <c r="E29" s="1670"/>
      <c r="F29" s="1669"/>
      <c r="G29" s="1670"/>
      <c r="H29" s="1669"/>
      <c r="I29" s="1670"/>
      <c r="J29" s="1669"/>
      <c r="K29" s="1670"/>
      <c r="L29" s="1671"/>
      <c r="M29" s="1671"/>
      <c r="N29" s="1672"/>
      <c r="O29" s="1672"/>
      <c r="P29" s="1673"/>
      <c r="Q29" s="1673"/>
      <c r="R29" s="1674"/>
      <c r="S29" s="1674"/>
    </row>
    <row r="30" spans="1:19" s="1675" customFormat="1" ht="15.75" customHeight="1">
      <c r="A30" s="1668" t="s">
        <v>481</v>
      </c>
      <c r="B30" s="1669">
        <v>27</v>
      </c>
      <c r="C30" s="1670">
        <v>704685.98674999992</v>
      </c>
      <c r="D30" s="1669">
        <v>76</v>
      </c>
      <c r="E30" s="1670">
        <v>3398205.7939041336</v>
      </c>
      <c r="F30" s="1669">
        <v>13</v>
      </c>
      <c r="G30" s="1670">
        <v>2375799.9625980002</v>
      </c>
      <c r="H30" s="1669">
        <v>0</v>
      </c>
      <c r="I30" s="1670">
        <v>0</v>
      </c>
      <c r="J30" s="1669">
        <v>0</v>
      </c>
      <c r="K30" s="1670">
        <v>0</v>
      </c>
      <c r="L30" s="1671">
        <v>116</v>
      </c>
      <c r="M30" s="1671">
        <v>6478691.743252134</v>
      </c>
      <c r="N30" s="1672"/>
      <c r="O30" s="1672"/>
      <c r="P30" s="1673"/>
      <c r="Q30" s="1673"/>
      <c r="R30" s="1674"/>
      <c r="S30" s="1674"/>
    </row>
    <row r="31" spans="1:19" s="1675" customFormat="1" ht="5.0999999999999996" customHeight="1">
      <c r="A31" s="1668"/>
      <c r="B31" s="1669"/>
      <c r="C31" s="1670"/>
      <c r="D31" s="1669"/>
      <c r="E31" s="1670"/>
      <c r="F31" s="1669"/>
      <c r="G31" s="1670"/>
      <c r="H31" s="1669"/>
      <c r="I31" s="1670"/>
      <c r="J31" s="1669"/>
      <c r="K31" s="1670"/>
      <c r="L31" s="1671"/>
      <c r="M31" s="1671"/>
      <c r="N31" s="1672"/>
      <c r="O31" s="1672"/>
      <c r="P31" s="1673"/>
      <c r="Q31" s="1673"/>
      <c r="R31" s="1674"/>
      <c r="S31" s="1674"/>
    </row>
    <row r="32" spans="1:19" s="1675" customFormat="1" ht="15.75" customHeight="1">
      <c r="A32" s="1668" t="s">
        <v>482</v>
      </c>
      <c r="B32" s="1669">
        <v>0</v>
      </c>
      <c r="C32" s="1670">
        <v>0</v>
      </c>
      <c r="D32" s="1669">
        <v>1</v>
      </c>
      <c r="E32" s="1670">
        <v>17.600900000000003</v>
      </c>
      <c r="F32" s="1669">
        <v>0</v>
      </c>
      <c r="G32" s="1670">
        <v>0</v>
      </c>
      <c r="H32" s="1669">
        <v>0</v>
      </c>
      <c r="I32" s="1670">
        <v>0</v>
      </c>
      <c r="J32" s="1669">
        <v>0</v>
      </c>
      <c r="K32" s="1670">
        <v>0</v>
      </c>
      <c r="L32" s="1671">
        <v>1</v>
      </c>
      <c r="M32" s="1671">
        <v>17.600900000000003</v>
      </c>
      <c r="N32" s="1672"/>
      <c r="O32" s="1672"/>
      <c r="P32" s="1673"/>
      <c r="Q32" s="1673"/>
      <c r="R32" s="1674"/>
      <c r="S32" s="1674"/>
    </row>
    <row r="33" spans="1:19" s="1675" customFormat="1" ht="5.0999999999999996" customHeight="1">
      <c r="A33" s="1668"/>
      <c r="B33" s="1669"/>
      <c r="C33" s="1670"/>
      <c r="D33" s="1669"/>
      <c r="E33" s="1670"/>
      <c r="F33" s="1669"/>
      <c r="G33" s="1670"/>
      <c r="H33" s="1669"/>
      <c r="I33" s="1670"/>
      <c r="J33" s="1669"/>
      <c r="K33" s="1670"/>
      <c r="L33" s="1671"/>
      <c r="M33" s="1671"/>
      <c r="N33" s="1672"/>
      <c r="O33" s="1672"/>
      <c r="P33" s="1673"/>
      <c r="Q33" s="1673"/>
      <c r="R33" s="1674"/>
      <c r="S33" s="1674"/>
    </row>
    <row r="34" spans="1:19" s="1675" customFormat="1" ht="15.75" customHeight="1">
      <c r="A34" s="1668" t="s">
        <v>484</v>
      </c>
      <c r="B34" s="1669">
        <v>79</v>
      </c>
      <c r="C34" s="1670">
        <v>31460.127670000002</v>
      </c>
      <c r="D34" s="1669">
        <v>44</v>
      </c>
      <c r="E34" s="1670">
        <v>134531.86826999998</v>
      </c>
      <c r="F34" s="1669">
        <v>85</v>
      </c>
      <c r="G34" s="1670">
        <v>298764.30979999999</v>
      </c>
      <c r="H34" s="1669">
        <v>0</v>
      </c>
      <c r="I34" s="1670">
        <v>0</v>
      </c>
      <c r="J34" s="1669">
        <v>35</v>
      </c>
      <c r="K34" s="1670">
        <v>24151</v>
      </c>
      <c r="L34" s="1671">
        <v>243</v>
      </c>
      <c r="M34" s="1671">
        <v>488907.30573999998</v>
      </c>
      <c r="N34" s="1672"/>
      <c r="O34" s="1672"/>
      <c r="P34" s="1673"/>
      <c r="Q34" s="1673"/>
      <c r="R34" s="1674"/>
      <c r="S34" s="1674"/>
    </row>
    <row r="35" spans="1:19" s="1675" customFormat="1" ht="5.0999999999999996" customHeight="1">
      <c r="A35" s="1668"/>
      <c r="B35" s="1669"/>
      <c r="C35" s="1670"/>
      <c r="D35" s="1669"/>
      <c r="E35" s="1670"/>
      <c r="F35" s="1669"/>
      <c r="G35" s="1670"/>
      <c r="H35" s="1669"/>
      <c r="I35" s="1670"/>
      <c r="J35" s="1669"/>
      <c r="K35" s="1670"/>
      <c r="L35" s="1671"/>
      <c r="M35" s="1671"/>
      <c r="N35" s="1672"/>
      <c r="O35" s="1672"/>
      <c r="P35" s="1673"/>
      <c r="Q35" s="1673"/>
      <c r="R35" s="1674"/>
      <c r="S35" s="1674"/>
    </row>
    <row r="36" spans="1:19" s="1675" customFormat="1" ht="15.75" customHeight="1">
      <c r="A36" s="1668" t="s">
        <v>483</v>
      </c>
      <c r="B36" s="1669">
        <v>0</v>
      </c>
      <c r="C36" s="1670">
        <v>-0.47505213333306529</v>
      </c>
      <c r="D36" s="1669">
        <v>0</v>
      </c>
      <c r="E36" s="1670">
        <v>0</v>
      </c>
      <c r="F36" s="1669">
        <v>0</v>
      </c>
      <c r="G36" s="1670">
        <v>0</v>
      </c>
      <c r="H36" s="1669">
        <v>0</v>
      </c>
      <c r="I36" s="1670">
        <v>0</v>
      </c>
      <c r="J36" s="1669">
        <v>0</v>
      </c>
      <c r="K36" s="1670">
        <v>0</v>
      </c>
      <c r="L36" s="1671">
        <v>0</v>
      </c>
      <c r="M36" s="1671">
        <v>-0.47505213333306529</v>
      </c>
      <c r="N36" s="1672"/>
      <c r="O36" s="1672"/>
      <c r="P36" s="1673"/>
      <c r="Q36" s="1673"/>
      <c r="R36" s="1674"/>
      <c r="S36" s="1674"/>
    </row>
    <row r="37" spans="1:19" s="1675" customFormat="1" ht="5.0999999999999996" customHeight="1">
      <c r="A37" s="1668"/>
      <c r="B37" s="1669"/>
      <c r="C37" s="1670"/>
      <c r="D37" s="1669"/>
      <c r="E37" s="1670"/>
      <c r="F37" s="1669"/>
      <c r="G37" s="1670"/>
      <c r="H37" s="1669"/>
      <c r="I37" s="1670"/>
      <c r="J37" s="1669"/>
      <c r="K37" s="1670"/>
      <c r="L37" s="1671"/>
      <c r="M37" s="1671"/>
      <c r="N37" s="1672"/>
      <c r="O37" s="1672"/>
      <c r="P37" s="1673"/>
      <c r="Q37" s="1673"/>
      <c r="R37" s="1674"/>
      <c r="S37" s="1674"/>
    </row>
    <row r="38" spans="1:19" s="1675" customFormat="1" ht="15.75" customHeight="1">
      <c r="A38" s="1668" t="s">
        <v>485</v>
      </c>
      <c r="B38" s="1669">
        <v>11</v>
      </c>
      <c r="C38" s="1670">
        <v>23114.347600000001</v>
      </c>
      <c r="D38" s="1669">
        <v>91</v>
      </c>
      <c r="E38" s="1670">
        <v>614934.05475000001</v>
      </c>
      <c r="F38" s="1669">
        <v>3</v>
      </c>
      <c r="G38" s="1670">
        <v>2951.42373</v>
      </c>
      <c r="H38" s="1669">
        <v>0</v>
      </c>
      <c r="I38" s="1670">
        <v>0</v>
      </c>
      <c r="J38" s="1669">
        <v>0</v>
      </c>
      <c r="K38" s="1670">
        <v>0</v>
      </c>
      <c r="L38" s="1671">
        <v>105</v>
      </c>
      <c r="M38" s="1671">
        <v>640999.82608000003</v>
      </c>
      <c r="N38" s="1672"/>
      <c r="O38" s="1672"/>
      <c r="P38" s="1673"/>
      <c r="Q38" s="1673"/>
      <c r="R38" s="1674"/>
      <c r="S38" s="1674"/>
    </row>
    <row r="39" spans="1:19" s="1675" customFormat="1" ht="5.0999999999999996" customHeight="1">
      <c r="A39" s="1668"/>
      <c r="B39" s="1669"/>
      <c r="C39" s="1670"/>
      <c r="D39" s="1669"/>
      <c r="E39" s="1670"/>
      <c r="F39" s="1669"/>
      <c r="G39" s="1670"/>
      <c r="H39" s="1669"/>
      <c r="I39" s="1670"/>
      <c r="J39" s="1669"/>
      <c r="K39" s="1670"/>
      <c r="L39" s="1671"/>
      <c r="M39" s="1671"/>
      <c r="N39" s="1672"/>
      <c r="O39" s="1672"/>
      <c r="P39" s="1673"/>
      <c r="Q39" s="1673"/>
      <c r="R39" s="1674"/>
      <c r="S39" s="1674"/>
    </row>
    <row r="40" spans="1:19" s="1675" customFormat="1" ht="15.75" customHeight="1">
      <c r="A40" s="1668" t="s">
        <v>501</v>
      </c>
      <c r="B40" s="1669">
        <v>1</v>
      </c>
      <c r="C40" s="1670">
        <v>179.28139000000002</v>
      </c>
      <c r="D40" s="1669">
        <v>0</v>
      </c>
      <c r="E40" s="1670">
        <v>0</v>
      </c>
      <c r="F40" s="1669">
        <v>0</v>
      </c>
      <c r="G40" s="1670">
        <v>0</v>
      </c>
      <c r="H40" s="1669">
        <v>0</v>
      </c>
      <c r="I40" s="1670">
        <v>0</v>
      </c>
      <c r="J40" s="1669">
        <v>0</v>
      </c>
      <c r="K40" s="1670">
        <v>0</v>
      </c>
      <c r="L40" s="1671">
        <v>1</v>
      </c>
      <c r="M40" s="1671">
        <v>179.28139000000002</v>
      </c>
      <c r="N40" s="1672"/>
      <c r="O40" s="1672"/>
      <c r="P40" s="1673"/>
      <c r="Q40" s="1673"/>
      <c r="R40" s="1674"/>
      <c r="S40" s="1674"/>
    </row>
    <row r="41" spans="1:19" s="1675" customFormat="1" ht="5.0999999999999996" customHeight="1">
      <c r="A41" s="1668"/>
      <c r="B41" s="1669"/>
      <c r="C41" s="1670"/>
      <c r="D41" s="1669"/>
      <c r="E41" s="1670"/>
      <c r="F41" s="1669"/>
      <c r="G41" s="1670"/>
      <c r="H41" s="1669"/>
      <c r="I41" s="1670"/>
      <c r="J41" s="1669"/>
      <c r="K41" s="1670"/>
      <c r="L41" s="1671"/>
      <c r="M41" s="1671"/>
      <c r="N41" s="1672"/>
      <c r="O41" s="1672"/>
      <c r="P41" s="1673"/>
      <c r="Q41" s="1673"/>
      <c r="R41" s="1674"/>
      <c r="S41" s="1674"/>
    </row>
    <row r="42" spans="1:19" s="1675" customFormat="1" ht="15.75" customHeight="1">
      <c r="A42" s="1668" t="s">
        <v>2692</v>
      </c>
      <c r="B42" s="1669">
        <v>286484</v>
      </c>
      <c r="C42" s="1670">
        <v>4414681.4339154335</v>
      </c>
      <c r="D42" s="1669">
        <v>93439</v>
      </c>
      <c r="E42" s="1670">
        <v>17103982.090387959</v>
      </c>
      <c r="F42" s="1669">
        <v>1708</v>
      </c>
      <c r="G42" s="1670">
        <v>493183.58116613462</v>
      </c>
      <c r="H42" s="1669">
        <v>38076</v>
      </c>
      <c r="I42" s="1670">
        <v>1578989.37</v>
      </c>
      <c r="J42" s="1669">
        <v>45</v>
      </c>
      <c r="K42" s="1670">
        <v>14853</v>
      </c>
      <c r="L42" s="1671">
        <v>419752</v>
      </c>
      <c r="M42" s="1671">
        <v>23605689.475469526</v>
      </c>
      <c r="N42" s="1672"/>
      <c r="O42" s="1672"/>
      <c r="P42" s="1673"/>
      <c r="Q42" s="1673"/>
      <c r="R42" s="1674"/>
      <c r="S42" s="1674"/>
    </row>
    <row r="43" spans="1:19" s="1675" customFormat="1" ht="5.0999999999999996" customHeight="1">
      <c r="A43" s="1668"/>
      <c r="B43" s="1669"/>
      <c r="C43" s="1670"/>
      <c r="D43" s="1669"/>
      <c r="E43" s="1670"/>
      <c r="F43" s="1669"/>
      <c r="G43" s="1670"/>
      <c r="H43" s="1669"/>
      <c r="I43" s="1670"/>
      <c r="J43" s="1669"/>
      <c r="K43" s="1670"/>
      <c r="L43" s="1671"/>
      <c r="M43" s="1671"/>
      <c r="N43" s="1672"/>
      <c r="O43" s="1672"/>
      <c r="P43" s="1673"/>
      <c r="Q43" s="1673"/>
      <c r="R43" s="1674"/>
      <c r="S43" s="1674"/>
    </row>
    <row r="44" spans="1:19" s="1675" customFormat="1" ht="15.75" customHeight="1">
      <c r="A44" s="1668" t="s">
        <v>2693</v>
      </c>
      <c r="B44" s="1669">
        <v>3294</v>
      </c>
      <c r="C44" s="1670">
        <v>439633.61225120077</v>
      </c>
      <c r="D44" s="1669">
        <v>1344</v>
      </c>
      <c r="E44" s="1670">
        <v>900374.79124546668</v>
      </c>
      <c r="F44" s="1669">
        <v>107</v>
      </c>
      <c r="G44" s="1670">
        <v>38514.630253999996</v>
      </c>
      <c r="H44" s="1669">
        <v>78</v>
      </c>
      <c r="I44" s="1670">
        <v>3594.8</v>
      </c>
      <c r="J44" s="1669">
        <v>8</v>
      </c>
      <c r="K44" s="1670">
        <v>2991</v>
      </c>
      <c r="L44" s="1671">
        <v>4831</v>
      </c>
      <c r="M44" s="1671">
        <v>1385108.8337506675</v>
      </c>
      <c r="N44" s="1672"/>
      <c r="O44" s="1672"/>
      <c r="P44" s="1673"/>
      <c r="Q44" s="1673"/>
      <c r="R44" s="1674"/>
      <c r="S44" s="1674"/>
    </row>
    <row r="45" spans="1:19" s="1675" customFormat="1" ht="5.0999999999999996" customHeight="1">
      <c r="A45" s="1668"/>
      <c r="B45" s="1669"/>
      <c r="C45" s="1670"/>
      <c r="D45" s="1669"/>
      <c r="E45" s="1670"/>
      <c r="F45" s="1669"/>
      <c r="G45" s="1670"/>
      <c r="H45" s="1669"/>
      <c r="I45" s="1670"/>
      <c r="J45" s="1669"/>
      <c r="K45" s="1670"/>
      <c r="L45" s="1671"/>
      <c r="M45" s="1671"/>
      <c r="N45" s="1672"/>
      <c r="O45" s="1672"/>
      <c r="P45" s="1673"/>
      <c r="Q45" s="1673"/>
      <c r="R45" s="1674"/>
      <c r="S45" s="1674"/>
    </row>
    <row r="46" spans="1:19" s="1675" customFormat="1" ht="15.75" customHeight="1">
      <c r="A46" s="1668" t="s">
        <v>489</v>
      </c>
      <c r="B46" s="1669">
        <v>172</v>
      </c>
      <c r="C46" s="1670">
        <v>58073.022100000002</v>
      </c>
      <c r="D46" s="1669">
        <v>763</v>
      </c>
      <c r="E46" s="1670">
        <v>1209332.5258353334</v>
      </c>
      <c r="F46" s="1669">
        <v>10</v>
      </c>
      <c r="G46" s="1670">
        <v>769.6</v>
      </c>
      <c r="H46" s="1669">
        <v>0</v>
      </c>
      <c r="I46" s="1670">
        <v>0</v>
      </c>
      <c r="J46" s="1669">
        <v>0</v>
      </c>
      <c r="K46" s="1670">
        <v>0</v>
      </c>
      <c r="L46" s="1671">
        <v>945</v>
      </c>
      <c r="M46" s="1671">
        <v>1268175.1479353334</v>
      </c>
      <c r="N46" s="1672"/>
      <c r="O46" s="1672"/>
      <c r="P46" s="1673"/>
      <c r="Q46" s="1673"/>
      <c r="R46" s="1674"/>
      <c r="S46" s="1674"/>
    </row>
    <row r="47" spans="1:19" s="1675" customFormat="1" ht="5.0999999999999996" customHeight="1">
      <c r="A47" s="1668"/>
      <c r="B47" s="1669"/>
      <c r="C47" s="1670"/>
      <c r="D47" s="1669"/>
      <c r="E47" s="1670"/>
      <c r="F47" s="1669"/>
      <c r="G47" s="1670"/>
      <c r="H47" s="1669"/>
      <c r="I47" s="1670"/>
      <c r="J47" s="1669"/>
      <c r="K47" s="1670"/>
      <c r="L47" s="1671"/>
      <c r="M47" s="1671"/>
      <c r="N47" s="1672"/>
      <c r="O47" s="1672"/>
      <c r="P47" s="1673"/>
      <c r="Q47" s="1673"/>
      <c r="R47" s="1674"/>
      <c r="S47" s="1674"/>
    </row>
    <row r="48" spans="1:19" s="1675" customFormat="1" ht="15.75" customHeight="1">
      <c r="A48" s="1668" t="s">
        <v>490</v>
      </c>
      <c r="B48" s="1669">
        <v>3</v>
      </c>
      <c r="C48" s="1670">
        <v>921.79827</v>
      </c>
      <c r="D48" s="1669">
        <v>2</v>
      </c>
      <c r="E48" s="1670">
        <v>763</v>
      </c>
      <c r="F48" s="1669">
        <v>0</v>
      </c>
      <c r="G48" s="1670">
        <v>3.5270000000000003E-2</v>
      </c>
      <c r="H48" s="1669">
        <v>0</v>
      </c>
      <c r="I48" s="1670">
        <v>0</v>
      </c>
      <c r="J48" s="1669">
        <v>0</v>
      </c>
      <c r="K48" s="1670">
        <v>0</v>
      </c>
      <c r="L48" s="1671">
        <v>5</v>
      </c>
      <c r="M48" s="1671">
        <v>1684.8335400000001</v>
      </c>
      <c r="N48" s="1672"/>
      <c r="O48" s="1672"/>
      <c r="P48" s="1673"/>
      <c r="Q48" s="1673"/>
      <c r="R48" s="1674"/>
      <c r="S48" s="1674"/>
    </row>
    <row r="49" spans="1:114" s="1675" customFormat="1" ht="5.0999999999999996" customHeight="1">
      <c r="A49" s="1668"/>
      <c r="B49" s="1669"/>
      <c r="C49" s="1670"/>
      <c r="D49" s="1669"/>
      <c r="E49" s="1670"/>
      <c r="F49" s="1669"/>
      <c r="G49" s="1670"/>
      <c r="H49" s="1669"/>
      <c r="I49" s="1670"/>
      <c r="J49" s="1669"/>
      <c r="K49" s="1670"/>
      <c r="L49" s="1671"/>
      <c r="M49" s="1671"/>
      <c r="N49" s="1672"/>
      <c r="O49" s="1672"/>
      <c r="P49" s="1673"/>
      <c r="Q49" s="1673"/>
      <c r="R49" s="1674"/>
      <c r="S49" s="1674"/>
    </row>
    <row r="50" spans="1:114" s="1675" customFormat="1" ht="15.75" customHeight="1">
      <c r="A50" s="1668" t="s">
        <v>2694</v>
      </c>
      <c r="B50" s="1669">
        <v>346</v>
      </c>
      <c r="C50" s="1670">
        <v>168777.71142440001</v>
      </c>
      <c r="D50" s="1669">
        <v>310</v>
      </c>
      <c r="E50" s="1670">
        <v>708839.22201000003</v>
      </c>
      <c r="F50" s="1669">
        <v>32</v>
      </c>
      <c r="G50" s="1670">
        <v>6111.9077800000005</v>
      </c>
      <c r="H50" s="1669">
        <v>4</v>
      </c>
      <c r="I50" s="1670">
        <v>321.65039999999999</v>
      </c>
      <c r="J50" s="1669">
        <v>14</v>
      </c>
      <c r="K50" s="1670">
        <v>6985</v>
      </c>
      <c r="L50" s="1671">
        <v>706</v>
      </c>
      <c r="M50" s="1671">
        <v>891035.49161440006</v>
      </c>
      <c r="N50" s="1672"/>
      <c r="O50" s="1672"/>
      <c r="P50" s="1673"/>
      <c r="Q50" s="1673"/>
      <c r="R50" s="1674"/>
      <c r="S50" s="1674"/>
    </row>
    <row r="51" spans="1:114" s="1675" customFormat="1" ht="5.0999999999999996" customHeight="1">
      <c r="A51" s="1668"/>
      <c r="B51" s="1669"/>
      <c r="C51" s="1670"/>
      <c r="D51" s="1669"/>
      <c r="E51" s="1670"/>
      <c r="F51" s="1669"/>
      <c r="G51" s="1670"/>
      <c r="H51" s="1669"/>
      <c r="I51" s="1670"/>
      <c r="J51" s="1669"/>
      <c r="K51" s="1670"/>
      <c r="L51" s="1671"/>
      <c r="M51" s="1671"/>
      <c r="N51" s="1672"/>
      <c r="O51" s="1672"/>
      <c r="P51" s="1673"/>
      <c r="Q51" s="1673"/>
      <c r="R51" s="1674"/>
      <c r="S51" s="1674"/>
    </row>
    <row r="52" spans="1:114" s="1675" customFormat="1" ht="15.75" customHeight="1">
      <c r="A52" s="1668" t="s">
        <v>368</v>
      </c>
      <c r="B52" s="1669">
        <v>2029</v>
      </c>
      <c r="C52" s="1670">
        <v>1127178.9240043997</v>
      </c>
      <c r="D52" s="1669">
        <v>7393</v>
      </c>
      <c r="E52" s="1670">
        <v>3057515.095528041</v>
      </c>
      <c r="F52" s="1669">
        <v>109</v>
      </c>
      <c r="G52" s="1670">
        <v>114233.98458999999</v>
      </c>
      <c r="H52" s="1669">
        <v>5</v>
      </c>
      <c r="I52" s="1670">
        <v>2856.20865</v>
      </c>
      <c r="J52" s="1669">
        <v>72</v>
      </c>
      <c r="K52" s="1670">
        <v>22982.06</v>
      </c>
      <c r="L52" s="1671">
        <v>9608</v>
      </c>
      <c r="M52" s="1671">
        <v>4324766.2727724407</v>
      </c>
      <c r="N52" s="1672"/>
      <c r="O52" s="1672"/>
      <c r="P52" s="1673"/>
      <c r="Q52" s="1673"/>
      <c r="R52" s="1674"/>
      <c r="S52" s="1674"/>
    </row>
    <row r="53" spans="1:114" ht="5.0999999999999996" customHeight="1">
      <c r="A53" s="1677"/>
      <c r="B53" s="1678"/>
      <c r="C53" s="1679"/>
      <c r="D53" s="1678"/>
      <c r="E53" s="1679"/>
      <c r="F53" s="1678"/>
      <c r="G53" s="1679"/>
      <c r="H53" s="1678"/>
      <c r="I53" s="1679"/>
      <c r="J53" s="1678"/>
      <c r="K53" s="1679"/>
      <c r="L53" s="1671"/>
      <c r="M53" s="1671"/>
      <c r="N53" s="1672"/>
      <c r="O53" s="1672"/>
      <c r="P53" s="1673"/>
      <c r="Q53" s="1673"/>
      <c r="R53" s="1674"/>
      <c r="S53" s="1674"/>
    </row>
    <row r="54" spans="1:114" s="1640" customFormat="1" ht="15" customHeight="1">
      <c r="A54" s="1680" t="s">
        <v>369</v>
      </c>
      <c r="B54" s="1681">
        <v>321498.17</v>
      </c>
      <c r="C54" s="1682">
        <v>41745502.243284598</v>
      </c>
      <c r="D54" s="1681">
        <v>171269</v>
      </c>
      <c r="E54" s="1682">
        <v>167421734.10087469</v>
      </c>
      <c r="F54" s="1681">
        <v>6461</v>
      </c>
      <c r="G54" s="1682">
        <v>58603786.962464847</v>
      </c>
      <c r="H54" s="1681">
        <v>38390</v>
      </c>
      <c r="I54" s="1682">
        <v>2161733.4273600001</v>
      </c>
      <c r="J54" s="1681">
        <v>3264</v>
      </c>
      <c r="K54" s="1682">
        <v>5070616.8649999993</v>
      </c>
      <c r="L54" s="1671">
        <v>540882.17000000004</v>
      </c>
      <c r="M54" s="1671">
        <v>275003373.59898412</v>
      </c>
      <c r="N54" s="1672"/>
      <c r="O54" s="1672"/>
      <c r="P54" s="1673"/>
      <c r="Q54" s="1673"/>
      <c r="R54" s="1674"/>
      <c r="S54" s="1674"/>
    </row>
    <row r="55" spans="1:114" ht="7.5" customHeight="1" thickBot="1">
      <c r="A55" s="1683"/>
      <c r="B55" s="1684"/>
      <c r="C55" s="1685"/>
      <c r="D55" s="1684"/>
      <c r="E55" s="1685"/>
      <c r="F55" s="1684"/>
      <c r="G55" s="1685"/>
      <c r="H55" s="1684"/>
      <c r="I55" s="1685"/>
      <c r="J55" s="1684"/>
      <c r="K55" s="1685"/>
      <c r="L55" s="1686"/>
      <c r="M55" s="1687"/>
      <c r="N55" s="1672"/>
      <c r="O55" s="1672"/>
    </row>
    <row r="56" spans="1:114" s="1689" customFormat="1" ht="13.5" thickTop="1">
      <c r="A56" s="1688" t="s">
        <v>2695</v>
      </c>
      <c r="E56" s="1690" t="s">
        <v>361</v>
      </c>
    </row>
    <row r="57" spans="1:114" ht="15.75" customHeight="1">
      <c r="B57" s="1691"/>
      <c r="C57" s="1691"/>
      <c r="D57" s="1691"/>
      <c r="E57" s="1691"/>
      <c r="F57" s="1691"/>
      <c r="G57" s="1691"/>
      <c r="H57" s="1691"/>
      <c r="I57" s="1691"/>
      <c r="J57" s="1691"/>
      <c r="K57" s="1691"/>
      <c r="L57" s="1691"/>
      <c r="M57" s="1691"/>
      <c r="N57" s="1672"/>
      <c r="O57" s="1691"/>
      <c r="P57" s="1691"/>
      <c r="Q57" s="1691"/>
      <c r="R57" s="1691"/>
      <c r="S57" s="1691"/>
      <c r="T57" s="1691"/>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1"/>
      <c r="AV57" s="1691"/>
      <c r="AW57" s="1691"/>
      <c r="AX57" s="1691"/>
      <c r="AY57" s="1691"/>
      <c r="AZ57" s="1691"/>
      <c r="BA57" s="1691"/>
      <c r="BB57" s="1691"/>
      <c r="BC57" s="1691"/>
      <c r="BD57" s="1691"/>
      <c r="BE57" s="1691"/>
      <c r="BF57" s="1691"/>
      <c r="BG57" s="1691"/>
      <c r="BH57" s="1691"/>
      <c r="BI57" s="1691"/>
      <c r="BJ57" s="1691"/>
      <c r="BK57" s="1691"/>
      <c r="BL57" s="1691"/>
      <c r="BM57" s="1691"/>
      <c r="BN57" s="1691"/>
      <c r="BO57" s="1691">
        <f t="shared" ref="BO57:DJ57" si="0">SUM(BO8:BO53)</f>
        <v>0</v>
      </c>
      <c r="BP57" s="1691">
        <f t="shared" si="0"/>
        <v>0</v>
      </c>
      <c r="BQ57" s="1691">
        <f t="shared" si="0"/>
        <v>0</v>
      </c>
      <c r="BR57" s="1691">
        <f t="shared" si="0"/>
        <v>0</v>
      </c>
      <c r="BS57" s="1691">
        <f t="shared" si="0"/>
        <v>0</v>
      </c>
      <c r="BT57" s="1691">
        <f t="shared" si="0"/>
        <v>0</v>
      </c>
      <c r="BU57" s="1691">
        <f t="shared" si="0"/>
        <v>0</v>
      </c>
      <c r="BV57" s="1691">
        <f t="shared" si="0"/>
        <v>0</v>
      </c>
      <c r="BW57" s="1691">
        <f t="shared" si="0"/>
        <v>0</v>
      </c>
      <c r="BX57" s="1691">
        <f t="shared" si="0"/>
        <v>0</v>
      </c>
      <c r="BY57" s="1691">
        <f t="shared" si="0"/>
        <v>0</v>
      </c>
      <c r="BZ57" s="1691">
        <f t="shared" si="0"/>
        <v>0</v>
      </c>
      <c r="CA57" s="1691">
        <f t="shared" si="0"/>
        <v>0</v>
      </c>
      <c r="CB57" s="1691">
        <f t="shared" si="0"/>
        <v>0</v>
      </c>
      <c r="CC57" s="1691">
        <f t="shared" si="0"/>
        <v>0</v>
      </c>
      <c r="CD57" s="1691">
        <f t="shared" si="0"/>
        <v>0</v>
      </c>
      <c r="CE57" s="1691">
        <f t="shared" si="0"/>
        <v>0</v>
      </c>
      <c r="CF57" s="1691">
        <f t="shared" si="0"/>
        <v>0</v>
      </c>
      <c r="CG57" s="1691">
        <f t="shared" si="0"/>
        <v>0</v>
      </c>
      <c r="CH57" s="1691">
        <f t="shared" si="0"/>
        <v>0</v>
      </c>
      <c r="CI57" s="1691">
        <f t="shared" si="0"/>
        <v>0</v>
      </c>
      <c r="CJ57" s="1691">
        <f t="shared" si="0"/>
        <v>0</v>
      </c>
      <c r="CK57" s="1691">
        <f t="shared" si="0"/>
        <v>0</v>
      </c>
      <c r="CL57" s="1691">
        <f t="shared" si="0"/>
        <v>0</v>
      </c>
      <c r="CM57" s="1691">
        <f t="shared" si="0"/>
        <v>0</v>
      </c>
      <c r="CN57" s="1691">
        <f t="shared" si="0"/>
        <v>0</v>
      </c>
      <c r="CO57" s="1691">
        <f t="shared" si="0"/>
        <v>0</v>
      </c>
      <c r="CP57" s="1691">
        <f t="shared" si="0"/>
        <v>0</v>
      </c>
      <c r="CQ57" s="1691">
        <f t="shared" si="0"/>
        <v>0</v>
      </c>
      <c r="CR57" s="1691">
        <f t="shared" si="0"/>
        <v>0</v>
      </c>
      <c r="CS57" s="1691">
        <f t="shared" si="0"/>
        <v>0</v>
      </c>
      <c r="CT57" s="1691">
        <f t="shared" si="0"/>
        <v>0</v>
      </c>
      <c r="CU57" s="1691">
        <f t="shared" si="0"/>
        <v>0</v>
      </c>
      <c r="CV57" s="1691">
        <f t="shared" si="0"/>
        <v>0</v>
      </c>
      <c r="CW57" s="1691">
        <f t="shared" si="0"/>
        <v>0</v>
      </c>
      <c r="CX57" s="1691">
        <f t="shared" si="0"/>
        <v>0</v>
      </c>
      <c r="CY57" s="1691">
        <f t="shared" si="0"/>
        <v>0</v>
      </c>
      <c r="CZ57" s="1691">
        <f t="shared" si="0"/>
        <v>0</v>
      </c>
      <c r="DA57" s="1691">
        <f t="shared" si="0"/>
        <v>0</v>
      </c>
      <c r="DB57" s="1691">
        <f t="shared" si="0"/>
        <v>0</v>
      </c>
      <c r="DC57" s="1691">
        <f t="shared" si="0"/>
        <v>0</v>
      </c>
      <c r="DD57" s="1691">
        <f t="shared" si="0"/>
        <v>0</v>
      </c>
      <c r="DE57" s="1691">
        <f t="shared" si="0"/>
        <v>0</v>
      </c>
      <c r="DF57" s="1691">
        <f t="shared" si="0"/>
        <v>0</v>
      </c>
      <c r="DG57" s="1691">
        <f t="shared" si="0"/>
        <v>0</v>
      </c>
      <c r="DH57" s="1691">
        <f t="shared" si="0"/>
        <v>0</v>
      </c>
      <c r="DI57" s="1691">
        <f t="shared" si="0"/>
        <v>0</v>
      </c>
      <c r="DJ57" s="1691">
        <f t="shared" si="0"/>
        <v>0</v>
      </c>
    </row>
    <row r="58" spans="1:114" ht="15.75" customHeight="1">
      <c r="B58" s="1691"/>
      <c r="C58" s="1691"/>
      <c r="D58" s="1691"/>
      <c r="E58" s="1691"/>
      <c r="F58" s="1691"/>
      <c r="G58" s="1691"/>
      <c r="H58" s="1691"/>
      <c r="I58" s="1691"/>
      <c r="J58" s="1691"/>
      <c r="K58" s="1691"/>
      <c r="L58" s="1691"/>
      <c r="M58" s="1691"/>
    </row>
    <row r="59" spans="1:114" ht="15.75" customHeight="1">
      <c r="B59" s="1691"/>
      <c r="C59" s="1691"/>
      <c r="D59" s="1691"/>
      <c r="E59" s="1691"/>
      <c r="F59" s="1691"/>
      <c r="G59" s="1691"/>
      <c r="H59" s="1691"/>
      <c r="I59" s="1691"/>
      <c r="J59" s="1691"/>
      <c r="K59" s="1691"/>
      <c r="L59" s="1673"/>
      <c r="M59" s="1691"/>
      <c r="N59" s="1692"/>
      <c r="O59" s="1691"/>
    </row>
    <row r="60" spans="1:114" ht="15.75" customHeight="1">
      <c r="E60" s="1691"/>
      <c r="L60" s="1673"/>
    </row>
    <row r="61" spans="1:114" ht="15.75" customHeight="1">
      <c r="B61" s="1691"/>
      <c r="C61" s="1691"/>
      <c r="D61" s="1691"/>
      <c r="E61" s="1691"/>
      <c r="F61" s="1691"/>
      <c r="G61" s="1691"/>
      <c r="H61" s="1691"/>
      <c r="I61" s="1691"/>
      <c r="J61" s="1691"/>
      <c r="K61" s="1691"/>
      <c r="L61" s="1691"/>
      <c r="M61" s="1691"/>
    </row>
    <row r="62" spans="1:114" ht="15.75" customHeight="1">
      <c r="B62" s="1691"/>
      <c r="C62" s="1693"/>
      <c r="D62" s="1691"/>
      <c r="E62" s="1693"/>
      <c r="F62" s="1691"/>
      <c r="G62" s="1693"/>
      <c r="H62" s="1691"/>
      <c r="I62" s="1693"/>
      <c r="J62" s="1691"/>
      <c r="K62" s="1693"/>
      <c r="L62" s="1691"/>
      <c r="M62" s="1693"/>
    </row>
  </sheetData>
  <mergeCells count="1">
    <mergeCell ref="H4:I4"/>
  </mergeCells>
  <printOptions horizontalCentered="1" verticalCentered="1"/>
  <pageMargins left="0" right="0" top="0.5" bottom="0" header="0" footer="0"/>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A6" sqref="A6"/>
    </sheetView>
  </sheetViews>
  <sheetFormatPr defaultRowHeight="12.75"/>
  <cols>
    <col min="1" max="1" width="54.28515625" style="1696" customWidth="1"/>
    <col min="2" max="2" width="9.28515625" style="1696" customWidth="1"/>
    <col min="3" max="3" width="14.7109375" style="1696" bestFit="1" customWidth="1"/>
    <col min="4" max="4" width="10.5703125" style="1696" customWidth="1"/>
    <col min="5" max="5" width="14.140625" style="1696" bestFit="1" customWidth="1"/>
    <col min="6" max="6" width="9.85546875" style="1696" customWidth="1"/>
    <col min="7" max="7" width="14.5703125" style="1696" bestFit="1" customWidth="1"/>
    <col min="8" max="8" width="11.140625" style="1696" bestFit="1" customWidth="1"/>
    <col min="9" max="9" width="14.42578125" style="1696" customWidth="1"/>
    <col min="10" max="256" width="9.140625" style="1696"/>
    <col min="257" max="257" width="54.28515625" style="1696" customWidth="1"/>
    <col min="258" max="258" width="9.28515625" style="1696" customWidth="1"/>
    <col min="259" max="259" width="14.7109375" style="1696" bestFit="1" customWidth="1"/>
    <col min="260" max="260" width="10.5703125" style="1696" customWidth="1"/>
    <col min="261" max="261" width="14.140625" style="1696" bestFit="1" customWidth="1"/>
    <col min="262" max="262" width="9.85546875" style="1696" customWidth="1"/>
    <col min="263" max="263" width="14.5703125" style="1696" bestFit="1" customWidth="1"/>
    <col min="264" max="264" width="11.140625" style="1696" bestFit="1" customWidth="1"/>
    <col min="265" max="265" width="14.42578125" style="1696" customWidth="1"/>
    <col min="266" max="512" width="9.140625" style="1696"/>
    <col min="513" max="513" width="54.28515625" style="1696" customWidth="1"/>
    <col min="514" max="514" width="9.28515625" style="1696" customWidth="1"/>
    <col min="515" max="515" width="14.7109375" style="1696" bestFit="1" customWidth="1"/>
    <col min="516" max="516" width="10.5703125" style="1696" customWidth="1"/>
    <col min="517" max="517" width="14.140625" style="1696" bestFit="1" customWidth="1"/>
    <col min="518" max="518" width="9.85546875" style="1696" customWidth="1"/>
    <col min="519" max="519" width="14.5703125" style="1696" bestFit="1" customWidth="1"/>
    <col min="520" max="520" width="11.140625" style="1696" bestFit="1" customWidth="1"/>
    <col min="521" max="521" width="14.42578125" style="1696" customWidth="1"/>
    <col min="522" max="768" width="9.140625" style="1696"/>
    <col min="769" max="769" width="54.28515625" style="1696" customWidth="1"/>
    <col min="770" max="770" width="9.28515625" style="1696" customWidth="1"/>
    <col min="771" max="771" width="14.7109375" style="1696" bestFit="1" customWidth="1"/>
    <col min="772" max="772" width="10.5703125" style="1696" customWidth="1"/>
    <col min="773" max="773" width="14.140625" style="1696" bestFit="1" customWidth="1"/>
    <col min="774" max="774" width="9.85546875" style="1696" customWidth="1"/>
    <col min="775" max="775" width="14.5703125" style="1696" bestFit="1" customWidth="1"/>
    <col min="776" max="776" width="11.140625" style="1696" bestFit="1" customWidth="1"/>
    <col min="777" max="777" width="14.42578125" style="1696" customWidth="1"/>
    <col min="778" max="1024" width="9.140625" style="1696"/>
    <col min="1025" max="1025" width="54.28515625" style="1696" customWidth="1"/>
    <col min="1026" max="1026" width="9.28515625" style="1696" customWidth="1"/>
    <col min="1027" max="1027" width="14.7109375" style="1696" bestFit="1" customWidth="1"/>
    <col min="1028" max="1028" width="10.5703125" style="1696" customWidth="1"/>
    <col min="1029" max="1029" width="14.140625" style="1696" bestFit="1" customWidth="1"/>
    <col min="1030" max="1030" width="9.85546875" style="1696" customWidth="1"/>
    <col min="1031" max="1031" width="14.5703125" style="1696" bestFit="1" customWidth="1"/>
    <col min="1032" max="1032" width="11.140625" style="1696" bestFit="1" customWidth="1"/>
    <col min="1033" max="1033" width="14.42578125" style="1696" customWidth="1"/>
    <col min="1034" max="1280" width="9.140625" style="1696"/>
    <col min="1281" max="1281" width="54.28515625" style="1696" customWidth="1"/>
    <col min="1282" max="1282" width="9.28515625" style="1696" customWidth="1"/>
    <col min="1283" max="1283" width="14.7109375" style="1696" bestFit="1" customWidth="1"/>
    <col min="1284" max="1284" width="10.5703125" style="1696" customWidth="1"/>
    <col min="1285" max="1285" width="14.140625" style="1696" bestFit="1" customWidth="1"/>
    <col min="1286" max="1286" width="9.85546875" style="1696" customWidth="1"/>
    <col min="1287" max="1287" width="14.5703125" style="1696" bestFit="1" customWidth="1"/>
    <col min="1288" max="1288" width="11.140625" style="1696" bestFit="1" customWidth="1"/>
    <col min="1289" max="1289" width="14.42578125" style="1696" customWidth="1"/>
    <col min="1290" max="1536" width="9.140625" style="1696"/>
    <col min="1537" max="1537" width="54.28515625" style="1696" customWidth="1"/>
    <col min="1538" max="1538" width="9.28515625" style="1696" customWidth="1"/>
    <col min="1539" max="1539" width="14.7109375" style="1696" bestFit="1" customWidth="1"/>
    <col min="1540" max="1540" width="10.5703125" style="1696" customWidth="1"/>
    <col min="1541" max="1541" width="14.140625" style="1696" bestFit="1" customWidth="1"/>
    <col min="1542" max="1542" width="9.85546875" style="1696" customWidth="1"/>
    <col min="1543" max="1543" width="14.5703125" style="1696" bestFit="1" customWidth="1"/>
    <col min="1544" max="1544" width="11.140625" style="1696" bestFit="1" customWidth="1"/>
    <col min="1545" max="1545" width="14.42578125" style="1696" customWidth="1"/>
    <col min="1546" max="1792" width="9.140625" style="1696"/>
    <col min="1793" max="1793" width="54.28515625" style="1696" customWidth="1"/>
    <col min="1794" max="1794" width="9.28515625" style="1696" customWidth="1"/>
    <col min="1795" max="1795" width="14.7109375" style="1696" bestFit="1" customWidth="1"/>
    <col min="1796" max="1796" width="10.5703125" style="1696" customWidth="1"/>
    <col min="1797" max="1797" width="14.140625" style="1696" bestFit="1" customWidth="1"/>
    <col min="1798" max="1798" width="9.85546875" style="1696" customWidth="1"/>
    <col min="1799" max="1799" width="14.5703125" style="1696" bestFit="1" customWidth="1"/>
    <col min="1800" max="1800" width="11.140625" style="1696" bestFit="1" customWidth="1"/>
    <col min="1801" max="1801" width="14.42578125" style="1696" customWidth="1"/>
    <col min="1802" max="2048" width="9.140625" style="1696"/>
    <col min="2049" max="2049" width="54.28515625" style="1696" customWidth="1"/>
    <col min="2050" max="2050" width="9.28515625" style="1696" customWidth="1"/>
    <col min="2051" max="2051" width="14.7109375" style="1696" bestFit="1" customWidth="1"/>
    <col min="2052" max="2052" width="10.5703125" style="1696" customWidth="1"/>
    <col min="2053" max="2053" width="14.140625" style="1696" bestFit="1" customWidth="1"/>
    <col min="2054" max="2054" width="9.85546875" style="1696" customWidth="1"/>
    <col min="2055" max="2055" width="14.5703125" style="1696" bestFit="1" customWidth="1"/>
    <col min="2056" max="2056" width="11.140625" style="1696" bestFit="1" customWidth="1"/>
    <col min="2057" max="2057" width="14.42578125" style="1696" customWidth="1"/>
    <col min="2058" max="2304" width="9.140625" style="1696"/>
    <col min="2305" max="2305" width="54.28515625" style="1696" customWidth="1"/>
    <col min="2306" max="2306" width="9.28515625" style="1696" customWidth="1"/>
    <col min="2307" max="2307" width="14.7109375" style="1696" bestFit="1" customWidth="1"/>
    <col min="2308" max="2308" width="10.5703125" style="1696" customWidth="1"/>
    <col min="2309" max="2309" width="14.140625" style="1696" bestFit="1" customWidth="1"/>
    <col min="2310" max="2310" width="9.85546875" style="1696" customWidth="1"/>
    <col min="2311" max="2311" width="14.5703125" style="1696" bestFit="1" customWidth="1"/>
    <col min="2312" max="2312" width="11.140625" style="1696" bestFit="1" customWidth="1"/>
    <col min="2313" max="2313" width="14.42578125" style="1696" customWidth="1"/>
    <col min="2314" max="2560" width="9.140625" style="1696"/>
    <col min="2561" max="2561" width="54.28515625" style="1696" customWidth="1"/>
    <col min="2562" max="2562" width="9.28515625" style="1696" customWidth="1"/>
    <col min="2563" max="2563" width="14.7109375" style="1696" bestFit="1" customWidth="1"/>
    <col min="2564" max="2564" width="10.5703125" style="1696" customWidth="1"/>
    <col min="2565" max="2565" width="14.140625" style="1696" bestFit="1" customWidth="1"/>
    <col min="2566" max="2566" width="9.85546875" style="1696" customWidth="1"/>
    <col min="2567" max="2567" width="14.5703125" style="1696" bestFit="1" customWidth="1"/>
    <col min="2568" max="2568" width="11.140625" style="1696" bestFit="1" customWidth="1"/>
    <col min="2569" max="2569" width="14.42578125" style="1696" customWidth="1"/>
    <col min="2570" max="2816" width="9.140625" style="1696"/>
    <col min="2817" max="2817" width="54.28515625" style="1696" customWidth="1"/>
    <col min="2818" max="2818" width="9.28515625" style="1696" customWidth="1"/>
    <col min="2819" max="2819" width="14.7109375" style="1696" bestFit="1" customWidth="1"/>
    <col min="2820" max="2820" width="10.5703125" style="1696" customWidth="1"/>
    <col min="2821" max="2821" width="14.140625" style="1696" bestFit="1" customWidth="1"/>
    <col min="2822" max="2822" width="9.85546875" style="1696" customWidth="1"/>
    <col min="2823" max="2823" width="14.5703125" style="1696" bestFit="1" customWidth="1"/>
    <col min="2824" max="2824" width="11.140625" style="1696" bestFit="1" customWidth="1"/>
    <col min="2825" max="2825" width="14.42578125" style="1696" customWidth="1"/>
    <col min="2826" max="3072" width="9.140625" style="1696"/>
    <col min="3073" max="3073" width="54.28515625" style="1696" customWidth="1"/>
    <col min="3074" max="3074" width="9.28515625" style="1696" customWidth="1"/>
    <col min="3075" max="3075" width="14.7109375" style="1696" bestFit="1" customWidth="1"/>
    <col min="3076" max="3076" width="10.5703125" style="1696" customWidth="1"/>
    <col min="3077" max="3077" width="14.140625" style="1696" bestFit="1" customWidth="1"/>
    <col min="3078" max="3078" width="9.85546875" style="1696" customWidth="1"/>
    <col min="3079" max="3079" width="14.5703125" style="1696" bestFit="1" customWidth="1"/>
    <col min="3080" max="3080" width="11.140625" style="1696" bestFit="1" customWidth="1"/>
    <col min="3081" max="3081" width="14.42578125" style="1696" customWidth="1"/>
    <col min="3082" max="3328" width="9.140625" style="1696"/>
    <col min="3329" max="3329" width="54.28515625" style="1696" customWidth="1"/>
    <col min="3330" max="3330" width="9.28515625" style="1696" customWidth="1"/>
    <col min="3331" max="3331" width="14.7109375" style="1696" bestFit="1" customWidth="1"/>
    <col min="3332" max="3332" width="10.5703125" style="1696" customWidth="1"/>
    <col min="3333" max="3333" width="14.140625" style="1696" bestFit="1" customWidth="1"/>
    <col min="3334" max="3334" width="9.85546875" style="1696" customWidth="1"/>
    <col min="3335" max="3335" width="14.5703125" style="1696" bestFit="1" customWidth="1"/>
    <col min="3336" max="3336" width="11.140625" style="1696" bestFit="1" customWidth="1"/>
    <col min="3337" max="3337" width="14.42578125" style="1696" customWidth="1"/>
    <col min="3338" max="3584" width="9.140625" style="1696"/>
    <col min="3585" max="3585" width="54.28515625" style="1696" customWidth="1"/>
    <col min="3586" max="3586" width="9.28515625" style="1696" customWidth="1"/>
    <col min="3587" max="3587" width="14.7109375" style="1696" bestFit="1" customWidth="1"/>
    <col min="3588" max="3588" width="10.5703125" style="1696" customWidth="1"/>
    <col min="3589" max="3589" width="14.140625" style="1696" bestFit="1" customWidth="1"/>
    <col min="3590" max="3590" width="9.85546875" style="1696" customWidth="1"/>
    <col min="3591" max="3591" width="14.5703125" style="1696" bestFit="1" customWidth="1"/>
    <col min="3592" max="3592" width="11.140625" style="1696" bestFit="1" customWidth="1"/>
    <col min="3593" max="3593" width="14.42578125" style="1696" customWidth="1"/>
    <col min="3594" max="3840" width="9.140625" style="1696"/>
    <col min="3841" max="3841" width="54.28515625" style="1696" customWidth="1"/>
    <col min="3842" max="3842" width="9.28515625" style="1696" customWidth="1"/>
    <col min="3843" max="3843" width="14.7109375" style="1696" bestFit="1" customWidth="1"/>
    <col min="3844" max="3844" width="10.5703125" style="1696" customWidth="1"/>
    <col min="3845" max="3845" width="14.140625" style="1696" bestFit="1" customWidth="1"/>
    <col min="3846" max="3846" width="9.85546875" style="1696" customWidth="1"/>
    <col min="3847" max="3847" width="14.5703125" style="1696" bestFit="1" customWidth="1"/>
    <col min="3848" max="3848" width="11.140625" style="1696" bestFit="1" customWidth="1"/>
    <col min="3849" max="3849" width="14.42578125" style="1696" customWidth="1"/>
    <col min="3850" max="4096" width="9.140625" style="1696"/>
    <col min="4097" max="4097" width="54.28515625" style="1696" customWidth="1"/>
    <col min="4098" max="4098" width="9.28515625" style="1696" customWidth="1"/>
    <col min="4099" max="4099" width="14.7109375" style="1696" bestFit="1" customWidth="1"/>
    <col min="4100" max="4100" width="10.5703125" style="1696" customWidth="1"/>
    <col min="4101" max="4101" width="14.140625" style="1696" bestFit="1" customWidth="1"/>
    <col min="4102" max="4102" width="9.85546875" style="1696" customWidth="1"/>
    <col min="4103" max="4103" width="14.5703125" style="1696" bestFit="1" customWidth="1"/>
    <col min="4104" max="4104" width="11.140625" style="1696" bestFit="1" customWidth="1"/>
    <col min="4105" max="4105" width="14.42578125" style="1696" customWidth="1"/>
    <col min="4106" max="4352" width="9.140625" style="1696"/>
    <col min="4353" max="4353" width="54.28515625" style="1696" customWidth="1"/>
    <col min="4354" max="4354" width="9.28515625" style="1696" customWidth="1"/>
    <col min="4355" max="4355" width="14.7109375" style="1696" bestFit="1" customWidth="1"/>
    <col min="4356" max="4356" width="10.5703125" style="1696" customWidth="1"/>
    <col min="4357" max="4357" width="14.140625" style="1696" bestFit="1" customWidth="1"/>
    <col min="4358" max="4358" width="9.85546875" style="1696" customWidth="1"/>
    <col min="4359" max="4359" width="14.5703125" style="1696" bestFit="1" customWidth="1"/>
    <col min="4360" max="4360" width="11.140625" style="1696" bestFit="1" customWidth="1"/>
    <col min="4361" max="4361" width="14.42578125" style="1696" customWidth="1"/>
    <col min="4362" max="4608" width="9.140625" style="1696"/>
    <col min="4609" max="4609" width="54.28515625" style="1696" customWidth="1"/>
    <col min="4610" max="4610" width="9.28515625" style="1696" customWidth="1"/>
    <col min="4611" max="4611" width="14.7109375" style="1696" bestFit="1" customWidth="1"/>
    <col min="4612" max="4612" width="10.5703125" style="1696" customWidth="1"/>
    <col min="4613" max="4613" width="14.140625" style="1696" bestFit="1" customWidth="1"/>
    <col min="4614" max="4614" width="9.85546875" style="1696" customWidth="1"/>
    <col min="4615" max="4615" width="14.5703125" style="1696" bestFit="1" customWidth="1"/>
    <col min="4616" max="4616" width="11.140625" style="1696" bestFit="1" customWidth="1"/>
    <col min="4617" max="4617" width="14.42578125" style="1696" customWidth="1"/>
    <col min="4618" max="4864" width="9.140625" style="1696"/>
    <col min="4865" max="4865" width="54.28515625" style="1696" customWidth="1"/>
    <col min="4866" max="4866" width="9.28515625" style="1696" customWidth="1"/>
    <col min="4867" max="4867" width="14.7109375" style="1696" bestFit="1" customWidth="1"/>
    <col min="4868" max="4868" width="10.5703125" style="1696" customWidth="1"/>
    <col min="4869" max="4869" width="14.140625" style="1696" bestFit="1" customWidth="1"/>
    <col min="4870" max="4870" width="9.85546875" style="1696" customWidth="1"/>
    <col min="4871" max="4871" width="14.5703125" style="1696" bestFit="1" customWidth="1"/>
    <col min="4872" max="4872" width="11.140625" style="1696" bestFit="1" customWidth="1"/>
    <col min="4873" max="4873" width="14.42578125" style="1696" customWidth="1"/>
    <col min="4874" max="5120" width="9.140625" style="1696"/>
    <col min="5121" max="5121" width="54.28515625" style="1696" customWidth="1"/>
    <col min="5122" max="5122" width="9.28515625" style="1696" customWidth="1"/>
    <col min="5123" max="5123" width="14.7109375" style="1696" bestFit="1" customWidth="1"/>
    <col min="5124" max="5124" width="10.5703125" style="1696" customWidth="1"/>
    <col min="5125" max="5125" width="14.140625" style="1696" bestFit="1" customWidth="1"/>
    <col min="5126" max="5126" width="9.85546875" style="1696" customWidth="1"/>
    <col min="5127" max="5127" width="14.5703125" style="1696" bestFit="1" customWidth="1"/>
    <col min="5128" max="5128" width="11.140625" style="1696" bestFit="1" customWidth="1"/>
    <col min="5129" max="5129" width="14.42578125" style="1696" customWidth="1"/>
    <col min="5130" max="5376" width="9.140625" style="1696"/>
    <col min="5377" max="5377" width="54.28515625" style="1696" customWidth="1"/>
    <col min="5378" max="5378" width="9.28515625" style="1696" customWidth="1"/>
    <col min="5379" max="5379" width="14.7109375" style="1696" bestFit="1" customWidth="1"/>
    <col min="5380" max="5380" width="10.5703125" style="1696" customWidth="1"/>
    <col min="5381" max="5381" width="14.140625" style="1696" bestFit="1" customWidth="1"/>
    <col min="5382" max="5382" width="9.85546875" style="1696" customWidth="1"/>
    <col min="5383" max="5383" width="14.5703125" style="1696" bestFit="1" customWidth="1"/>
    <col min="5384" max="5384" width="11.140625" style="1696" bestFit="1" customWidth="1"/>
    <col min="5385" max="5385" width="14.42578125" style="1696" customWidth="1"/>
    <col min="5386" max="5632" width="9.140625" style="1696"/>
    <col min="5633" max="5633" width="54.28515625" style="1696" customWidth="1"/>
    <col min="5634" max="5634" width="9.28515625" style="1696" customWidth="1"/>
    <col min="5635" max="5635" width="14.7109375" style="1696" bestFit="1" customWidth="1"/>
    <col min="5636" max="5636" width="10.5703125" style="1696" customWidth="1"/>
    <col min="5637" max="5637" width="14.140625" style="1696" bestFit="1" customWidth="1"/>
    <col min="5638" max="5638" width="9.85546875" style="1696" customWidth="1"/>
    <col min="5639" max="5639" width="14.5703125" style="1696" bestFit="1" customWidth="1"/>
    <col min="5640" max="5640" width="11.140625" style="1696" bestFit="1" customWidth="1"/>
    <col min="5641" max="5641" width="14.42578125" style="1696" customWidth="1"/>
    <col min="5642" max="5888" width="9.140625" style="1696"/>
    <col min="5889" max="5889" width="54.28515625" style="1696" customWidth="1"/>
    <col min="5890" max="5890" width="9.28515625" style="1696" customWidth="1"/>
    <col min="5891" max="5891" width="14.7109375" style="1696" bestFit="1" customWidth="1"/>
    <col min="5892" max="5892" width="10.5703125" style="1696" customWidth="1"/>
    <col min="5893" max="5893" width="14.140625" style="1696" bestFit="1" customWidth="1"/>
    <col min="5894" max="5894" width="9.85546875" style="1696" customWidth="1"/>
    <col min="5895" max="5895" width="14.5703125" style="1696" bestFit="1" customWidth="1"/>
    <col min="5896" max="5896" width="11.140625" style="1696" bestFit="1" customWidth="1"/>
    <col min="5897" max="5897" width="14.42578125" style="1696" customWidth="1"/>
    <col min="5898" max="6144" width="9.140625" style="1696"/>
    <col min="6145" max="6145" width="54.28515625" style="1696" customWidth="1"/>
    <col min="6146" max="6146" width="9.28515625" style="1696" customWidth="1"/>
    <col min="6147" max="6147" width="14.7109375" style="1696" bestFit="1" customWidth="1"/>
    <col min="6148" max="6148" width="10.5703125" style="1696" customWidth="1"/>
    <col min="6149" max="6149" width="14.140625" style="1696" bestFit="1" customWidth="1"/>
    <col min="6150" max="6150" width="9.85546875" style="1696" customWidth="1"/>
    <col min="6151" max="6151" width="14.5703125" style="1696" bestFit="1" customWidth="1"/>
    <col min="6152" max="6152" width="11.140625" style="1696" bestFit="1" customWidth="1"/>
    <col min="6153" max="6153" width="14.42578125" style="1696" customWidth="1"/>
    <col min="6154" max="6400" width="9.140625" style="1696"/>
    <col min="6401" max="6401" width="54.28515625" style="1696" customWidth="1"/>
    <col min="6402" max="6402" width="9.28515625" style="1696" customWidth="1"/>
    <col min="6403" max="6403" width="14.7109375" style="1696" bestFit="1" customWidth="1"/>
    <col min="6404" max="6404" width="10.5703125" style="1696" customWidth="1"/>
    <col min="6405" max="6405" width="14.140625" style="1696" bestFit="1" customWidth="1"/>
    <col min="6406" max="6406" width="9.85546875" style="1696" customWidth="1"/>
    <col min="6407" max="6407" width="14.5703125" style="1696" bestFit="1" customWidth="1"/>
    <col min="6408" max="6408" width="11.140625" style="1696" bestFit="1" customWidth="1"/>
    <col min="6409" max="6409" width="14.42578125" style="1696" customWidth="1"/>
    <col min="6410" max="6656" width="9.140625" style="1696"/>
    <col min="6657" max="6657" width="54.28515625" style="1696" customWidth="1"/>
    <col min="6658" max="6658" width="9.28515625" style="1696" customWidth="1"/>
    <col min="6659" max="6659" width="14.7109375" style="1696" bestFit="1" customWidth="1"/>
    <col min="6660" max="6660" width="10.5703125" style="1696" customWidth="1"/>
    <col min="6661" max="6661" width="14.140625" style="1696" bestFit="1" customWidth="1"/>
    <col min="6662" max="6662" width="9.85546875" style="1696" customWidth="1"/>
    <col min="6663" max="6663" width="14.5703125" style="1696" bestFit="1" customWidth="1"/>
    <col min="6664" max="6664" width="11.140625" style="1696" bestFit="1" customWidth="1"/>
    <col min="6665" max="6665" width="14.42578125" style="1696" customWidth="1"/>
    <col min="6666" max="6912" width="9.140625" style="1696"/>
    <col min="6913" max="6913" width="54.28515625" style="1696" customWidth="1"/>
    <col min="6914" max="6914" width="9.28515625" style="1696" customWidth="1"/>
    <col min="6915" max="6915" width="14.7109375" style="1696" bestFit="1" customWidth="1"/>
    <col min="6916" max="6916" width="10.5703125" style="1696" customWidth="1"/>
    <col min="6917" max="6917" width="14.140625" style="1696" bestFit="1" customWidth="1"/>
    <col min="6918" max="6918" width="9.85546875" style="1696" customWidth="1"/>
    <col min="6919" max="6919" width="14.5703125" style="1696" bestFit="1" customWidth="1"/>
    <col min="6920" max="6920" width="11.140625" style="1696" bestFit="1" customWidth="1"/>
    <col min="6921" max="6921" width="14.42578125" style="1696" customWidth="1"/>
    <col min="6922" max="7168" width="9.140625" style="1696"/>
    <col min="7169" max="7169" width="54.28515625" style="1696" customWidth="1"/>
    <col min="7170" max="7170" width="9.28515625" style="1696" customWidth="1"/>
    <col min="7171" max="7171" width="14.7109375" style="1696" bestFit="1" customWidth="1"/>
    <col min="7172" max="7172" width="10.5703125" style="1696" customWidth="1"/>
    <col min="7173" max="7173" width="14.140625" style="1696" bestFit="1" customWidth="1"/>
    <col min="7174" max="7174" width="9.85546875" style="1696" customWidth="1"/>
    <col min="7175" max="7175" width="14.5703125" style="1696" bestFit="1" customWidth="1"/>
    <col min="7176" max="7176" width="11.140625" style="1696" bestFit="1" customWidth="1"/>
    <col min="7177" max="7177" width="14.42578125" style="1696" customWidth="1"/>
    <col min="7178" max="7424" width="9.140625" style="1696"/>
    <col min="7425" max="7425" width="54.28515625" style="1696" customWidth="1"/>
    <col min="7426" max="7426" width="9.28515625" style="1696" customWidth="1"/>
    <col min="7427" max="7427" width="14.7109375" style="1696" bestFit="1" customWidth="1"/>
    <col min="7428" max="7428" width="10.5703125" style="1696" customWidth="1"/>
    <col min="7429" max="7429" width="14.140625" style="1696" bestFit="1" customWidth="1"/>
    <col min="7430" max="7430" width="9.85546875" style="1696" customWidth="1"/>
    <col min="7431" max="7431" width="14.5703125" style="1696" bestFit="1" customWidth="1"/>
    <col min="7432" max="7432" width="11.140625" style="1696" bestFit="1" customWidth="1"/>
    <col min="7433" max="7433" width="14.42578125" style="1696" customWidth="1"/>
    <col min="7434" max="7680" width="9.140625" style="1696"/>
    <col min="7681" max="7681" width="54.28515625" style="1696" customWidth="1"/>
    <col min="7682" max="7682" width="9.28515625" style="1696" customWidth="1"/>
    <col min="7683" max="7683" width="14.7109375" style="1696" bestFit="1" customWidth="1"/>
    <col min="7684" max="7684" width="10.5703125" style="1696" customWidth="1"/>
    <col min="7685" max="7685" width="14.140625" style="1696" bestFit="1" customWidth="1"/>
    <col min="7686" max="7686" width="9.85546875" style="1696" customWidth="1"/>
    <col min="7687" max="7687" width="14.5703125" style="1696" bestFit="1" customWidth="1"/>
    <col min="7688" max="7688" width="11.140625" style="1696" bestFit="1" customWidth="1"/>
    <col min="7689" max="7689" width="14.42578125" style="1696" customWidth="1"/>
    <col min="7690" max="7936" width="9.140625" style="1696"/>
    <col min="7937" max="7937" width="54.28515625" style="1696" customWidth="1"/>
    <col min="7938" max="7938" width="9.28515625" style="1696" customWidth="1"/>
    <col min="7939" max="7939" width="14.7109375" style="1696" bestFit="1" customWidth="1"/>
    <col min="7940" max="7940" width="10.5703125" style="1696" customWidth="1"/>
    <col min="7941" max="7941" width="14.140625" style="1696" bestFit="1" customWidth="1"/>
    <col min="7942" max="7942" width="9.85546875" style="1696" customWidth="1"/>
    <col min="7943" max="7943" width="14.5703125" style="1696" bestFit="1" customWidth="1"/>
    <col min="7944" max="7944" width="11.140625" style="1696" bestFit="1" customWidth="1"/>
    <col min="7945" max="7945" width="14.42578125" style="1696" customWidth="1"/>
    <col min="7946" max="8192" width="9.140625" style="1696"/>
    <col min="8193" max="8193" width="54.28515625" style="1696" customWidth="1"/>
    <col min="8194" max="8194" width="9.28515625" style="1696" customWidth="1"/>
    <col min="8195" max="8195" width="14.7109375" style="1696" bestFit="1" customWidth="1"/>
    <col min="8196" max="8196" width="10.5703125" style="1696" customWidth="1"/>
    <col min="8197" max="8197" width="14.140625" style="1696" bestFit="1" customWidth="1"/>
    <col min="8198" max="8198" width="9.85546875" style="1696" customWidth="1"/>
    <col min="8199" max="8199" width="14.5703125" style="1696" bestFit="1" customWidth="1"/>
    <col min="8200" max="8200" width="11.140625" style="1696" bestFit="1" customWidth="1"/>
    <col min="8201" max="8201" width="14.42578125" style="1696" customWidth="1"/>
    <col min="8202" max="8448" width="9.140625" style="1696"/>
    <col min="8449" max="8449" width="54.28515625" style="1696" customWidth="1"/>
    <col min="8450" max="8450" width="9.28515625" style="1696" customWidth="1"/>
    <col min="8451" max="8451" width="14.7109375" style="1696" bestFit="1" customWidth="1"/>
    <col min="8452" max="8452" width="10.5703125" style="1696" customWidth="1"/>
    <col min="8453" max="8453" width="14.140625" style="1696" bestFit="1" customWidth="1"/>
    <col min="8454" max="8454" width="9.85546875" style="1696" customWidth="1"/>
    <col min="8455" max="8455" width="14.5703125" style="1696" bestFit="1" customWidth="1"/>
    <col min="8456" max="8456" width="11.140625" style="1696" bestFit="1" customWidth="1"/>
    <col min="8457" max="8457" width="14.42578125" style="1696" customWidth="1"/>
    <col min="8458" max="8704" width="9.140625" style="1696"/>
    <col min="8705" max="8705" width="54.28515625" style="1696" customWidth="1"/>
    <col min="8706" max="8706" width="9.28515625" style="1696" customWidth="1"/>
    <col min="8707" max="8707" width="14.7109375" style="1696" bestFit="1" customWidth="1"/>
    <col min="8708" max="8708" width="10.5703125" style="1696" customWidth="1"/>
    <col min="8709" max="8709" width="14.140625" style="1696" bestFit="1" customWidth="1"/>
    <col min="8710" max="8710" width="9.85546875" style="1696" customWidth="1"/>
    <col min="8711" max="8711" width="14.5703125" style="1696" bestFit="1" customWidth="1"/>
    <col min="8712" max="8712" width="11.140625" style="1696" bestFit="1" customWidth="1"/>
    <col min="8713" max="8713" width="14.42578125" style="1696" customWidth="1"/>
    <col min="8714" max="8960" width="9.140625" style="1696"/>
    <col min="8961" max="8961" width="54.28515625" style="1696" customWidth="1"/>
    <col min="8962" max="8962" width="9.28515625" style="1696" customWidth="1"/>
    <col min="8963" max="8963" width="14.7109375" style="1696" bestFit="1" customWidth="1"/>
    <col min="8964" max="8964" width="10.5703125" style="1696" customWidth="1"/>
    <col min="8965" max="8965" width="14.140625" style="1696" bestFit="1" customWidth="1"/>
    <col min="8966" max="8966" width="9.85546875" style="1696" customWidth="1"/>
    <col min="8967" max="8967" width="14.5703125" style="1696" bestFit="1" customWidth="1"/>
    <col min="8968" max="8968" width="11.140625" style="1696" bestFit="1" customWidth="1"/>
    <col min="8969" max="8969" width="14.42578125" style="1696" customWidth="1"/>
    <col min="8970" max="9216" width="9.140625" style="1696"/>
    <col min="9217" max="9217" width="54.28515625" style="1696" customWidth="1"/>
    <col min="9218" max="9218" width="9.28515625" style="1696" customWidth="1"/>
    <col min="9219" max="9219" width="14.7109375" style="1696" bestFit="1" customWidth="1"/>
    <col min="9220" max="9220" width="10.5703125" style="1696" customWidth="1"/>
    <col min="9221" max="9221" width="14.140625" style="1696" bestFit="1" customWidth="1"/>
    <col min="9222" max="9222" width="9.85546875" style="1696" customWidth="1"/>
    <col min="9223" max="9223" width="14.5703125" style="1696" bestFit="1" customWidth="1"/>
    <col min="9224" max="9224" width="11.140625" style="1696" bestFit="1" customWidth="1"/>
    <col min="9225" max="9225" width="14.42578125" style="1696" customWidth="1"/>
    <col min="9226" max="9472" width="9.140625" style="1696"/>
    <col min="9473" max="9473" width="54.28515625" style="1696" customWidth="1"/>
    <col min="9474" max="9474" width="9.28515625" style="1696" customWidth="1"/>
    <col min="9475" max="9475" width="14.7109375" style="1696" bestFit="1" customWidth="1"/>
    <col min="9476" max="9476" width="10.5703125" style="1696" customWidth="1"/>
    <col min="9477" max="9477" width="14.140625" style="1696" bestFit="1" customWidth="1"/>
    <col min="9478" max="9478" width="9.85546875" style="1696" customWidth="1"/>
    <col min="9479" max="9479" width="14.5703125" style="1696" bestFit="1" customWidth="1"/>
    <col min="9480" max="9480" width="11.140625" style="1696" bestFit="1" customWidth="1"/>
    <col min="9481" max="9481" width="14.42578125" style="1696" customWidth="1"/>
    <col min="9482" max="9728" width="9.140625" style="1696"/>
    <col min="9729" max="9729" width="54.28515625" style="1696" customWidth="1"/>
    <col min="9730" max="9730" width="9.28515625" style="1696" customWidth="1"/>
    <col min="9731" max="9731" width="14.7109375" style="1696" bestFit="1" customWidth="1"/>
    <col min="9732" max="9732" width="10.5703125" style="1696" customWidth="1"/>
    <col min="9733" max="9733" width="14.140625" style="1696" bestFit="1" customWidth="1"/>
    <col min="9734" max="9734" width="9.85546875" style="1696" customWidth="1"/>
    <col min="9735" max="9735" width="14.5703125" style="1696" bestFit="1" customWidth="1"/>
    <col min="9736" max="9736" width="11.140625" style="1696" bestFit="1" customWidth="1"/>
    <col min="9737" max="9737" width="14.42578125" style="1696" customWidth="1"/>
    <col min="9738" max="9984" width="9.140625" style="1696"/>
    <col min="9985" max="9985" width="54.28515625" style="1696" customWidth="1"/>
    <col min="9986" max="9986" width="9.28515625" style="1696" customWidth="1"/>
    <col min="9987" max="9987" width="14.7109375" style="1696" bestFit="1" customWidth="1"/>
    <col min="9988" max="9988" width="10.5703125" style="1696" customWidth="1"/>
    <col min="9989" max="9989" width="14.140625" style="1696" bestFit="1" customWidth="1"/>
    <col min="9990" max="9990" width="9.85546875" style="1696" customWidth="1"/>
    <col min="9991" max="9991" width="14.5703125" style="1696" bestFit="1" customWidth="1"/>
    <col min="9992" max="9992" width="11.140625" style="1696" bestFit="1" customWidth="1"/>
    <col min="9993" max="9993" width="14.42578125" style="1696" customWidth="1"/>
    <col min="9994" max="10240" width="9.140625" style="1696"/>
    <col min="10241" max="10241" width="54.28515625" style="1696" customWidth="1"/>
    <col min="10242" max="10242" width="9.28515625" style="1696" customWidth="1"/>
    <col min="10243" max="10243" width="14.7109375" style="1696" bestFit="1" customWidth="1"/>
    <col min="10244" max="10244" width="10.5703125" style="1696" customWidth="1"/>
    <col min="10245" max="10245" width="14.140625" style="1696" bestFit="1" customWidth="1"/>
    <col min="10246" max="10246" width="9.85546875" style="1696" customWidth="1"/>
    <col min="10247" max="10247" width="14.5703125" style="1696" bestFit="1" customWidth="1"/>
    <col min="10248" max="10248" width="11.140625" style="1696" bestFit="1" customWidth="1"/>
    <col min="10249" max="10249" width="14.42578125" style="1696" customWidth="1"/>
    <col min="10250" max="10496" width="9.140625" style="1696"/>
    <col min="10497" max="10497" width="54.28515625" style="1696" customWidth="1"/>
    <col min="10498" max="10498" width="9.28515625" style="1696" customWidth="1"/>
    <col min="10499" max="10499" width="14.7109375" style="1696" bestFit="1" customWidth="1"/>
    <col min="10500" max="10500" width="10.5703125" style="1696" customWidth="1"/>
    <col min="10501" max="10501" width="14.140625" style="1696" bestFit="1" customWidth="1"/>
    <col min="10502" max="10502" width="9.85546875" style="1696" customWidth="1"/>
    <col min="10503" max="10503" width="14.5703125" style="1696" bestFit="1" customWidth="1"/>
    <col min="10504" max="10504" width="11.140625" style="1696" bestFit="1" customWidth="1"/>
    <col min="10505" max="10505" width="14.42578125" style="1696" customWidth="1"/>
    <col min="10506" max="10752" width="9.140625" style="1696"/>
    <col min="10753" max="10753" width="54.28515625" style="1696" customWidth="1"/>
    <col min="10754" max="10754" width="9.28515625" style="1696" customWidth="1"/>
    <col min="10755" max="10755" width="14.7109375" style="1696" bestFit="1" customWidth="1"/>
    <col min="10756" max="10756" width="10.5703125" style="1696" customWidth="1"/>
    <col min="10757" max="10757" width="14.140625" style="1696" bestFit="1" customWidth="1"/>
    <col min="10758" max="10758" width="9.85546875" style="1696" customWidth="1"/>
    <col min="10759" max="10759" width="14.5703125" style="1696" bestFit="1" customWidth="1"/>
    <col min="10760" max="10760" width="11.140625" style="1696" bestFit="1" customWidth="1"/>
    <col min="10761" max="10761" width="14.42578125" style="1696" customWidth="1"/>
    <col min="10762" max="11008" width="9.140625" style="1696"/>
    <col min="11009" max="11009" width="54.28515625" style="1696" customWidth="1"/>
    <col min="11010" max="11010" width="9.28515625" style="1696" customWidth="1"/>
    <col min="11011" max="11011" width="14.7109375" style="1696" bestFit="1" customWidth="1"/>
    <col min="11012" max="11012" width="10.5703125" style="1696" customWidth="1"/>
    <col min="11013" max="11013" width="14.140625" style="1696" bestFit="1" customWidth="1"/>
    <col min="11014" max="11014" width="9.85546875" style="1696" customWidth="1"/>
    <col min="11015" max="11015" width="14.5703125" style="1696" bestFit="1" customWidth="1"/>
    <col min="11016" max="11016" width="11.140625" style="1696" bestFit="1" customWidth="1"/>
    <col min="11017" max="11017" width="14.42578125" style="1696" customWidth="1"/>
    <col min="11018" max="11264" width="9.140625" style="1696"/>
    <col min="11265" max="11265" width="54.28515625" style="1696" customWidth="1"/>
    <col min="11266" max="11266" width="9.28515625" style="1696" customWidth="1"/>
    <col min="11267" max="11267" width="14.7109375" style="1696" bestFit="1" customWidth="1"/>
    <col min="11268" max="11268" width="10.5703125" style="1696" customWidth="1"/>
    <col min="11269" max="11269" width="14.140625" style="1696" bestFit="1" customWidth="1"/>
    <col min="11270" max="11270" width="9.85546875" style="1696" customWidth="1"/>
    <col min="11271" max="11271" width="14.5703125" style="1696" bestFit="1" customWidth="1"/>
    <col min="11272" max="11272" width="11.140625" style="1696" bestFit="1" customWidth="1"/>
    <col min="11273" max="11273" width="14.42578125" style="1696" customWidth="1"/>
    <col min="11274" max="11520" width="9.140625" style="1696"/>
    <col min="11521" max="11521" width="54.28515625" style="1696" customWidth="1"/>
    <col min="11522" max="11522" width="9.28515625" style="1696" customWidth="1"/>
    <col min="11523" max="11523" width="14.7109375" style="1696" bestFit="1" customWidth="1"/>
    <col min="11524" max="11524" width="10.5703125" style="1696" customWidth="1"/>
    <col min="11525" max="11525" width="14.140625" style="1696" bestFit="1" customWidth="1"/>
    <col min="11526" max="11526" width="9.85546875" style="1696" customWidth="1"/>
    <col min="11527" max="11527" width="14.5703125" style="1696" bestFit="1" customWidth="1"/>
    <col min="11528" max="11528" width="11.140625" style="1696" bestFit="1" customWidth="1"/>
    <col min="11529" max="11529" width="14.42578125" style="1696" customWidth="1"/>
    <col min="11530" max="11776" width="9.140625" style="1696"/>
    <col min="11777" max="11777" width="54.28515625" style="1696" customWidth="1"/>
    <col min="11778" max="11778" width="9.28515625" style="1696" customWidth="1"/>
    <col min="11779" max="11779" width="14.7109375" style="1696" bestFit="1" customWidth="1"/>
    <col min="11780" max="11780" width="10.5703125" style="1696" customWidth="1"/>
    <col min="11781" max="11781" width="14.140625" style="1696" bestFit="1" customWidth="1"/>
    <col min="11782" max="11782" width="9.85546875" style="1696" customWidth="1"/>
    <col min="11783" max="11783" width="14.5703125" style="1696" bestFit="1" customWidth="1"/>
    <col min="11784" max="11784" width="11.140625" style="1696" bestFit="1" customWidth="1"/>
    <col min="11785" max="11785" width="14.42578125" style="1696" customWidth="1"/>
    <col min="11786" max="12032" width="9.140625" style="1696"/>
    <col min="12033" max="12033" width="54.28515625" style="1696" customWidth="1"/>
    <col min="12034" max="12034" width="9.28515625" style="1696" customWidth="1"/>
    <col min="12035" max="12035" width="14.7109375" style="1696" bestFit="1" customWidth="1"/>
    <col min="12036" max="12036" width="10.5703125" style="1696" customWidth="1"/>
    <col min="12037" max="12037" width="14.140625" style="1696" bestFit="1" customWidth="1"/>
    <col min="12038" max="12038" width="9.85546875" style="1696" customWidth="1"/>
    <col min="12039" max="12039" width="14.5703125" style="1696" bestFit="1" customWidth="1"/>
    <col min="12040" max="12040" width="11.140625" style="1696" bestFit="1" customWidth="1"/>
    <col min="12041" max="12041" width="14.42578125" style="1696" customWidth="1"/>
    <col min="12042" max="12288" width="9.140625" style="1696"/>
    <col min="12289" max="12289" width="54.28515625" style="1696" customWidth="1"/>
    <col min="12290" max="12290" width="9.28515625" style="1696" customWidth="1"/>
    <col min="12291" max="12291" width="14.7109375" style="1696" bestFit="1" customWidth="1"/>
    <col min="12292" max="12292" width="10.5703125" style="1696" customWidth="1"/>
    <col min="12293" max="12293" width="14.140625" style="1696" bestFit="1" customWidth="1"/>
    <col min="12294" max="12294" width="9.85546875" style="1696" customWidth="1"/>
    <col min="12295" max="12295" width="14.5703125" style="1696" bestFit="1" customWidth="1"/>
    <col min="12296" max="12296" width="11.140625" style="1696" bestFit="1" customWidth="1"/>
    <col min="12297" max="12297" width="14.42578125" style="1696" customWidth="1"/>
    <col min="12298" max="12544" width="9.140625" style="1696"/>
    <col min="12545" max="12545" width="54.28515625" style="1696" customWidth="1"/>
    <col min="12546" max="12546" width="9.28515625" style="1696" customWidth="1"/>
    <col min="12547" max="12547" width="14.7109375" style="1696" bestFit="1" customWidth="1"/>
    <col min="12548" max="12548" width="10.5703125" style="1696" customWidth="1"/>
    <col min="12549" max="12549" width="14.140625" style="1696" bestFit="1" customWidth="1"/>
    <col min="12550" max="12550" width="9.85546875" style="1696" customWidth="1"/>
    <col min="12551" max="12551" width="14.5703125" style="1696" bestFit="1" customWidth="1"/>
    <col min="12552" max="12552" width="11.140625" style="1696" bestFit="1" customWidth="1"/>
    <col min="12553" max="12553" width="14.42578125" style="1696" customWidth="1"/>
    <col min="12554" max="12800" width="9.140625" style="1696"/>
    <col min="12801" max="12801" width="54.28515625" style="1696" customWidth="1"/>
    <col min="12802" max="12802" width="9.28515625" style="1696" customWidth="1"/>
    <col min="12803" max="12803" width="14.7109375" style="1696" bestFit="1" customWidth="1"/>
    <col min="12804" max="12804" width="10.5703125" style="1696" customWidth="1"/>
    <col min="12805" max="12805" width="14.140625" style="1696" bestFit="1" customWidth="1"/>
    <col min="12806" max="12806" width="9.85546875" style="1696" customWidth="1"/>
    <col min="12807" max="12807" width="14.5703125" style="1696" bestFit="1" customWidth="1"/>
    <col min="12808" max="12808" width="11.140625" style="1696" bestFit="1" customWidth="1"/>
    <col min="12809" max="12809" width="14.42578125" style="1696" customWidth="1"/>
    <col min="12810" max="13056" width="9.140625" style="1696"/>
    <col min="13057" max="13057" width="54.28515625" style="1696" customWidth="1"/>
    <col min="13058" max="13058" width="9.28515625" style="1696" customWidth="1"/>
    <col min="13059" max="13059" width="14.7109375" style="1696" bestFit="1" customWidth="1"/>
    <col min="13060" max="13060" width="10.5703125" style="1696" customWidth="1"/>
    <col min="13061" max="13061" width="14.140625" style="1696" bestFit="1" customWidth="1"/>
    <col min="13062" max="13062" width="9.85546875" style="1696" customWidth="1"/>
    <col min="13063" max="13063" width="14.5703125" style="1696" bestFit="1" customWidth="1"/>
    <col min="13064" max="13064" width="11.140625" style="1696" bestFit="1" customWidth="1"/>
    <col min="13065" max="13065" width="14.42578125" style="1696" customWidth="1"/>
    <col min="13066" max="13312" width="9.140625" style="1696"/>
    <col min="13313" max="13313" width="54.28515625" style="1696" customWidth="1"/>
    <col min="13314" max="13314" width="9.28515625" style="1696" customWidth="1"/>
    <col min="13315" max="13315" width="14.7109375" style="1696" bestFit="1" customWidth="1"/>
    <col min="13316" max="13316" width="10.5703125" style="1696" customWidth="1"/>
    <col min="13317" max="13317" width="14.140625" style="1696" bestFit="1" customWidth="1"/>
    <col min="13318" max="13318" width="9.85546875" style="1696" customWidth="1"/>
    <col min="13319" max="13319" width="14.5703125" style="1696" bestFit="1" customWidth="1"/>
    <col min="13320" max="13320" width="11.140625" style="1696" bestFit="1" customWidth="1"/>
    <col min="13321" max="13321" width="14.42578125" style="1696" customWidth="1"/>
    <col min="13322" max="13568" width="9.140625" style="1696"/>
    <col min="13569" max="13569" width="54.28515625" style="1696" customWidth="1"/>
    <col min="13570" max="13570" width="9.28515625" style="1696" customWidth="1"/>
    <col min="13571" max="13571" width="14.7109375" style="1696" bestFit="1" customWidth="1"/>
    <col min="13572" max="13572" width="10.5703125" style="1696" customWidth="1"/>
    <col min="13573" max="13573" width="14.140625" style="1696" bestFit="1" customWidth="1"/>
    <col min="13574" max="13574" width="9.85546875" style="1696" customWidth="1"/>
    <col min="13575" max="13575" width="14.5703125" style="1696" bestFit="1" customWidth="1"/>
    <col min="13576" max="13576" width="11.140625" style="1696" bestFit="1" customWidth="1"/>
    <col min="13577" max="13577" width="14.42578125" style="1696" customWidth="1"/>
    <col min="13578" max="13824" width="9.140625" style="1696"/>
    <col min="13825" max="13825" width="54.28515625" style="1696" customWidth="1"/>
    <col min="13826" max="13826" width="9.28515625" style="1696" customWidth="1"/>
    <col min="13827" max="13827" width="14.7109375" style="1696" bestFit="1" customWidth="1"/>
    <col min="13828" max="13828" width="10.5703125" style="1696" customWidth="1"/>
    <col min="13829" max="13829" width="14.140625" style="1696" bestFit="1" customWidth="1"/>
    <col min="13830" max="13830" width="9.85546875" style="1696" customWidth="1"/>
    <col min="13831" max="13831" width="14.5703125" style="1696" bestFit="1" customWidth="1"/>
    <col min="13832" max="13832" width="11.140625" style="1696" bestFit="1" customWidth="1"/>
    <col min="13833" max="13833" width="14.42578125" style="1696" customWidth="1"/>
    <col min="13834" max="14080" width="9.140625" style="1696"/>
    <col min="14081" max="14081" width="54.28515625" style="1696" customWidth="1"/>
    <col min="14082" max="14082" width="9.28515625" style="1696" customWidth="1"/>
    <col min="14083" max="14083" width="14.7109375" style="1696" bestFit="1" customWidth="1"/>
    <col min="14084" max="14084" width="10.5703125" style="1696" customWidth="1"/>
    <col min="14085" max="14085" width="14.140625" style="1696" bestFit="1" customWidth="1"/>
    <col min="14086" max="14086" width="9.85546875" style="1696" customWidth="1"/>
    <col min="14087" max="14087" width="14.5703125" style="1696" bestFit="1" customWidth="1"/>
    <col min="14088" max="14088" width="11.140625" style="1696" bestFit="1" customWidth="1"/>
    <col min="14089" max="14089" width="14.42578125" style="1696" customWidth="1"/>
    <col min="14090" max="14336" width="9.140625" style="1696"/>
    <col min="14337" max="14337" width="54.28515625" style="1696" customWidth="1"/>
    <col min="14338" max="14338" width="9.28515625" style="1696" customWidth="1"/>
    <col min="14339" max="14339" width="14.7109375" style="1696" bestFit="1" customWidth="1"/>
    <col min="14340" max="14340" width="10.5703125" style="1696" customWidth="1"/>
    <col min="14341" max="14341" width="14.140625" style="1696" bestFit="1" customWidth="1"/>
    <col min="14342" max="14342" width="9.85546875" style="1696" customWidth="1"/>
    <col min="14343" max="14343" width="14.5703125" style="1696" bestFit="1" customWidth="1"/>
    <col min="14344" max="14344" width="11.140625" style="1696" bestFit="1" customWidth="1"/>
    <col min="14345" max="14345" width="14.42578125" style="1696" customWidth="1"/>
    <col min="14346" max="14592" width="9.140625" style="1696"/>
    <col min="14593" max="14593" width="54.28515625" style="1696" customWidth="1"/>
    <col min="14594" max="14594" width="9.28515625" style="1696" customWidth="1"/>
    <col min="14595" max="14595" width="14.7109375" style="1696" bestFit="1" customWidth="1"/>
    <col min="14596" max="14596" width="10.5703125" style="1696" customWidth="1"/>
    <col min="14597" max="14597" width="14.140625" style="1696" bestFit="1" customWidth="1"/>
    <col min="14598" max="14598" width="9.85546875" style="1696" customWidth="1"/>
    <col min="14599" max="14599" width="14.5703125" style="1696" bestFit="1" customWidth="1"/>
    <col min="14600" max="14600" width="11.140625" style="1696" bestFit="1" customWidth="1"/>
    <col min="14601" max="14601" width="14.42578125" style="1696" customWidth="1"/>
    <col min="14602" max="14848" width="9.140625" style="1696"/>
    <col min="14849" max="14849" width="54.28515625" style="1696" customWidth="1"/>
    <col min="14850" max="14850" width="9.28515625" style="1696" customWidth="1"/>
    <col min="14851" max="14851" width="14.7109375" style="1696" bestFit="1" customWidth="1"/>
    <col min="14852" max="14852" width="10.5703125" style="1696" customWidth="1"/>
    <col min="14853" max="14853" width="14.140625" style="1696" bestFit="1" customWidth="1"/>
    <col min="14854" max="14854" width="9.85546875" style="1696" customWidth="1"/>
    <col min="14855" max="14855" width="14.5703125" style="1696" bestFit="1" customWidth="1"/>
    <col min="14856" max="14856" width="11.140625" style="1696" bestFit="1" customWidth="1"/>
    <col min="14857" max="14857" width="14.42578125" style="1696" customWidth="1"/>
    <col min="14858" max="15104" width="9.140625" style="1696"/>
    <col min="15105" max="15105" width="54.28515625" style="1696" customWidth="1"/>
    <col min="15106" max="15106" width="9.28515625" style="1696" customWidth="1"/>
    <col min="15107" max="15107" width="14.7109375" style="1696" bestFit="1" customWidth="1"/>
    <col min="15108" max="15108" width="10.5703125" style="1696" customWidth="1"/>
    <col min="15109" max="15109" width="14.140625" style="1696" bestFit="1" customWidth="1"/>
    <col min="15110" max="15110" width="9.85546875" style="1696" customWidth="1"/>
    <col min="15111" max="15111" width="14.5703125" style="1696" bestFit="1" customWidth="1"/>
    <col min="15112" max="15112" width="11.140625" style="1696" bestFit="1" customWidth="1"/>
    <col min="15113" max="15113" width="14.42578125" style="1696" customWidth="1"/>
    <col min="15114" max="15360" width="9.140625" style="1696"/>
    <col min="15361" max="15361" width="54.28515625" style="1696" customWidth="1"/>
    <col min="15362" max="15362" width="9.28515625" style="1696" customWidth="1"/>
    <col min="15363" max="15363" width="14.7109375" style="1696" bestFit="1" customWidth="1"/>
    <col min="15364" max="15364" width="10.5703125" style="1696" customWidth="1"/>
    <col min="15365" max="15365" width="14.140625" style="1696" bestFit="1" customWidth="1"/>
    <col min="15366" max="15366" width="9.85546875" style="1696" customWidth="1"/>
    <col min="15367" max="15367" width="14.5703125" style="1696" bestFit="1" customWidth="1"/>
    <col min="15368" max="15368" width="11.140625" style="1696" bestFit="1" customWidth="1"/>
    <col min="15369" max="15369" width="14.42578125" style="1696" customWidth="1"/>
    <col min="15370" max="15616" width="9.140625" style="1696"/>
    <col min="15617" max="15617" width="54.28515625" style="1696" customWidth="1"/>
    <col min="15618" max="15618" width="9.28515625" style="1696" customWidth="1"/>
    <col min="15619" max="15619" width="14.7109375" style="1696" bestFit="1" customWidth="1"/>
    <col min="15620" max="15620" width="10.5703125" style="1696" customWidth="1"/>
    <col min="15621" max="15621" width="14.140625" style="1696" bestFit="1" customWidth="1"/>
    <col min="15622" max="15622" width="9.85546875" style="1696" customWidth="1"/>
    <col min="15623" max="15623" width="14.5703125" style="1696" bestFit="1" customWidth="1"/>
    <col min="15624" max="15624" width="11.140625" style="1696" bestFit="1" customWidth="1"/>
    <col min="15625" max="15625" width="14.42578125" style="1696" customWidth="1"/>
    <col min="15626" max="15872" width="9.140625" style="1696"/>
    <col min="15873" max="15873" width="54.28515625" style="1696" customWidth="1"/>
    <col min="15874" max="15874" width="9.28515625" style="1696" customWidth="1"/>
    <col min="15875" max="15875" width="14.7109375" style="1696" bestFit="1" customWidth="1"/>
    <col min="15876" max="15876" width="10.5703125" style="1696" customWidth="1"/>
    <col min="15877" max="15877" width="14.140625" style="1696" bestFit="1" customWidth="1"/>
    <col min="15878" max="15878" width="9.85546875" style="1696" customWidth="1"/>
    <col min="15879" max="15879" width="14.5703125" style="1696" bestFit="1" customWidth="1"/>
    <col min="15880" max="15880" width="11.140625" style="1696" bestFit="1" customWidth="1"/>
    <col min="15881" max="15881" width="14.42578125" style="1696" customWidth="1"/>
    <col min="15882" max="16128" width="9.140625" style="1696"/>
    <col min="16129" max="16129" width="54.28515625" style="1696" customWidth="1"/>
    <col min="16130" max="16130" width="9.28515625" style="1696" customWidth="1"/>
    <col min="16131" max="16131" width="14.7109375" style="1696" bestFit="1" customWidth="1"/>
    <col min="16132" max="16132" width="10.5703125" style="1696" customWidth="1"/>
    <col min="16133" max="16133" width="14.140625" style="1696" bestFit="1" customWidth="1"/>
    <col min="16134" max="16134" width="9.85546875" style="1696" customWidth="1"/>
    <col min="16135" max="16135" width="14.5703125" style="1696" bestFit="1" customWidth="1"/>
    <col min="16136" max="16136" width="11.140625" style="1696" bestFit="1" customWidth="1"/>
    <col min="16137" max="16137" width="14.42578125" style="1696" customWidth="1"/>
    <col min="16138" max="16384" width="9.140625" style="1696"/>
  </cols>
  <sheetData>
    <row r="1" spans="1:9" ht="15.75">
      <c r="A1" s="1694" t="s">
        <v>2696</v>
      </c>
      <c r="B1" s="1695"/>
      <c r="C1" s="1695"/>
      <c r="D1" s="1695"/>
      <c r="E1" s="1695"/>
      <c r="F1" s="1695"/>
      <c r="G1" s="1695"/>
      <c r="H1" s="1695"/>
      <c r="I1" s="1695"/>
    </row>
    <row r="2" spans="1:9" ht="13.5" thickBot="1">
      <c r="A2" s="1697"/>
      <c r="B2" s="1697"/>
      <c r="C2" s="1697"/>
      <c r="D2" s="1697"/>
      <c r="E2" s="1697"/>
      <c r="F2" s="1697"/>
      <c r="G2" s="1697"/>
      <c r="H2" s="1697"/>
      <c r="I2" s="1697"/>
    </row>
    <row r="3" spans="1:9" ht="19.5" customHeight="1" thickTop="1" thickBot="1">
      <c r="A3" s="1698" t="s">
        <v>2686</v>
      </c>
      <c r="B3" s="1699" t="s">
        <v>2697</v>
      </c>
      <c r="C3" s="1700"/>
      <c r="D3" s="1699" t="s">
        <v>2698</v>
      </c>
      <c r="E3" s="1700"/>
      <c r="F3" s="1699" t="s">
        <v>2699</v>
      </c>
      <c r="G3" s="1700"/>
      <c r="H3" s="1699" t="s">
        <v>2700</v>
      </c>
      <c r="I3" s="1700"/>
    </row>
    <row r="4" spans="1:9">
      <c r="A4" s="1701"/>
      <c r="B4" s="1702" t="s">
        <v>2668</v>
      </c>
      <c r="C4" s="1703" t="s">
        <v>862</v>
      </c>
      <c r="D4" s="1702" t="s">
        <v>2669</v>
      </c>
      <c r="E4" s="1703" t="s">
        <v>862</v>
      </c>
      <c r="F4" s="1702" t="s">
        <v>2669</v>
      </c>
      <c r="G4" s="1703" t="s">
        <v>862</v>
      </c>
      <c r="H4" s="1702" t="s">
        <v>2669</v>
      </c>
      <c r="I4" s="1703" t="s">
        <v>862</v>
      </c>
    </row>
    <row r="5" spans="1:9" ht="13.5" thickBot="1">
      <c r="A5" s="1704"/>
      <c r="B5" s="1705" t="s">
        <v>2670</v>
      </c>
      <c r="C5" s="1706" t="s">
        <v>1353</v>
      </c>
      <c r="D5" s="1705" t="s">
        <v>2670</v>
      </c>
      <c r="E5" s="1706" t="s">
        <v>1353</v>
      </c>
      <c r="F5" s="1705" t="s">
        <v>2670</v>
      </c>
      <c r="G5" s="1706" t="s">
        <v>1353</v>
      </c>
      <c r="H5" s="1705" t="s">
        <v>2670</v>
      </c>
      <c r="I5" s="1706" t="s">
        <v>1353</v>
      </c>
    </row>
    <row r="6" spans="1:9" ht="5.0999999999999996" customHeight="1">
      <c r="A6" s="1707"/>
      <c r="B6" s="1708"/>
      <c r="C6" s="1709"/>
      <c r="D6" s="1708"/>
      <c r="E6" s="1709"/>
      <c r="F6" s="1708"/>
      <c r="G6" s="1709"/>
      <c r="H6" s="1708"/>
      <c r="I6" s="1709"/>
    </row>
    <row r="7" spans="1:9">
      <c r="A7" s="1707" t="s">
        <v>397</v>
      </c>
      <c r="B7" s="1710">
        <v>1207</v>
      </c>
      <c r="C7" s="1711">
        <v>776729.65117895789</v>
      </c>
      <c r="D7" s="1710">
        <v>1406</v>
      </c>
      <c r="E7" s="1711">
        <v>364924.28756392701</v>
      </c>
      <c r="F7" s="1710">
        <v>146</v>
      </c>
      <c r="G7" s="1711">
        <v>297781.1789</v>
      </c>
      <c r="H7" s="1710">
        <v>153</v>
      </c>
      <c r="I7" s="1711">
        <v>788811.05608737154</v>
      </c>
    </row>
    <row r="8" spans="1:9" ht="5.0999999999999996" customHeight="1">
      <c r="A8" s="1707"/>
      <c r="B8" s="1710"/>
      <c r="C8" s="1711"/>
      <c r="D8" s="1710"/>
      <c r="E8" s="1711"/>
      <c r="F8" s="1710"/>
      <c r="G8" s="1711"/>
      <c r="H8" s="1710"/>
      <c r="I8" s="1711"/>
    </row>
    <row r="9" spans="1:9">
      <c r="A9" s="1707" t="s">
        <v>408</v>
      </c>
      <c r="B9" s="1710">
        <v>3777</v>
      </c>
      <c r="C9" s="1711">
        <v>1921264.3474332315</v>
      </c>
      <c r="D9" s="1710">
        <v>1122</v>
      </c>
      <c r="E9" s="1711">
        <v>1003212.3047939807</v>
      </c>
      <c r="F9" s="1710">
        <v>610</v>
      </c>
      <c r="G9" s="1711">
        <v>746185.84387114004</v>
      </c>
      <c r="H9" s="1710">
        <v>1709</v>
      </c>
      <c r="I9" s="1711">
        <v>3094749.6402793536</v>
      </c>
    </row>
    <row r="10" spans="1:9" ht="5.0999999999999996" customHeight="1">
      <c r="A10" s="1707"/>
      <c r="B10" s="1710"/>
      <c r="C10" s="1711"/>
      <c r="D10" s="1710"/>
      <c r="E10" s="1711"/>
      <c r="F10" s="1710"/>
      <c r="G10" s="1711"/>
      <c r="H10" s="1710"/>
      <c r="I10" s="1711"/>
    </row>
    <row r="11" spans="1:9">
      <c r="A11" s="1707" t="s">
        <v>425</v>
      </c>
      <c r="B11" s="1710">
        <v>1824</v>
      </c>
      <c r="C11" s="1711">
        <v>747179.10638106486</v>
      </c>
      <c r="D11" s="1710">
        <v>469</v>
      </c>
      <c r="E11" s="1711">
        <v>354511.2145992993</v>
      </c>
      <c r="F11" s="1710">
        <v>187</v>
      </c>
      <c r="G11" s="1711">
        <v>294771.07287999999</v>
      </c>
      <c r="H11" s="1710">
        <v>926</v>
      </c>
      <c r="I11" s="1711">
        <v>1124221.6921437602</v>
      </c>
    </row>
    <row r="12" spans="1:9" ht="5.0999999999999996" customHeight="1">
      <c r="A12" s="1707"/>
      <c r="B12" s="1710"/>
      <c r="C12" s="1711"/>
      <c r="D12" s="1710"/>
      <c r="E12" s="1711"/>
      <c r="F12" s="1710"/>
      <c r="G12" s="1711"/>
      <c r="H12" s="1710"/>
      <c r="I12" s="1711"/>
    </row>
    <row r="13" spans="1:9" ht="15.75" customHeight="1">
      <c r="A13" s="1707" t="s">
        <v>432</v>
      </c>
      <c r="B13" s="1710">
        <v>1373</v>
      </c>
      <c r="C13" s="1711">
        <v>497791.26032303798</v>
      </c>
      <c r="D13" s="1710">
        <v>736</v>
      </c>
      <c r="E13" s="1711">
        <v>283464.76493379968</v>
      </c>
      <c r="F13" s="1710">
        <v>147</v>
      </c>
      <c r="G13" s="1711">
        <v>358830.90116999997</v>
      </c>
      <c r="H13" s="1710">
        <v>290</v>
      </c>
      <c r="I13" s="1711">
        <v>324537.94098939694</v>
      </c>
    </row>
    <row r="14" spans="1:9" ht="5.0999999999999996" customHeight="1">
      <c r="A14" s="1707"/>
      <c r="B14" s="1710"/>
      <c r="C14" s="1711"/>
      <c r="D14" s="1710"/>
      <c r="E14" s="1711"/>
      <c r="F14" s="1710"/>
      <c r="G14" s="1711"/>
      <c r="H14" s="1710"/>
      <c r="I14" s="1711"/>
    </row>
    <row r="15" spans="1:9">
      <c r="A15" s="1707" t="s">
        <v>436</v>
      </c>
      <c r="B15" s="1710">
        <v>3187</v>
      </c>
      <c r="C15" s="1711">
        <v>2124835.9831198924</v>
      </c>
      <c r="D15" s="1710">
        <v>843</v>
      </c>
      <c r="E15" s="1711">
        <v>1352876.4991362037</v>
      </c>
      <c r="F15" s="1710">
        <v>946</v>
      </c>
      <c r="G15" s="1711">
        <v>1104225.5591381534</v>
      </c>
      <c r="H15" s="1710">
        <v>696</v>
      </c>
      <c r="I15" s="1711">
        <v>1892395.3157783695</v>
      </c>
    </row>
    <row r="16" spans="1:9" ht="5.0999999999999996" customHeight="1">
      <c r="A16" s="1707"/>
      <c r="B16" s="1710"/>
      <c r="C16" s="1711"/>
      <c r="D16" s="1710"/>
      <c r="E16" s="1711"/>
      <c r="F16" s="1710"/>
      <c r="G16" s="1711"/>
      <c r="H16" s="1710"/>
      <c r="I16" s="1711"/>
    </row>
    <row r="17" spans="1:9">
      <c r="A17" s="1707" t="s">
        <v>448</v>
      </c>
      <c r="B17" s="1710">
        <v>13710</v>
      </c>
      <c r="C17" s="1711">
        <v>5562063.1824053591</v>
      </c>
      <c r="D17" s="1710">
        <v>4845</v>
      </c>
      <c r="E17" s="1711">
        <v>2571129.4859950533</v>
      </c>
      <c r="F17" s="1710">
        <v>1521</v>
      </c>
      <c r="G17" s="1711">
        <v>2414290.4538201396</v>
      </c>
      <c r="H17" s="1710">
        <v>3327</v>
      </c>
      <c r="I17" s="1711">
        <v>6630116.4958942505</v>
      </c>
    </row>
    <row r="18" spans="1:9" ht="5.0999999999999996" customHeight="1">
      <c r="A18" s="1707"/>
      <c r="B18" s="1710"/>
      <c r="C18" s="1711"/>
      <c r="D18" s="1710"/>
      <c r="E18" s="1711"/>
      <c r="F18" s="1710"/>
      <c r="G18" s="1711"/>
      <c r="H18" s="1710"/>
      <c r="I18" s="1711"/>
    </row>
    <row r="19" spans="1:9">
      <c r="A19" s="1707" t="s">
        <v>459</v>
      </c>
      <c r="B19" s="1710">
        <v>1117</v>
      </c>
      <c r="C19" s="1711">
        <v>365446.40789674694</v>
      </c>
      <c r="D19" s="1710">
        <v>219</v>
      </c>
      <c r="E19" s="1711">
        <v>242909.39884489807</v>
      </c>
      <c r="F19" s="1710">
        <v>166</v>
      </c>
      <c r="G19" s="1711">
        <v>690317.13045682537</v>
      </c>
      <c r="H19" s="1710">
        <v>561</v>
      </c>
      <c r="I19" s="1711">
        <v>550264.51000914571</v>
      </c>
    </row>
    <row r="20" spans="1:9" ht="5.0999999999999996" customHeight="1">
      <c r="A20" s="1707"/>
      <c r="B20" s="1710"/>
      <c r="C20" s="1711"/>
      <c r="D20" s="1710"/>
      <c r="E20" s="1711"/>
      <c r="F20" s="1710"/>
      <c r="G20" s="1711"/>
      <c r="H20" s="1710"/>
      <c r="I20" s="1711"/>
    </row>
    <row r="21" spans="1:9">
      <c r="A21" s="1707" t="s">
        <v>466</v>
      </c>
      <c r="B21" s="1710">
        <v>3963</v>
      </c>
      <c r="C21" s="1711">
        <v>7550417.7711080955</v>
      </c>
      <c r="D21" s="1710">
        <v>790</v>
      </c>
      <c r="E21" s="1711">
        <v>4748158.4259111462</v>
      </c>
      <c r="F21" s="1710">
        <v>1445</v>
      </c>
      <c r="G21" s="1711">
        <v>19579117.330464352</v>
      </c>
      <c r="H21" s="1710">
        <v>3337</v>
      </c>
      <c r="I21" s="1711">
        <v>16398309.563806497</v>
      </c>
    </row>
    <row r="22" spans="1:9" ht="5.0999999999999996" customHeight="1">
      <c r="A22" s="1707"/>
      <c r="B22" s="1710"/>
      <c r="C22" s="1711"/>
      <c r="D22" s="1710"/>
      <c r="E22" s="1711"/>
      <c r="F22" s="1710"/>
      <c r="G22" s="1711"/>
      <c r="H22" s="1710"/>
      <c r="I22" s="1711"/>
    </row>
    <row r="23" spans="1:9">
      <c r="A23" s="1707" t="s">
        <v>474</v>
      </c>
      <c r="B23" s="1710">
        <v>176</v>
      </c>
      <c r="C23" s="1711">
        <v>1366427.3903680798</v>
      </c>
      <c r="D23" s="1710">
        <v>53</v>
      </c>
      <c r="E23" s="1711">
        <v>599468.15949905466</v>
      </c>
      <c r="F23" s="1710">
        <v>46</v>
      </c>
      <c r="G23" s="1711">
        <v>220961.37621000002</v>
      </c>
      <c r="H23" s="1710">
        <v>104</v>
      </c>
      <c r="I23" s="1711">
        <v>492600.48954000004</v>
      </c>
    </row>
    <row r="24" spans="1:9" ht="5.0999999999999996" customHeight="1">
      <c r="A24" s="1707"/>
      <c r="B24" s="1710"/>
      <c r="C24" s="1711"/>
      <c r="D24" s="1710"/>
      <c r="E24" s="1711"/>
      <c r="F24" s="1710"/>
      <c r="G24" s="1711"/>
      <c r="H24" s="1710"/>
      <c r="I24" s="1711"/>
    </row>
    <row r="25" spans="1:9">
      <c r="A25" s="1707" t="s">
        <v>2691</v>
      </c>
      <c r="B25" s="1710">
        <v>290</v>
      </c>
      <c r="C25" s="1711">
        <v>361451.91259612906</v>
      </c>
      <c r="D25" s="1710">
        <v>17</v>
      </c>
      <c r="E25" s="1711">
        <v>2508.097668245191</v>
      </c>
      <c r="F25" s="1710">
        <v>35</v>
      </c>
      <c r="G25" s="1711">
        <v>25228.249087371387</v>
      </c>
      <c r="H25" s="1710">
        <v>18016</v>
      </c>
      <c r="I25" s="1711">
        <v>269984169.11738747</v>
      </c>
    </row>
    <row r="26" spans="1:9" ht="5.0999999999999996" customHeight="1">
      <c r="A26" s="1707"/>
      <c r="B26" s="1710"/>
      <c r="C26" s="1711"/>
      <c r="D26" s="1710"/>
      <c r="E26" s="1711"/>
      <c r="F26" s="1710"/>
      <c r="G26" s="1711"/>
      <c r="H26" s="1710"/>
      <c r="I26" s="1711"/>
    </row>
    <row r="27" spans="1:9">
      <c r="A27" s="1707" t="s">
        <v>480</v>
      </c>
      <c r="B27" s="1710">
        <v>150</v>
      </c>
      <c r="C27" s="1711">
        <v>263948.17843948369</v>
      </c>
      <c r="D27" s="1710">
        <v>50</v>
      </c>
      <c r="E27" s="1711">
        <v>584193.44779999997</v>
      </c>
      <c r="F27" s="1710">
        <v>16</v>
      </c>
      <c r="G27" s="1711">
        <v>835962.01525351999</v>
      </c>
      <c r="H27" s="1710">
        <v>0</v>
      </c>
      <c r="I27" s="1711">
        <v>-0.1393834902423805</v>
      </c>
    </row>
    <row r="28" spans="1:9" ht="5.0999999999999996" customHeight="1">
      <c r="A28" s="1707"/>
      <c r="B28" s="1710"/>
      <c r="C28" s="1711"/>
      <c r="D28" s="1710"/>
      <c r="E28" s="1711"/>
      <c r="F28" s="1710"/>
      <c r="G28" s="1711"/>
      <c r="H28" s="1710"/>
      <c r="I28" s="1711"/>
    </row>
    <row r="29" spans="1:9">
      <c r="A29" s="1707" t="s">
        <v>481</v>
      </c>
      <c r="B29" s="1710">
        <v>127</v>
      </c>
      <c r="C29" s="1711">
        <v>922367.11867091735</v>
      </c>
      <c r="D29" s="1710">
        <v>130</v>
      </c>
      <c r="E29" s="1711">
        <v>1594015.1791324422</v>
      </c>
      <c r="F29" s="1710">
        <v>126</v>
      </c>
      <c r="G29" s="1711">
        <v>6554809.8526357329</v>
      </c>
      <c r="H29" s="1710">
        <v>318</v>
      </c>
      <c r="I29" s="1711">
        <v>6458379.7841757946</v>
      </c>
    </row>
    <row r="30" spans="1:9" ht="5.0999999999999996" customHeight="1">
      <c r="A30" s="1707"/>
      <c r="B30" s="1710"/>
      <c r="C30" s="1711"/>
      <c r="D30" s="1710"/>
      <c r="E30" s="1711"/>
      <c r="F30" s="1710"/>
      <c r="G30" s="1711"/>
      <c r="H30" s="1710"/>
      <c r="I30" s="1711"/>
    </row>
    <row r="31" spans="1:9">
      <c r="A31" s="1707" t="s">
        <v>482</v>
      </c>
      <c r="B31" s="1710">
        <v>5</v>
      </c>
      <c r="C31" s="1711">
        <v>271.83211999999997</v>
      </c>
      <c r="D31" s="1710">
        <v>3</v>
      </c>
      <c r="E31" s="1711">
        <v>19130.954470000001</v>
      </c>
      <c r="F31" s="1710">
        <v>0</v>
      </c>
      <c r="G31" s="1711">
        <v>0</v>
      </c>
      <c r="H31" s="1710">
        <v>0</v>
      </c>
      <c r="I31" s="1711">
        <v>0</v>
      </c>
    </row>
    <row r="32" spans="1:9" ht="5.0999999999999996" customHeight="1">
      <c r="A32" s="1707"/>
      <c r="B32" s="1710"/>
      <c r="C32" s="1711"/>
      <c r="D32" s="1710"/>
      <c r="E32" s="1711"/>
      <c r="F32" s="1710"/>
      <c r="G32" s="1711"/>
      <c r="H32" s="1710"/>
      <c r="I32" s="1711"/>
    </row>
    <row r="33" spans="1:9">
      <c r="A33" s="1707" t="s">
        <v>484</v>
      </c>
      <c r="B33" s="1710">
        <v>103</v>
      </c>
      <c r="C33" s="1711">
        <v>29850.643599999996</v>
      </c>
      <c r="D33" s="1710">
        <v>14</v>
      </c>
      <c r="E33" s="1711">
        <v>5436.4577518327023</v>
      </c>
      <c r="F33" s="1710">
        <v>25</v>
      </c>
      <c r="G33" s="1711">
        <v>96881.981540000008</v>
      </c>
      <c r="H33" s="1710">
        <v>182</v>
      </c>
      <c r="I33" s="1711">
        <v>162922.27114618159</v>
      </c>
    </row>
    <row r="34" spans="1:9" ht="5.0999999999999996" customHeight="1">
      <c r="A34" s="1707"/>
      <c r="B34" s="1710"/>
      <c r="C34" s="1711"/>
      <c r="D34" s="1710"/>
      <c r="E34" s="1711"/>
      <c r="F34" s="1710"/>
      <c r="G34" s="1711"/>
      <c r="H34" s="1710"/>
      <c r="I34" s="1711"/>
    </row>
    <row r="35" spans="1:9">
      <c r="A35" s="1707" t="s">
        <v>483</v>
      </c>
      <c r="B35" s="1710">
        <v>1</v>
      </c>
      <c r="C35" s="1711">
        <v>8.5000000000000006E-2</v>
      </c>
      <c r="D35" s="1710">
        <v>2</v>
      </c>
      <c r="E35" s="1711">
        <v>20971.813189999997</v>
      </c>
      <c r="F35" s="1710">
        <v>1</v>
      </c>
      <c r="G35" s="1711">
        <v>20000</v>
      </c>
      <c r="H35" s="1710">
        <v>3</v>
      </c>
      <c r="I35" s="1711">
        <v>2819.4272999999998</v>
      </c>
    </row>
    <row r="36" spans="1:9" ht="5.0999999999999996" customHeight="1">
      <c r="A36" s="1707"/>
      <c r="B36" s="1710"/>
      <c r="C36" s="1711"/>
      <c r="D36" s="1710"/>
      <c r="E36" s="1711"/>
      <c r="F36" s="1710"/>
      <c r="G36" s="1711"/>
      <c r="H36" s="1710"/>
      <c r="I36" s="1711"/>
    </row>
    <row r="37" spans="1:9">
      <c r="A37" s="1707" t="s">
        <v>485</v>
      </c>
      <c r="B37" s="1710">
        <v>48</v>
      </c>
      <c r="C37" s="1711">
        <v>31468.702305486073</v>
      </c>
      <c r="D37" s="1710">
        <v>31</v>
      </c>
      <c r="E37" s="1711">
        <v>28001.41833</v>
      </c>
      <c r="F37" s="1710">
        <v>6</v>
      </c>
      <c r="G37" s="1711">
        <v>60959.809139999998</v>
      </c>
      <c r="H37" s="1710">
        <v>14</v>
      </c>
      <c r="I37" s="1711">
        <v>14925.974629999999</v>
      </c>
    </row>
    <row r="38" spans="1:9" ht="5.0999999999999996" customHeight="1">
      <c r="A38" s="1707"/>
      <c r="B38" s="1710"/>
      <c r="C38" s="1711"/>
      <c r="D38" s="1710"/>
      <c r="E38" s="1711"/>
      <c r="F38" s="1710"/>
      <c r="G38" s="1711"/>
      <c r="H38" s="1710"/>
      <c r="I38" s="1711"/>
    </row>
    <row r="39" spans="1:9">
      <c r="A39" s="1707" t="s">
        <v>2701</v>
      </c>
      <c r="B39" s="1710">
        <v>2</v>
      </c>
      <c r="C39" s="1711">
        <v>320</v>
      </c>
      <c r="D39" s="1710">
        <v>7</v>
      </c>
      <c r="E39" s="1711">
        <v>769.80757999999992</v>
      </c>
      <c r="F39" s="1710">
        <v>0</v>
      </c>
      <c r="G39" s="1711">
        <v>0</v>
      </c>
      <c r="H39" s="1710">
        <v>0</v>
      </c>
      <c r="I39" s="1711">
        <v>0</v>
      </c>
    </row>
    <row r="40" spans="1:9" ht="5.0999999999999996" customHeight="1">
      <c r="A40" s="1707"/>
      <c r="B40" s="1710"/>
      <c r="C40" s="1711"/>
      <c r="D40" s="1710"/>
      <c r="E40" s="1711"/>
      <c r="F40" s="1710"/>
      <c r="G40" s="1711"/>
      <c r="H40" s="1710"/>
      <c r="I40" s="1711"/>
    </row>
    <row r="41" spans="1:9">
      <c r="A41" s="1707" t="s">
        <v>2702</v>
      </c>
      <c r="B41" s="1710">
        <v>179315</v>
      </c>
      <c r="C41" s="1711">
        <v>11111767.808036825</v>
      </c>
      <c r="D41" s="1710">
        <v>1785368</v>
      </c>
      <c r="E41" s="1711">
        <v>114641762.56234251</v>
      </c>
      <c r="F41" s="1710">
        <v>104859</v>
      </c>
      <c r="G41" s="1711">
        <v>38044207.723543786</v>
      </c>
      <c r="H41" s="1710">
        <v>27910</v>
      </c>
      <c r="I41" s="1711">
        <v>13814331.996712176</v>
      </c>
    </row>
    <row r="42" spans="1:9" ht="5.0999999999999996" customHeight="1">
      <c r="A42" s="1707"/>
      <c r="B42" s="1710"/>
      <c r="C42" s="1711"/>
      <c r="D42" s="1710"/>
      <c r="E42" s="1711"/>
      <c r="F42" s="1710"/>
      <c r="G42" s="1711"/>
      <c r="H42" s="1710"/>
      <c r="I42" s="1711"/>
    </row>
    <row r="43" spans="1:9">
      <c r="A43" s="1707" t="s">
        <v>2693</v>
      </c>
      <c r="B43" s="1710">
        <v>2473</v>
      </c>
      <c r="C43" s="1711">
        <v>904517.27011249925</v>
      </c>
      <c r="D43" s="1710">
        <v>7033</v>
      </c>
      <c r="E43" s="1711">
        <v>1872903.6989987551</v>
      </c>
      <c r="F43" s="1710">
        <v>1217</v>
      </c>
      <c r="G43" s="1711">
        <v>679722.80104000005</v>
      </c>
      <c r="H43" s="1710">
        <v>926</v>
      </c>
      <c r="I43" s="1711">
        <v>1247170.6926113141</v>
      </c>
    </row>
    <row r="44" spans="1:9" ht="5.0999999999999996" customHeight="1">
      <c r="A44" s="1707"/>
      <c r="B44" s="1710"/>
      <c r="C44" s="1711"/>
      <c r="D44" s="1710"/>
      <c r="E44" s="1711"/>
      <c r="F44" s="1710"/>
      <c r="G44" s="1711"/>
      <c r="H44" s="1710"/>
      <c r="I44" s="1711"/>
    </row>
    <row r="45" spans="1:9">
      <c r="A45" s="1707" t="s">
        <v>490</v>
      </c>
      <c r="B45" s="1710">
        <v>4</v>
      </c>
      <c r="C45" s="1711">
        <v>579.10539999999992</v>
      </c>
      <c r="D45" s="1710">
        <v>7</v>
      </c>
      <c r="E45" s="1711">
        <v>130.39991999999998</v>
      </c>
      <c r="F45" s="1710">
        <v>1</v>
      </c>
      <c r="G45" s="1711">
        <v>200</v>
      </c>
      <c r="H45" s="1710">
        <v>1</v>
      </c>
      <c r="I45" s="1711">
        <v>1834.6924899999999</v>
      </c>
    </row>
    <row r="46" spans="1:9" ht="5.0999999999999996" customHeight="1">
      <c r="A46" s="1707"/>
      <c r="B46" s="1710"/>
      <c r="C46" s="1711"/>
      <c r="D46" s="1710"/>
      <c r="E46" s="1711"/>
      <c r="F46" s="1710"/>
      <c r="G46" s="1711"/>
      <c r="H46" s="1710"/>
      <c r="I46" s="1711"/>
    </row>
    <row r="47" spans="1:9">
      <c r="A47" s="1707" t="s">
        <v>491</v>
      </c>
      <c r="B47" s="1710">
        <v>757</v>
      </c>
      <c r="C47" s="1711">
        <v>230686.09833738304</v>
      </c>
      <c r="D47" s="1710">
        <v>546</v>
      </c>
      <c r="E47" s="1711">
        <v>117278.47886</v>
      </c>
      <c r="F47" s="1710">
        <v>89</v>
      </c>
      <c r="G47" s="1711">
        <v>43493.265830000004</v>
      </c>
      <c r="H47" s="1710">
        <v>110</v>
      </c>
      <c r="I47" s="1711">
        <v>169410.09812377498</v>
      </c>
    </row>
    <row r="48" spans="1:9" ht="5.0999999999999996" customHeight="1">
      <c r="A48" s="1707"/>
      <c r="B48" s="1710"/>
      <c r="C48" s="1711"/>
      <c r="D48" s="1710"/>
      <c r="E48" s="1711"/>
      <c r="F48" s="1710"/>
      <c r="G48" s="1711"/>
      <c r="H48" s="1710"/>
      <c r="I48" s="1711"/>
    </row>
    <row r="49" spans="1:9">
      <c r="A49" s="1707" t="s">
        <v>489</v>
      </c>
      <c r="B49" s="1710">
        <v>569</v>
      </c>
      <c r="C49" s="1711">
        <v>322113.30597511242</v>
      </c>
      <c r="D49" s="1710">
        <v>256</v>
      </c>
      <c r="E49" s="1711">
        <v>288184.20492349222</v>
      </c>
      <c r="F49" s="1710">
        <v>90</v>
      </c>
      <c r="G49" s="1711">
        <v>157967.36126976367</v>
      </c>
      <c r="H49" s="1710">
        <v>82</v>
      </c>
      <c r="I49" s="1711">
        <v>102611.56737489464</v>
      </c>
    </row>
    <row r="50" spans="1:9" ht="5.0999999999999996" customHeight="1">
      <c r="A50" s="1707"/>
      <c r="B50" s="1710"/>
      <c r="C50" s="1711"/>
      <c r="D50" s="1710"/>
      <c r="E50" s="1711"/>
      <c r="F50" s="1710"/>
      <c r="G50" s="1711"/>
      <c r="H50" s="1710"/>
      <c r="I50" s="1711"/>
    </row>
    <row r="51" spans="1:9">
      <c r="A51" s="1707" t="s">
        <v>2703</v>
      </c>
      <c r="B51" s="1710">
        <v>12062</v>
      </c>
      <c r="C51" s="1711">
        <v>6782841.8699076418</v>
      </c>
      <c r="D51" s="1710">
        <v>12120</v>
      </c>
      <c r="E51" s="1711">
        <v>5420372.9601069726</v>
      </c>
      <c r="F51" s="1710">
        <v>2387</v>
      </c>
      <c r="G51" s="1711">
        <v>3743697.929318496</v>
      </c>
      <c r="H51" s="1710">
        <v>1509</v>
      </c>
      <c r="I51" s="1711">
        <v>2861128.7866459084</v>
      </c>
    </row>
    <row r="52" spans="1:9" ht="5.0999999999999996" customHeight="1">
      <c r="A52" s="1707"/>
      <c r="B52" s="1710"/>
      <c r="C52" s="1711"/>
      <c r="D52" s="1710"/>
      <c r="E52" s="1711"/>
      <c r="F52" s="1710"/>
      <c r="G52" s="1711"/>
      <c r="H52" s="1710"/>
      <c r="I52" s="1711"/>
    </row>
    <row r="53" spans="1:9" s="1714" customFormat="1">
      <c r="A53" s="1707" t="s">
        <v>369</v>
      </c>
      <c r="B53" s="1712">
        <v>226240</v>
      </c>
      <c r="C53" s="1713">
        <v>41874339.030715942</v>
      </c>
      <c r="D53" s="1712">
        <v>1816067</v>
      </c>
      <c r="E53" s="1713">
        <v>136116314.02235162</v>
      </c>
      <c r="F53" s="1712">
        <v>114066</v>
      </c>
      <c r="G53" s="1713">
        <v>75969611.835569277</v>
      </c>
      <c r="H53" s="1712">
        <v>60174</v>
      </c>
      <c r="I53" s="1713">
        <v>326115710.97374213</v>
      </c>
    </row>
    <row r="54" spans="1:9" ht="5.0999999999999996" customHeight="1" thickBot="1">
      <c r="A54" s="1715"/>
      <c r="B54" s="1716"/>
      <c r="C54" s="1717"/>
      <c r="D54" s="1716"/>
      <c r="E54" s="1717"/>
      <c r="F54" s="1716"/>
      <c r="G54" s="1717"/>
      <c r="H54" s="1716"/>
      <c r="I54" s="1717"/>
    </row>
    <row r="55" spans="1:9" s="1720" customFormat="1" ht="14.25" thickTop="1">
      <c r="A55" s="1688" t="s">
        <v>2704</v>
      </c>
      <c r="B55" s="1718"/>
      <c r="C55" s="1718"/>
      <c r="D55" s="1688" t="s">
        <v>2705</v>
      </c>
      <c r="E55" s="1719"/>
      <c r="F55" s="1718"/>
      <c r="G55" s="1718"/>
      <c r="H55" s="1718"/>
      <c r="I55" s="1718"/>
    </row>
    <row r="56" spans="1:9" s="1720" customFormat="1" ht="13.5">
      <c r="A56" s="1688" t="s">
        <v>2695</v>
      </c>
      <c r="B56" s="1718"/>
      <c r="C56" s="1718"/>
      <c r="D56" s="1688" t="s">
        <v>361</v>
      </c>
      <c r="E56" s="1719"/>
      <c r="F56" s="1718"/>
      <c r="G56" s="1718"/>
      <c r="H56" s="1718"/>
      <c r="I56" s="1718"/>
    </row>
    <row r="57" spans="1:9" s="1720" customFormat="1">
      <c r="A57" s="1721"/>
      <c r="B57" s="1722"/>
      <c r="C57" s="1723"/>
      <c r="D57" s="1724"/>
      <c r="E57" s="1723"/>
      <c r="F57" s="1724"/>
      <c r="G57" s="1723"/>
      <c r="H57" s="1724"/>
      <c r="I57" s="1723"/>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A10" sqref="A10"/>
    </sheetView>
  </sheetViews>
  <sheetFormatPr defaultRowHeight="12.75"/>
  <cols>
    <col min="1" max="1" width="42.140625" style="1696" customWidth="1"/>
    <col min="2" max="2" width="10.5703125" style="1696" bestFit="1" customWidth="1"/>
    <col min="3" max="3" width="12.85546875" style="1696" customWidth="1"/>
    <col min="4" max="4" width="14.140625" style="1696" bestFit="1" customWidth="1"/>
    <col min="5" max="5" width="15.85546875" style="1696" bestFit="1" customWidth="1"/>
    <col min="6" max="6" width="12.28515625" style="1696" bestFit="1" customWidth="1"/>
    <col min="7" max="7" width="12.7109375" style="1696" customWidth="1"/>
    <col min="8" max="8" width="9.28515625" style="1696" bestFit="1" customWidth="1"/>
    <col min="9" max="9" width="10" style="1696" customWidth="1"/>
    <col min="10" max="10" width="11.140625" style="1696" customWidth="1"/>
    <col min="11" max="11" width="17.28515625" style="1696" bestFit="1" customWidth="1"/>
    <col min="12" max="12" width="9.140625" style="1696"/>
    <col min="13" max="13" width="9.5703125" style="1696" bestFit="1" customWidth="1"/>
    <col min="14" max="16" width="12.28515625" style="1696" customWidth="1"/>
    <col min="17" max="17" width="10.28515625" style="1696" customWidth="1"/>
    <col min="18" max="18" width="12.28515625" style="1696" customWidth="1"/>
    <col min="19" max="256" width="9.140625" style="1696"/>
    <col min="257" max="257" width="42.140625" style="1696" customWidth="1"/>
    <col min="258" max="258" width="10.5703125" style="1696" bestFit="1" customWidth="1"/>
    <col min="259" max="259" width="12.85546875" style="1696" customWidth="1"/>
    <col min="260" max="260" width="14.140625" style="1696" bestFit="1" customWidth="1"/>
    <col min="261" max="261" width="15.85546875" style="1696" bestFit="1" customWidth="1"/>
    <col min="262" max="262" width="12.28515625" style="1696" bestFit="1" customWidth="1"/>
    <col min="263" max="263" width="12.7109375" style="1696" customWidth="1"/>
    <col min="264" max="264" width="9.28515625" style="1696" bestFit="1" customWidth="1"/>
    <col min="265" max="265" width="10" style="1696" customWidth="1"/>
    <col min="266" max="266" width="11.140625" style="1696" customWidth="1"/>
    <col min="267" max="267" width="17.28515625" style="1696" bestFit="1" customWidth="1"/>
    <col min="268" max="268" width="9.140625" style="1696"/>
    <col min="269" max="269" width="9.5703125" style="1696" bestFit="1" customWidth="1"/>
    <col min="270" max="272" width="12.28515625" style="1696" customWidth="1"/>
    <col min="273" max="273" width="10.28515625" style="1696" customWidth="1"/>
    <col min="274" max="274" width="12.28515625" style="1696" customWidth="1"/>
    <col min="275" max="512" width="9.140625" style="1696"/>
    <col min="513" max="513" width="42.140625" style="1696" customWidth="1"/>
    <col min="514" max="514" width="10.5703125" style="1696" bestFit="1" customWidth="1"/>
    <col min="515" max="515" width="12.85546875" style="1696" customWidth="1"/>
    <col min="516" max="516" width="14.140625" style="1696" bestFit="1" customWidth="1"/>
    <col min="517" max="517" width="15.85546875" style="1696" bestFit="1" customWidth="1"/>
    <col min="518" max="518" width="12.28515625" style="1696" bestFit="1" customWidth="1"/>
    <col min="519" max="519" width="12.7109375" style="1696" customWidth="1"/>
    <col min="520" max="520" width="9.28515625" style="1696" bestFit="1" customWidth="1"/>
    <col min="521" max="521" width="10" style="1696" customWidth="1"/>
    <col min="522" max="522" width="11.140625" style="1696" customWidth="1"/>
    <col min="523" max="523" width="17.28515625" style="1696" bestFit="1" customWidth="1"/>
    <col min="524" max="524" width="9.140625" style="1696"/>
    <col min="525" max="525" width="9.5703125" style="1696" bestFit="1" customWidth="1"/>
    <col min="526" max="528" width="12.28515625" style="1696" customWidth="1"/>
    <col min="529" max="529" width="10.28515625" style="1696" customWidth="1"/>
    <col min="530" max="530" width="12.28515625" style="1696" customWidth="1"/>
    <col min="531" max="768" width="9.140625" style="1696"/>
    <col min="769" max="769" width="42.140625" style="1696" customWidth="1"/>
    <col min="770" max="770" width="10.5703125" style="1696" bestFit="1" customWidth="1"/>
    <col min="771" max="771" width="12.85546875" style="1696" customWidth="1"/>
    <col min="772" max="772" width="14.140625" style="1696" bestFit="1" customWidth="1"/>
    <col min="773" max="773" width="15.85546875" style="1696" bestFit="1" customWidth="1"/>
    <col min="774" max="774" width="12.28515625" style="1696" bestFit="1" customWidth="1"/>
    <col min="775" max="775" width="12.7109375" style="1696" customWidth="1"/>
    <col min="776" max="776" width="9.28515625" style="1696" bestFit="1" customWidth="1"/>
    <col min="777" max="777" width="10" style="1696" customWidth="1"/>
    <col min="778" max="778" width="11.140625" style="1696" customWidth="1"/>
    <col min="779" max="779" width="17.28515625" style="1696" bestFit="1" customWidth="1"/>
    <col min="780" max="780" width="9.140625" style="1696"/>
    <col min="781" max="781" width="9.5703125" style="1696" bestFit="1" customWidth="1"/>
    <col min="782" max="784" width="12.28515625" style="1696" customWidth="1"/>
    <col min="785" max="785" width="10.28515625" style="1696" customWidth="1"/>
    <col min="786" max="786" width="12.28515625" style="1696" customWidth="1"/>
    <col min="787" max="1024" width="9.140625" style="1696"/>
    <col min="1025" max="1025" width="42.140625" style="1696" customWidth="1"/>
    <col min="1026" max="1026" width="10.5703125" style="1696" bestFit="1" customWidth="1"/>
    <col min="1027" max="1027" width="12.85546875" style="1696" customWidth="1"/>
    <col min="1028" max="1028" width="14.140625" style="1696" bestFit="1" customWidth="1"/>
    <col min="1029" max="1029" width="15.85546875" style="1696" bestFit="1" customWidth="1"/>
    <col min="1030" max="1030" width="12.28515625" style="1696" bestFit="1" customWidth="1"/>
    <col min="1031" max="1031" width="12.7109375" style="1696" customWidth="1"/>
    <col min="1032" max="1032" width="9.28515625" style="1696" bestFit="1" customWidth="1"/>
    <col min="1033" max="1033" width="10" style="1696" customWidth="1"/>
    <col min="1034" max="1034" width="11.140625" style="1696" customWidth="1"/>
    <col min="1035" max="1035" width="17.28515625" style="1696" bestFit="1" customWidth="1"/>
    <col min="1036" max="1036" width="9.140625" style="1696"/>
    <col min="1037" max="1037" width="9.5703125" style="1696" bestFit="1" customWidth="1"/>
    <col min="1038" max="1040" width="12.28515625" style="1696" customWidth="1"/>
    <col min="1041" max="1041" width="10.28515625" style="1696" customWidth="1"/>
    <col min="1042" max="1042" width="12.28515625" style="1696" customWidth="1"/>
    <col min="1043" max="1280" width="9.140625" style="1696"/>
    <col min="1281" max="1281" width="42.140625" style="1696" customWidth="1"/>
    <col min="1282" max="1282" width="10.5703125" style="1696" bestFit="1" customWidth="1"/>
    <col min="1283" max="1283" width="12.85546875" style="1696" customWidth="1"/>
    <col min="1284" max="1284" width="14.140625" style="1696" bestFit="1" customWidth="1"/>
    <col min="1285" max="1285" width="15.85546875" style="1696" bestFit="1" customWidth="1"/>
    <col min="1286" max="1286" width="12.28515625" style="1696" bestFit="1" customWidth="1"/>
    <col min="1287" max="1287" width="12.7109375" style="1696" customWidth="1"/>
    <col min="1288" max="1288" width="9.28515625" style="1696" bestFit="1" customWidth="1"/>
    <col min="1289" max="1289" width="10" style="1696" customWidth="1"/>
    <col min="1290" max="1290" width="11.140625" style="1696" customWidth="1"/>
    <col min="1291" max="1291" width="17.28515625" style="1696" bestFit="1" customWidth="1"/>
    <col min="1292" max="1292" width="9.140625" style="1696"/>
    <col min="1293" max="1293" width="9.5703125" style="1696" bestFit="1" customWidth="1"/>
    <col min="1294" max="1296" width="12.28515625" style="1696" customWidth="1"/>
    <col min="1297" max="1297" width="10.28515625" style="1696" customWidth="1"/>
    <col min="1298" max="1298" width="12.28515625" style="1696" customWidth="1"/>
    <col min="1299" max="1536" width="9.140625" style="1696"/>
    <col min="1537" max="1537" width="42.140625" style="1696" customWidth="1"/>
    <col min="1538" max="1538" width="10.5703125" style="1696" bestFit="1" customWidth="1"/>
    <col min="1539" max="1539" width="12.85546875" style="1696" customWidth="1"/>
    <col min="1540" max="1540" width="14.140625" style="1696" bestFit="1" customWidth="1"/>
    <col min="1541" max="1541" width="15.85546875" style="1696" bestFit="1" customWidth="1"/>
    <col min="1542" max="1542" width="12.28515625" style="1696" bestFit="1" customWidth="1"/>
    <col min="1543" max="1543" width="12.7109375" style="1696" customWidth="1"/>
    <col min="1544" max="1544" width="9.28515625" style="1696" bestFit="1" customWidth="1"/>
    <col min="1545" max="1545" width="10" style="1696" customWidth="1"/>
    <col min="1546" max="1546" width="11.140625" style="1696" customWidth="1"/>
    <col min="1547" max="1547" width="17.28515625" style="1696" bestFit="1" customWidth="1"/>
    <col min="1548" max="1548" width="9.140625" style="1696"/>
    <col min="1549" max="1549" width="9.5703125" style="1696" bestFit="1" customWidth="1"/>
    <col min="1550" max="1552" width="12.28515625" style="1696" customWidth="1"/>
    <col min="1553" max="1553" width="10.28515625" style="1696" customWidth="1"/>
    <col min="1554" max="1554" width="12.28515625" style="1696" customWidth="1"/>
    <col min="1555" max="1792" width="9.140625" style="1696"/>
    <col min="1793" max="1793" width="42.140625" style="1696" customWidth="1"/>
    <col min="1794" max="1794" width="10.5703125" style="1696" bestFit="1" customWidth="1"/>
    <col min="1795" max="1795" width="12.85546875" style="1696" customWidth="1"/>
    <col min="1796" max="1796" width="14.140625" style="1696" bestFit="1" customWidth="1"/>
    <col min="1797" max="1797" width="15.85546875" style="1696" bestFit="1" customWidth="1"/>
    <col min="1798" max="1798" width="12.28515625" style="1696" bestFit="1" customWidth="1"/>
    <col min="1799" max="1799" width="12.7109375" style="1696" customWidth="1"/>
    <col min="1800" max="1800" width="9.28515625" style="1696" bestFit="1" customWidth="1"/>
    <col min="1801" max="1801" width="10" style="1696" customWidth="1"/>
    <col min="1802" max="1802" width="11.140625" style="1696" customWidth="1"/>
    <col min="1803" max="1803" width="17.28515625" style="1696" bestFit="1" customWidth="1"/>
    <col min="1804" max="1804" width="9.140625" style="1696"/>
    <col min="1805" max="1805" width="9.5703125" style="1696" bestFit="1" customWidth="1"/>
    <col min="1806" max="1808" width="12.28515625" style="1696" customWidth="1"/>
    <col min="1809" max="1809" width="10.28515625" style="1696" customWidth="1"/>
    <col min="1810" max="1810" width="12.28515625" style="1696" customWidth="1"/>
    <col min="1811" max="2048" width="9.140625" style="1696"/>
    <col min="2049" max="2049" width="42.140625" style="1696" customWidth="1"/>
    <col min="2050" max="2050" width="10.5703125" style="1696" bestFit="1" customWidth="1"/>
    <col min="2051" max="2051" width="12.85546875" style="1696" customWidth="1"/>
    <col min="2052" max="2052" width="14.140625" style="1696" bestFit="1" customWidth="1"/>
    <col min="2053" max="2053" width="15.85546875" style="1696" bestFit="1" customWidth="1"/>
    <col min="2054" max="2054" width="12.28515625" style="1696" bestFit="1" customWidth="1"/>
    <col min="2055" max="2055" width="12.7109375" style="1696" customWidth="1"/>
    <col min="2056" max="2056" width="9.28515625" style="1696" bestFit="1" customWidth="1"/>
    <col min="2057" max="2057" width="10" style="1696" customWidth="1"/>
    <col min="2058" max="2058" width="11.140625" style="1696" customWidth="1"/>
    <col min="2059" max="2059" width="17.28515625" style="1696" bestFit="1" customWidth="1"/>
    <col min="2060" max="2060" width="9.140625" style="1696"/>
    <col min="2061" max="2061" width="9.5703125" style="1696" bestFit="1" customWidth="1"/>
    <col min="2062" max="2064" width="12.28515625" style="1696" customWidth="1"/>
    <col min="2065" max="2065" width="10.28515625" style="1696" customWidth="1"/>
    <col min="2066" max="2066" width="12.28515625" style="1696" customWidth="1"/>
    <col min="2067" max="2304" width="9.140625" style="1696"/>
    <col min="2305" max="2305" width="42.140625" style="1696" customWidth="1"/>
    <col min="2306" max="2306" width="10.5703125" style="1696" bestFit="1" customWidth="1"/>
    <col min="2307" max="2307" width="12.85546875" style="1696" customWidth="1"/>
    <col min="2308" max="2308" width="14.140625" style="1696" bestFit="1" customWidth="1"/>
    <col min="2309" max="2309" width="15.85546875" style="1696" bestFit="1" customWidth="1"/>
    <col min="2310" max="2310" width="12.28515625" style="1696" bestFit="1" customWidth="1"/>
    <col min="2311" max="2311" width="12.7109375" style="1696" customWidth="1"/>
    <col min="2312" max="2312" width="9.28515625" style="1696" bestFit="1" customWidth="1"/>
    <col min="2313" max="2313" width="10" style="1696" customWidth="1"/>
    <col min="2314" max="2314" width="11.140625" style="1696" customWidth="1"/>
    <col min="2315" max="2315" width="17.28515625" style="1696" bestFit="1" customWidth="1"/>
    <col min="2316" max="2316" width="9.140625" style="1696"/>
    <col min="2317" max="2317" width="9.5703125" style="1696" bestFit="1" customWidth="1"/>
    <col min="2318" max="2320" width="12.28515625" style="1696" customWidth="1"/>
    <col min="2321" max="2321" width="10.28515625" style="1696" customWidth="1"/>
    <col min="2322" max="2322" width="12.28515625" style="1696" customWidth="1"/>
    <col min="2323" max="2560" width="9.140625" style="1696"/>
    <col min="2561" max="2561" width="42.140625" style="1696" customWidth="1"/>
    <col min="2562" max="2562" width="10.5703125" style="1696" bestFit="1" customWidth="1"/>
    <col min="2563" max="2563" width="12.85546875" style="1696" customWidth="1"/>
    <col min="2564" max="2564" width="14.140625" style="1696" bestFit="1" customWidth="1"/>
    <col min="2565" max="2565" width="15.85546875" style="1696" bestFit="1" customWidth="1"/>
    <col min="2566" max="2566" width="12.28515625" style="1696" bestFit="1" customWidth="1"/>
    <col min="2567" max="2567" width="12.7109375" style="1696" customWidth="1"/>
    <col min="2568" max="2568" width="9.28515625" style="1696" bestFit="1" customWidth="1"/>
    <col min="2569" max="2569" width="10" style="1696" customWidth="1"/>
    <col min="2570" max="2570" width="11.140625" style="1696" customWidth="1"/>
    <col min="2571" max="2571" width="17.28515625" style="1696" bestFit="1" customWidth="1"/>
    <col min="2572" max="2572" width="9.140625" style="1696"/>
    <col min="2573" max="2573" width="9.5703125" style="1696" bestFit="1" customWidth="1"/>
    <col min="2574" max="2576" width="12.28515625" style="1696" customWidth="1"/>
    <col min="2577" max="2577" width="10.28515625" style="1696" customWidth="1"/>
    <col min="2578" max="2578" width="12.28515625" style="1696" customWidth="1"/>
    <col min="2579" max="2816" width="9.140625" style="1696"/>
    <col min="2817" max="2817" width="42.140625" style="1696" customWidth="1"/>
    <col min="2818" max="2818" width="10.5703125" style="1696" bestFit="1" customWidth="1"/>
    <col min="2819" max="2819" width="12.85546875" style="1696" customWidth="1"/>
    <col min="2820" max="2820" width="14.140625" style="1696" bestFit="1" customWidth="1"/>
    <col min="2821" max="2821" width="15.85546875" style="1696" bestFit="1" customWidth="1"/>
    <col min="2822" max="2822" width="12.28515625" style="1696" bestFit="1" customWidth="1"/>
    <col min="2823" max="2823" width="12.7109375" style="1696" customWidth="1"/>
    <col min="2824" max="2824" width="9.28515625" style="1696" bestFit="1" customWidth="1"/>
    <col min="2825" max="2825" width="10" style="1696" customWidth="1"/>
    <col min="2826" max="2826" width="11.140625" style="1696" customWidth="1"/>
    <col min="2827" max="2827" width="17.28515625" style="1696" bestFit="1" customWidth="1"/>
    <col min="2828" max="2828" width="9.140625" style="1696"/>
    <col min="2829" max="2829" width="9.5703125" style="1696" bestFit="1" customWidth="1"/>
    <col min="2830" max="2832" width="12.28515625" style="1696" customWidth="1"/>
    <col min="2833" max="2833" width="10.28515625" style="1696" customWidth="1"/>
    <col min="2834" max="2834" width="12.28515625" style="1696" customWidth="1"/>
    <col min="2835" max="3072" width="9.140625" style="1696"/>
    <col min="3073" max="3073" width="42.140625" style="1696" customWidth="1"/>
    <col min="3074" max="3074" width="10.5703125" style="1696" bestFit="1" customWidth="1"/>
    <col min="3075" max="3075" width="12.85546875" style="1696" customWidth="1"/>
    <col min="3076" max="3076" width="14.140625" style="1696" bestFit="1" customWidth="1"/>
    <col min="3077" max="3077" width="15.85546875" style="1696" bestFit="1" customWidth="1"/>
    <col min="3078" max="3078" width="12.28515625" style="1696" bestFit="1" customWidth="1"/>
    <col min="3079" max="3079" width="12.7109375" style="1696" customWidth="1"/>
    <col min="3080" max="3080" width="9.28515625" style="1696" bestFit="1" customWidth="1"/>
    <col min="3081" max="3081" width="10" style="1696" customWidth="1"/>
    <col min="3082" max="3082" width="11.140625" style="1696" customWidth="1"/>
    <col min="3083" max="3083" width="17.28515625" style="1696" bestFit="1" customWidth="1"/>
    <col min="3084" max="3084" width="9.140625" style="1696"/>
    <col min="3085" max="3085" width="9.5703125" style="1696" bestFit="1" customWidth="1"/>
    <col min="3086" max="3088" width="12.28515625" style="1696" customWidth="1"/>
    <col min="3089" max="3089" width="10.28515625" style="1696" customWidth="1"/>
    <col min="3090" max="3090" width="12.28515625" style="1696" customWidth="1"/>
    <col min="3091" max="3328" width="9.140625" style="1696"/>
    <col min="3329" max="3329" width="42.140625" style="1696" customWidth="1"/>
    <col min="3330" max="3330" width="10.5703125" style="1696" bestFit="1" customWidth="1"/>
    <col min="3331" max="3331" width="12.85546875" style="1696" customWidth="1"/>
    <col min="3332" max="3332" width="14.140625" style="1696" bestFit="1" customWidth="1"/>
    <col min="3333" max="3333" width="15.85546875" style="1696" bestFit="1" customWidth="1"/>
    <col min="3334" max="3334" width="12.28515625" style="1696" bestFit="1" customWidth="1"/>
    <col min="3335" max="3335" width="12.7109375" style="1696" customWidth="1"/>
    <col min="3336" max="3336" width="9.28515625" style="1696" bestFit="1" customWidth="1"/>
    <col min="3337" max="3337" width="10" style="1696" customWidth="1"/>
    <col min="3338" max="3338" width="11.140625" style="1696" customWidth="1"/>
    <col min="3339" max="3339" width="17.28515625" style="1696" bestFit="1" customWidth="1"/>
    <col min="3340" max="3340" width="9.140625" style="1696"/>
    <col min="3341" max="3341" width="9.5703125" style="1696" bestFit="1" customWidth="1"/>
    <col min="3342" max="3344" width="12.28515625" style="1696" customWidth="1"/>
    <col min="3345" max="3345" width="10.28515625" style="1696" customWidth="1"/>
    <col min="3346" max="3346" width="12.28515625" style="1696" customWidth="1"/>
    <col min="3347" max="3584" width="9.140625" style="1696"/>
    <col min="3585" max="3585" width="42.140625" style="1696" customWidth="1"/>
    <col min="3586" max="3586" width="10.5703125" style="1696" bestFit="1" customWidth="1"/>
    <col min="3587" max="3587" width="12.85546875" style="1696" customWidth="1"/>
    <col min="3588" max="3588" width="14.140625" style="1696" bestFit="1" customWidth="1"/>
    <col min="3589" max="3589" width="15.85546875" style="1696" bestFit="1" customWidth="1"/>
    <col min="3590" max="3590" width="12.28515625" style="1696" bestFit="1" customWidth="1"/>
    <col min="3591" max="3591" width="12.7109375" style="1696" customWidth="1"/>
    <col min="3592" max="3592" width="9.28515625" style="1696" bestFit="1" customWidth="1"/>
    <col min="3593" max="3593" width="10" style="1696" customWidth="1"/>
    <col min="3594" max="3594" width="11.140625" style="1696" customWidth="1"/>
    <col min="3595" max="3595" width="17.28515625" style="1696" bestFit="1" customWidth="1"/>
    <col min="3596" max="3596" width="9.140625" style="1696"/>
    <col min="3597" max="3597" width="9.5703125" style="1696" bestFit="1" customWidth="1"/>
    <col min="3598" max="3600" width="12.28515625" style="1696" customWidth="1"/>
    <col min="3601" max="3601" width="10.28515625" style="1696" customWidth="1"/>
    <col min="3602" max="3602" width="12.28515625" style="1696" customWidth="1"/>
    <col min="3603" max="3840" width="9.140625" style="1696"/>
    <col min="3841" max="3841" width="42.140625" style="1696" customWidth="1"/>
    <col min="3842" max="3842" width="10.5703125" style="1696" bestFit="1" customWidth="1"/>
    <col min="3843" max="3843" width="12.85546875" style="1696" customWidth="1"/>
    <col min="3844" max="3844" width="14.140625" style="1696" bestFit="1" customWidth="1"/>
    <col min="3845" max="3845" width="15.85546875" style="1696" bestFit="1" customWidth="1"/>
    <col min="3846" max="3846" width="12.28515625" style="1696" bestFit="1" customWidth="1"/>
    <col min="3847" max="3847" width="12.7109375" style="1696" customWidth="1"/>
    <col min="3848" max="3848" width="9.28515625" style="1696" bestFit="1" customWidth="1"/>
    <col min="3849" max="3849" width="10" style="1696" customWidth="1"/>
    <col min="3850" max="3850" width="11.140625" style="1696" customWidth="1"/>
    <col min="3851" max="3851" width="17.28515625" style="1696" bestFit="1" customWidth="1"/>
    <col min="3852" max="3852" width="9.140625" style="1696"/>
    <col min="3853" max="3853" width="9.5703125" style="1696" bestFit="1" customWidth="1"/>
    <col min="3854" max="3856" width="12.28515625" style="1696" customWidth="1"/>
    <col min="3857" max="3857" width="10.28515625" style="1696" customWidth="1"/>
    <col min="3858" max="3858" width="12.28515625" style="1696" customWidth="1"/>
    <col min="3859" max="4096" width="9.140625" style="1696"/>
    <col min="4097" max="4097" width="42.140625" style="1696" customWidth="1"/>
    <col min="4098" max="4098" width="10.5703125" style="1696" bestFit="1" customWidth="1"/>
    <col min="4099" max="4099" width="12.85546875" style="1696" customWidth="1"/>
    <col min="4100" max="4100" width="14.140625" style="1696" bestFit="1" customWidth="1"/>
    <col min="4101" max="4101" width="15.85546875" style="1696" bestFit="1" customWidth="1"/>
    <col min="4102" max="4102" width="12.28515625" style="1696" bestFit="1" customWidth="1"/>
    <col min="4103" max="4103" width="12.7109375" style="1696" customWidth="1"/>
    <col min="4104" max="4104" width="9.28515625" style="1696" bestFit="1" customWidth="1"/>
    <col min="4105" max="4105" width="10" style="1696" customWidth="1"/>
    <col min="4106" max="4106" width="11.140625" style="1696" customWidth="1"/>
    <col min="4107" max="4107" width="17.28515625" style="1696" bestFit="1" customWidth="1"/>
    <col min="4108" max="4108" width="9.140625" style="1696"/>
    <col min="4109" max="4109" width="9.5703125" style="1696" bestFit="1" customWidth="1"/>
    <col min="4110" max="4112" width="12.28515625" style="1696" customWidth="1"/>
    <col min="4113" max="4113" width="10.28515625" style="1696" customWidth="1"/>
    <col min="4114" max="4114" width="12.28515625" style="1696" customWidth="1"/>
    <col min="4115" max="4352" width="9.140625" style="1696"/>
    <col min="4353" max="4353" width="42.140625" style="1696" customWidth="1"/>
    <col min="4354" max="4354" width="10.5703125" style="1696" bestFit="1" customWidth="1"/>
    <col min="4355" max="4355" width="12.85546875" style="1696" customWidth="1"/>
    <col min="4356" max="4356" width="14.140625" style="1696" bestFit="1" customWidth="1"/>
    <col min="4357" max="4357" width="15.85546875" style="1696" bestFit="1" customWidth="1"/>
    <col min="4358" max="4358" width="12.28515625" style="1696" bestFit="1" customWidth="1"/>
    <col min="4359" max="4359" width="12.7109375" style="1696" customWidth="1"/>
    <col min="4360" max="4360" width="9.28515625" style="1696" bestFit="1" customWidth="1"/>
    <col min="4361" max="4361" width="10" style="1696" customWidth="1"/>
    <col min="4362" max="4362" width="11.140625" style="1696" customWidth="1"/>
    <col min="4363" max="4363" width="17.28515625" style="1696" bestFit="1" customWidth="1"/>
    <col min="4364" max="4364" width="9.140625" style="1696"/>
    <col min="4365" max="4365" width="9.5703125" style="1696" bestFit="1" customWidth="1"/>
    <col min="4366" max="4368" width="12.28515625" style="1696" customWidth="1"/>
    <col min="4369" max="4369" width="10.28515625" style="1696" customWidth="1"/>
    <col min="4370" max="4370" width="12.28515625" style="1696" customWidth="1"/>
    <col min="4371" max="4608" width="9.140625" style="1696"/>
    <col min="4609" max="4609" width="42.140625" style="1696" customWidth="1"/>
    <col min="4610" max="4610" width="10.5703125" style="1696" bestFit="1" customWidth="1"/>
    <col min="4611" max="4611" width="12.85546875" style="1696" customWidth="1"/>
    <col min="4612" max="4612" width="14.140625" style="1696" bestFit="1" customWidth="1"/>
    <col min="4613" max="4613" width="15.85546875" style="1696" bestFit="1" customWidth="1"/>
    <col min="4614" max="4614" width="12.28515625" style="1696" bestFit="1" customWidth="1"/>
    <col min="4615" max="4615" width="12.7109375" style="1696" customWidth="1"/>
    <col min="4616" max="4616" width="9.28515625" style="1696" bestFit="1" customWidth="1"/>
    <col min="4617" max="4617" width="10" style="1696" customWidth="1"/>
    <col min="4618" max="4618" width="11.140625" style="1696" customWidth="1"/>
    <col min="4619" max="4619" width="17.28515625" style="1696" bestFit="1" customWidth="1"/>
    <col min="4620" max="4620" width="9.140625" style="1696"/>
    <col min="4621" max="4621" width="9.5703125" style="1696" bestFit="1" customWidth="1"/>
    <col min="4622" max="4624" width="12.28515625" style="1696" customWidth="1"/>
    <col min="4625" max="4625" width="10.28515625" style="1696" customWidth="1"/>
    <col min="4626" max="4626" width="12.28515625" style="1696" customWidth="1"/>
    <col min="4627" max="4864" width="9.140625" style="1696"/>
    <col min="4865" max="4865" width="42.140625" style="1696" customWidth="1"/>
    <col min="4866" max="4866" width="10.5703125" style="1696" bestFit="1" customWidth="1"/>
    <col min="4867" max="4867" width="12.85546875" style="1696" customWidth="1"/>
    <col min="4868" max="4868" width="14.140625" style="1696" bestFit="1" customWidth="1"/>
    <col min="4869" max="4869" width="15.85546875" style="1696" bestFit="1" customWidth="1"/>
    <col min="4870" max="4870" width="12.28515625" style="1696" bestFit="1" customWidth="1"/>
    <col min="4871" max="4871" width="12.7109375" style="1696" customWidth="1"/>
    <col min="4872" max="4872" width="9.28515625" style="1696" bestFit="1" customWidth="1"/>
    <col min="4873" max="4873" width="10" style="1696" customWidth="1"/>
    <col min="4874" max="4874" width="11.140625" style="1696" customWidth="1"/>
    <col min="4875" max="4875" width="17.28515625" style="1696" bestFit="1" customWidth="1"/>
    <col min="4876" max="4876" width="9.140625" style="1696"/>
    <col min="4877" max="4877" width="9.5703125" style="1696" bestFit="1" customWidth="1"/>
    <col min="4878" max="4880" width="12.28515625" style="1696" customWidth="1"/>
    <col min="4881" max="4881" width="10.28515625" style="1696" customWidth="1"/>
    <col min="4882" max="4882" width="12.28515625" style="1696" customWidth="1"/>
    <col min="4883" max="5120" width="9.140625" style="1696"/>
    <col min="5121" max="5121" width="42.140625" style="1696" customWidth="1"/>
    <col min="5122" max="5122" width="10.5703125" style="1696" bestFit="1" customWidth="1"/>
    <col min="5123" max="5123" width="12.85546875" style="1696" customWidth="1"/>
    <col min="5124" max="5124" width="14.140625" style="1696" bestFit="1" customWidth="1"/>
    <col min="5125" max="5125" width="15.85546875" style="1696" bestFit="1" customWidth="1"/>
    <col min="5126" max="5126" width="12.28515625" style="1696" bestFit="1" customWidth="1"/>
    <col min="5127" max="5127" width="12.7109375" style="1696" customWidth="1"/>
    <col min="5128" max="5128" width="9.28515625" style="1696" bestFit="1" customWidth="1"/>
    <col min="5129" max="5129" width="10" style="1696" customWidth="1"/>
    <col min="5130" max="5130" width="11.140625" style="1696" customWidth="1"/>
    <col min="5131" max="5131" width="17.28515625" style="1696" bestFit="1" customWidth="1"/>
    <col min="5132" max="5132" width="9.140625" style="1696"/>
    <col min="5133" max="5133" width="9.5703125" style="1696" bestFit="1" customWidth="1"/>
    <col min="5134" max="5136" width="12.28515625" style="1696" customWidth="1"/>
    <col min="5137" max="5137" width="10.28515625" style="1696" customWidth="1"/>
    <col min="5138" max="5138" width="12.28515625" style="1696" customWidth="1"/>
    <col min="5139" max="5376" width="9.140625" style="1696"/>
    <col min="5377" max="5377" width="42.140625" style="1696" customWidth="1"/>
    <col min="5378" max="5378" width="10.5703125" style="1696" bestFit="1" customWidth="1"/>
    <col min="5379" max="5379" width="12.85546875" style="1696" customWidth="1"/>
    <col min="5380" max="5380" width="14.140625" style="1696" bestFit="1" customWidth="1"/>
    <col min="5381" max="5381" width="15.85546875" style="1696" bestFit="1" customWidth="1"/>
    <col min="5382" max="5382" width="12.28515625" style="1696" bestFit="1" customWidth="1"/>
    <col min="5383" max="5383" width="12.7109375" style="1696" customWidth="1"/>
    <col min="5384" max="5384" width="9.28515625" style="1696" bestFit="1" customWidth="1"/>
    <col min="5385" max="5385" width="10" style="1696" customWidth="1"/>
    <col min="5386" max="5386" width="11.140625" style="1696" customWidth="1"/>
    <col min="5387" max="5387" width="17.28515625" style="1696" bestFit="1" customWidth="1"/>
    <col min="5388" max="5388" width="9.140625" style="1696"/>
    <col min="5389" max="5389" width="9.5703125" style="1696" bestFit="1" customWidth="1"/>
    <col min="5390" max="5392" width="12.28515625" style="1696" customWidth="1"/>
    <col min="5393" max="5393" width="10.28515625" style="1696" customWidth="1"/>
    <col min="5394" max="5394" width="12.28515625" style="1696" customWidth="1"/>
    <col min="5395" max="5632" width="9.140625" style="1696"/>
    <col min="5633" max="5633" width="42.140625" style="1696" customWidth="1"/>
    <col min="5634" max="5634" width="10.5703125" style="1696" bestFit="1" customWidth="1"/>
    <col min="5635" max="5635" width="12.85546875" style="1696" customWidth="1"/>
    <col min="5636" max="5636" width="14.140625" style="1696" bestFit="1" customWidth="1"/>
    <col min="5637" max="5637" width="15.85546875" style="1696" bestFit="1" customWidth="1"/>
    <col min="5638" max="5638" width="12.28515625" style="1696" bestFit="1" customWidth="1"/>
    <col min="5639" max="5639" width="12.7109375" style="1696" customWidth="1"/>
    <col min="5640" max="5640" width="9.28515625" style="1696" bestFit="1" customWidth="1"/>
    <col min="5641" max="5641" width="10" style="1696" customWidth="1"/>
    <col min="5642" max="5642" width="11.140625" style="1696" customWidth="1"/>
    <col min="5643" max="5643" width="17.28515625" style="1696" bestFit="1" customWidth="1"/>
    <col min="5644" max="5644" width="9.140625" style="1696"/>
    <col min="5645" max="5645" width="9.5703125" style="1696" bestFit="1" customWidth="1"/>
    <col min="5646" max="5648" width="12.28515625" style="1696" customWidth="1"/>
    <col min="5649" max="5649" width="10.28515625" style="1696" customWidth="1"/>
    <col min="5650" max="5650" width="12.28515625" style="1696" customWidth="1"/>
    <col min="5651" max="5888" width="9.140625" style="1696"/>
    <col min="5889" max="5889" width="42.140625" style="1696" customWidth="1"/>
    <col min="5890" max="5890" width="10.5703125" style="1696" bestFit="1" customWidth="1"/>
    <col min="5891" max="5891" width="12.85546875" style="1696" customWidth="1"/>
    <col min="5892" max="5892" width="14.140625" style="1696" bestFit="1" customWidth="1"/>
    <col min="5893" max="5893" width="15.85546875" style="1696" bestFit="1" customWidth="1"/>
    <col min="5894" max="5894" width="12.28515625" style="1696" bestFit="1" customWidth="1"/>
    <col min="5895" max="5895" width="12.7109375" style="1696" customWidth="1"/>
    <col min="5896" max="5896" width="9.28515625" style="1696" bestFit="1" customWidth="1"/>
    <col min="5897" max="5897" width="10" style="1696" customWidth="1"/>
    <col min="5898" max="5898" width="11.140625" style="1696" customWidth="1"/>
    <col min="5899" max="5899" width="17.28515625" style="1696" bestFit="1" customWidth="1"/>
    <col min="5900" max="5900" width="9.140625" style="1696"/>
    <col min="5901" max="5901" width="9.5703125" style="1696" bestFit="1" customWidth="1"/>
    <col min="5902" max="5904" width="12.28515625" style="1696" customWidth="1"/>
    <col min="5905" max="5905" width="10.28515625" style="1696" customWidth="1"/>
    <col min="5906" max="5906" width="12.28515625" style="1696" customWidth="1"/>
    <col min="5907" max="6144" width="9.140625" style="1696"/>
    <col min="6145" max="6145" width="42.140625" style="1696" customWidth="1"/>
    <col min="6146" max="6146" width="10.5703125" style="1696" bestFit="1" customWidth="1"/>
    <col min="6147" max="6147" width="12.85546875" style="1696" customWidth="1"/>
    <col min="6148" max="6148" width="14.140625" style="1696" bestFit="1" customWidth="1"/>
    <col min="6149" max="6149" width="15.85546875" style="1696" bestFit="1" customWidth="1"/>
    <col min="6150" max="6150" width="12.28515625" style="1696" bestFit="1" customWidth="1"/>
    <col min="6151" max="6151" width="12.7109375" style="1696" customWidth="1"/>
    <col min="6152" max="6152" width="9.28515625" style="1696" bestFit="1" customWidth="1"/>
    <col min="6153" max="6153" width="10" style="1696" customWidth="1"/>
    <col min="6154" max="6154" width="11.140625" style="1696" customWidth="1"/>
    <col min="6155" max="6155" width="17.28515625" style="1696" bestFit="1" customWidth="1"/>
    <col min="6156" max="6156" width="9.140625" style="1696"/>
    <col min="6157" max="6157" width="9.5703125" style="1696" bestFit="1" customWidth="1"/>
    <col min="6158" max="6160" width="12.28515625" style="1696" customWidth="1"/>
    <col min="6161" max="6161" width="10.28515625" style="1696" customWidth="1"/>
    <col min="6162" max="6162" width="12.28515625" style="1696" customWidth="1"/>
    <col min="6163" max="6400" width="9.140625" style="1696"/>
    <col min="6401" max="6401" width="42.140625" style="1696" customWidth="1"/>
    <col min="6402" max="6402" width="10.5703125" style="1696" bestFit="1" customWidth="1"/>
    <col min="6403" max="6403" width="12.85546875" style="1696" customWidth="1"/>
    <col min="6404" max="6404" width="14.140625" style="1696" bestFit="1" customWidth="1"/>
    <col min="6405" max="6405" width="15.85546875" style="1696" bestFit="1" customWidth="1"/>
    <col min="6406" max="6406" width="12.28515625" style="1696" bestFit="1" customWidth="1"/>
    <col min="6407" max="6407" width="12.7109375" style="1696" customWidth="1"/>
    <col min="6408" max="6408" width="9.28515625" style="1696" bestFit="1" customWidth="1"/>
    <col min="6409" max="6409" width="10" style="1696" customWidth="1"/>
    <col min="6410" max="6410" width="11.140625" style="1696" customWidth="1"/>
    <col min="6411" max="6411" width="17.28515625" style="1696" bestFit="1" customWidth="1"/>
    <col min="6412" max="6412" width="9.140625" style="1696"/>
    <col min="6413" max="6413" width="9.5703125" style="1696" bestFit="1" customWidth="1"/>
    <col min="6414" max="6416" width="12.28515625" style="1696" customWidth="1"/>
    <col min="6417" max="6417" width="10.28515625" style="1696" customWidth="1"/>
    <col min="6418" max="6418" width="12.28515625" style="1696" customWidth="1"/>
    <col min="6419" max="6656" width="9.140625" style="1696"/>
    <col min="6657" max="6657" width="42.140625" style="1696" customWidth="1"/>
    <col min="6658" max="6658" width="10.5703125" style="1696" bestFit="1" customWidth="1"/>
    <col min="6659" max="6659" width="12.85546875" style="1696" customWidth="1"/>
    <col min="6660" max="6660" width="14.140625" style="1696" bestFit="1" customWidth="1"/>
    <col min="6661" max="6661" width="15.85546875" style="1696" bestFit="1" customWidth="1"/>
    <col min="6662" max="6662" width="12.28515625" style="1696" bestFit="1" customWidth="1"/>
    <col min="6663" max="6663" width="12.7109375" style="1696" customWidth="1"/>
    <col min="6664" max="6664" width="9.28515625" style="1696" bestFit="1" customWidth="1"/>
    <col min="6665" max="6665" width="10" style="1696" customWidth="1"/>
    <col min="6666" max="6666" width="11.140625" style="1696" customWidth="1"/>
    <col min="6667" max="6667" width="17.28515625" style="1696" bestFit="1" customWidth="1"/>
    <col min="6668" max="6668" width="9.140625" style="1696"/>
    <col min="6669" max="6669" width="9.5703125" style="1696" bestFit="1" customWidth="1"/>
    <col min="6670" max="6672" width="12.28515625" style="1696" customWidth="1"/>
    <col min="6673" max="6673" width="10.28515625" style="1696" customWidth="1"/>
    <col min="6674" max="6674" width="12.28515625" style="1696" customWidth="1"/>
    <col min="6675" max="6912" width="9.140625" style="1696"/>
    <col min="6913" max="6913" width="42.140625" style="1696" customWidth="1"/>
    <col min="6914" max="6914" width="10.5703125" style="1696" bestFit="1" customWidth="1"/>
    <col min="6915" max="6915" width="12.85546875" style="1696" customWidth="1"/>
    <col min="6916" max="6916" width="14.140625" style="1696" bestFit="1" customWidth="1"/>
    <col min="6917" max="6917" width="15.85546875" style="1696" bestFit="1" customWidth="1"/>
    <col min="6918" max="6918" width="12.28515625" style="1696" bestFit="1" customWidth="1"/>
    <col min="6919" max="6919" width="12.7109375" style="1696" customWidth="1"/>
    <col min="6920" max="6920" width="9.28515625" style="1696" bestFit="1" customWidth="1"/>
    <col min="6921" max="6921" width="10" style="1696" customWidth="1"/>
    <col min="6922" max="6922" width="11.140625" style="1696" customWidth="1"/>
    <col min="6923" max="6923" width="17.28515625" style="1696" bestFit="1" customWidth="1"/>
    <col min="6924" max="6924" width="9.140625" style="1696"/>
    <col min="6925" max="6925" width="9.5703125" style="1696" bestFit="1" customWidth="1"/>
    <col min="6926" max="6928" width="12.28515625" style="1696" customWidth="1"/>
    <col min="6929" max="6929" width="10.28515625" style="1696" customWidth="1"/>
    <col min="6930" max="6930" width="12.28515625" style="1696" customWidth="1"/>
    <col min="6931" max="7168" width="9.140625" style="1696"/>
    <col min="7169" max="7169" width="42.140625" style="1696" customWidth="1"/>
    <col min="7170" max="7170" width="10.5703125" style="1696" bestFit="1" customWidth="1"/>
    <col min="7171" max="7171" width="12.85546875" style="1696" customWidth="1"/>
    <col min="7172" max="7172" width="14.140625" style="1696" bestFit="1" customWidth="1"/>
    <col min="7173" max="7173" width="15.85546875" style="1696" bestFit="1" customWidth="1"/>
    <col min="7174" max="7174" width="12.28515625" style="1696" bestFit="1" customWidth="1"/>
    <col min="7175" max="7175" width="12.7109375" style="1696" customWidth="1"/>
    <col min="7176" max="7176" width="9.28515625" style="1696" bestFit="1" customWidth="1"/>
    <col min="7177" max="7177" width="10" style="1696" customWidth="1"/>
    <col min="7178" max="7178" width="11.140625" style="1696" customWidth="1"/>
    <col min="7179" max="7179" width="17.28515625" style="1696" bestFit="1" customWidth="1"/>
    <col min="7180" max="7180" width="9.140625" style="1696"/>
    <col min="7181" max="7181" width="9.5703125" style="1696" bestFit="1" customWidth="1"/>
    <col min="7182" max="7184" width="12.28515625" style="1696" customWidth="1"/>
    <col min="7185" max="7185" width="10.28515625" style="1696" customWidth="1"/>
    <col min="7186" max="7186" width="12.28515625" style="1696" customWidth="1"/>
    <col min="7187" max="7424" width="9.140625" style="1696"/>
    <col min="7425" max="7425" width="42.140625" style="1696" customWidth="1"/>
    <col min="7426" max="7426" width="10.5703125" style="1696" bestFit="1" customWidth="1"/>
    <col min="7427" max="7427" width="12.85546875" style="1696" customWidth="1"/>
    <col min="7428" max="7428" width="14.140625" style="1696" bestFit="1" customWidth="1"/>
    <col min="7429" max="7429" width="15.85546875" style="1696" bestFit="1" customWidth="1"/>
    <col min="7430" max="7430" width="12.28515625" style="1696" bestFit="1" customWidth="1"/>
    <col min="7431" max="7431" width="12.7109375" style="1696" customWidth="1"/>
    <col min="7432" max="7432" width="9.28515625" style="1696" bestFit="1" customWidth="1"/>
    <col min="7433" max="7433" width="10" style="1696" customWidth="1"/>
    <col min="7434" max="7434" width="11.140625" style="1696" customWidth="1"/>
    <col min="7435" max="7435" width="17.28515625" style="1696" bestFit="1" customWidth="1"/>
    <col min="7436" max="7436" width="9.140625" style="1696"/>
    <col min="7437" max="7437" width="9.5703125" style="1696" bestFit="1" customWidth="1"/>
    <col min="7438" max="7440" width="12.28515625" style="1696" customWidth="1"/>
    <col min="7441" max="7441" width="10.28515625" style="1696" customWidth="1"/>
    <col min="7442" max="7442" width="12.28515625" style="1696" customWidth="1"/>
    <col min="7443" max="7680" width="9.140625" style="1696"/>
    <col min="7681" max="7681" width="42.140625" style="1696" customWidth="1"/>
    <col min="7682" max="7682" width="10.5703125" style="1696" bestFit="1" customWidth="1"/>
    <col min="7683" max="7683" width="12.85546875" style="1696" customWidth="1"/>
    <col min="7684" max="7684" width="14.140625" style="1696" bestFit="1" customWidth="1"/>
    <col min="7685" max="7685" width="15.85546875" style="1696" bestFit="1" customWidth="1"/>
    <col min="7686" max="7686" width="12.28515625" style="1696" bestFit="1" customWidth="1"/>
    <col min="7687" max="7687" width="12.7109375" style="1696" customWidth="1"/>
    <col min="7688" max="7688" width="9.28515625" style="1696" bestFit="1" customWidth="1"/>
    <col min="7689" max="7689" width="10" style="1696" customWidth="1"/>
    <col min="7690" max="7690" width="11.140625" style="1696" customWidth="1"/>
    <col min="7691" max="7691" width="17.28515625" style="1696" bestFit="1" customWidth="1"/>
    <col min="7692" max="7692" width="9.140625" style="1696"/>
    <col min="7693" max="7693" width="9.5703125" style="1696" bestFit="1" customWidth="1"/>
    <col min="7694" max="7696" width="12.28515625" style="1696" customWidth="1"/>
    <col min="7697" max="7697" width="10.28515625" style="1696" customWidth="1"/>
    <col min="7698" max="7698" width="12.28515625" style="1696" customWidth="1"/>
    <col min="7699" max="7936" width="9.140625" style="1696"/>
    <col min="7937" max="7937" width="42.140625" style="1696" customWidth="1"/>
    <col min="7938" max="7938" width="10.5703125" style="1696" bestFit="1" customWidth="1"/>
    <col min="7939" max="7939" width="12.85546875" style="1696" customWidth="1"/>
    <col min="7940" max="7940" width="14.140625" style="1696" bestFit="1" customWidth="1"/>
    <col min="7941" max="7941" width="15.85546875" style="1696" bestFit="1" customWidth="1"/>
    <col min="7942" max="7942" width="12.28515625" style="1696" bestFit="1" customWidth="1"/>
    <col min="7943" max="7943" width="12.7109375" style="1696" customWidth="1"/>
    <col min="7944" max="7944" width="9.28515625" style="1696" bestFit="1" customWidth="1"/>
    <col min="7945" max="7945" width="10" style="1696" customWidth="1"/>
    <col min="7946" max="7946" width="11.140625" style="1696" customWidth="1"/>
    <col min="7947" max="7947" width="17.28515625" style="1696" bestFit="1" customWidth="1"/>
    <col min="7948" max="7948" width="9.140625" style="1696"/>
    <col min="7949" max="7949" width="9.5703125" style="1696" bestFit="1" customWidth="1"/>
    <col min="7950" max="7952" width="12.28515625" style="1696" customWidth="1"/>
    <col min="7953" max="7953" width="10.28515625" style="1696" customWidth="1"/>
    <col min="7954" max="7954" width="12.28515625" style="1696" customWidth="1"/>
    <col min="7955" max="8192" width="9.140625" style="1696"/>
    <col min="8193" max="8193" width="42.140625" style="1696" customWidth="1"/>
    <col min="8194" max="8194" width="10.5703125" style="1696" bestFit="1" customWidth="1"/>
    <col min="8195" max="8195" width="12.85546875" style="1696" customWidth="1"/>
    <col min="8196" max="8196" width="14.140625" style="1696" bestFit="1" customWidth="1"/>
    <col min="8197" max="8197" width="15.85546875" style="1696" bestFit="1" customWidth="1"/>
    <col min="8198" max="8198" width="12.28515625" style="1696" bestFit="1" customWidth="1"/>
    <col min="8199" max="8199" width="12.7109375" style="1696" customWidth="1"/>
    <col min="8200" max="8200" width="9.28515625" style="1696" bestFit="1" customWidth="1"/>
    <col min="8201" max="8201" width="10" style="1696" customWidth="1"/>
    <col min="8202" max="8202" width="11.140625" style="1696" customWidth="1"/>
    <col min="8203" max="8203" width="17.28515625" style="1696" bestFit="1" customWidth="1"/>
    <col min="8204" max="8204" width="9.140625" style="1696"/>
    <col min="8205" max="8205" width="9.5703125" style="1696" bestFit="1" customWidth="1"/>
    <col min="8206" max="8208" width="12.28515625" style="1696" customWidth="1"/>
    <col min="8209" max="8209" width="10.28515625" style="1696" customWidth="1"/>
    <col min="8210" max="8210" width="12.28515625" style="1696" customWidth="1"/>
    <col min="8211" max="8448" width="9.140625" style="1696"/>
    <col min="8449" max="8449" width="42.140625" style="1696" customWidth="1"/>
    <col min="8450" max="8450" width="10.5703125" style="1696" bestFit="1" customWidth="1"/>
    <col min="8451" max="8451" width="12.85546875" style="1696" customWidth="1"/>
    <col min="8452" max="8452" width="14.140625" style="1696" bestFit="1" customWidth="1"/>
    <col min="8453" max="8453" width="15.85546875" style="1696" bestFit="1" customWidth="1"/>
    <col min="8454" max="8454" width="12.28515625" style="1696" bestFit="1" customWidth="1"/>
    <col min="8455" max="8455" width="12.7109375" style="1696" customWidth="1"/>
    <col min="8456" max="8456" width="9.28515625" style="1696" bestFit="1" customWidth="1"/>
    <col min="8457" max="8457" width="10" style="1696" customWidth="1"/>
    <col min="8458" max="8458" width="11.140625" style="1696" customWidth="1"/>
    <col min="8459" max="8459" width="17.28515625" style="1696" bestFit="1" customWidth="1"/>
    <col min="8460" max="8460" width="9.140625" style="1696"/>
    <col min="8461" max="8461" width="9.5703125" style="1696" bestFit="1" customWidth="1"/>
    <col min="8462" max="8464" width="12.28515625" style="1696" customWidth="1"/>
    <col min="8465" max="8465" width="10.28515625" style="1696" customWidth="1"/>
    <col min="8466" max="8466" width="12.28515625" style="1696" customWidth="1"/>
    <col min="8467" max="8704" width="9.140625" style="1696"/>
    <col min="8705" max="8705" width="42.140625" style="1696" customWidth="1"/>
    <col min="8706" max="8706" width="10.5703125" style="1696" bestFit="1" customWidth="1"/>
    <col min="8707" max="8707" width="12.85546875" style="1696" customWidth="1"/>
    <col min="8708" max="8708" width="14.140625" style="1696" bestFit="1" customWidth="1"/>
    <col min="8709" max="8709" width="15.85546875" style="1696" bestFit="1" customWidth="1"/>
    <col min="8710" max="8710" width="12.28515625" style="1696" bestFit="1" customWidth="1"/>
    <col min="8711" max="8711" width="12.7109375" style="1696" customWidth="1"/>
    <col min="8712" max="8712" width="9.28515625" style="1696" bestFit="1" customWidth="1"/>
    <col min="8713" max="8713" width="10" style="1696" customWidth="1"/>
    <col min="8714" max="8714" width="11.140625" style="1696" customWidth="1"/>
    <col min="8715" max="8715" width="17.28515625" style="1696" bestFit="1" customWidth="1"/>
    <col min="8716" max="8716" width="9.140625" style="1696"/>
    <col min="8717" max="8717" width="9.5703125" style="1696" bestFit="1" customWidth="1"/>
    <col min="8718" max="8720" width="12.28515625" style="1696" customWidth="1"/>
    <col min="8721" max="8721" width="10.28515625" style="1696" customWidth="1"/>
    <col min="8722" max="8722" width="12.28515625" style="1696" customWidth="1"/>
    <col min="8723" max="8960" width="9.140625" style="1696"/>
    <col min="8961" max="8961" width="42.140625" style="1696" customWidth="1"/>
    <col min="8962" max="8962" width="10.5703125" style="1696" bestFit="1" customWidth="1"/>
    <col min="8963" max="8963" width="12.85546875" style="1696" customWidth="1"/>
    <col min="8964" max="8964" width="14.140625" style="1696" bestFit="1" customWidth="1"/>
    <col min="8965" max="8965" width="15.85546875" style="1696" bestFit="1" customWidth="1"/>
    <col min="8966" max="8966" width="12.28515625" style="1696" bestFit="1" customWidth="1"/>
    <col min="8967" max="8967" width="12.7109375" style="1696" customWidth="1"/>
    <col min="8968" max="8968" width="9.28515625" style="1696" bestFit="1" customWidth="1"/>
    <col min="8969" max="8969" width="10" style="1696" customWidth="1"/>
    <col min="8970" max="8970" width="11.140625" style="1696" customWidth="1"/>
    <col min="8971" max="8971" width="17.28515625" style="1696" bestFit="1" customWidth="1"/>
    <col min="8972" max="8972" width="9.140625" style="1696"/>
    <col min="8973" max="8973" width="9.5703125" style="1696" bestFit="1" customWidth="1"/>
    <col min="8974" max="8976" width="12.28515625" style="1696" customWidth="1"/>
    <col min="8977" max="8977" width="10.28515625" style="1696" customWidth="1"/>
    <col min="8978" max="8978" width="12.28515625" style="1696" customWidth="1"/>
    <col min="8979" max="9216" width="9.140625" style="1696"/>
    <col min="9217" max="9217" width="42.140625" style="1696" customWidth="1"/>
    <col min="9218" max="9218" width="10.5703125" style="1696" bestFit="1" customWidth="1"/>
    <col min="9219" max="9219" width="12.85546875" style="1696" customWidth="1"/>
    <col min="9220" max="9220" width="14.140625" style="1696" bestFit="1" customWidth="1"/>
    <col min="9221" max="9221" width="15.85546875" style="1696" bestFit="1" customWidth="1"/>
    <col min="9222" max="9222" width="12.28515625" style="1696" bestFit="1" customWidth="1"/>
    <col min="9223" max="9223" width="12.7109375" style="1696" customWidth="1"/>
    <col min="9224" max="9224" width="9.28515625" style="1696" bestFit="1" customWidth="1"/>
    <col min="9225" max="9225" width="10" style="1696" customWidth="1"/>
    <col min="9226" max="9226" width="11.140625" style="1696" customWidth="1"/>
    <col min="9227" max="9227" width="17.28515625" style="1696" bestFit="1" customWidth="1"/>
    <col min="9228" max="9228" width="9.140625" style="1696"/>
    <col min="9229" max="9229" width="9.5703125" style="1696" bestFit="1" customWidth="1"/>
    <col min="9230" max="9232" width="12.28515625" style="1696" customWidth="1"/>
    <col min="9233" max="9233" width="10.28515625" style="1696" customWidth="1"/>
    <col min="9234" max="9234" width="12.28515625" style="1696" customWidth="1"/>
    <col min="9235" max="9472" width="9.140625" style="1696"/>
    <col min="9473" max="9473" width="42.140625" style="1696" customWidth="1"/>
    <col min="9474" max="9474" width="10.5703125" style="1696" bestFit="1" customWidth="1"/>
    <col min="9475" max="9475" width="12.85546875" style="1696" customWidth="1"/>
    <col min="9476" max="9476" width="14.140625" style="1696" bestFit="1" customWidth="1"/>
    <col min="9477" max="9477" width="15.85546875" style="1696" bestFit="1" customWidth="1"/>
    <col min="9478" max="9478" width="12.28515625" style="1696" bestFit="1" customWidth="1"/>
    <col min="9479" max="9479" width="12.7109375" style="1696" customWidth="1"/>
    <col min="9480" max="9480" width="9.28515625" style="1696" bestFit="1" customWidth="1"/>
    <col min="9481" max="9481" width="10" style="1696" customWidth="1"/>
    <col min="9482" max="9482" width="11.140625" style="1696" customWidth="1"/>
    <col min="9483" max="9483" width="17.28515625" style="1696" bestFit="1" customWidth="1"/>
    <col min="9484" max="9484" width="9.140625" style="1696"/>
    <col min="9485" max="9485" width="9.5703125" style="1696" bestFit="1" customWidth="1"/>
    <col min="9486" max="9488" width="12.28515625" style="1696" customWidth="1"/>
    <col min="9489" max="9489" width="10.28515625" style="1696" customWidth="1"/>
    <col min="9490" max="9490" width="12.28515625" style="1696" customWidth="1"/>
    <col min="9491" max="9728" width="9.140625" style="1696"/>
    <col min="9729" max="9729" width="42.140625" style="1696" customWidth="1"/>
    <col min="9730" max="9730" width="10.5703125" style="1696" bestFit="1" customWidth="1"/>
    <col min="9731" max="9731" width="12.85546875" style="1696" customWidth="1"/>
    <col min="9732" max="9732" width="14.140625" style="1696" bestFit="1" customWidth="1"/>
    <col min="9733" max="9733" width="15.85546875" style="1696" bestFit="1" customWidth="1"/>
    <col min="9734" max="9734" width="12.28515625" style="1696" bestFit="1" customWidth="1"/>
    <col min="9735" max="9735" width="12.7109375" style="1696" customWidth="1"/>
    <col min="9736" max="9736" width="9.28515625" style="1696" bestFit="1" customWidth="1"/>
    <col min="9737" max="9737" width="10" style="1696" customWidth="1"/>
    <col min="9738" max="9738" width="11.140625" style="1696" customWidth="1"/>
    <col min="9739" max="9739" width="17.28515625" style="1696" bestFit="1" customWidth="1"/>
    <col min="9740" max="9740" width="9.140625" style="1696"/>
    <col min="9741" max="9741" width="9.5703125" style="1696" bestFit="1" customWidth="1"/>
    <col min="9742" max="9744" width="12.28515625" style="1696" customWidth="1"/>
    <col min="9745" max="9745" width="10.28515625" style="1696" customWidth="1"/>
    <col min="9746" max="9746" width="12.28515625" style="1696" customWidth="1"/>
    <col min="9747" max="9984" width="9.140625" style="1696"/>
    <col min="9985" max="9985" width="42.140625" style="1696" customWidth="1"/>
    <col min="9986" max="9986" width="10.5703125" style="1696" bestFit="1" customWidth="1"/>
    <col min="9987" max="9987" width="12.85546875" style="1696" customWidth="1"/>
    <col min="9988" max="9988" width="14.140625" style="1696" bestFit="1" customWidth="1"/>
    <col min="9989" max="9989" width="15.85546875" style="1696" bestFit="1" customWidth="1"/>
    <col min="9990" max="9990" width="12.28515625" style="1696" bestFit="1" customWidth="1"/>
    <col min="9991" max="9991" width="12.7109375" style="1696" customWidth="1"/>
    <col min="9992" max="9992" width="9.28515625" style="1696" bestFit="1" customWidth="1"/>
    <col min="9993" max="9993" width="10" style="1696" customWidth="1"/>
    <col min="9994" max="9994" width="11.140625" style="1696" customWidth="1"/>
    <col min="9995" max="9995" width="17.28515625" style="1696" bestFit="1" customWidth="1"/>
    <col min="9996" max="9996" width="9.140625" style="1696"/>
    <col min="9997" max="9997" width="9.5703125" style="1696" bestFit="1" customWidth="1"/>
    <col min="9998" max="10000" width="12.28515625" style="1696" customWidth="1"/>
    <col min="10001" max="10001" width="10.28515625" style="1696" customWidth="1"/>
    <col min="10002" max="10002" width="12.28515625" style="1696" customWidth="1"/>
    <col min="10003" max="10240" width="9.140625" style="1696"/>
    <col min="10241" max="10241" width="42.140625" style="1696" customWidth="1"/>
    <col min="10242" max="10242" width="10.5703125" style="1696" bestFit="1" customWidth="1"/>
    <col min="10243" max="10243" width="12.85546875" style="1696" customWidth="1"/>
    <col min="10244" max="10244" width="14.140625" style="1696" bestFit="1" customWidth="1"/>
    <col min="10245" max="10245" width="15.85546875" style="1696" bestFit="1" customWidth="1"/>
    <col min="10246" max="10246" width="12.28515625" style="1696" bestFit="1" customWidth="1"/>
    <col min="10247" max="10247" width="12.7109375" style="1696" customWidth="1"/>
    <col min="10248" max="10248" width="9.28515625" style="1696" bestFit="1" customWidth="1"/>
    <col min="10249" max="10249" width="10" style="1696" customWidth="1"/>
    <col min="10250" max="10250" width="11.140625" style="1696" customWidth="1"/>
    <col min="10251" max="10251" width="17.28515625" style="1696" bestFit="1" customWidth="1"/>
    <col min="10252" max="10252" width="9.140625" style="1696"/>
    <col min="10253" max="10253" width="9.5703125" style="1696" bestFit="1" customWidth="1"/>
    <col min="10254" max="10256" width="12.28515625" style="1696" customWidth="1"/>
    <col min="10257" max="10257" width="10.28515625" style="1696" customWidth="1"/>
    <col min="10258" max="10258" width="12.28515625" style="1696" customWidth="1"/>
    <col min="10259" max="10496" width="9.140625" style="1696"/>
    <col min="10497" max="10497" width="42.140625" style="1696" customWidth="1"/>
    <col min="10498" max="10498" width="10.5703125" style="1696" bestFit="1" customWidth="1"/>
    <col min="10499" max="10499" width="12.85546875" style="1696" customWidth="1"/>
    <col min="10500" max="10500" width="14.140625" style="1696" bestFit="1" customWidth="1"/>
    <col min="10501" max="10501" width="15.85546875" style="1696" bestFit="1" customWidth="1"/>
    <col min="10502" max="10502" width="12.28515625" style="1696" bestFit="1" customWidth="1"/>
    <col min="10503" max="10503" width="12.7109375" style="1696" customWidth="1"/>
    <col min="10504" max="10504" width="9.28515625" style="1696" bestFit="1" customWidth="1"/>
    <col min="10505" max="10505" width="10" style="1696" customWidth="1"/>
    <col min="10506" max="10506" width="11.140625" style="1696" customWidth="1"/>
    <col min="10507" max="10507" width="17.28515625" style="1696" bestFit="1" customWidth="1"/>
    <col min="10508" max="10508" width="9.140625" style="1696"/>
    <col min="10509" max="10509" width="9.5703125" style="1696" bestFit="1" customWidth="1"/>
    <col min="10510" max="10512" width="12.28515625" style="1696" customWidth="1"/>
    <col min="10513" max="10513" width="10.28515625" style="1696" customWidth="1"/>
    <col min="10514" max="10514" width="12.28515625" style="1696" customWidth="1"/>
    <col min="10515" max="10752" width="9.140625" style="1696"/>
    <col min="10753" max="10753" width="42.140625" style="1696" customWidth="1"/>
    <col min="10754" max="10754" width="10.5703125" style="1696" bestFit="1" customWidth="1"/>
    <col min="10755" max="10755" width="12.85546875" style="1696" customWidth="1"/>
    <col min="10756" max="10756" width="14.140625" style="1696" bestFit="1" customWidth="1"/>
    <col min="10757" max="10757" width="15.85546875" style="1696" bestFit="1" customWidth="1"/>
    <col min="10758" max="10758" width="12.28515625" style="1696" bestFit="1" customWidth="1"/>
    <col min="10759" max="10759" width="12.7109375" style="1696" customWidth="1"/>
    <col min="10760" max="10760" width="9.28515625" style="1696" bestFit="1" customWidth="1"/>
    <col min="10761" max="10761" width="10" style="1696" customWidth="1"/>
    <col min="10762" max="10762" width="11.140625" style="1696" customWidth="1"/>
    <col min="10763" max="10763" width="17.28515625" style="1696" bestFit="1" customWidth="1"/>
    <col min="10764" max="10764" width="9.140625" style="1696"/>
    <col min="10765" max="10765" width="9.5703125" style="1696" bestFit="1" customWidth="1"/>
    <col min="10766" max="10768" width="12.28515625" style="1696" customWidth="1"/>
    <col min="10769" max="10769" width="10.28515625" style="1696" customWidth="1"/>
    <col min="10770" max="10770" width="12.28515625" style="1696" customWidth="1"/>
    <col min="10771" max="11008" width="9.140625" style="1696"/>
    <col min="11009" max="11009" width="42.140625" style="1696" customWidth="1"/>
    <col min="11010" max="11010" width="10.5703125" style="1696" bestFit="1" customWidth="1"/>
    <col min="11011" max="11011" width="12.85546875" style="1696" customWidth="1"/>
    <col min="11012" max="11012" width="14.140625" style="1696" bestFit="1" customWidth="1"/>
    <col min="11013" max="11013" width="15.85546875" style="1696" bestFit="1" customWidth="1"/>
    <col min="11014" max="11014" width="12.28515625" style="1696" bestFit="1" customWidth="1"/>
    <col min="11015" max="11015" width="12.7109375" style="1696" customWidth="1"/>
    <col min="11016" max="11016" width="9.28515625" style="1696" bestFit="1" customWidth="1"/>
    <col min="11017" max="11017" width="10" style="1696" customWidth="1"/>
    <col min="11018" max="11018" width="11.140625" style="1696" customWidth="1"/>
    <col min="11019" max="11019" width="17.28515625" style="1696" bestFit="1" customWidth="1"/>
    <col min="11020" max="11020" width="9.140625" style="1696"/>
    <col min="11021" max="11021" width="9.5703125" style="1696" bestFit="1" customWidth="1"/>
    <col min="11022" max="11024" width="12.28515625" style="1696" customWidth="1"/>
    <col min="11025" max="11025" width="10.28515625" style="1696" customWidth="1"/>
    <col min="11026" max="11026" width="12.28515625" style="1696" customWidth="1"/>
    <col min="11027" max="11264" width="9.140625" style="1696"/>
    <col min="11265" max="11265" width="42.140625" style="1696" customWidth="1"/>
    <col min="11266" max="11266" width="10.5703125" style="1696" bestFit="1" customWidth="1"/>
    <col min="11267" max="11267" width="12.85546875" style="1696" customWidth="1"/>
    <col min="11268" max="11268" width="14.140625" style="1696" bestFit="1" customWidth="1"/>
    <col min="11269" max="11269" width="15.85546875" style="1696" bestFit="1" customWidth="1"/>
    <col min="11270" max="11270" width="12.28515625" style="1696" bestFit="1" customWidth="1"/>
    <col min="11271" max="11271" width="12.7109375" style="1696" customWidth="1"/>
    <col min="11272" max="11272" width="9.28515625" style="1696" bestFit="1" customWidth="1"/>
    <col min="11273" max="11273" width="10" style="1696" customWidth="1"/>
    <col min="11274" max="11274" width="11.140625" style="1696" customWidth="1"/>
    <col min="11275" max="11275" width="17.28515625" style="1696" bestFit="1" customWidth="1"/>
    <col min="11276" max="11276" width="9.140625" style="1696"/>
    <col min="11277" max="11277" width="9.5703125" style="1696" bestFit="1" customWidth="1"/>
    <col min="11278" max="11280" width="12.28515625" style="1696" customWidth="1"/>
    <col min="11281" max="11281" width="10.28515625" style="1696" customWidth="1"/>
    <col min="11282" max="11282" width="12.28515625" style="1696" customWidth="1"/>
    <col min="11283" max="11520" width="9.140625" style="1696"/>
    <col min="11521" max="11521" width="42.140625" style="1696" customWidth="1"/>
    <col min="11522" max="11522" width="10.5703125" style="1696" bestFit="1" customWidth="1"/>
    <col min="11523" max="11523" width="12.85546875" style="1696" customWidth="1"/>
    <col min="11524" max="11524" width="14.140625" style="1696" bestFit="1" customWidth="1"/>
    <col min="11525" max="11525" width="15.85546875" style="1696" bestFit="1" customWidth="1"/>
    <col min="11526" max="11526" width="12.28515625" style="1696" bestFit="1" customWidth="1"/>
    <col min="11527" max="11527" width="12.7109375" style="1696" customWidth="1"/>
    <col min="11528" max="11528" width="9.28515625" style="1696" bestFit="1" customWidth="1"/>
    <col min="11529" max="11529" width="10" style="1696" customWidth="1"/>
    <col min="11530" max="11530" width="11.140625" style="1696" customWidth="1"/>
    <col min="11531" max="11531" width="17.28515625" style="1696" bestFit="1" customWidth="1"/>
    <col min="11532" max="11532" width="9.140625" style="1696"/>
    <col min="11533" max="11533" width="9.5703125" style="1696" bestFit="1" customWidth="1"/>
    <col min="11534" max="11536" width="12.28515625" style="1696" customWidth="1"/>
    <col min="11537" max="11537" width="10.28515625" style="1696" customWidth="1"/>
    <col min="11538" max="11538" width="12.28515625" style="1696" customWidth="1"/>
    <col min="11539" max="11776" width="9.140625" style="1696"/>
    <col min="11777" max="11777" width="42.140625" style="1696" customWidth="1"/>
    <col min="11778" max="11778" width="10.5703125" style="1696" bestFit="1" customWidth="1"/>
    <col min="11779" max="11779" width="12.85546875" style="1696" customWidth="1"/>
    <col min="11780" max="11780" width="14.140625" style="1696" bestFit="1" customWidth="1"/>
    <col min="11781" max="11781" width="15.85546875" style="1696" bestFit="1" customWidth="1"/>
    <col min="11782" max="11782" width="12.28515625" style="1696" bestFit="1" customWidth="1"/>
    <col min="11783" max="11783" width="12.7109375" style="1696" customWidth="1"/>
    <col min="11784" max="11784" width="9.28515625" style="1696" bestFit="1" customWidth="1"/>
    <col min="11785" max="11785" width="10" style="1696" customWidth="1"/>
    <col min="11786" max="11786" width="11.140625" style="1696" customWidth="1"/>
    <col min="11787" max="11787" width="17.28515625" style="1696" bestFit="1" customWidth="1"/>
    <col min="11788" max="11788" width="9.140625" style="1696"/>
    <col min="11789" max="11789" width="9.5703125" style="1696" bestFit="1" customWidth="1"/>
    <col min="11790" max="11792" width="12.28515625" style="1696" customWidth="1"/>
    <col min="11793" max="11793" width="10.28515625" style="1696" customWidth="1"/>
    <col min="11794" max="11794" width="12.28515625" style="1696" customWidth="1"/>
    <col min="11795" max="12032" width="9.140625" style="1696"/>
    <col min="12033" max="12033" width="42.140625" style="1696" customWidth="1"/>
    <col min="12034" max="12034" width="10.5703125" style="1696" bestFit="1" customWidth="1"/>
    <col min="12035" max="12035" width="12.85546875" style="1696" customWidth="1"/>
    <col min="12036" max="12036" width="14.140625" style="1696" bestFit="1" customWidth="1"/>
    <col min="12037" max="12037" width="15.85546875" style="1696" bestFit="1" customWidth="1"/>
    <col min="12038" max="12038" width="12.28515625" style="1696" bestFit="1" customWidth="1"/>
    <col min="12039" max="12039" width="12.7109375" style="1696" customWidth="1"/>
    <col min="12040" max="12040" width="9.28515625" style="1696" bestFit="1" customWidth="1"/>
    <col min="12041" max="12041" width="10" style="1696" customWidth="1"/>
    <col min="12042" max="12042" width="11.140625" style="1696" customWidth="1"/>
    <col min="12043" max="12043" width="17.28515625" style="1696" bestFit="1" customWidth="1"/>
    <col min="12044" max="12044" width="9.140625" style="1696"/>
    <col min="12045" max="12045" width="9.5703125" style="1696" bestFit="1" customWidth="1"/>
    <col min="12046" max="12048" width="12.28515625" style="1696" customWidth="1"/>
    <col min="12049" max="12049" width="10.28515625" style="1696" customWidth="1"/>
    <col min="12050" max="12050" width="12.28515625" style="1696" customWidth="1"/>
    <col min="12051" max="12288" width="9.140625" style="1696"/>
    <col min="12289" max="12289" width="42.140625" style="1696" customWidth="1"/>
    <col min="12290" max="12290" width="10.5703125" style="1696" bestFit="1" customWidth="1"/>
    <col min="12291" max="12291" width="12.85546875" style="1696" customWidth="1"/>
    <col min="12292" max="12292" width="14.140625" style="1696" bestFit="1" customWidth="1"/>
    <col min="12293" max="12293" width="15.85546875" style="1696" bestFit="1" customWidth="1"/>
    <col min="12294" max="12294" width="12.28515625" style="1696" bestFit="1" customWidth="1"/>
    <col min="12295" max="12295" width="12.7109375" style="1696" customWidth="1"/>
    <col min="12296" max="12296" width="9.28515625" style="1696" bestFit="1" customWidth="1"/>
    <col min="12297" max="12297" width="10" style="1696" customWidth="1"/>
    <col min="12298" max="12298" width="11.140625" style="1696" customWidth="1"/>
    <col min="12299" max="12299" width="17.28515625" style="1696" bestFit="1" customWidth="1"/>
    <col min="12300" max="12300" width="9.140625" style="1696"/>
    <col min="12301" max="12301" width="9.5703125" style="1696" bestFit="1" customWidth="1"/>
    <col min="12302" max="12304" width="12.28515625" style="1696" customWidth="1"/>
    <col min="12305" max="12305" width="10.28515625" style="1696" customWidth="1"/>
    <col min="12306" max="12306" width="12.28515625" style="1696" customWidth="1"/>
    <col min="12307" max="12544" width="9.140625" style="1696"/>
    <col min="12545" max="12545" width="42.140625" style="1696" customWidth="1"/>
    <col min="12546" max="12546" width="10.5703125" style="1696" bestFit="1" customWidth="1"/>
    <col min="12547" max="12547" width="12.85546875" style="1696" customWidth="1"/>
    <col min="12548" max="12548" width="14.140625" style="1696" bestFit="1" customWidth="1"/>
    <col min="12549" max="12549" width="15.85546875" style="1696" bestFit="1" customWidth="1"/>
    <col min="12550" max="12550" width="12.28515625" style="1696" bestFit="1" customWidth="1"/>
    <col min="12551" max="12551" width="12.7109375" style="1696" customWidth="1"/>
    <col min="12552" max="12552" width="9.28515625" style="1696" bestFit="1" customWidth="1"/>
    <col min="12553" max="12553" width="10" style="1696" customWidth="1"/>
    <col min="12554" max="12554" width="11.140625" style="1696" customWidth="1"/>
    <col min="12555" max="12555" width="17.28515625" style="1696" bestFit="1" customWidth="1"/>
    <col min="12556" max="12556" width="9.140625" style="1696"/>
    <col min="12557" max="12557" width="9.5703125" style="1696" bestFit="1" customWidth="1"/>
    <col min="12558" max="12560" width="12.28515625" style="1696" customWidth="1"/>
    <col min="12561" max="12561" width="10.28515625" style="1696" customWidth="1"/>
    <col min="12562" max="12562" width="12.28515625" style="1696" customWidth="1"/>
    <col min="12563" max="12800" width="9.140625" style="1696"/>
    <col min="12801" max="12801" width="42.140625" style="1696" customWidth="1"/>
    <col min="12802" max="12802" width="10.5703125" style="1696" bestFit="1" customWidth="1"/>
    <col min="12803" max="12803" width="12.85546875" style="1696" customWidth="1"/>
    <col min="12804" max="12804" width="14.140625" style="1696" bestFit="1" customWidth="1"/>
    <col min="12805" max="12805" width="15.85546875" style="1696" bestFit="1" customWidth="1"/>
    <col min="12806" max="12806" width="12.28515625" style="1696" bestFit="1" customWidth="1"/>
    <col min="12807" max="12807" width="12.7109375" style="1696" customWidth="1"/>
    <col min="12808" max="12808" width="9.28515625" style="1696" bestFit="1" customWidth="1"/>
    <col min="12809" max="12809" width="10" style="1696" customWidth="1"/>
    <col min="12810" max="12810" width="11.140625" style="1696" customWidth="1"/>
    <col min="12811" max="12811" width="17.28515625" style="1696" bestFit="1" customWidth="1"/>
    <col min="12812" max="12812" width="9.140625" style="1696"/>
    <col min="12813" max="12813" width="9.5703125" style="1696" bestFit="1" customWidth="1"/>
    <col min="12814" max="12816" width="12.28515625" style="1696" customWidth="1"/>
    <col min="12817" max="12817" width="10.28515625" style="1696" customWidth="1"/>
    <col min="12818" max="12818" width="12.28515625" style="1696" customWidth="1"/>
    <col min="12819" max="13056" width="9.140625" style="1696"/>
    <col min="13057" max="13057" width="42.140625" style="1696" customWidth="1"/>
    <col min="13058" max="13058" width="10.5703125" style="1696" bestFit="1" customWidth="1"/>
    <col min="13059" max="13059" width="12.85546875" style="1696" customWidth="1"/>
    <col min="13060" max="13060" width="14.140625" style="1696" bestFit="1" customWidth="1"/>
    <col min="13061" max="13061" width="15.85546875" style="1696" bestFit="1" customWidth="1"/>
    <col min="13062" max="13062" width="12.28515625" style="1696" bestFit="1" customWidth="1"/>
    <col min="13063" max="13063" width="12.7109375" style="1696" customWidth="1"/>
    <col min="13064" max="13064" width="9.28515625" style="1696" bestFit="1" customWidth="1"/>
    <col min="13065" max="13065" width="10" style="1696" customWidth="1"/>
    <col min="13066" max="13066" width="11.140625" style="1696" customWidth="1"/>
    <col min="13067" max="13067" width="17.28515625" style="1696" bestFit="1" customWidth="1"/>
    <col min="13068" max="13068" width="9.140625" style="1696"/>
    <col min="13069" max="13069" width="9.5703125" style="1696" bestFit="1" customWidth="1"/>
    <col min="13070" max="13072" width="12.28515625" style="1696" customWidth="1"/>
    <col min="13073" max="13073" width="10.28515625" style="1696" customWidth="1"/>
    <col min="13074" max="13074" width="12.28515625" style="1696" customWidth="1"/>
    <col min="13075" max="13312" width="9.140625" style="1696"/>
    <col min="13313" max="13313" width="42.140625" style="1696" customWidth="1"/>
    <col min="13314" max="13314" width="10.5703125" style="1696" bestFit="1" customWidth="1"/>
    <col min="13315" max="13315" width="12.85546875" style="1696" customWidth="1"/>
    <col min="13316" max="13316" width="14.140625" style="1696" bestFit="1" customWidth="1"/>
    <col min="13317" max="13317" width="15.85546875" style="1696" bestFit="1" customWidth="1"/>
    <col min="13318" max="13318" width="12.28515625" style="1696" bestFit="1" customWidth="1"/>
    <col min="13319" max="13319" width="12.7109375" style="1696" customWidth="1"/>
    <col min="13320" max="13320" width="9.28515625" style="1696" bestFit="1" customWidth="1"/>
    <col min="13321" max="13321" width="10" style="1696" customWidth="1"/>
    <col min="13322" max="13322" width="11.140625" style="1696" customWidth="1"/>
    <col min="13323" max="13323" width="17.28515625" style="1696" bestFit="1" customWidth="1"/>
    <col min="13324" max="13324" width="9.140625" style="1696"/>
    <col min="13325" max="13325" width="9.5703125" style="1696" bestFit="1" customWidth="1"/>
    <col min="13326" max="13328" width="12.28515625" style="1696" customWidth="1"/>
    <col min="13329" max="13329" width="10.28515625" style="1696" customWidth="1"/>
    <col min="13330" max="13330" width="12.28515625" style="1696" customWidth="1"/>
    <col min="13331" max="13568" width="9.140625" style="1696"/>
    <col min="13569" max="13569" width="42.140625" style="1696" customWidth="1"/>
    <col min="13570" max="13570" width="10.5703125" style="1696" bestFit="1" customWidth="1"/>
    <col min="13571" max="13571" width="12.85546875" style="1696" customWidth="1"/>
    <col min="13572" max="13572" width="14.140625" style="1696" bestFit="1" customWidth="1"/>
    <col min="13573" max="13573" width="15.85546875" style="1696" bestFit="1" customWidth="1"/>
    <col min="13574" max="13574" width="12.28515625" style="1696" bestFit="1" customWidth="1"/>
    <col min="13575" max="13575" width="12.7109375" style="1696" customWidth="1"/>
    <col min="13576" max="13576" width="9.28515625" style="1696" bestFit="1" customWidth="1"/>
    <col min="13577" max="13577" width="10" style="1696" customWidth="1"/>
    <col min="13578" max="13578" width="11.140625" style="1696" customWidth="1"/>
    <col min="13579" max="13579" width="17.28515625" style="1696" bestFit="1" customWidth="1"/>
    <col min="13580" max="13580" width="9.140625" style="1696"/>
    <col min="13581" max="13581" width="9.5703125" style="1696" bestFit="1" customWidth="1"/>
    <col min="13582" max="13584" width="12.28515625" style="1696" customWidth="1"/>
    <col min="13585" max="13585" width="10.28515625" style="1696" customWidth="1"/>
    <col min="13586" max="13586" width="12.28515625" style="1696" customWidth="1"/>
    <col min="13587" max="13824" width="9.140625" style="1696"/>
    <col min="13825" max="13825" width="42.140625" style="1696" customWidth="1"/>
    <col min="13826" max="13826" width="10.5703125" style="1696" bestFit="1" customWidth="1"/>
    <col min="13827" max="13827" width="12.85546875" style="1696" customWidth="1"/>
    <col min="13828" max="13828" width="14.140625" style="1696" bestFit="1" customWidth="1"/>
    <col min="13829" max="13829" width="15.85546875" style="1696" bestFit="1" customWidth="1"/>
    <col min="13830" max="13830" width="12.28515625" style="1696" bestFit="1" customWidth="1"/>
    <col min="13831" max="13831" width="12.7109375" style="1696" customWidth="1"/>
    <col min="13832" max="13832" width="9.28515625" style="1696" bestFit="1" customWidth="1"/>
    <col min="13833" max="13833" width="10" style="1696" customWidth="1"/>
    <col min="13834" max="13834" width="11.140625" style="1696" customWidth="1"/>
    <col min="13835" max="13835" width="17.28515625" style="1696" bestFit="1" customWidth="1"/>
    <col min="13836" max="13836" width="9.140625" style="1696"/>
    <col min="13837" max="13837" width="9.5703125" style="1696" bestFit="1" customWidth="1"/>
    <col min="13838" max="13840" width="12.28515625" style="1696" customWidth="1"/>
    <col min="13841" max="13841" width="10.28515625" style="1696" customWidth="1"/>
    <col min="13842" max="13842" width="12.28515625" style="1696" customWidth="1"/>
    <col min="13843" max="14080" width="9.140625" style="1696"/>
    <col min="14081" max="14081" width="42.140625" style="1696" customWidth="1"/>
    <col min="14082" max="14082" width="10.5703125" style="1696" bestFit="1" customWidth="1"/>
    <col min="14083" max="14083" width="12.85546875" style="1696" customWidth="1"/>
    <col min="14084" max="14084" width="14.140625" style="1696" bestFit="1" customWidth="1"/>
    <col min="14085" max="14085" width="15.85546875" style="1696" bestFit="1" customWidth="1"/>
    <col min="14086" max="14086" width="12.28515625" style="1696" bestFit="1" customWidth="1"/>
    <col min="14087" max="14087" width="12.7109375" style="1696" customWidth="1"/>
    <col min="14088" max="14088" width="9.28515625" style="1696" bestFit="1" customWidth="1"/>
    <col min="14089" max="14089" width="10" style="1696" customWidth="1"/>
    <col min="14090" max="14090" width="11.140625" style="1696" customWidth="1"/>
    <col min="14091" max="14091" width="17.28515625" style="1696" bestFit="1" customWidth="1"/>
    <col min="14092" max="14092" width="9.140625" style="1696"/>
    <col min="14093" max="14093" width="9.5703125" style="1696" bestFit="1" customWidth="1"/>
    <col min="14094" max="14096" width="12.28515625" style="1696" customWidth="1"/>
    <col min="14097" max="14097" width="10.28515625" style="1696" customWidth="1"/>
    <col min="14098" max="14098" width="12.28515625" style="1696" customWidth="1"/>
    <col min="14099" max="14336" width="9.140625" style="1696"/>
    <col min="14337" max="14337" width="42.140625" style="1696" customWidth="1"/>
    <col min="14338" max="14338" width="10.5703125" style="1696" bestFit="1" customWidth="1"/>
    <col min="14339" max="14339" width="12.85546875" style="1696" customWidth="1"/>
    <col min="14340" max="14340" width="14.140625" style="1696" bestFit="1" customWidth="1"/>
    <col min="14341" max="14341" width="15.85546875" style="1696" bestFit="1" customWidth="1"/>
    <col min="14342" max="14342" width="12.28515625" style="1696" bestFit="1" customWidth="1"/>
    <col min="14343" max="14343" width="12.7109375" style="1696" customWidth="1"/>
    <col min="14344" max="14344" width="9.28515625" style="1696" bestFit="1" customWidth="1"/>
    <col min="14345" max="14345" width="10" style="1696" customWidth="1"/>
    <col min="14346" max="14346" width="11.140625" style="1696" customWidth="1"/>
    <col min="14347" max="14347" width="17.28515625" style="1696" bestFit="1" customWidth="1"/>
    <col min="14348" max="14348" width="9.140625" style="1696"/>
    <col min="14349" max="14349" width="9.5703125" style="1696" bestFit="1" customWidth="1"/>
    <col min="14350" max="14352" width="12.28515625" style="1696" customWidth="1"/>
    <col min="14353" max="14353" width="10.28515625" style="1696" customWidth="1"/>
    <col min="14354" max="14354" width="12.28515625" style="1696" customWidth="1"/>
    <col min="14355" max="14592" width="9.140625" style="1696"/>
    <col min="14593" max="14593" width="42.140625" style="1696" customWidth="1"/>
    <col min="14594" max="14594" width="10.5703125" style="1696" bestFit="1" customWidth="1"/>
    <col min="14595" max="14595" width="12.85546875" style="1696" customWidth="1"/>
    <col min="14596" max="14596" width="14.140625" style="1696" bestFit="1" customWidth="1"/>
    <col min="14597" max="14597" width="15.85546875" style="1696" bestFit="1" customWidth="1"/>
    <col min="14598" max="14598" width="12.28515625" style="1696" bestFit="1" customWidth="1"/>
    <col min="14599" max="14599" width="12.7109375" style="1696" customWidth="1"/>
    <col min="14600" max="14600" width="9.28515625" style="1696" bestFit="1" customWidth="1"/>
    <col min="14601" max="14601" width="10" style="1696" customWidth="1"/>
    <col min="14602" max="14602" width="11.140625" style="1696" customWidth="1"/>
    <col min="14603" max="14603" width="17.28515625" style="1696" bestFit="1" customWidth="1"/>
    <col min="14604" max="14604" width="9.140625" style="1696"/>
    <col min="14605" max="14605" width="9.5703125" style="1696" bestFit="1" customWidth="1"/>
    <col min="14606" max="14608" width="12.28515625" style="1696" customWidth="1"/>
    <col min="14609" max="14609" width="10.28515625" style="1696" customWidth="1"/>
    <col min="14610" max="14610" width="12.28515625" style="1696" customWidth="1"/>
    <col min="14611" max="14848" width="9.140625" style="1696"/>
    <col min="14849" max="14849" width="42.140625" style="1696" customWidth="1"/>
    <col min="14850" max="14850" width="10.5703125" style="1696" bestFit="1" customWidth="1"/>
    <col min="14851" max="14851" width="12.85546875" style="1696" customWidth="1"/>
    <col min="14852" max="14852" width="14.140625" style="1696" bestFit="1" customWidth="1"/>
    <col min="14853" max="14853" width="15.85546875" style="1696" bestFit="1" customWidth="1"/>
    <col min="14854" max="14854" width="12.28515625" style="1696" bestFit="1" customWidth="1"/>
    <col min="14855" max="14855" width="12.7109375" style="1696" customWidth="1"/>
    <col min="14856" max="14856" width="9.28515625" style="1696" bestFit="1" customWidth="1"/>
    <col min="14857" max="14857" width="10" style="1696" customWidth="1"/>
    <col min="14858" max="14858" width="11.140625" style="1696" customWidth="1"/>
    <col min="14859" max="14859" width="17.28515625" style="1696" bestFit="1" customWidth="1"/>
    <col min="14860" max="14860" width="9.140625" style="1696"/>
    <col min="14861" max="14861" width="9.5703125" style="1696" bestFit="1" customWidth="1"/>
    <col min="14862" max="14864" width="12.28515625" style="1696" customWidth="1"/>
    <col min="14865" max="14865" width="10.28515625" style="1696" customWidth="1"/>
    <col min="14866" max="14866" width="12.28515625" style="1696" customWidth="1"/>
    <col min="14867" max="15104" width="9.140625" style="1696"/>
    <col min="15105" max="15105" width="42.140625" style="1696" customWidth="1"/>
    <col min="15106" max="15106" width="10.5703125" style="1696" bestFit="1" customWidth="1"/>
    <col min="15107" max="15107" width="12.85546875" style="1696" customWidth="1"/>
    <col min="15108" max="15108" width="14.140625" style="1696" bestFit="1" customWidth="1"/>
    <col min="15109" max="15109" width="15.85546875" style="1696" bestFit="1" customWidth="1"/>
    <col min="15110" max="15110" width="12.28515625" style="1696" bestFit="1" customWidth="1"/>
    <col min="15111" max="15111" width="12.7109375" style="1696" customWidth="1"/>
    <col min="15112" max="15112" width="9.28515625" style="1696" bestFit="1" customWidth="1"/>
    <col min="15113" max="15113" width="10" style="1696" customWidth="1"/>
    <col min="15114" max="15114" width="11.140625" style="1696" customWidth="1"/>
    <col min="15115" max="15115" width="17.28515625" style="1696" bestFit="1" customWidth="1"/>
    <col min="15116" max="15116" width="9.140625" style="1696"/>
    <col min="15117" max="15117" width="9.5703125" style="1696" bestFit="1" customWidth="1"/>
    <col min="15118" max="15120" width="12.28515625" style="1696" customWidth="1"/>
    <col min="15121" max="15121" width="10.28515625" style="1696" customWidth="1"/>
    <col min="15122" max="15122" width="12.28515625" style="1696" customWidth="1"/>
    <col min="15123" max="15360" width="9.140625" style="1696"/>
    <col min="15361" max="15361" width="42.140625" style="1696" customWidth="1"/>
    <col min="15362" max="15362" width="10.5703125" style="1696" bestFit="1" customWidth="1"/>
    <col min="15363" max="15363" width="12.85546875" style="1696" customWidth="1"/>
    <col min="15364" max="15364" width="14.140625" style="1696" bestFit="1" customWidth="1"/>
    <col min="15365" max="15365" width="15.85546875" style="1696" bestFit="1" customWidth="1"/>
    <col min="15366" max="15366" width="12.28515625" style="1696" bestFit="1" customWidth="1"/>
    <col min="15367" max="15367" width="12.7109375" style="1696" customWidth="1"/>
    <col min="15368" max="15368" width="9.28515625" style="1696" bestFit="1" customWidth="1"/>
    <col min="15369" max="15369" width="10" style="1696" customWidth="1"/>
    <col min="15370" max="15370" width="11.140625" style="1696" customWidth="1"/>
    <col min="15371" max="15371" width="17.28515625" style="1696" bestFit="1" customWidth="1"/>
    <col min="15372" max="15372" width="9.140625" style="1696"/>
    <col min="15373" max="15373" width="9.5703125" style="1696" bestFit="1" customWidth="1"/>
    <col min="15374" max="15376" width="12.28515625" style="1696" customWidth="1"/>
    <col min="15377" max="15377" width="10.28515625" style="1696" customWidth="1"/>
    <col min="15378" max="15378" width="12.28515625" style="1696" customWidth="1"/>
    <col min="15379" max="15616" width="9.140625" style="1696"/>
    <col min="15617" max="15617" width="42.140625" style="1696" customWidth="1"/>
    <col min="15618" max="15618" width="10.5703125" style="1696" bestFit="1" customWidth="1"/>
    <col min="15619" max="15619" width="12.85546875" style="1696" customWidth="1"/>
    <col min="15620" max="15620" width="14.140625" style="1696" bestFit="1" customWidth="1"/>
    <col min="15621" max="15621" width="15.85546875" style="1696" bestFit="1" customWidth="1"/>
    <col min="15622" max="15622" width="12.28515625" style="1696" bestFit="1" customWidth="1"/>
    <col min="15623" max="15623" width="12.7109375" style="1696" customWidth="1"/>
    <col min="15624" max="15624" width="9.28515625" style="1696" bestFit="1" customWidth="1"/>
    <col min="15625" max="15625" width="10" style="1696" customWidth="1"/>
    <col min="15626" max="15626" width="11.140625" style="1696" customWidth="1"/>
    <col min="15627" max="15627" width="17.28515625" style="1696" bestFit="1" customWidth="1"/>
    <col min="15628" max="15628" width="9.140625" style="1696"/>
    <col min="15629" max="15629" width="9.5703125" style="1696" bestFit="1" customWidth="1"/>
    <col min="15630" max="15632" width="12.28515625" style="1696" customWidth="1"/>
    <col min="15633" max="15633" width="10.28515625" style="1696" customWidth="1"/>
    <col min="15634" max="15634" width="12.28515625" style="1696" customWidth="1"/>
    <col min="15635" max="15872" width="9.140625" style="1696"/>
    <col min="15873" max="15873" width="42.140625" style="1696" customWidth="1"/>
    <col min="15874" max="15874" width="10.5703125" style="1696" bestFit="1" customWidth="1"/>
    <col min="15875" max="15875" width="12.85546875" style="1696" customWidth="1"/>
    <col min="15876" max="15876" width="14.140625" style="1696" bestFit="1" customWidth="1"/>
    <col min="15877" max="15877" width="15.85546875" style="1696" bestFit="1" customWidth="1"/>
    <col min="15878" max="15878" width="12.28515625" style="1696" bestFit="1" customWidth="1"/>
    <col min="15879" max="15879" width="12.7109375" style="1696" customWidth="1"/>
    <col min="15880" max="15880" width="9.28515625" style="1696" bestFit="1" customWidth="1"/>
    <col min="15881" max="15881" width="10" style="1696" customWidth="1"/>
    <col min="15882" max="15882" width="11.140625" style="1696" customWidth="1"/>
    <col min="15883" max="15883" width="17.28515625" style="1696" bestFit="1" customWidth="1"/>
    <col min="15884" max="15884" width="9.140625" style="1696"/>
    <col min="15885" max="15885" width="9.5703125" style="1696" bestFit="1" customWidth="1"/>
    <col min="15886" max="15888" width="12.28515625" style="1696" customWidth="1"/>
    <col min="15889" max="15889" width="10.28515625" style="1696" customWidth="1"/>
    <col min="15890" max="15890" width="12.28515625" style="1696" customWidth="1"/>
    <col min="15891" max="16128" width="9.140625" style="1696"/>
    <col min="16129" max="16129" width="42.140625" style="1696" customWidth="1"/>
    <col min="16130" max="16130" width="10.5703125" style="1696" bestFit="1" customWidth="1"/>
    <col min="16131" max="16131" width="12.85546875" style="1696" customWidth="1"/>
    <col min="16132" max="16132" width="14.140625" style="1696" bestFit="1" customWidth="1"/>
    <col min="16133" max="16133" width="15.85546875" style="1696" bestFit="1" customWidth="1"/>
    <col min="16134" max="16134" width="12.28515625" style="1696" bestFit="1" customWidth="1"/>
    <col min="16135" max="16135" width="12.7109375" style="1696" customWidth="1"/>
    <col min="16136" max="16136" width="9.28515625" style="1696" bestFit="1" customWidth="1"/>
    <col min="16137" max="16137" width="10" style="1696" customWidth="1"/>
    <col min="16138" max="16138" width="11.140625" style="1696" customWidth="1"/>
    <col min="16139" max="16139" width="17.28515625" style="1696" bestFit="1" customWidth="1"/>
    <col min="16140" max="16140" width="9.140625" style="1696"/>
    <col min="16141" max="16141" width="9.5703125" style="1696" bestFit="1" customWidth="1"/>
    <col min="16142" max="16144" width="12.28515625" style="1696" customWidth="1"/>
    <col min="16145" max="16145" width="10.28515625" style="1696" customWidth="1"/>
    <col min="16146" max="16146" width="12.28515625" style="1696" customWidth="1"/>
    <col min="16147" max="16384" width="9.140625" style="1696"/>
  </cols>
  <sheetData>
    <row r="1" spans="1:18" ht="15.75">
      <c r="A1" s="907" t="s">
        <v>2706</v>
      </c>
      <c r="B1" s="1725"/>
      <c r="C1" s="1725"/>
      <c r="D1" s="1725"/>
      <c r="E1" s="1726"/>
      <c r="F1" s="1726"/>
      <c r="G1" s="1689"/>
      <c r="H1" s="1689"/>
      <c r="I1" s="1689"/>
      <c r="J1" s="1689"/>
      <c r="K1" s="1689"/>
      <c r="L1" s="1689"/>
    </row>
    <row r="2" spans="1:18" ht="13.5" thickBot="1">
      <c r="A2" s="1725"/>
      <c r="B2" s="1689"/>
      <c r="C2" s="1689"/>
      <c r="D2" s="1689"/>
      <c r="E2" s="1689"/>
      <c r="F2" s="1689"/>
      <c r="G2" s="1689"/>
      <c r="H2" s="1689"/>
      <c r="I2" s="1689"/>
      <c r="J2" s="1689"/>
      <c r="K2" s="1689"/>
      <c r="L2" s="1689"/>
    </row>
    <row r="3" spans="1:18" ht="16.5" customHeight="1" thickTop="1" thickBot="1">
      <c r="A3" s="1727" t="s">
        <v>2664</v>
      </c>
      <c r="B3" s="1728" t="s">
        <v>2697</v>
      </c>
      <c r="C3" s="1728"/>
      <c r="D3" s="1728" t="s">
        <v>2698</v>
      </c>
      <c r="E3" s="1728"/>
      <c r="F3" s="1728" t="s">
        <v>2699</v>
      </c>
      <c r="G3" s="1728"/>
      <c r="H3" s="1728" t="s">
        <v>2707</v>
      </c>
      <c r="I3" s="1728"/>
      <c r="J3" s="1728" t="s">
        <v>2700</v>
      </c>
      <c r="K3" s="1728"/>
      <c r="L3" s="1689"/>
    </row>
    <row r="4" spans="1:18">
      <c r="A4" s="1729"/>
      <c r="B4" s="1730" t="s">
        <v>2668</v>
      </c>
      <c r="C4" s="1730" t="s">
        <v>862</v>
      </c>
      <c r="D4" s="1730" t="s">
        <v>2668</v>
      </c>
      <c r="E4" s="1730" t="s">
        <v>862</v>
      </c>
      <c r="F4" s="1730" t="s">
        <v>2669</v>
      </c>
      <c r="G4" s="1730" t="s">
        <v>862</v>
      </c>
      <c r="H4" s="1730" t="s">
        <v>2669</v>
      </c>
      <c r="I4" s="1730" t="s">
        <v>862</v>
      </c>
      <c r="J4" s="1730" t="s">
        <v>2669</v>
      </c>
      <c r="K4" s="1730" t="s">
        <v>862</v>
      </c>
      <c r="L4" s="1689"/>
    </row>
    <row r="5" spans="1:18" ht="13.5" thickBot="1">
      <c r="A5" s="1731"/>
      <c r="B5" s="1732" t="s">
        <v>2670</v>
      </c>
      <c r="C5" s="1732" t="s">
        <v>1353</v>
      </c>
      <c r="D5" s="1732" t="s">
        <v>2670</v>
      </c>
      <c r="E5" s="1732" t="s">
        <v>1353</v>
      </c>
      <c r="F5" s="1732" t="s">
        <v>2670</v>
      </c>
      <c r="G5" s="1732" t="s">
        <v>1353</v>
      </c>
      <c r="H5" s="1732" t="s">
        <v>2670</v>
      </c>
      <c r="I5" s="1732" t="s">
        <v>1353</v>
      </c>
      <c r="J5" s="1732" t="s">
        <v>2670</v>
      </c>
      <c r="K5" s="1732" t="s">
        <v>1353</v>
      </c>
      <c r="L5" s="1689"/>
      <c r="N5" s="1733"/>
      <c r="O5" s="1733"/>
      <c r="P5" s="1733"/>
      <c r="Q5" s="1733"/>
      <c r="R5" s="1733"/>
    </row>
    <row r="6" spans="1:18" ht="13.5" thickTop="1">
      <c r="A6" s="1734"/>
      <c r="B6" s="1735"/>
      <c r="C6" s="1735"/>
      <c r="D6" s="1735"/>
      <c r="E6" s="1735"/>
      <c r="F6" s="1735"/>
      <c r="G6" s="1735"/>
      <c r="H6" s="1735"/>
      <c r="I6" s="1735"/>
      <c r="J6" s="1735"/>
      <c r="K6" s="1735"/>
      <c r="L6" s="1689"/>
    </row>
    <row r="7" spans="1:18">
      <c r="A7" s="1729" t="s">
        <v>2671</v>
      </c>
      <c r="B7" s="1736">
        <v>216262</v>
      </c>
      <c r="C7" s="1736">
        <v>7637252.049535214</v>
      </c>
      <c r="D7" s="1736">
        <v>1763054</v>
      </c>
      <c r="E7" s="1736">
        <v>54512796.989720076</v>
      </c>
      <c r="F7" s="1736">
        <v>94602</v>
      </c>
      <c r="G7" s="1736">
        <v>13464452.022154484</v>
      </c>
      <c r="H7" s="1736">
        <v>457</v>
      </c>
      <c r="I7" s="1736">
        <v>24227.982469999999</v>
      </c>
      <c r="J7" s="1736">
        <v>43998</v>
      </c>
      <c r="K7" s="1736">
        <v>3338694.478526372</v>
      </c>
      <c r="L7" s="1689"/>
      <c r="M7" s="1737"/>
      <c r="N7" s="1738"/>
      <c r="O7" s="1738"/>
      <c r="P7" s="1738"/>
      <c r="Q7" s="1738"/>
      <c r="R7" s="1738"/>
    </row>
    <row r="8" spans="1:18">
      <c r="A8" s="1729"/>
      <c r="B8" s="1736"/>
      <c r="C8" s="1736"/>
      <c r="D8" s="1736"/>
      <c r="E8" s="1736"/>
      <c r="F8" s="1736"/>
      <c r="G8" s="1736"/>
      <c r="H8" s="1736"/>
      <c r="I8" s="1736"/>
      <c r="J8" s="1736"/>
      <c r="K8" s="1736"/>
      <c r="L8" s="1689"/>
      <c r="M8" s="1739"/>
    </row>
    <row r="9" spans="1:18">
      <c r="A9" s="1729" t="s">
        <v>2672</v>
      </c>
      <c r="B9" s="1736">
        <v>4715</v>
      </c>
      <c r="C9" s="1736">
        <v>3264670.1849254291</v>
      </c>
      <c r="D9" s="1736">
        <v>31732</v>
      </c>
      <c r="E9" s="1736">
        <v>21833135.835861947</v>
      </c>
      <c r="F9" s="1736">
        <v>10903</v>
      </c>
      <c r="G9" s="1736">
        <v>8677270.3932387345</v>
      </c>
      <c r="H9" s="1736">
        <v>4</v>
      </c>
      <c r="I9" s="1736">
        <v>2690.95975</v>
      </c>
      <c r="J9" s="1736">
        <v>4216</v>
      </c>
      <c r="K9" s="1736">
        <v>3026008.3694388526</v>
      </c>
      <c r="L9" s="1689"/>
      <c r="M9" s="1737"/>
      <c r="N9" s="1738"/>
      <c r="O9" s="1738"/>
      <c r="P9" s="1738"/>
      <c r="Q9" s="1738"/>
      <c r="R9" s="1738"/>
    </row>
    <row r="10" spans="1:18">
      <c r="A10" s="1729"/>
      <c r="B10" s="1736"/>
      <c r="C10" s="1736"/>
      <c r="D10" s="1736"/>
      <c r="E10" s="1736"/>
      <c r="F10" s="1736"/>
      <c r="G10" s="1736"/>
      <c r="H10" s="1736"/>
      <c r="I10" s="1736"/>
      <c r="J10" s="1736"/>
      <c r="K10" s="1736"/>
      <c r="L10" s="1689"/>
      <c r="M10" s="1739"/>
    </row>
    <row r="11" spans="1:18">
      <c r="A11" s="1729" t="s">
        <v>2673</v>
      </c>
      <c r="B11" s="1736">
        <v>2630</v>
      </c>
      <c r="C11" s="1736">
        <v>3663766.2659930955</v>
      </c>
      <c r="D11" s="1736">
        <v>14430</v>
      </c>
      <c r="E11" s="1736">
        <v>19484680.765706111</v>
      </c>
      <c r="F11" s="1736">
        <v>5085</v>
      </c>
      <c r="G11" s="1736">
        <v>7621973.6728547197</v>
      </c>
      <c r="H11" s="1736">
        <v>2</v>
      </c>
      <c r="I11" s="1736">
        <v>2290</v>
      </c>
      <c r="J11" s="1736">
        <v>3572</v>
      </c>
      <c r="K11" s="1736">
        <v>5072865.1221084017</v>
      </c>
      <c r="L11" s="1689"/>
      <c r="M11" s="1737"/>
      <c r="N11" s="1738"/>
      <c r="O11" s="1738"/>
      <c r="P11" s="1738"/>
      <c r="Q11" s="1738"/>
      <c r="R11" s="1738"/>
    </row>
    <row r="12" spans="1:18">
      <c r="A12" s="1729"/>
      <c r="B12" s="1736"/>
      <c r="C12" s="1736"/>
      <c r="D12" s="1736"/>
      <c r="E12" s="1736"/>
      <c r="F12" s="1736"/>
      <c r="G12" s="1736"/>
      <c r="H12" s="1736"/>
      <c r="I12" s="1736"/>
      <c r="J12" s="1736"/>
      <c r="K12" s="1736"/>
      <c r="L12" s="1689"/>
      <c r="M12" s="1739"/>
    </row>
    <row r="13" spans="1:18">
      <c r="A13" s="1729" t="s">
        <v>2674</v>
      </c>
      <c r="B13" s="1736">
        <v>1622</v>
      </c>
      <c r="C13" s="1736">
        <v>4955293.5913691288</v>
      </c>
      <c r="D13" s="1736">
        <v>5254</v>
      </c>
      <c r="E13" s="1736">
        <v>15259286.60978632</v>
      </c>
      <c r="F13" s="1736">
        <v>2261</v>
      </c>
      <c r="G13" s="1736">
        <v>7427406.675576264</v>
      </c>
      <c r="H13" s="1736">
        <v>1</v>
      </c>
      <c r="I13" s="1736">
        <v>2403.5</v>
      </c>
      <c r="J13" s="1736">
        <v>3484</v>
      </c>
      <c r="K13" s="1736">
        <v>11005156.835358784</v>
      </c>
      <c r="L13" s="1689"/>
      <c r="M13" s="1737"/>
      <c r="N13" s="1738"/>
      <c r="O13" s="1738"/>
      <c r="P13" s="1738"/>
      <c r="Q13" s="1738"/>
      <c r="R13" s="1738"/>
    </row>
    <row r="14" spans="1:18">
      <c r="A14" s="1729"/>
      <c r="B14" s="1736"/>
      <c r="C14" s="1736"/>
      <c r="D14" s="1736"/>
      <c r="E14" s="1736"/>
      <c r="F14" s="1736"/>
      <c r="G14" s="1736"/>
      <c r="H14" s="1736"/>
      <c r="I14" s="1736"/>
      <c r="J14" s="1736"/>
      <c r="K14" s="1736"/>
      <c r="L14" s="1689"/>
      <c r="M14" s="1739"/>
    </row>
    <row r="15" spans="1:18">
      <c r="A15" s="1729" t="s">
        <v>2675</v>
      </c>
      <c r="B15" s="1736">
        <v>543</v>
      </c>
      <c r="C15" s="1736">
        <v>3719442.4839921426</v>
      </c>
      <c r="D15" s="1736">
        <v>1005</v>
      </c>
      <c r="E15" s="1736">
        <v>6790845.868934066</v>
      </c>
      <c r="F15" s="1736">
        <v>591</v>
      </c>
      <c r="G15" s="1736">
        <v>4465668.3226198927</v>
      </c>
      <c r="H15" s="1736">
        <v>1</v>
      </c>
      <c r="I15" s="1736">
        <v>5081.4717433934666</v>
      </c>
      <c r="J15" s="1736">
        <v>1739</v>
      </c>
      <c r="K15" s="1736">
        <v>12484243.238614043</v>
      </c>
      <c r="L15" s="1689"/>
      <c r="M15" s="1739"/>
      <c r="N15" s="1738"/>
      <c r="O15" s="1738"/>
      <c r="P15" s="1738"/>
      <c r="Q15" s="1738"/>
      <c r="R15" s="1738"/>
    </row>
    <row r="16" spans="1:18">
      <c r="A16" s="1729"/>
      <c r="B16" s="1736"/>
      <c r="C16" s="1736"/>
      <c r="D16" s="1736"/>
      <c r="E16" s="1736"/>
      <c r="F16" s="1736"/>
      <c r="G16" s="1736"/>
      <c r="H16" s="1736"/>
      <c r="I16" s="1736"/>
      <c r="J16" s="1736"/>
      <c r="K16" s="1736"/>
      <c r="L16" s="1689"/>
      <c r="M16" s="1739"/>
    </row>
    <row r="17" spans="1:18">
      <c r="A17" s="1729" t="s">
        <v>2676</v>
      </c>
      <c r="B17" s="1736">
        <v>290</v>
      </c>
      <c r="C17" s="1736">
        <v>4360429.96738414</v>
      </c>
      <c r="D17" s="1736">
        <v>423</v>
      </c>
      <c r="E17" s="1736">
        <v>6131261.9509425592</v>
      </c>
      <c r="F17" s="1736">
        <v>341</v>
      </c>
      <c r="G17" s="1736">
        <v>5730772.2972198362</v>
      </c>
      <c r="H17" s="1736">
        <v>0</v>
      </c>
      <c r="I17" s="1736">
        <v>0</v>
      </c>
      <c r="J17" s="1736">
        <v>1499</v>
      </c>
      <c r="K17" s="1736">
        <v>23440797.101983007</v>
      </c>
      <c r="L17" s="1689"/>
      <c r="M17" s="1739"/>
      <c r="N17" s="1738"/>
      <c r="O17" s="1738"/>
      <c r="P17" s="1738"/>
      <c r="Q17" s="1738"/>
      <c r="R17" s="1738"/>
    </row>
    <row r="18" spans="1:18">
      <c r="A18" s="1729"/>
      <c r="B18" s="1736"/>
      <c r="C18" s="1736"/>
      <c r="D18" s="1736"/>
      <c r="E18" s="1736"/>
      <c r="F18" s="1736"/>
      <c r="G18" s="1736"/>
      <c r="H18" s="1736"/>
      <c r="I18" s="1736"/>
      <c r="J18" s="1736"/>
      <c r="K18" s="1736"/>
      <c r="L18" s="1689"/>
      <c r="M18" s="1739"/>
    </row>
    <row r="19" spans="1:18">
      <c r="A19" s="1729" t="s">
        <v>2677</v>
      </c>
      <c r="B19" s="1736">
        <v>112</v>
      </c>
      <c r="C19" s="1736">
        <v>3730210.3006841484</v>
      </c>
      <c r="D19" s="1736">
        <v>97</v>
      </c>
      <c r="E19" s="1736">
        <v>3250392.4653282734</v>
      </c>
      <c r="F19" s="1736">
        <v>150</v>
      </c>
      <c r="G19" s="1736">
        <v>6033111.4378352789</v>
      </c>
      <c r="H19" s="1736">
        <v>0</v>
      </c>
      <c r="I19" s="1736">
        <v>0</v>
      </c>
      <c r="J19" s="1736">
        <v>775</v>
      </c>
      <c r="K19" s="1736">
        <v>26455589.8772556</v>
      </c>
      <c r="L19" s="1689"/>
      <c r="M19" s="1739"/>
      <c r="N19" s="1738"/>
      <c r="O19" s="1738"/>
      <c r="P19" s="1738"/>
      <c r="Q19" s="1738"/>
      <c r="R19" s="1738"/>
    </row>
    <row r="20" spans="1:18">
      <c r="A20" s="1729"/>
      <c r="B20" s="1736"/>
      <c r="C20" s="1736"/>
      <c r="D20" s="1736"/>
      <c r="E20" s="1736"/>
      <c r="F20" s="1736"/>
      <c r="G20" s="1736"/>
      <c r="H20" s="1736"/>
      <c r="I20" s="1736"/>
      <c r="J20" s="1736"/>
      <c r="K20" s="1736"/>
      <c r="L20" s="1689"/>
      <c r="M20" s="1739"/>
    </row>
    <row r="21" spans="1:18">
      <c r="A21" s="1729" t="s">
        <v>2708</v>
      </c>
      <c r="B21" s="1736">
        <v>42</v>
      </c>
      <c r="C21" s="1736">
        <v>3002223.4844833692</v>
      </c>
      <c r="D21" s="1736">
        <v>43</v>
      </c>
      <c r="E21" s="1736">
        <v>3022869.7477801773</v>
      </c>
      <c r="F21" s="1736">
        <v>67</v>
      </c>
      <c r="G21" s="1736">
        <v>5049864.1651034104</v>
      </c>
      <c r="H21" s="1736">
        <v>0</v>
      </c>
      <c r="I21" s="1736">
        <v>0</v>
      </c>
      <c r="J21" s="1736">
        <v>413</v>
      </c>
      <c r="K21" s="1736">
        <v>28751660.151293542</v>
      </c>
      <c r="L21" s="1689"/>
      <c r="M21" s="1739"/>
      <c r="N21" s="1738"/>
      <c r="O21" s="1738"/>
      <c r="P21" s="1738"/>
      <c r="Q21" s="1738"/>
      <c r="R21" s="1738"/>
    </row>
    <row r="22" spans="1:18">
      <c r="A22" s="1729"/>
      <c r="B22" s="1736"/>
      <c r="C22" s="1736"/>
      <c r="D22" s="1736"/>
      <c r="E22" s="1736"/>
      <c r="F22" s="1736"/>
      <c r="G22" s="1736"/>
      <c r="H22" s="1736"/>
      <c r="I22" s="1736"/>
      <c r="J22" s="1736"/>
      <c r="K22" s="1736"/>
      <c r="L22" s="1689"/>
      <c r="M22" s="1739"/>
    </row>
    <row r="23" spans="1:18">
      <c r="A23" s="1729" t="s">
        <v>2709</v>
      </c>
      <c r="B23" s="1736">
        <v>6</v>
      </c>
      <c r="C23" s="1736">
        <v>721304.97145999991</v>
      </c>
      <c r="D23" s="1736">
        <v>12</v>
      </c>
      <c r="E23" s="1736">
        <v>1379550.1256714414</v>
      </c>
      <c r="F23" s="1736">
        <v>25</v>
      </c>
      <c r="G23" s="1736">
        <v>3102102.2168805776</v>
      </c>
      <c r="H23" s="1736">
        <v>0</v>
      </c>
      <c r="I23" s="1736">
        <v>0</v>
      </c>
      <c r="J23" s="1736">
        <v>146</v>
      </c>
      <c r="K23" s="1736">
        <v>17598703.151790608</v>
      </c>
      <c r="L23" s="1689"/>
      <c r="M23" s="1739"/>
      <c r="N23" s="1738"/>
      <c r="O23" s="1738"/>
      <c r="P23" s="1738"/>
      <c r="Q23" s="1738"/>
      <c r="R23" s="1738"/>
    </row>
    <row r="24" spans="1:18">
      <c r="A24" s="1729"/>
      <c r="B24" s="1736"/>
      <c r="C24" s="1736"/>
      <c r="D24" s="1736"/>
      <c r="E24" s="1736"/>
      <c r="F24" s="1736"/>
      <c r="G24" s="1736"/>
      <c r="H24" s="1736"/>
      <c r="I24" s="1736"/>
      <c r="J24" s="1736"/>
      <c r="K24" s="1736"/>
      <c r="L24" s="1689"/>
      <c r="M24" s="1739"/>
    </row>
    <row r="25" spans="1:18">
      <c r="A25" s="1729" t="s">
        <v>2710</v>
      </c>
      <c r="B25" s="1736">
        <v>3</v>
      </c>
      <c r="C25" s="1736">
        <v>548194.62755999994</v>
      </c>
      <c r="D25" s="1736">
        <v>5</v>
      </c>
      <c r="E25" s="1736">
        <v>853993.48100000003</v>
      </c>
      <c r="F25" s="1736">
        <v>13</v>
      </c>
      <c r="G25" s="1736">
        <v>2442988.0637700008</v>
      </c>
      <c r="H25" s="1736">
        <v>0</v>
      </c>
      <c r="I25" s="1736">
        <v>0</v>
      </c>
      <c r="J25" s="1736">
        <v>90</v>
      </c>
      <c r="K25" s="1736">
        <v>15321906.193204124</v>
      </c>
      <c r="L25" s="1689"/>
      <c r="M25" s="1739"/>
      <c r="N25" s="1738"/>
      <c r="O25" s="1738"/>
      <c r="P25" s="1738"/>
      <c r="Q25" s="1738"/>
      <c r="R25" s="1738"/>
    </row>
    <row r="26" spans="1:18">
      <c r="A26" s="1729"/>
      <c r="B26" s="1736"/>
      <c r="C26" s="1736"/>
      <c r="D26" s="1736"/>
      <c r="E26" s="1736"/>
      <c r="F26" s="1736"/>
      <c r="G26" s="1736"/>
      <c r="H26" s="1736"/>
      <c r="I26" s="1736"/>
      <c r="J26" s="1736"/>
      <c r="K26" s="1736"/>
      <c r="L26" s="1689"/>
      <c r="M26" s="1739"/>
    </row>
    <row r="27" spans="1:18">
      <c r="A27" s="1729" t="s">
        <v>2711</v>
      </c>
      <c r="B27" s="1736">
        <v>9</v>
      </c>
      <c r="C27" s="1736">
        <v>2041036.6522300001</v>
      </c>
      <c r="D27" s="1736">
        <v>6</v>
      </c>
      <c r="E27" s="1736">
        <v>1463679.5855399999</v>
      </c>
      <c r="F27" s="1736">
        <v>14</v>
      </c>
      <c r="G27" s="1736">
        <v>3543191.5433261553</v>
      </c>
      <c r="H27" s="1736">
        <v>0</v>
      </c>
      <c r="I27" s="1736">
        <v>0</v>
      </c>
      <c r="J27" s="1736">
        <v>79</v>
      </c>
      <c r="K27" s="1736">
        <v>18970327.037212625</v>
      </c>
      <c r="L27" s="1689"/>
      <c r="M27" s="1739"/>
      <c r="N27" s="1738"/>
      <c r="O27" s="1738"/>
      <c r="P27" s="1738"/>
      <c r="Q27" s="1738"/>
      <c r="R27" s="1738"/>
    </row>
    <row r="28" spans="1:18">
      <c r="A28" s="1729"/>
      <c r="B28" s="1736"/>
      <c r="C28" s="1736"/>
      <c r="D28" s="1736"/>
      <c r="E28" s="1736"/>
      <c r="F28" s="1736"/>
      <c r="G28" s="1736"/>
      <c r="H28" s="1736"/>
      <c r="I28" s="1736"/>
      <c r="J28" s="1736"/>
      <c r="K28" s="1736"/>
      <c r="L28" s="1689"/>
    </row>
    <row r="29" spans="1:18">
      <c r="A29" s="1729" t="s">
        <v>2712</v>
      </c>
      <c r="B29" s="1736">
        <v>6</v>
      </c>
      <c r="C29" s="1736">
        <v>4230514.4514600001</v>
      </c>
      <c r="D29" s="1736">
        <v>6</v>
      </c>
      <c r="E29" s="1736">
        <v>2133820.5959999999</v>
      </c>
      <c r="F29" s="1736">
        <v>14</v>
      </c>
      <c r="G29" s="1736">
        <v>8410811.0246832557</v>
      </c>
      <c r="H29" s="1736">
        <v>0</v>
      </c>
      <c r="I29" s="1736">
        <v>0</v>
      </c>
      <c r="J29" s="1736">
        <v>163</v>
      </c>
      <c r="K29" s="1736">
        <v>160649759.41678804</v>
      </c>
      <c r="L29" s="1689"/>
      <c r="N29" s="1738"/>
      <c r="O29" s="1738"/>
      <c r="P29" s="1738"/>
      <c r="Q29" s="1738"/>
      <c r="R29" s="1738"/>
    </row>
    <row r="30" spans="1:18">
      <c r="A30" s="1734"/>
      <c r="B30" s="1740"/>
      <c r="C30" s="1740"/>
      <c r="D30" s="1740"/>
      <c r="E30" s="1740"/>
      <c r="F30" s="1740"/>
      <c r="G30" s="1740"/>
      <c r="H30" s="1740"/>
      <c r="I30" s="1740"/>
      <c r="J30" s="1740"/>
      <c r="K30" s="1740"/>
      <c r="L30" s="1689"/>
    </row>
    <row r="31" spans="1:18">
      <c r="A31" s="1729" t="s">
        <v>369</v>
      </c>
      <c r="B31" s="1735">
        <v>226240</v>
      </c>
      <c r="C31" s="1735">
        <v>41874339.03107667</v>
      </c>
      <c r="D31" s="1735">
        <v>1816067</v>
      </c>
      <c r="E31" s="1735">
        <v>136116314.02227098</v>
      </c>
      <c r="F31" s="1735">
        <v>114066</v>
      </c>
      <c r="G31" s="1735">
        <v>75969611.835262612</v>
      </c>
      <c r="H31" s="1735">
        <v>465</v>
      </c>
      <c r="I31" s="1735">
        <v>36693.913963393461</v>
      </c>
      <c r="J31" s="1735">
        <v>60174</v>
      </c>
      <c r="K31" s="1735">
        <v>326115710.97357398</v>
      </c>
      <c r="L31" s="1689"/>
      <c r="N31" s="1741"/>
      <c r="O31" s="1741"/>
      <c r="P31" s="1741"/>
      <c r="Q31" s="1741"/>
      <c r="R31" s="1741"/>
    </row>
    <row r="32" spans="1:18" ht="13.5" thickBot="1">
      <c r="A32" s="1731"/>
      <c r="B32" s="1742"/>
      <c r="C32" s="1742"/>
      <c r="D32" s="1742"/>
      <c r="E32" s="1742"/>
      <c r="F32" s="1742"/>
      <c r="G32" s="1742"/>
      <c r="H32" s="1742"/>
      <c r="I32" s="1742"/>
      <c r="J32" s="1742"/>
      <c r="K32" s="1742"/>
      <c r="L32" s="1689"/>
    </row>
    <row r="33" spans="1:12" s="1720" customFormat="1" thickTop="1">
      <c r="A33" s="1688" t="s">
        <v>2704</v>
      </c>
      <c r="B33" s="1718"/>
      <c r="C33" s="1718"/>
      <c r="D33" s="1718"/>
      <c r="E33" s="1688" t="s">
        <v>361</v>
      </c>
      <c r="F33" s="1718"/>
      <c r="G33" s="1718"/>
      <c r="H33" s="1718"/>
      <c r="I33" s="1718"/>
      <c r="J33" s="1743"/>
      <c r="K33" s="1743"/>
      <c r="L33" s="1743"/>
    </row>
    <row r="34" spans="1:12" hidden="1">
      <c r="A34" s="1744" t="s">
        <v>2713</v>
      </c>
      <c r="B34" s="1689"/>
      <c r="C34" s="1689"/>
      <c r="D34" s="1689"/>
      <c r="E34" s="1689"/>
      <c r="F34" s="1689"/>
      <c r="G34" s="1689"/>
      <c r="H34" s="1689"/>
      <c r="I34" s="1689"/>
      <c r="J34" s="1689"/>
      <c r="K34" s="1689"/>
      <c r="L34" s="1689"/>
    </row>
    <row r="35" spans="1:12" s="1720" customFormat="1" ht="13.5">
      <c r="A35" s="1688" t="s">
        <v>2695</v>
      </c>
      <c r="B35" s="1718"/>
      <c r="C35" s="1718"/>
      <c r="D35" s="1718"/>
      <c r="E35" s="1719"/>
      <c r="F35" s="1718"/>
      <c r="G35" s="1718"/>
      <c r="H35" s="1718"/>
      <c r="I35" s="1718"/>
      <c r="J35" s="1743"/>
      <c r="K35" s="1743"/>
      <c r="L35" s="1743"/>
    </row>
    <row r="36" spans="1:12">
      <c r="A36" s="1689"/>
      <c r="B36" s="1745"/>
      <c r="C36" s="1745"/>
      <c r="D36" s="1745"/>
      <c r="E36" s="1745"/>
      <c r="F36" s="1745"/>
      <c r="G36" s="1745"/>
      <c r="H36" s="1745"/>
      <c r="I36" s="1745"/>
      <c r="J36" s="1745"/>
      <c r="K36" s="1745"/>
      <c r="L36" s="1689"/>
    </row>
    <row r="37" spans="1:12">
      <c r="A37" s="1689"/>
      <c r="B37" s="1689"/>
      <c r="C37" s="1689"/>
      <c r="D37" s="1689"/>
      <c r="E37" s="1689"/>
      <c r="F37" s="1689"/>
      <c r="G37" s="1689"/>
      <c r="H37" s="1689"/>
      <c r="I37" s="1689"/>
      <c r="J37" s="1689"/>
      <c r="K37" s="1689"/>
      <c r="L37" s="1689"/>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H8" activePane="bottomRight" state="frozen"/>
      <selection pane="topRight" activeCell="B1" sqref="B1"/>
      <selection pane="bottomLeft" activeCell="A8" sqref="A8"/>
      <selection pane="bottomRight"/>
    </sheetView>
  </sheetViews>
  <sheetFormatPr defaultRowHeight="12.75"/>
  <cols>
    <col min="1" max="1" width="38.7109375" style="1696" customWidth="1"/>
    <col min="2" max="2" width="15.85546875" style="1696" customWidth="1"/>
    <col min="3" max="3" width="14.7109375" style="1696" bestFit="1" customWidth="1"/>
    <col min="4" max="5" width="15.85546875" style="1696" customWidth="1"/>
    <col min="6" max="6" width="12.7109375" style="1696" bestFit="1" customWidth="1"/>
    <col min="7" max="8" width="15.85546875" style="1696" customWidth="1"/>
    <col min="9" max="9" width="17.7109375" style="1696" bestFit="1" customWidth="1"/>
    <col min="10" max="10" width="18" style="1696" bestFit="1" customWidth="1"/>
    <col min="11" max="11" width="19" style="1696" bestFit="1" customWidth="1"/>
    <col min="12" max="12" width="17" style="1696" bestFit="1" customWidth="1"/>
    <col min="13" max="13" width="15.85546875" style="1696" bestFit="1" customWidth="1"/>
    <col min="14" max="15" width="17" style="1696" bestFit="1" customWidth="1"/>
    <col min="16" max="16" width="12" style="1696" bestFit="1" customWidth="1"/>
    <col min="17" max="256" width="9.140625" style="1696"/>
    <col min="257" max="257" width="38.7109375" style="1696" customWidth="1"/>
    <col min="258" max="258" width="15.85546875" style="1696" customWidth="1"/>
    <col min="259" max="259" width="14.7109375" style="1696" bestFit="1" customWidth="1"/>
    <col min="260" max="261" width="15.85546875" style="1696" customWidth="1"/>
    <col min="262" max="262" width="12.7109375" style="1696" bestFit="1" customWidth="1"/>
    <col min="263" max="264" width="15.85546875" style="1696" customWidth="1"/>
    <col min="265" max="265" width="17.7109375" style="1696" bestFit="1" customWidth="1"/>
    <col min="266" max="266" width="18" style="1696" bestFit="1" customWidth="1"/>
    <col min="267" max="267" width="19" style="1696" bestFit="1" customWidth="1"/>
    <col min="268" max="268" width="17" style="1696" bestFit="1" customWidth="1"/>
    <col min="269" max="269" width="15.85546875" style="1696" bestFit="1" customWidth="1"/>
    <col min="270" max="271" width="17" style="1696" bestFit="1" customWidth="1"/>
    <col min="272" max="272" width="12" style="1696" bestFit="1" customWidth="1"/>
    <col min="273" max="512" width="9.140625" style="1696"/>
    <col min="513" max="513" width="38.7109375" style="1696" customWidth="1"/>
    <col min="514" max="514" width="15.85546875" style="1696" customWidth="1"/>
    <col min="515" max="515" width="14.7109375" style="1696" bestFit="1" customWidth="1"/>
    <col min="516" max="517" width="15.85546875" style="1696" customWidth="1"/>
    <col min="518" max="518" width="12.7109375" style="1696" bestFit="1" customWidth="1"/>
    <col min="519" max="520" width="15.85546875" style="1696" customWidth="1"/>
    <col min="521" max="521" width="17.7109375" style="1696" bestFit="1" customWidth="1"/>
    <col min="522" max="522" width="18" style="1696" bestFit="1" customWidth="1"/>
    <col min="523" max="523" width="19" style="1696" bestFit="1" customWidth="1"/>
    <col min="524" max="524" width="17" style="1696" bestFit="1" customWidth="1"/>
    <col min="525" max="525" width="15.85546875" style="1696" bestFit="1" customWidth="1"/>
    <col min="526" max="527" width="17" style="1696" bestFit="1" customWidth="1"/>
    <col min="528" max="528" width="12" style="1696" bestFit="1" customWidth="1"/>
    <col min="529" max="768" width="9.140625" style="1696"/>
    <col min="769" max="769" width="38.7109375" style="1696" customWidth="1"/>
    <col min="770" max="770" width="15.85546875" style="1696" customWidth="1"/>
    <col min="771" max="771" width="14.7109375" style="1696" bestFit="1" customWidth="1"/>
    <col min="772" max="773" width="15.85546875" style="1696" customWidth="1"/>
    <col min="774" max="774" width="12.7109375" style="1696" bestFit="1" customWidth="1"/>
    <col min="775" max="776" width="15.85546875" style="1696" customWidth="1"/>
    <col min="777" max="777" width="17.7109375" style="1696" bestFit="1" customWidth="1"/>
    <col min="778" max="778" width="18" style="1696" bestFit="1" customWidth="1"/>
    <col min="779" max="779" width="19" style="1696" bestFit="1" customWidth="1"/>
    <col min="780" max="780" width="17" style="1696" bestFit="1" customWidth="1"/>
    <col min="781" max="781" width="15.85546875" style="1696" bestFit="1" customWidth="1"/>
    <col min="782" max="783" width="17" style="1696" bestFit="1" customWidth="1"/>
    <col min="784" max="784" width="12" style="1696" bestFit="1" customWidth="1"/>
    <col min="785" max="1024" width="9.140625" style="1696"/>
    <col min="1025" max="1025" width="38.7109375" style="1696" customWidth="1"/>
    <col min="1026" max="1026" width="15.85546875" style="1696" customWidth="1"/>
    <col min="1027" max="1027" width="14.7109375" style="1696" bestFit="1" customWidth="1"/>
    <col min="1028" max="1029" width="15.85546875" style="1696" customWidth="1"/>
    <col min="1030" max="1030" width="12.7109375" style="1696" bestFit="1" customWidth="1"/>
    <col min="1031" max="1032" width="15.85546875" style="1696" customWidth="1"/>
    <col min="1033" max="1033" width="17.7109375" style="1696" bestFit="1" customWidth="1"/>
    <col min="1034" max="1034" width="18" style="1696" bestFit="1" customWidth="1"/>
    <col min="1035" max="1035" width="19" style="1696" bestFit="1" customWidth="1"/>
    <col min="1036" max="1036" width="17" style="1696" bestFit="1" customWidth="1"/>
    <col min="1037" max="1037" width="15.85546875" style="1696" bestFit="1" customWidth="1"/>
    <col min="1038" max="1039" width="17" style="1696" bestFit="1" customWidth="1"/>
    <col min="1040" max="1040" width="12" style="1696" bestFit="1" customWidth="1"/>
    <col min="1041" max="1280" width="9.140625" style="1696"/>
    <col min="1281" max="1281" width="38.7109375" style="1696" customWidth="1"/>
    <col min="1282" max="1282" width="15.85546875" style="1696" customWidth="1"/>
    <col min="1283" max="1283" width="14.7109375" style="1696" bestFit="1" customWidth="1"/>
    <col min="1284" max="1285" width="15.85546875" style="1696" customWidth="1"/>
    <col min="1286" max="1286" width="12.7109375" style="1696" bestFit="1" customWidth="1"/>
    <col min="1287" max="1288" width="15.85546875" style="1696" customWidth="1"/>
    <col min="1289" max="1289" width="17.7109375" style="1696" bestFit="1" customWidth="1"/>
    <col min="1290" max="1290" width="18" style="1696" bestFit="1" customWidth="1"/>
    <col min="1291" max="1291" width="19" style="1696" bestFit="1" customWidth="1"/>
    <col min="1292" max="1292" width="17" style="1696" bestFit="1" customWidth="1"/>
    <col min="1293" max="1293" width="15.85546875" style="1696" bestFit="1" customWidth="1"/>
    <col min="1294" max="1295" width="17" style="1696" bestFit="1" customWidth="1"/>
    <col min="1296" max="1296" width="12" style="1696" bestFit="1" customWidth="1"/>
    <col min="1297" max="1536" width="9.140625" style="1696"/>
    <col min="1537" max="1537" width="38.7109375" style="1696" customWidth="1"/>
    <col min="1538" max="1538" width="15.85546875" style="1696" customWidth="1"/>
    <col min="1539" max="1539" width="14.7109375" style="1696" bestFit="1" customWidth="1"/>
    <col min="1540" max="1541" width="15.85546875" style="1696" customWidth="1"/>
    <col min="1542" max="1542" width="12.7109375" style="1696" bestFit="1" customWidth="1"/>
    <col min="1543" max="1544" width="15.85546875" style="1696" customWidth="1"/>
    <col min="1545" max="1545" width="17.7109375" style="1696" bestFit="1" customWidth="1"/>
    <col min="1546" max="1546" width="18" style="1696" bestFit="1" customWidth="1"/>
    <col min="1547" max="1547" width="19" style="1696" bestFit="1" customWidth="1"/>
    <col min="1548" max="1548" width="17" style="1696" bestFit="1" customWidth="1"/>
    <col min="1549" max="1549" width="15.85546875" style="1696" bestFit="1" customWidth="1"/>
    <col min="1550" max="1551" width="17" style="1696" bestFit="1" customWidth="1"/>
    <col min="1552" max="1552" width="12" style="1696" bestFit="1" customWidth="1"/>
    <col min="1553" max="1792" width="9.140625" style="1696"/>
    <col min="1793" max="1793" width="38.7109375" style="1696" customWidth="1"/>
    <col min="1794" max="1794" width="15.85546875" style="1696" customWidth="1"/>
    <col min="1795" max="1795" width="14.7109375" style="1696" bestFit="1" customWidth="1"/>
    <col min="1796" max="1797" width="15.85546875" style="1696" customWidth="1"/>
    <col min="1798" max="1798" width="12.7109375" style="1696" bestFit="1" customWidth="1"/>
    <col min="1799" max="1800" width="15.85546875" style="1696" customWidth="1"/>
    <col min="1801" max="1801" width="17.7109375" style="1696" bestFit="1" customWidth="1"/>
    <col min="1802" max="1802" width="18" style="1696" bestFit="1" customWidth="1"/>
    <col min="1803" max="1803" width="19" style="1696" bestFit="1" customWidth="1"/>
    <col min="1804" max="1804" width="17" style="1696" bestFit="1" customWidth="1"/>
    <col min="1805" max="1805" width="15.85546875" style="1696" bestFit="1" customWidth="1"/>
    <col min="1806" max="1807" width="17" style="1696" bestFit="1" customWidth="1"/>
    <col min="1808" max="1808" width="12" style="1696" bestFit="1" customWidth="1"/>
    <col min="1809" max="2048" width="9.140625" style="1696"/>
    <col min="2049" max="2049" width="38.7109375" style="1696" customWidth="1"/>
    <col min="2050" max="2050" width="15.85546875" style="1696" customWidth="1"/>
    <col min="2051" max="2051" width="14.7109375" style="1696" bestFit="1" customWidth="1"/>
    <col min="2052" max="2053" width="15.85546875" style="1696" customWidth="1"/>
    <col min="2054" max="2054" width="12.7109375" style="1696" bestFit="1" customWidth="1"/>
    <col min="2055" max="2056" width="15.85546875" style="1696" customWidth="1"/>
    <col min="2057" max="2057" width="17.7109375" style="1696" bestFit="1" customWidth="1"/>
    <col min="2058" max="2058" width="18" style="1696" bestFit="1" customWidth="1"/>
    <col min="2059" max="2059" width="19" style="1696" bestFit="1" customWidth="1"/>
    <col min="2060" max="2060" width="17" style="1696" bestFit="1" customWidth="1"/>
    <col min="2061" max="2061" width="15.85546875" style="1696" bestFit="1" customWidth="1"/>
    <col min="2062" max="2063" width="17" style="1696" bestFit="1" customWidth="1"/>
    <col min="2064" max="2064" width="12" style="1696" bestFit="1" customWidth="1"/>
    <col min="2065" max="2304" width="9.140625" style="1696"/>
    <col min="2305" max="2305" width="38.7109375" style="1696" customWidth="1"/>
    <col min="2306" max="2306" width="15.85546875" style="1696" customWidth="1"/>
    <col min="2307" max="2307" width="14.7109375" style="1696" bestFit="1" customWidth="1"/>
    <col min="2308" max="2309" width="15.85546875" style="1696" customWidth="1"/>
    <col min="2310" max="2310" width="12.7109375" style="1696" bestFit="1" customWidth="1"/>
    <col min="2311" max="2312" width="15.85546875" style="1696" customWidth="1"/>
    <col min="2313" max="2313" width="17.7109375" style="1696" bestFit="1" customWidth="1"/>
    <col min="2314" max="2314" width="18" style="1696" bestFit="1" customWidth="1"/>
    <col min="2315" max="2315" width="19" style="1696" bestFit="1" customWidth="1"/>
    <col min="2316" max="2316" width="17" style="1696" bestFit="1" customWidth="1"/>
    <col min="2317" max="2317" width="15.85546875" style="1696" bestFit="1" customWidth="1"/>
    <col min="2318" max="2319" width="17" style="1696" bestFit="1" customWidth="1"/>
    <col min="2320" max="2320" width="12" style="1696" bestFit="1" customWidth="1"/>
    <col min="2321" max="2560" width="9.140625" style="1696"/>
    <col min="2561" max="2561" width="38.7109375" style="1696" customWidth="1"/>
    <col min="2562" max="2562" width="15.85546875" style="1696" customWidth="1"/>
    <col min="2563" max="2563" width="14.7109375" style="1696" bestFit="1" customWidth="1"/>
    <col min="2564" max="2565" width="15.85546875" style="1696" customWidth="1"/>
    <col min="2566" max="2566" width="12.7109375" style="1696" bestFit="1" customWidth="1"/>
    <col min="2567" max="2568" width="15.85546875" style="1696" customWidth="1"/>
    <col min="2569" max="2569" width="17.7109375" style="1696" bestFit="1" customWidth="1"/>
    <col min="2570" max="2570" width="18" style="1696" bestFit="1" customWidth="1"/>
    <col min="2571" max="2571" width="19" style="1696" bestFit="1" customWidth="1"/>
    <col min="2572" max="2572" width="17" style="1696" bestFit="1" customWidth="1"/>
    <col min="2573" max="2573" width="15.85546875" style="1696" bestFit="1" customWidth="1"/>
    <col min="2574" max="2575" width="17" style="1696" bestFit="1" customWidth="1"/>
    <col min="2576" max="2576" width="12" style="1696" bestFit="1" customWidth="1"/>
    <col min="2577" max="2816" width="9.140625" style="1696"/>
    <col min="2817" max="2817" width="38.7109375" style="1696" customWidth="1"/>
    <col min="2818" max="2818" width="15.85546875" style="1696" customWidth="1"/>
    <col min="2819" max="2819" width="14.7109375" style="1696" bestFit="1" customWidth="1"/>
    <col min="2820" max="2821" width="15.85546875" style="1696" customWidth="1"/>
    <col min="2822" max="2822" width="12.7109375" style="1696" bestFit="1" customWidth="1"/>
    <col min="2823" max="2824" width="15.85546875" style="1696" customWidth="1"/>
    <col min="2825" max="2825" width="17.7109375" style="1696" bestFit="1" customWidth="1"/>
    <col min="2826" max="2826" width="18" style="1696" bestFit="1" customWidth="1"/>
    <col min="2827" max="2827" width="19" style="1696" bestFit="1" customWidth="1"/>
    <col min="2828" max="2828" width="17" style="1696" bestFit="1" customWidth="1"/>
    <col min="2829" max="2829" width="15.85546875" style="1696" bestFit="1" customWidth="1"/>
    <col min="2830" max="2831" width="17" style="1696" bestFit="1" customWidth="1"/>
    <col min="2832" max="2832" width="12" style="1696" bestFit="1" customWidth="1"/>
    <col min="2833" max="3072" width="9.140625" style="1696"/>
    <col min="3073" max="3073" width="38.7109375" style="1696" customWidth="1"/>
    <col min="3074" max="3074" width="15.85546875" style="1696" customWidth="1"/>
    <col min="3075" max="3075" width="14.7109375" style="1696" bestFit="1" customWidth="1"/>
    <col min="3076" max="3077" width="15.85546875" style="1696" customWidth="1"/>
    <col min="3078" max="3078" width="12.7109375" style="1696" bestFit="1" customWidth="1"/>
    <col min="3079" max="3080" width="15.85546875" style="1696" customWidth="1"/>
    <col min="3081" max="3081" width="17.7109375" style="1696" bestFit="1" customWidth="1"/>
    <col min="3082" max="3082" width="18" style="1696" bestFit="1" customWidth="1"/>
    <col min="3083" max="3083" width="19" style="1696" bestFit="1" customWidth="1"/>
    <col min="3084" max="3084" width="17" style="1696" bestFit="1" customWidth="1"/>
    <col min="3085" max="3085" width="15.85546875" style="1696" bestFit="1" customWidth="1"/>
    <col min="3086" max="3087" width="17" style="1696" bestFit="1" customWidth="1"/>
    <col min="3088" max="3088" width="12" style="1696" bestFit="1" customWidth="1"/>
    <col min="3089" max="3328" width="9.140625" style="1696"/>
    <col min="3329" max="3329" width="38.7109375" style="1696" customWidth="1"/>
    <col min="3330" max="3330" width="15.85546875" style="1696" customWidth="1"/>
    <col min="3331" max="3331" width="14.7109375" style="1696" bestFit="1" customWidth="1"/>
    <col min="3332" max="3333" width="15.85546875" style="1696" customWidth="1"/>
    <col min="3334" max="3334" width="12.7109375" style="1696" bestFit="1" customWidth="1"/>
    <col min="3335" max="3336" width="15.85546875" style="1696" customWidth="1"/>
    <col min="3337" max="3337" width="17.7109375" style="1696" bestFit="1" customWidth="1"/>
    <col min="3338" max="3338" width="18" style="1696" bestFit="1" customWidth="1"/>
    <col min="3339" max="3339" width="19" style="1696" bestFit="1" customWidth="1"/>
    <col min="3340" max="3340" width="17" style="1696" bestFit="1" customWidth="1"/>
    <col min="3341" max="3341" width="15.85546875" style="1696" bestFit="1" customWidth="1"/>
    <col min="3342" max="3343" width="17" style="1696" bestFit="1" customWidth="1"/>
    <col min="3344" max="3344" width="12" style="1696" bestFit="1" customWidth="1"/>
    <col min="3345" max="3584" width="9.140625" style="1696"/>
    <col min="3585" max="3585" width="38.7109375" style="1696" customWidth="1"/>
    <col min="3586" max="3586" width="15.85546875" style="1696" customWidth="1"/>
    <col min="3587" max="3587" width="14.7109375" style="1696" bestFit="1" customWidth="1"/>
    <col min="3588" max="3589" width="15.85546875" style="1696" customWidth="1"/>
    <col min="3590" max="3590" width="12.7109375" style="1696" bestFit="1" customWidth="1"/>
    <col min="3591" max="3592" width="15.85546875" style="1696" customWidth="1"/>
    <col min="3593" max="3593" width="17.7109375" style="1696" bestFit="1" customWidth="1"/>
    <col min="3594" max="3594" width="18" style="1696" bestFit="1" customWidth="1"/>
    <col min="3595" max="3595" width="19" style="1696" bestFit="1" customWidth="1"/>
    <col min="3596" max="3596" width="17" style="1696" bestFit="1" customWidth="1"/>
    <col min="3597" max="3597" width="15.85546875" style="1696" bestFit="1" customWidth="1"/>
    <col min="3598" max="3599" width="17" style="1696" bestFit="1" customWidth="1"/>
    <col min="3600" max="3600" width="12" style="1696" bestFit="1" customWidth="1"/>
    <col min="3601" max="3840" width="9.140625" style="1696"/>
    <col min="3841" max="3841" width="38.7109375" style="1696" customWidth="1"/>
    <col min="3842" max="3842" width="15.85546875" style="1696" customWidth="1"/>
    <col min="3843" max="3843" width="14.7109375" style="1696" bestFit="1" customWidth="1"/>
    <col min="3844" max="3845" width="15.85546875" style="1696" customWidth="1"/>
    <col min="3846" max="3846" width="12.7109375" style="1696" bestFit="1" customWidth="1"/>
    <col min="3847" max="3848" width="15.85546875" style="1696" customWidth="1"/>
    <col min="3849" max="3849" width="17.7109375" style="1696" bestFit="1" customWidth="1"/>
    <col min="3850" max="3850" width="18" style="1696" bestFit="1" customWidth="1"/>
    <col min="3851" max="3851" width="19" style="1696" bestFit="1" customWidth="1"/>
    <col min="3852" max="3852" width="17" style="1696" bestFit="1" customWidth="1"/>
    <col min="3853" max="3853" width="15.85546875" style="1696" bestFit="1" customWidth="1"/>
    <col min="3854" max="3855" width="17" style="1696" bestFit="1" customWidth="1"/>
    <col min="3856" max="3856" width="12" style="1696" bestFit="1" customWidth="1"/>
    <col min="3857" max="4096" width="9.140625" style="1696"/>
    <col min="4097" max="4097" width="38.7109375" style="1696" customWidth="1"/>
    <col min="4098" max="4098" width="15.85546875" style="1696" customWidth="1"/>
    <col min="4099" max="4099" width="14.7109375" style="1696" bestFit="1" customWidth="1"/>
    <col min="4100" max="4101" width="15.85546875" style="1696" customWidth="1"/>
    <col min="4102" max="4102" width="12.7109375" style="1696" bestFit="1" customWidth="1"/>
    <col min="4103" max="4104" width="15.85546875" style="1696" customWidth="1"/>
    <col min="4105" max="4105" width="17.7109375" style="1696" bestFit="1" customWidth="1"/>
    <col min="4106" max="4106" width="18" style="1696" bestFit="1" customWidth="1"/>
    <col min="4107" max="4107" width="19" style="1696" bestFit="1" customWidth="1"/>
    <col min="4108" max="4108" width="17" style="1696" bestFit="1" customWidth="1"/>
    <col min="4109" max="4109" width="15.85546875" style="1696" bestFit="1" customWidth="1"/>
    <col min="4110" max="4111" width="17" style="1696" bestFit="1" customWidth="1"/>
    <col min="4112" max="4112" width="12" style="1696" bestFit="1" customWidth="1"/>
    <col min="4113" max="4352" width="9.140625" style="1696"/>
    <col min="4353" max="4353" width="38.7109375" style="1696" customWidth="1"/>
    <col min="4354" max="4354" width="15.85546875" style="1696" customWidth="1"/>
    <col min="4355" max="4355" width="14.7109375" style="1696" bestFit="1" customWidth="1"/>
    <col min="4356" max="4357" width="15.85546875" style="1696" customWidth="1"/>
    <col min="4358" max="4358" width="12.7109375" style="1696" bestFit="1" customWidth="1"/>
    <col min="4359" max="4360" width="15.85546875" style="1696" customWidth="1"/>
    <col min="4361" max="4361" width="17.7109375" style="1696" bestFit="1" customWidth="1"/>
    <col min="4362" max="4362" width="18" style="1696" bestFit="1" customWidth="1"/>
    <col min="4363" max="4363" width="19" style="1696" bestFit="1" customWidth="1"/>
    <col min="4364" max="4364" width="17" style="1696" bestFit="1" customWidth="1"/>
    <col min="4365" max="4365" width="15.85546875" style="1696" bestFit="1" customWidth="1"/>
    <col min="4366" max="4367" width="17" style="1696" bestFit="1" customWidth="1"/>
    <col min="4368" max="4368" width="12" style="1696" bestFit="1" customWidth="1"/>
    <col min="4369" max="4608" width="9.140625" style="1696"/>
    <col min="4609" max="4609" width="38.7109375" style="1696" customWidth="1"/>
    <col min="4610" max="4610" width="15.85546875" style="1696" customWidth="1"/>
    <col min="4611" max="4611" width="14.7109375" style="1696" bestFit="1" customWidth="1"/>
    <col min="4612" max="4613" width="15.85546875" style="1696" customWidth="1"/>
    <col min="4614" max="4614" width="12.7109375" style="1696" bestFit="1" customWidth="1"/>
    <col min="4615" max="4616" width="15.85546875" style="1696" customWidth="1"/>
    <col min="4617" max="4617" width="17.7109375" style="1696" bestFit="1" customWidth="1"/>
    <col min="4618" max="4618" width="18" style="1696" bestFit="1" customWidth="1"/>
    <col min="4619" max="4619" width="19" style="1696" bestFit="1" customWidth="1"/>
    <col min="4620" max="4620" width="17" style="1696" bestFit="1" customWidth="1"/>
    <col min="4621" max="4621" width="15.85546875" style="1696" bestFit="1" customWidth="1"/>
    <col min="4622" max="4623" width="17" style="1696" bestFit="1" customWidth="1"/>
    <col min="4624" max="4624" width="12" style="1696" bestFit="1" customWidth="1"/>
    <col min="4625" max="4864" width="9.140625" style="1696"/>
    <col min="4865" max="4865" width="38.7109375" style="1696" customWidth="1"/>
    <col min="4866" max="4866" width="15.85546875" style="1696" customWidth="1"/>
    <col min="4867" max="4867" width="14.7109375" style="1696" bestFit="1" customWidth="1"/>
    <col min="4868" max="4869" width="15.85546875" style="1696" customWidth="1"/>
    <col min="4870" max="4870" width="12.7109375" style="1696" bestFit="1" customWidth="1"/>
    <col min="4871" max="4872" width="15.85546875" style="1696" customWidth="1"/>
    <col min="4873" max="4873" width="17.7109375" style="1696" bestFit="1" customWidth="1"/>
    <col min="4874" max="4874" width="18" style="1696" bestFit="1" customWidth="1"/>
    <col min="4875" max="4875" width="19" style="1696" bestFit="1" customWidth="1"/>
    <col min="4876" max="4876" width="17" style="1696" bestFit="1" customWidth="1"/>
    <col min="4877" max="4877" width="15.85546875" style="1696" bestFit="1" customWidth="1"/>
    <col min="4878" max="4879" width="17" style="1696" bestFit="1" customWidth="1"/>
    <col min="4880" max="4880" width="12" style="1696" bestFit="1" customWidth="1"/>
    <col min="4881" max="5120" width="9.140625" style="1696"/>
    <col min="5121" max="5121" width="38.7109375" style="1696" customWidth="1"/>
    <col min="5122" max="5122" width="15.85546875" style="1696" customWidth="1"/>
    <col min="5123" max="5123" width="14.7109375" style="1696" bestFit="1" customWidth="1"/>
    <col min="5124" max="5125" width="15.85546875" style="1696" customWidth="1"/>
    <col min="5126" max="5126" width="12.7109375" style="1696" bestFit="1" customWidth="1"/>
    <col min="5127" max="5128" width="15.85546875" style="1696" customWidth="1"/>
    <col min="5129" max="5129" width="17.7109375" style="1696" bestFit="1" customWidth="1"/>
    <col min="5130" max="5130" width="18" style="1696" bestFit="1" customWidth="1"/>
    <col min="5131" max="5131" width="19" style="1696" bestFit="1" customWidth="1"/>
    <col min="5132" max="5132" width="17" style="1696" bestFit="1" customWidth="1"/>
    <col min="5133" max="5133" width="15.85546875" style="1696" bestFit="1" customWidth="1"/>
    <col min="5134" max="5135" width="17" style="1696" bestFit="1" customWidth="1"/>
    <col min="5136" max="5136" width="12" style="1696" bestFit="1" customWidth="1"/>
    <col min="5137" max="5376" width="9.140625" style="1696"/>
    <col min="5377" max="5377" width="38.7109375" style="1696" customWidth="1"/>
    <col min="5378" max="5378" width="15.85546875" style="1696" customWidth="1"/>
    <col min="5379" max="5379" width="14.7109375" style="1696" bestFit="1" customWidth="1"/>
    <col min="5380" max="5381" width="15.85546875" style="1696" customWidth="1"/>
    <col min="5382" max="5382" width="12.7109375" style="1696" bestFit="1" customWidth="1"/>
    <col min="5383" max="5384" width="15.85546875" style="1696" customWidth="1"/>
    <col min="5385" max="5385" width="17.7109375" style="1696" bestFit="1" customWidth="1"/>
    <col min="5386" max="5386" width="18" style="1696" bestFit="1" customWidth="1"/>
    <col min="5387" max="5387" width="19" style="1696" bestFit="1" customWidth="1"/>
    <col min="5388" max="5388" width="17" style="1696" bestFit="1" customWidth="1"/>
    <col min="5389" max="5389" width="15.85546875" style="1696" bestFit="1" customWidth="1"/>
    <col min="5390" max="5391" width="17" style="1696" bestFit="1" customWidth="1"/>
    <col min="5392" max="5392" width="12" style="1696" bestFit="1" customWidth="1"/>
    <col min="5393" max="5632" width="9.140625" style="1696"/>
    <col min="5633" max="5633" width="38.7109375" style="1696" customWidth="1"/>
    <col min="5634" max="5634" width="15.85546875" style="1696" customWidth="1"/>
    <col min="5635" max="5635" width="14.7109375" style="1696" bestFit="1" customWidth="1"/>
    <col min="5636" max="5637" width="15.85546875" style="1696" customWidth="1"/>
    <col min="5638" max="5638" width="12.7109375" style="1696" bestFit="1" customWidth="1"/>
    <col min="5639" max="5640" width="15.85546875" style="1696" customWidth="1"/>
    <col min="5641" max="5641" width="17.7109375" style="1696" bestFit="1" customWidth="1"/>
    <col min="5642" max="5642" width="18" style="1696" bestFit="1" customWidth="1"/>
    <col min="5643" max="5643" width="19" style="1696" bestFit="1" customWidth="1"/>
    <col min="5644" max="5644" width="17" style="1696" bestFit="1" customWidth="1"/>
    <col min="5645" max="5645" width="15.85546875" style="1696" bestFit="1" customWidth="1"/>
    <col min="5646" max="5647" width="17" style="1696" bestFit="1" customWidth="1"/>
    <col min="5648" max="5648" width="12" style="1696" bestFit="1" customWidth="1"/>
    <col min="5649" max="5888" width="9.140625" style="1696"/>
    <col min="5889" max="5889" width="38.7109375" style="1696" customWidth="1"/>
    <col min="5890" max="5890" width="15.85546875" style="1696" customWidth="1"/>
    <col min="5891" max="5891" width="14.7109375" style="1696" bestFit="1" customWidth="1"/>
    <col min="5892" max="5893" width="15.85546875" style="1696" customWidth="1"/>
    <col min="5894" max="5894" width="12.7109375" style="1696" bestFit="1" customWidth="1"/>
    <col min="5895" max="5896" width="15.85546875" style="1696" customWidth="1"/>
    <col min="5897" max="5897" width="17.7109375" style="1696" bestFit="1" customWidth="1"/>
    <col min="5898" max="5898" width="18" style="1696" bestFit="1" customWidth="1"/>
    <col min="5899" max="5899" width="19" style="1696" bestFit="1" customWidth="1"/>
    <col min="5900" max="5900" width="17" style="1696" bestFit="1" customWidth="1"/>
    <col min="5901" max="5901" width="15.85546875" style="1696" bestFit="1" customWidth="1"/>
    <col min="5902" max="5903" width="17" style="1696" bestFit="1" customWidth="1"/>
    <col min="5904" max="5904" width="12" style="1696" bestFit="1" customWidth="1"/>
    <col min="5905" max="6144" width="9.140625" style="1696"/>
    <col min="6145" max="6145" width="38.7109375" style="1696" customWidth="1"/>
    <col min="6146" max="6146" width="15.85546875" style="1696" customWidth="1"/>
    <col min="6147" max="6147" width="14.7109375" style="1696" bestFit="1" customWidth="1"/>
    <col min="6148" max="6149" width="15.85546875" style="1696" customWidth="1"/>
    <col min="6150" max="6150" width="12.7109375" style="1696" bestFit="1" customWidth="1"/>
    <col min="6151" max="6152" width="15.85546875" style="1696" customWidth="1"/>
    <col min="6153" max="6153" width="17.7109375" style="1696" bestFit="1" customWidth="1"/>
    <col min="6154" max="6154" width="18" style="1696" bestFit="1" customWidth="1"/>
    <col min="6155" max="6155" width="19" style="1696" bestFit="1" customWidth="1"/>
    <col min="6156" max="6156" width="17" style="1696" bestFit="1" customWidth="1"/>
    <col min="6157" max="6157" width="15.85546875" style="1696" bestFit="1" customWidth="1"/>
    <col min="6158" max="6159" width="17" style="1696" bestFit="1" customWidth="1"/>
    <col min="6160" max="6160" width="12" style="1696" bestFit="1" customWidth="1"/>
    <col min="6161" max="6400" width="9.140625" style="1696"/>
    <col min="6401" max="6401" width="38.7109375" style="1696" customWidth="1"/>
    <col min="6402" max="6402" width="15.85546875" style="1696" customWidth="1"/>
    <col min="6403" max="6403" width="14.7109375" style="1696" bestFit="1" customWidth="1"/>
    <col min="6404" max="6405" width="15.85546875" style="1696" customWidth="1"/>
    <col min="6406" max="6406" width="12.7109375" style="1696" bestFit="1" customWidth="1"/>
    <col min="6407" max="6408" width="15.85546875" style="1696" customWidth="1"/>
    <col min="6409" max="6409" width="17.7109375" style="1696" bestFit="1" customWidth="1"/>
    <col min="6410" max="6410" width="18" style="1696" bestFit="1" customWidth="1"/>
    <col min="6411" max="6411" width="19" style="1696" bestFit="1" customWidth="1"/>
    <col min="6412" max="6412" width="17" style="1696" bestFit="1" customWidth="1"/>
    <col min="6413" max="6413" width="15.85546875" style="1696" bestFit="1" customWidth="1"/>
    <col min="6414" max="6415" width="17" style="1696" bestFit="1" customWidth="1"/>
    <col min="6416" max="6416" width="12" style="1696" bestFit="1" customWidth="1"/>
    <col min="6417" max="6656" width="9.140625" style="1696"/>
    <col min="6657" max="6657" width="38.7109375" style="1696" customWidth="1"/>
    <col min="6658" max="6658" width="15.85546875" style="1696" customWidth="1"/>
    <col min="6659" max="6659" width="14.7109375" style="1696" bestFit="1" customWidth="1"/>
    <col min="6660" max="6661" width="15.85546875" style="1696" customWidth="1"/>
    <col min="6662" max="6662" width="12.7109375" style="1696" bestFit="1" customWidth="1"/>
    <col min="6663" max="6664" width="15.85546875" style="1696" customWidth="1"/>
    <col min="6665" max="6665" width="17.7109375" style="1696" bestFit="1" customWidth="1"/>
    <col min="6666" max="6666" width="18" style="1696" bestFit="1" customWidth="1"/>
    <col min="6667" max="6667" width="19" style="1696" bestFit="1" customWidth="1"/>
    <col min="6668" max="6668" width="17" style="1696" bestFit="1" customWidth="1"/>
    <col min="6669" max="6669" width="15.85546875" style="1696" bestFit="1" customWidth="1"/>
    <col min="6670" max="6671" width="17" style="1696" bestFit="1" customWidth="1"/>
    <col min="6672" max="6672" width="12" style="1696" bestFit="1" customWidth="1"/>
    <col min="6673" max="6912" width="9.140625" style="1696"/>
    <col min="6913" max="6913" width="38.7109375" style="1696" customWidth="1"/>
    <col min="6914" max="6914" width="15.85546875" style="1696" customWidth="1"/>
    <col min="6915" max="6915" width="14.7109375" style="1696" bestFit="1" customWidth="1"/>
    <col min="6916" max="6917" width="15.85546875" style="1696" customWidth="1"/>
    <col min="6918" max="6918" width="12.7109375" style="1696" bestFit="1" customWidth="1"/>
    <col min="6919" max="6920" width="15.85546875" style="1696" customWidth="1"/>
    <col min="6921" max="6921" width="17.7109375" style="1696" bestFit="1" customWidth="1"/>
    <col min="6922" max="6922" width="18" style="1696" bestFit="1" customWidth="1"/>
    <col min="6923" max="6923" width="19" style="1696" bestFit="1" customWidth="1"/>
    <col min="6924" max="6924" width="17" style="1696" bestFit="1" customWidth="1"/>
    <col min="6925" max="6925" width="15.85546875" style="1696" bestFit="1" customWidth="1"/>
    <col min="6926" max="6927" width="17" style="1696" bestFit="1" customWidth="1"/>
    <col min="6928" max="6928" width="12" style="1696" bestFit="1" customWidth="1"/>
    <col min="6929" max="7168" width="9.140625" style="1696"/>
    <col min="7169" max="7169" width="38.7109375" style="1696" customWidth="1"/>
    <col min="7170" max="7170" width="15.85546875" style="1696" customWidth="1"/>
    <col min="7171" max="7171" width="14.7109375" style="1696" bestFit="1" customWidth="1"/>
    <col min="7172" max="7173" width="15.85546875" style="1696" customWidth="1"/>
    <col min="7174" max="7174" width="12.7109375" style="1696" bestFit="1" customWidth="1"/>
    <col min="7175" max="7176" width="15.85546875" style="1696" customWidth="1"/>
    <col min="7177" max="7177" width="17.7109375" style="1696" bestFit="1" customWidth="1"/>
    <col min="7178" max="7178" width="18" style="1696" bestFit="1" customWidth="1"/>
    <col min="7179" max="7179" width="19" style="1696" bestFit="1" customWidth="1"/>
    <col min="7180" max="7180" width="17" style="1696" bestFit="1" customWidth="1"/>
    <col min="7181" max="7181" width="15.85546875" style="1696" bestFit="1" customWidth="1"/>
    <col min="7182" max="7183" width="17" style="1696" bestFit="1" customWidth="1"/>
    <col min="7184" max="7184" width="12" style="1696" bestFit="1" customWidth="1"/>
    <col min="7185" max="7424" width="9.140625" style="1696"/>
    <col min="7425" max="7425" width="38.7109375" style="1696" customWidth="1"/>
    <col min="7426" max="7426" width="15.85546875" style="1696" customWidth="1"/>
    <col min="7427" max="7427" width="14.7109375" style="1696" bestFit="1" customWidth="1"/>
    <col min="7428" max="7429" width="15.85546875" style="1696" customWidth="1"/>
    <col min="7430" max="7430" width="12.7109375" style="1696" bestFit="1" customWidth="1"/>
    <col min="7431" max="7432" width="15.85546875" style="1696" customWidth="1"/>
    <col min="7433" max="7433" width="17.7109375" style="1696" bestFit="1" customWidth="1"/>
    <col min="7434" max="7434" width="18" style="1696" bestFit="1" customWidth="1"/>
    <col min="7435" max="7435" width="19" style="1696" bestFit="1" customWidth="1"/>
    <col min="7436" max="7436" width="17" style="1696" bestFit="1" customWidth="1"/>
    <col min="7437" max="7437" width="15.85546875" style="1696" bestFit="1" customWidth="1"/>
    <col min="7438" max="7439" width="17" style="1696" bestFit="1" customWidth="1"/>
    <col min="7440" max="7440" width="12" style="1696" bestFit="1" customWidth="1"/>
    <col min="7441" max="7680" width="9.140625" style="1696"/>
    <col min="7681" max="7681" width="38.7109375" style="1696" customWidth="1"/>
    <col min="7682" max="7682" width="15.85546875" style="1696" customWidth="1"/>
    <col min="7683" max="7683" width="14.7109375" style="1696" bestFit="1" customWidth="1"/>
    <col min="7684" max="7685" width="15.85546875" style="1696" customWidth="1"/>
    <col min="7686" max="7686" width="12.7109375" style="1696" bestFit="1" customWidth="1"/>
    <col min="7687" max="7688" width="15.85546875" style="1696" customWidth="1"/>
    <col min="7689" max="7689" width="17.7109375" style="1696" bestFit="1" customWidth="1"/>
    <col min="7690" max="7690" width="18" style="1696" bestFit="1" customWidth="1"/>
    <col min="7691" max="7691" width="19" style="1696" bestFit="1" customWidth="1"/>
    <col min="7692" max="7692" width="17" style="1696" bestFit="1" customWidth="1"/>
    <col min="7693" max="7693" width="15.85546875" style="1696" bestFit="1" customWidth="1"/>
    <col min="7694" max="7695" width="17" style="1696" bestFit="1" customWidth="1"/>
    <col min="7696" max="7696" width="12" style="1696" bestFit="1" customWidth="1"/>
    <col min="7697" max="7936" width="9.140625" style="1696"/>
    <col min="7937" max="7937" width="38.7109375" style="1696" customWidth="1"/>
    <col min="7938" max="7938" width="15.85546875" style="1696" customWidth="1"/>
    <col min="7939" max="7939" width="14.7109375" style="1696" bestFit="1" customWidth="1"/>
    <col min="7940" max="7941" width="15.85546875" style="1696" customWidth="1"/>
    <col min="7942" max="7942" width="12.7109375" style="1696" bestFit="1" customWidth="1"/>
    <col min="7943" max="7944" width="15.85546875" style="1696" customWidth="1"/>
    <col min="7945" max="7945" width="17.7109375" style="1696" bestFit="1" customWidth="1"/>
    <col min="7946" max="7946" width="18" style="1696" bestFit="1" customWidth="1"/>
    <col min="7947" max="7947" width="19" style="1696" bestFit="1" customWidth="1"/>
    <col min="7948" max="7948" width="17" style="1696" bestFit="1" customWidth="1"/>
    <col min="7949" max="7949" width="15.85546875" style="1696" bestFit="1" customWidth="1"/>
    <col min="7950" max="7951" width="17" style="1696" bestFit="1" customWidth="1"/>
    <col min="7952" max="7952" width="12" style="1696" bestFit="1" customWidth="1"/>
    <col min="7953" max="8192" width="9.140625" style="1696"/>
    <col min="8193" max="8193" width="38.7109375" style="1696" customWidth="1"/>
    <col min="8194" max="8194" width="15.85546875" style="1696" customWidth="1"/>
    <col min="8195" max="8195" width="14.7109375" style="1696" bestFit="1" customWidth="1"/>
    <col min="8196" max="8197" width="15.85546875" style="1696" customWidth="1"/>
    <col min="8198" max="8198" width="12.7109375" style="1696" bestFit="1" customWidth="1"/>
    <col min="8199" max="8200" width="15.85546875" style="1696" customWidth="1"/>
    <col min="8201" max="8201" width="17.7109375" style="1696" bestFit="1" customWidth="1"/>
    <col min="8202" max="8202" width="18" style="1696" bestFit="1" customWidth="1"/>
    <col min="8203" max="8203" width="19" style="1696" bestFit="1" customWidth="1"/>
    <col min="8204" max="8204" width="17" style="1696" bestFit="1" customWidth="1"/>
    <col min="8205" max="8205" width="15.85546875" style="1696" bestFit="1" customWidth="1"/>
    <col min="8206" max="8207" width="17" style="1696" bestFit="1" customWidth="1"/>
    <col min="8208" max="8208" width="12" style="1696" bestFit="1" customWidth="1"/>
    <col min="8209" max="8448" width="9.140625" style="1696"/>
    <col min="8449" max="8449" width="38.7109375" style="1696" customWidth="1"/>
    <col min="8450" max="8450" width="15.85546875" style="1696" customWidth="1"/>
    <col min="8451" max="8451" width="14.7109375" style="1696" bestFit="1" customWidth="1"/>
    <col min="8452" max="8453" width="15.85546875" style="1696" customWidth="1"/>
    <col min="8454" max="8454" width="12.7109375" style="1696" bestFit="1" customWidth="1"/>
    <col min="8455" max="8456" width="15.85546875" style="1696" customWidth="1"/>
    <col min="8457" max="8457" width="17.7109375" style="1696" bestFit="1" customWidth="1"/>
    <col min="8458" max="8458" width="18" style="1696" bestFit="1" customWidth="1"/>
    <col min="8459" max="8459" width="19" style="1696" bestFit="1" customWidth="1"/>
    <col min="8460" max="8460" width="17" style="1696" bestFit="1" customWidth="1"/>
    <col min="8461" max="8461" width="15.85546875" style="1696" bestFit="1" customWidth="1"/>
    <col min="8462" max="8463" width="17" style="1696" bestFit="1" customWidth="1"/>
    <col min="8464" max="8464" width="12" style="1696" bestFit="1" customWidth="1"/>
    <col min="8465" max="8704" width="9.140625" style="1696"/>
    <col min="8705" max="8705" width="38.7109375" style="1696" customWidth="1"/>
    <col min="8706" max="8706" width="15.85546875" style="1696" customWidth="1"/>
    <col min="8707" max="8707" width="14.7109375" style="1696" bestFit="1" customWidth="1"/>
    <col min="8708" max="8709" width="15.85546875" style="1696" customWidth="1"/>
    <col min="8710" max="8710" width="12.7109375" style="1696" bestFit="1" customWidth="1"/>
    <col min="8711" max="8712" width="15.85546875" style="1696" customWidth="1"/>
    <col min="8713" max="8713" width="17.7109375" style="1696" bestFit="1" customWidth="1"/>
    <col min="8714" max="8714" width="18" style="1696" bestFit="1" customWidth="1"/>
    <col min="8715" max="8715" width="19" style="1696" bestFit="1" customWidth="1"/>
    <col min="8716" max="8716" width="17" style="1696" bestFit="1" customWidth="1"/>
    <col min="8717" max="8717" width="15.85546875" style="1696" bestFit="1" customWidth="1"/>
    <col min="8718" max="8719" width="17" style="1696" bestFit="1" customWidth="1"/>
    <col min="8720" max="8720" width="12" style="1696" bestFit="1" customWidth="1"/>
    <col min="8721" max="8960" width="9.140625" style="1696"/>
    <col min="8961" max="8961" width="38.7109375" style="1696" customWidth="1"/>
    <col min="8962" max="8962" width="15.85546875" style="1696" customWidth="1"/>
    <col min="8963" max="8963" width="14.7109375" style="1696" bestFit="1" customWidth="1"/>
    <col min="8964" max="8965" width="15.85546875" style="1696" customWidth="1"/>
    <col min="8966" max="8966" width="12.7109375" style="1696" bestFit="1" customWidth="1"/>
    <col min="8967" max="8968" width="15.85546875" style="1696" customWidth="1"/>
    <col min="8969" max="8969" width="17.7109375" style="1696" bestFit="1" customWidth="1"/>
    <col min="8970" max="8970" width="18" style="1696" bestFit="1" customWidth="1"/>
    <col min="8971" max="8971" width="19" style="1696" bestFit="1" customWidth="1"/>
    <col min="8972" max="8972" width="17" style="1696" bestFit="1" customWidth="1"/>
    <col min="8973" max="8973" width="15.85546875" style="1696" bestFit="1" customWidth="1"/>
    <col min="8974" max="8975" width="17" style="1696" bestFit="1" customWidth="1"/>
    <col min="8976" max="8976" width="12" style="1696" bestFit="1" customWidth="1"/>
    <col min="8977" max="9216" width="9.140625" style="1696"/>
    <col min="9217" max="9217" width="38.7109375" style="1696" customWidth="1"/>
    <col min="9218" max="9218" width="15.85546875" style="1696" customWidth="1"/>
    <col min="9219" max="9219" width="14.7109375" style="1696" bestFit="1" customWidth="1"/>
    <col min="9220" max="9221" width="15.85546875" style="1696" customWidth="1"/>
    <col min="9222" max="9222" width="12.7109375" style="1696" bestFit="1" customWidth="1"/>
    <col min="9223" max="9224" width="15.85546875" style="1696" customWidth="1"/>
    <col min="9225" max="9225" width="17.7109375" style="1696" bestFit="1" customWidth="1"/>
    <col min="9226" max="9226" width="18" style="1696" bestFit="1" customWidth="1"/>
    <col min="9227" max="9227" width="19" style="1696" bestFit="1" customWidth="1"/>
    <col min="9228" max="9228" width="17" style="1696" bestFit="1" customWidth="1"/>
    <col min="9229" max="9229" width="15.85546875" style="1696" bestFit="1" customWidth="1"/>
    <col min="9230" max="9231" width="17" style="1696" bestFit="1" customWidth="1"/>
    <col min="9232" max="9232" width="12" style="1696" bestFit="1" customWidth="1"/>
    <col min="9233" max="9472" width="9.140625" style="1696"/>
    <col min="9473" max="9473" width="38.7109375" style="1696" customWidth="1"/>
    <col min="9474" max="9474" width="15.85546875" style="1696" customWidth="1"/>
    <col min="9475" max="9475" width="14.7109375" style="1696" bestFit="1" customWidth="1"/>
    <col min="9476" max="9477" width="15.85546875" style="1696" customWidth="1"/>
    <col min="9478" max="9478" width="12.7109375" style="1696" bestFit="1" customWidth="1"/>
    <col min="9479" max="9480" width="15.85546875" style="1696" customWidth="1"/>
    <col min="9481" max="9481" width="17.7109375" style="1696" bestFit="1" customWidth="1"/>
    <col min="9482" max="9482" width="18" style="1696" bestFit="1" customWidth="1"/>
    <col min="9483" max="9483" width="19" style="1696" bestFit="1" customWidth="1"/>
    <col min="9484" max="9484" width="17" style="1696" bestFit="1" customWidth="1"/>
    <col min="9485" max="9485" width="15.85546875" style="1696" bestFit="1" customWidth="1"/>
    <col min="9486" max="9487" width="17" style="1696" bestFit="1" customWidth="1"/>
    <col min="9488" max="9488" width="12" style="1696" bestFit="1" customWidth="1"/>
    <col min="9489" max="9728" width="9.140625" style="1696"/>
    <col min="9729" max="9729" width="38.7109375" style="1696" customWidth="1"/>
    <col min="9730" max="9730" width="15.85546875" style="1696" customWidth="1"/>
    <col min="9731" max="9731" width="14.7109375" style="1696" bestFit="1" customWidth="1"/>
    <col min="9732" max="9733" width="15.85546875" style="1696" customWidth="1"/>
    <col min="9734" max="9734" width="12.7109375" style="1696" bestFit="1" customWidth="1"/>
    <col min="9735" max="9736" width="15.85546875" style="1696" customWidth="1"/>
    <col min="9737" max="9737" width="17.7109375" style="1696" bestFit="1" customWidth="1"/>
    <col min="9738" max="9738" width="18" style="1696" bestFit="1" customWidth="1"/>
    <col min="9739" max="9739" width="19" style="1696" bestFit="1" customWidth="1"/>
    <col min="9740" max="9740" width="17" style="1696" bestFit="1" customWidth="1"/>
    <col min="9741" max="9741" width="15.85546875" style="1696" bestFit="1" customWidth="1"/>
    <col min="9742" max="9743" width="17" style="1696" bestFit="1" customWidth="1"/>
    <col min="9744" max="9744" width="12" style="1696" bestFit="1" customWidth="1"/>
    <col min="9745" max="9984" width="9.140625" style="1696"/>
    <col min="9985" max="9985" width="38.7109375" style="1696" customWidth="1"/>
    <col min="9986" max="9986" width="15.85546875" style="1696" customWidth="1"/>
    <col min="9987" max="9987" width="14.7109375" style="1696" bestFit="1" customWidth="1"/>
    <col min="9988" max="9989" width="15.85546875" style="1696" customWidth="1"/>
    <col min="9990" max="9990" width="12.7109375" style="1696" bestFit="1" customWidth="1"/>
    <col min="9991" max="9992" width="15.85546875" style="1696" customWidth="1"/>
    <col min="9993" max="9993" width="17.7109375" style="1696" bestFit="1" customWidth="1"/>
    <col min="9994" max="9994" width="18" style="1696" bestFit="1" customWidth="1"/>
    <col min="9995" max="9995" width="19" style="1696" bestFit="1" customWidth="1"/>
    <col min="9996" max="9996" width="17" style="1696" bestFit="1" customWidth="1"/>
    <col min="9997" max="9997" width="15.85546875" style="1696" bestFit="1" customWidth="1"/>
    <col min="9998" max="9999" width="17" style="1696" bestFit="1" customWidth="1"/>
    <col min="10000" max="10000" width="12" style="1696" bestFit="1" customWidth="1"/>
    <col min="10001" max="10240" width="9.140625" style="1696"/>
    <col min="10241" max="10241" width="38.7109375" style="1696" customWidth="1"/>
    <col min="10242" max="10242" width="15.85546875" style="1696" customWidth="1"/>
    <col min="10243" max="10243" width="14.7109375" style="1696" bestFit="1" customWidth="1"/>
    <col min="10244" max="10245" width="15.85546875" style="1696" customWidth="1"/>
    <col min="10246" max="10246" width="12.7109375" style="1696" bestFit="1" customWidth="1"/>
    <col min="10247" max="10248" width="15.85546875" style="1696" customWidth="1"/>
    <col min="10249" max="10249" width="17.7109375" style="1696" bestFit="1" customWidth="1"/>
    <col min="10250" max="10250" width="18" style="1696" bestFit="1" customWidth="1"/>
    <col min="10251" max="10251" width="19" style="1696" bestFit="1" customWidth="1"/>
    <col min="10252" max="10252" width="17" style="1696" bestFit="1" customWidth="1"/>
    <col min="10253" max="10253" width="15.85546875" style="1696" bestFit="1" customWidth="1"/>
    <col min="10254" max="10255" width="17" style="1696" bestFit="1" customWidth="1"/>
    <col min="10256" max="10256" width="12" style="1696" bestFit="1" customWidth="1"/>
    <col min="10257" max="10496" width="9.140625" style="1696"/>
    <col min="10497" max="10497" width="38.7109375" style="1696" customWidth="1"/>
    <col min="10498" max="10498" width="15.85546875" style="1696" customWidth="1"/>
    <col min="10499" max="10499" width="14.7109375" style="1696" bestFit="1" customWidth="1"/>
    <col min="10500" max="10501" width="15.85546875" style="1696" customWidth="1"/>
    <col min="10502" max="10502" width="12.7109375" style="1696" bestFit="1" customWidth="1"/>
    <col min="10503" max="10504" width="15.85546875" style="1696" customWidth="1"/>
    <col min="10505" max="10505" width="17.7109375" style="1696" bestFit="1" customWidth="1"/>
    <col min="10506" max="10506" width="18" style="1696" bestFit="1" customWidth="1"/>
    <col min="10507" max="10507" width="19" style="1696" bestFit="1" customWidth="1"/>
    <col min="10508" max="10508" width="17" style="1696" bestFit="1" customWidth="1"/>
    <col min="10509" max="10509" width="15.85546875" style="1696" bestFit="1" customWidth="1"/>
    <col min="10510" max="10511" width="17" style="1696" bestFit="1" customWidth="1"/>
    <col min="10512" max="10512" width="12" style="1696" bestFit="1" customWidth="1"/>
    <col min="10513" max="10752" width="9.140625" style="1696"/>
    <col min="10753" max="10753" width="38.7109375" style="1696" customWidth="1"/>
    <col min="10754" max="10754" width="15.85546875" style="1696" customWidth="1"/>
    <col min="10755" max="10755" width="14.7109375" style="1696" bestFit="1" customWidth="1"/>
    <col min="10756" max="10757" width="15.85546875" style="1696" customWidth="1"/>
    <col min="10758" max="10758" width="12.7109375" style="1696" bestFit="1" customWidth="1"/>
    <col min="10759" max="10760" width="15.85546875" style="1696" customWidth="1"/>
    <col min="10761" max="10761" width="17.7109375" style="1696" bestFit="1" customWidth="1"/>
    <col min="10762" max="10762" width="18" style="1696" bestFit="1" customWidth="1"/>
    <col min="10763" max="10763" width="19" style="1696" bestFit="1" customWidth="1"/>
    <col min="10764" max="10764" width="17" style="1696" bestFit="1" customWidth="1"/>
    <col min="10765" max="10765" width="15.85546875" style="1696" bestFit="1" customWidth="1"/>
    <col min="10766" max="10767" width="17" style="1696" bestFit="1" customWidth="1"/>
    <col min="10768" max="10768" width="12" style="1696" bestFit="1" customWidth="1"/>
    <col min="10769" max="11008" width="9.140625" style="1696"/>
    <col min="11009" max="11009" width="38.7109375" style="1696" customWidth="1"/>
    <col min="11010" max="11010" width="15.85546875" style="1696" customWidth="1"/>
    <col min="11011" max="11011" width="14.7109375" style="1696" bestFit="1" customWidth="1"/>
    <col min="11012" max="11013" width="15.85546875" style="1696" customWidth="1"/>
    <col min="11014" max="11014" width="12.7109375" style="1696" bestFit="1" customWidth="1"/>
    <col min="11015" max="11016" width="15.85546875" style="1696" customWidth="1"/>
    <col min="11017" max="11017" width="17.7109375" style="1696" bestFit="1" customWidth="1"/>
    <col min="11018" max="11018" width="18" style="1696" bestFit="1" customWidth="1"/>
    <col min="11019" max="11019" width="19" style="1696" bestFit="1" customWidth="1"/>
    <col min="11020" max="11020" width="17" style="1696" bestFit="1" customWidth="1"/>
    <col min="11021" max="11021" width="15.85546875" style="1696" bestFit="1" customWidth="1"/>
    <col min="11022" max="11023" width="17" style="1696" bestFit="1" customWidth="1"/>
    <col min="11024" max="11024" width="12" style="1696" bestFit="1" customWidth="1"/>
    <col min="11025" max="11264" width="9.140625" style="1696"/>
    <col min="11265" max="11265" width="38.7109375" style="1696" customWidth="1"/>
    <col min="11266" max="11266" width="15.85546875" style="1696" customWidth="1"/>
    <col min="11267" max="11267" width="14.7109375" style="1696" bestFit="1" customWidth="1"/>
    <col min="11268" max="11269" width="15.85546875" style="1696" customWidth="1"/>
    <col min="11270" max="11270" width="12.7109375" style="1696" bestFit="1" customWidth="1"/>
    <col min="11271" max="11272" width="15.85546875" style="1696" customWidth="1"/>
    <col min="11273" max="11273" width="17.7109375" style="1696" bestFit="1" customWidth="1"/>
    <col min="11274" max="11274" width="18" style="1696" bestFit="1" customWidth="1"/>
    <col min="11275" max="11275" width="19" style="1696" bestFit="1" customWidth="1"/>
    <col min="11276" max="11276" width="17" style="1696" bestFit="1" customWidth="1"/>
    <col min="11277" max="11277" width="15.85546875" style="1696" bestFit="1" customWidth="1"/>
    <col min="11278" max="11279" width="17" style="1696" bestFit="1" customWidth="1"/>
    <col min="11280" max="11280" width="12" style="1696" bestFit="1" customWidth="1"/>
    <col min="11281" max="11520" width="9.140625" style="1696"/>
    <col min="11521" max="11521" width="38.7109375" style="1696" customWidth="1"/>
    <col min="11522" max="11522" width="15.85546875" style="1696" customWidth="1"/>
    <col min="11523" max="11523" width="14.7109375" style="1696" bestFit="1" customWidth="1"/>
    <col min="11524" max="11525" width="15.85546875" style="1696" customWidth="1"/>
    <col min="11526" max="11526" width="12.7109375" style="1696" bestFit="1" customWidth="1"/>
    <col min="11527" max="11528" width="15.85546875" style="1696" customWidth="1"/>
    <col min="11529" max="11529" width="17.7109375" style="1696" bestFit="1" customWidth="1"/>
    <col min="11530" max="11530" width="18" style="1696" bestFit="1" customWidth="1"/>
    <col min="11531" max="11531" width="19" style="1696" bestFit="1" customWidth="1"/>
    <col min="11532" max="11532" width="17" style="1696" bestFit="1" customWidth="1"/>
    <col min="11533" max="11533" width="15.85546875" style="1696" bestFit="1" customWidth="1"/>
    <col min="11534" max="11535" width="17" style="1696" bestFit="1" customWidth="1"/>
    <col min="11536" max="11536" width="12" style="1696" bestFit="1" customWidth="1"/>
    <col min="11537" max="11776" width="9.140625" style="1696"/>
    <col min="11777" max="11777" width="38.7109375" style="1696" customWidth="1"/>
    <col min="11778" max="11778" width="15.85546875" style="1696" customWidth="1"/>
    <col min="11779" max="11779" width="14.7109375" style="1696" bestFit="1" customWidth="1"/>
    <col min="11780" max="11781" width="15.85546875" style="1696" customWidth="1"/>
    <col min="11782" max="11782" width="12.7109375" style="1696" bestFit="1" customWidth="1"/>
    <col min="11783" max="11784" width="15.85546875" style="1696" customWidth="1"/>
    <col min="11785" max="11785" width="17.7109375" style="1696" bestFit="1" customWidth="1"/>
    <col min="11786" max="11786" width="18" style="1696" bestFit="1" customWidth="1"/>
    <col min="11787" max="11787" width="19" style="1696" bestFit="1" customWidth="1"/>
    <col min="11788" max="11788" width="17" style="1696" bestFit="1" customWidth="1"/>
    <col min="11789" max="11789" width="15.85546875" style="1696" bestFit="1" customWidth="1"/>
    <col min="11790" max="11791" width="17" style="1696" bestFit="1" customWidth="1"/>
    <col min="11792" max="11792" width="12" style="1696" bestFit="1" customWidth="1"/>
    <col min="11793" max="12032" width="9.140625" style="1696"/>
    <col min="12033" max="12033" width="38.7109375" style="1696" customWidth="1"/>
    <col min="12034" max="12034" width="15.85546875" style="1696" customWidth="1"/>
    <col min="12035" max="12035" width="14.7109375" style="1696" bestFit="1" customWidth="1"/>
    <col min="12036" max="12037" width="15.85546875" style="1696" customWidth="1"/>
    <col min="12038" max="12038" width="12.7109375" style="1696" bestFit="1" customWidth="1"/>
    <col min="12039" max="12040" width="15.85546875" style="1696" customWidth="1"/>
    <col min="12041" max="12041" width="17.7109375" style="1696" bestFit="1" customWidth="1"/>
    <col min="12042" max="12042" width="18" style="1696" bestFit="1" customWidth="1"/>
    <col min="12043" max="12043" width="19" style="1696" bestFit="1" customWidth="1"/>
    <col min="12044" max="12044" width="17" style="1696" bestFit="1" customWidth="1"/>
    <col min="12045" max="12045" width="15.85546875" style="1696" bestFit="1" customWidth="1"/>
    <col min="12046" max="12047" width="17" style="1696" bestFit="1" customWidth="1"/>
    <col min="12048" max="12048" width="12" style="1696" bestFit="1" customWidth="1"/>
    <col min="12049" max="12288" width="9.140625" style="1696"/>
    <col min="12289" max="12289" width="38.7109375" style="1696" customWidth="1"/>
    <col min="12290" max="12290" width="15.85546875" style="1696" customWidth="1"/>
    <col min="12291" max="12291" width="14.7109375" style="1696" bestFit="1" customWidth="1"/>
    <col min="12292" max="12293" width="15.85546875" style="1696" customWidth="1"/>
    <col min="12294" max="12294" width="12.7109375" style="1696" bestFit="1" customWidth="1"/>
    <col min="12295" max="12296" width="15.85546875" style="1696" customWidth="1"/>
    <col min="12297" max="12297" width="17.7109375" style="1696" bestFit="1" customWidth="1"/>
    <col min="12298" max="12298" width="18" style="1696" bestFit="1" customWidth="1"/>
    <col min="12299" max="12299" width="19" style="1696" bestFit="1" customWidth="1"/>
    <col min="12300" max="12300" width="17" style="1696" bestFit="1" customWidth="1"/>
    <col min="12301" max="12301" width="15.85546875" style="1696" bestFit="1" customWidth="1"/>
    <col min="12302" max="12303" width="17" style="1696" bestFit="1" customWidth="1"/>
    <col min="12304" max="12304" width="12" style="1696" bestFit="1" customWidth="1"/>
    <col min="12305" max="12544" width="9.140625" style="1696"/>
    <col min="12545" max="12545" width="38.7109375" style="1696" customWidth="1"/>
    <col min="12546" max="12546" width="15.85546875" style="1696" customWidth="1"/>
    <col min="12547" max="12547" width="14.7109375" style="1696" bestFit="1" customWidth="1"/>
    <col min="12548" max="12549" width="15.85546875" style="1696" customWidth="1"/>
    <col min="12550" max="12550" width="12.7109375" style="1696" bestFit="1" customWidth="1"/>
    <col min="12551" max="12552" width="15.85546875" style="1696" customWidth="1"/>
    <col min="12553" max="12553" width="17.7109375" style="1696" bestFit="1" customWidth="1"/>
    <col min="12554" max="12554" width="18" style="1696" bestFit="1" customWidth="1"/>
    <col min="12555" max="12555" width="19" style="1696" bestFit="1" customWidth="1"/>
    <col min="12556" max="12556" width="17" style="1696" bestFit="1" customWidth="1"/>
    <col min="12557" max="12557" width="15.85546875" style="1696" bestFit="1" customWidth="1"/>
    <col min="12558" max="12559" width="17" style="1696" bestFit="1" customWidth="1"/>
    <col min="12560" max="12560" width="12" style="1696" bestFit="1" customWidth="1"/>
    <col min="12561" max="12800" width="9.140625" style="1696"/>
    <col min="12801" max="12801" width="38.7109375" style="1696" customWidth="1"/>
    <col min="12802" max="12802" width="15.85546875" style="1696" customWidth="1"/>
    <col min="12803" max="12803" width="14.7109375" style="1696" bestFit="1" customWidth="1"/>
    <col min="12804" max="12805" width="15.85546875" style="1696" customWidth="1"/>
    <col min="12806" max="12806" width="12.7109375" style="1696" bestFit="1" customWidth="1"/>
    <col min="12807" max="12808" width="15.85546875" style="1696" customWidth="1"/>
    <col min="12809" max="12809" width="17.7109375" style="1696" bestFit="1" customWidth="1"/>
    <col min="12810" max="12810" width="18" style="1696" bestFit="1" customWidth="1"/>
    <col min="12811" max="12811" width="19" style="1696" bestFit="1" customWidth="1"/>
    <col min="12812" max="12812" width="17" style="1696" bestFit="1" customWidth="1"/>
    <col min="12813" max="12813" width="15.85546875" style="1696" bestFit="1" customWidth="1"/>
    <col min="12814" max="12815" width="17" style="1696" bestFit="1" customWidth="1"/>
    <col min="12816" max="12816" width="12" style="1696" bestFit="1" customWidth="1"/>
    <col min="12817" max="13056" width="9.140625" style="1696"/>
    <col min="13057" max="13057" width="38.7109375" style="1696" customWidth="1"/>
    <col min="13058" max="13058" width="15.85546875" style="1696" customWidth="1"/>
    <col min="13059" max="13059" width="14.7109375" style="1696" bestFit="1" customWidth="1"/>
    <col min="13060" max="13061" width="15.85546875" style="1696" customWidth="1"/>
    <col min="13062" max="13062" width="12.7109375" style="1696" bestFit="1" customWidth="1"/>
    <col min="13063" max="13064" width="15.85546875" style="1696" customWidth="1"/>
    <col min="13065" max="13065" width="17.7109375" style="1696" bestFit="1" customWidth="1"/>
    <col min="13066" max="13066" width="18" style="1696" bestFit="1" customWidth="1"/>
    <col min="13067" max="13067" width="19" style="1696" bestFit="1" customWidth="1"/>
    <col min="13068" max="13068" width="17" style="1696" bestFit="1" customWidth="1"/>
    <col min="13069" max="13069" width="15.85546875" style="1696" bestFit="1" customWidth="1"/>
    <col min="13070" max="13071" width="17" style="1696" bestFit="1" customWidth="1"/>
    <col min="13072" max="13072" width="12" style="1696" bestFit="1" customWidth="1"/>
    <col min="13073" max="13312" width="9.140625" style="1696"/>
    <col min="13313" max="13313" width="38.7109375" style="1696" customWidth="1"/>
    <col min="13314" max="13314" width="15.85546875" style="1696" customWidth="1"/>
    <col min="13315" max="13315" width="14.7109375" style="1696" bestFit="1" customWidth="1"/>
    <col min="13316" max="13317" width="15.85546875" style="1696" customWidth="1"/>
    <col min="13318" max="13318" width="12.7109375" style="1696" bestFit="1" customWidth="1"/>
    <col min="13319" max="13320" width="15.85546875" style="1696" customWidth="1"/>
    <col min="13321" max="13321" width="17.7109375" style="1696" bestFit="1" customWidth="1"/>
    <col min="13322" max="13322" width="18" style="1696" bestFit="1" customWidth="1"/>
    <col min="13323" max="13323" width="19" style="1696" bestFit="1" customWidth="1"/>
    <col min="13324" max="13324" width="17" style="1696" bestFit="1" customWidth="1"/>
    <col min="13325" max="13325" width="15.85546875" style="1696" bestFit="1" customWidth="1"/>
    <col min="13326" max="13327" width="17" style="1696" bestFit="1" customWidth="1"/>
    <col min="13328" max="13328" width="12" style="1696" bestFit="1" customWidth="1"/>
    <col min="13329" max="13568" width="9.140625" style="1696"/>
    <col min="13569" max="13569" width="38.7109375" style="1696" customWidth="1"/>
    <col min="13570" max="13570" width="15.85546875" style="1696" customWidth="1"/>
    <col min="13571" max="13571" width="14.7109375" style="1696" bestFit="1" customWidth="1"/>
    <col min="13572" max="13573" width="15.85546875" style="1696" customWidth="1"/>
    <col min="13574" max="13574" width="12.7109375" style="1696" bestFit="1" customWidth="1"/>
    <col min="13575" max="13576" width="15.85546875" style="1696" customWidth="1"/>
    <col min="13577" max="13577" width="17.7109375" style="1696" bestFit="1" customWidth="1"/>
    <col min="13578" max="13578" width="18" style="1696" bestFit="1" customWidth="1"/>
    <col min="13579" max="13579" width="19" style="1696" bestFit="1" customWidth="1"/>
    <col min="13580" max="13580" width="17" style="1696" bestFit="1" customWidth="1"/>
    <col min="13581" max="13581" width="15.85546875" style="1696" bestFit="1" customWidth="1"/>
    <col min="13582" max="13583" width="17" style="1696" bestFit="1" customWidth="1"/>
    <col min="13584" max="13584" width="12" style="1696" bestFit="1" customWidth="1"/>
    <col min="13585" max="13824" width="9.140625" style="1696"/>
    <col min="13825" max="13825" width="38.7109375" style="1696" customWidth="1"/>
    <col min="13826" max="13826" width="15.85546875" style="1696" customWidth="1"/>
    <col min="13827" max="13827" width="14.7109375" style="1696" bestFit="1" customWidth="1"/>
    <col min="13828" max="13829" width="15.85546875" style="1696" customWidth="1"/>
    <col min="13830" max="13830" width="12.7109375" style="1696" bestFit="1" customWidth="1"/>
    <col min="13831" max="13832" width="15.85546875" style="1696" customWidth="1"/>
    <col min="13833" max="13833" width="17.7109375" style="1696" bestFit="1" customWidth="1"/>
    <col min="13834" max="13834" width="18" style="1696" bestFit="1" customWidth="1"/>
    <col min="13835" max="13835" width="19" style="1696" bestFit="1" customWidth="1"/>
    <col min="13836" max="13836" width="17" style="1696" bestFit="1" customWidth="1"/>
    <col min="13837" max="13837" width="15.85546875" style="1696" bestFit="1" customWidth="1"/>
    <col min="13838" max="13839" width="17" style="1696" bestFit="1" customWidth="1"/>
    <col min="13840" max="13840" width="12" style="1696" bestFit="1" customWidth="1"/>
    <col min="13841" max="14080" width="9.140625" style="1696"/>
    <col min="14081" max="14081" width="38.7109375" style="1696" customWidth="1"/>
    <col min="14082" max="14082" width="15.85546875" style="1696" customWidth="1"/>
    <col min="14083" max="14083" width="14.7109375" style="1696" bestFit="1" customWidth="1"/>
    <col min="14084" max="14085" width="15.85546875" style="1696" customWidth="1"/>
    <col min="14086" max="14086" width="12.7109375" style="1696" bestFit="1" customWidth="1"/>
    <col min="14087" max="14088" width="15.85546875" style="1696" customWidth="1"/>
    <col min="14089" max="14089" width="17.7109375" style="1696" bestFit="1" customWidth="1"/>
    <col min="14090" max="14090" width="18" style="1696" bestFit="1" customWidth="1"/>
    <col min="14091" max="14091" width="19" style="1696" bestFit="1" customWidth="1"/>
    <col min="14092" max="14092" width="17" style="1696" bestFit="1" customWidth="1"/>
    <col min="14093" max="14093" width="15.85546875" style="1696" bestFit="1" customWidth="1"/>
    <col min="14094" max="14095" width="17" style="1696" bestFit="1" customWidth="1"/>
    <col min="14096" max="14096" width="12" style="1696" bestFit="1" customWidth="1"/>
    <col min="14097" max="14336" width="9.140625" style="1696"/>
    <col min="14337" max="14337" width="38.7109375" style="1696" customWidth="1"/>
    <col min="14338" max="14338" width="15.85546875" style="1696" customWidth="1"/>
    <col min="14339" max="14339" width="14.7109375" style="1696" bestFit="1" customWidth="1"/>
    <col min="14340" max="14341" width="15.85546875" style="1696" customWidth="1"/>
    <col min="14342" max="14342" width="12.7109375" style="1696" bestFit="1" customWidth="1"/>
    <col min="14343" max="14344" width="15.85546875" style="1696" customWidth="1"/>
    <col min="14345" max="14345" width="17.7109375" style="1696" bestFit="1" customWidth="1"/>
    <col min="14346" max="14346" width="18" style="1696" bestFit="1" customWidth="1"/>
    <col min="14347" max="14347" width="19" style="1696" bestFit="1" customWidth="1"/>
    <col min="14348" max="14348" width="17" style="1696" bestFit="1" customWidth="1"/>
    <col min="14349" max="14349" width="15.85546875" style="1696" bestFit="1" customWidth="1"/>
    <col min="14350" max="14351" width="17" style="1696" bestFit="1" customWidth="1"/>
    <col min="14352" max="14352" width="12" style="1696" bestFit="1" customWidth="1"/>
    <col min="14353" max="14592" width="9.140625" style="1696"/>
    <col min="14593" max="14593" width="38.7109375" style="1696" customWidth="1"/>
    <col min="14594" max="14594" width="15.85546875" style="1696" customWidth="1"/>
    <col min="14595" max="14595" width="14.7109375" style="1696" bestFit="1" customWidth="1"/>
    <col min="14596" max="14597" width="15.85546875" style="1696" customWidth="1"/>
    <col min="14598" max="14598" width="12.7109375" style="1696" bestFit="1" customWidth="1"/>
    <col min="14599" max="14600" width="15.85546875" style="1696" customWidth="1"/>
    <col min="14601" max="14601" width="17.7109375" style="1696" bestFit="1" customWidth="1"/>
    <col min="14602" max="14602" width="18" style="1696" bestFit="1" customWidth="1"/>
    <col min="14603" max="14603" width="19" style="1696" bestFit="1" customWidth="1"/>
    <col min="14604" max="14604" width="17" style="1696" bestFit="1" customWidth="1"/>
    <col min="14605" max="14605" width="15.85546875" style="1696" bestFit="1" customWidth="1"/>
    <col min="14606" max="14607" width="17" style="1696" bestFit="1" customWidth="1"/>
    <col min="14608" max="14608" width="12" style="1696" bestFit="1" customWidth="1"/>
    <col min="14609" max="14848" width="9.140625" style="1696"/>
    <col min="14849" max="14849" width="38.7109375" style="1696" customWidth="1"/>
    <col min="14850" max="14850" width="15.85546875" style="1696" customWidth="1"/>
    <col min="14851" max="14851" width="14.7109375" style="1696" bestFit="1" customWidth="1"/>
    <col min="14852" max="14853" width="15.85546875" style="1696" customWidth="1"/>
    <col min="14854" max="14854" width="12.7109375" style="1696" bestFit="1" customWidth="1"/>
    <col min="14855" max="14856" width="15.85546875" style="1696" customWidth="1"/>
    <col min="14857" max="14857" width="17.7109375" style="1696" bestFit="1" customWidth="1"/>
    <col min="14858" max="14858" width="18" style="1696" bestFit="1" customWidth="1"/>
    <col min="14859" max="14859" width="19" style="1696" bestFit="1" customWidth="1"/>
    <col min="14860" max="14860" width="17" style="1696" bestFit="1" customWidth="1"/>
    <col min="14861" max="14861" width="15.85546875" style="1696" bestFit="1" customWidth="1"/>
    <col min="14862" max="14863" width="17" style="1696" bestFit="1" customWidth="1"/>
    <col min="14864" max="14864" width="12" style="1696" bestFit="1" customWidth="1"/>
    <col min="14865" max="15104" width="9.140625" style="1696"/>
    <col min="15105" max="15105" width="38.7109375" style="1696" customWidth="1"/>
    <col min="15106" max="15106" width="15.85546875" style="1696" customWidth="1"/>
    <col min="15107" max="15107" width="14.7109375" style="1696" bestFit="1" customWidth="1"/>
    <col min="15108" max="15109" width="15.85546875" style="1696" customWidth="1"/>
    <col min="15110" max="15110" width="12.7109375" style="1696" bestFit="1" customWidth="1"/>
    <col min="15111" max="15112" width="15.85546875" style="1696" customWidth="1"/>
    <col min="15113" max="15113" width="17.7109375" style="1696" bestFit="1" customWidth="1"/>
    <col min="15114" max="15114" width="18" style="1696" bestFit="1" customWidth="1"/>
    <col min="15115" max="15115" width="19" style="1696" bestFit="1" customWidth="1"/>
    <col min="15116" max="15116" width="17" style="1696" bestFit="1" customWidth="1"/>
    <col min="15117" max="15117" width="15.85546875" style="1696" bestFit="1" customWidth="1"/>
    <col min="15118" max="15119" width="17" style="1696" bestFit="1" customWidth="1"/>
    <col min="15120" max="15120" width="12" style="1696" bestFit="1" customWidth="1"/>
    <col min="15121" max="15360" width="9.140625" style="1696"/>
    <col min="15361" max="15361" width="38.7109375" style="1696" customWidth="1"/>
    <col min="15362" max="15362" width="15.85546875" style="1696" customWidth="1"/>
    <col min="15363" max="15363" width="14.7109375" style="1696" bestFit="1" customWidth="1"/>
    <col min="15364" max="15365" width="15.85546875" style="1696" customWidth="1"/>
    <col min="15366" max="15366" width="12.7109375" style="1696" bestFit="1" customWidth="1"/>
    <col min="15367" max="15368" width="15.85546875" style="1696" customWidth="1"/>
    <col min="15369" max="15369" width="17.7109375" style="1696" bestFit="1" customWidth="1"/>
    <col min="15370" max="15370" width="18" style="1696" bestFit="1" customWidth="1"/>
    <col min="15371" max="15371" width="19" style="1696" bestFit="1" customWidth="1"/>
    <col min="15372" max="15372" width="17" style="1696" bestFit="1" customWidth="1"/>
    <col min="15373" max="15373" width="15.85546875" style="1696" bestFit="1" customWidth="1"/>
    <col min="15374" max="15375" width="17" style="1696" bestFit="1" customWidth="1"/>
    <col min="15376" max="15376" width="12" style="1696" bestFit="1" customWidth="1"/>
    <col min="15377" max="15616" width="9.140625" style="1696"/>
    <col min="15617" max="15617" width="38.7109375" style="1696" customWidth="1"/>
    <col min="15618" max="15618" width="15.85546875" style="1696" customWidth="1"/>
    <col min="15619" max="15619" width="14.7109375" style="1696" bestFit="1" customWidth="1"/>
    <col min="15620" max="15621" width="15.85546875" style="1696" customWidth="1"/>
    <col min="15622" max="15622" width="12.7109375" style="1696" bestFit="1" customWidth="1"/>
    <col min="15623" max="15624" width="15.85546875" style="1696" customWidth="1"/>
    <col min="15625" max="15625" width="17.7109375" style="1696" bestFit="1" customWidth="1"/>
    <col min="15626" max="15626" width="18" style="1696" bestFit="1" customWidth="1"/>
    <col min="15627" max="15627" width="19" style="1696" bestFit="1" customWidth="1"/>
    <col min="15628" max="15628" width="17" style="1696" bestFit="1" customWidth="1"/>
    <col min="15629" max="15629" width="15.85546875" style="1696" bestFit="1" customWidth="1"/>
    <col min="15630" max="15631" width="17" style="1696" bestFit="1" customWidth="1"/>
    <col min="15632" max="15632" width="12" style="1696" bestFit="1" customWidth="1"/>
    <col min="15633" max="15872" width="9.140625" style="1696"/>
    <col min="15873" max="15873" width="38.7109375" style="1696" customWidth="1"/>
    <col min="15874" max="15874" width="15.85546875" style="1696" customWidth="1"/>
    <col min="15875" max="15875" width="14.7109375" style="1696" bestFit="1" customWidth="1"/>
    <col min="15876" max="15877" width="15.85546875" style="1696" customWidth="1"/>
    <col min="15878" max="15878" width="12.7109375" style="1696" bestFit="1" customWidth="1"/>
    <col min="15879" max="15880" width="15.85546875" style="1696" customWidth="1"/>
    <col min="15881" max="15881" width="17.7109375" style="1696" bestFit="1" customWidth="1"/>
    <col min="15882" max="15882" width="18" style="1696" bestFit="1" customWidth="1"/>
    <col min="15883" max="15883" width="19" style="1696" bestFit="1" customWidth="1"/>
    <col min="15884" max="15884" width="17" style="1696" bestFit="1" customWidth="1"/>
    <col min="15885" max="15885" width="15.85546875" style="1696" bestFit="1" customWidth="1"/>
    <col min="15886" max="15887" width="17" style="1696" bestFit="1" customWidth="1"/>
    <col min="15888" max="15888" width="12" style="1696" bestFit="1" customWidth="1"/>
    <col min="15889" max="16128" width="9.140625" style="1696"/>
    <col min="16129" max="16129" width="38.7109375" style="1696" customWidth="1"/>
    <col min="16130" max="16130" width="15.85546875" style="1696" customWidth="1"/>
    <col min="16131" max="16131" width="14.7109375" style="1696" bestFit="1" customWidth="1"/>
    <col min="16132" max="16133" width="15.85546875" style="1696" customWidth="1"/>
    <col min="16134" max="16134" width="12.7109375" style="1696" bestFit="1" customWidth="1"/>
    <col min="16135" max="16136" width="15.85546875" style="1696" customWidth="1"/>
    <col min="16137" max="16137" width="17.7109375" style="1696" bestFit="1" customWidth="1"/>
    <col min="16138" max="16138" width="18" style="1696" bestFit="1" customWidth="1"/>
    <col min="16139" max="16139" width="19" style="1696" bestFit="1" customWidth="1"/>
    <col min="16140" max="16140" width="17" style="1696" bestFit="1" customWidth="1"/>
    <col min="16141" max="16141" width="15.85546875" style="1696" bestFit="1" customWidth="1"/>
    <col min="16142" max="16143" width="17" style="1696" bestFit="1" customWidth="1"/>
    <col min="16144" max="16144" width="12" style="1696" bestFit="1" customWidth="1"/>
    <col min="16145" max="16384" width="9.140625" style="1696"/>
  </cols>
  <sheetData>
    <row r="1" spans="1:15" s="1749" customFormat="1" ht="18.75">
      <c r="A1" s="1746" t="s">
        <v>2714</v>
      </c>
      <c r="B1" s="1747"/>
      <c r="C1" s="1747"/>
      <c r="D1" s="1747"/>
      <c r="E1" s="1747"/>
      <c r="F1" s="1747"/>
      <c r="G1" s="1747"/>
      <c r="H1" s="1747"/>
      <c r="I1" s="1748"/>
      <c r="J1" s="1748"/>
      <c r="K1" s="1748"/>
      <c r="L1" s="1748"/>
      <c r="M1" s="1748"/>
      <c r="N1" s="1748"/>
      <c r="O1" s="1748"/>
    </row>
    <row r="2" spans="1:15" hidden="1"/>
    <row r="3" spans="1:15" hidden="1">
      <c r="A3" s="1750"/>
      <c r="B3" s="1751"/>
      <c r="C3" s="1751"/>
      <c r="D3" s="1751"/>
      <c r="E3" s="1751"/>
      <c r="F3" s="1751"/>
      <c r="G3" s="1751"/>
      <c r="H3" s="1751"/>
      <c r="I3" s="1752"/>
      <c r="J3" s="1752"/>
      <c r="K3" s="1752"/>
      <c r="L3" s="1752"/>
      <c r="M3" s="1752"/>
      <c r="N3" s="1752"/>
      <c r="O3" s="1752"/>
    </row>
    <row r="4" spans="1:15" ht="13.5" thickBot="1">
      <c r="A4" s="1753"/>
      <c r="B4" s="1752"/>
      <c r="C4" s="1752"/>
      <c r="D4" s="1752"/>
      <c r="E4" s="1752"/>
      <c r="F4" s="1752"/>
      <c r="G4" s="1752"/>
      <c r="H4" s="1752"/>
      <c r="I4" s="1752"/>
      <c r="J4" s="1752"/>
      <c r="K4" s="1752"/>
      <c r="L4" s="1752"/>
      <c r="M4" s="1752"/>
      <c r="N4" s="1752"/>
      <c r="O4" s="1752"/>
    </row>
    <row r="5" spans="1:15" s="1749" customFormat="1" ht="20.100000000000001" customHeight="1" thickTop="1" thickBot="1">
      <c r="A5" s="1754" t="s">
        <v>910</v>
      </c>
      <c r="B5" s="1755" t="s">
        <v>2715</v>
      </c>
      <c r="C5" s="1756"/>
      <c r="D5" s="1756"/>
      <c r="E5" s="1756"/>
      <c r="F5" s="1756"/>
      <c r="G5" s="1756"/>
      <c r="H5" s="1757"/>
      <c r="I5" s="1756" t="s">
        <v>2716</v>
      </c>
      <c r="J5" s="1756"/>
      <c r="K5" s="1756"/>
      <c r="L5" s="1756"/>
      <c r="M5" s="1756"/>
      <c r="N5" s="1756"/>
      <c r="O5" s="1757"/>
    </row>
    <row r="6" spans="1:15" s="1749" customFormat="1" ht="20.100000000000001" customHeight="1" thickBot="1">
      <c r="A6" s="1758"/>
      <c r="B6" s="1759" t="s">
        <v>2717</v>
      </c>
      <c r="C6" s="1760"/>
      <c r="D6" s="1761"/>
      <c r="E6" s="1762" t="s">
        <v>2718</v>
      </c>
      <c r="F6" s="1763"/>
      <c r="G6" s="1764"/>
      <c r="H6" s="1765" t="s">
        <v>319</v>
      </c>
      <c r="I6" s="1766" t="s">
        <v>2717</v>
      </c>
      <c r="J6" s="1763"/>
      <c r="K6" s="1764"/>
      <c r="L6" s="1762" t="s">
        <v>2718</v>
      </c>
      <c r="M6" s="1763"/>
      <c r="N6" s="1764"/>
      <c r="O6" s="1765" t="s">
        <v>319</v>
      </c>
    </row>
    <row r="7" spans="1:15" s="1749" customFormat="1" ht="20.100000000000001" customHeight="1" thickBot="1">
      <c r="A7" s="1767"/>
      <c r="B7" s="1768" t="s">
        <v>2719</v>
      </c>
      <c r="C7" s="1769" t="s">
        <v>2720</v>
      </c>
      <c r="D7" s="1770" t="s">
        <v>319</v>
      </c>
      <c r="E7" s="1771" t="s">
        <v>2719</v>
      </c>
      <c r="F7" s="1772" t="s">
        <v>2720</v>
      </c>
      <c r="G7" s="1773" t="s">
        <v>319</v>
      </c>
      <c r="H7" s="1774"/>
      <c r="I7" s="1775" t="s">
        <v>2719</v>
      </c>
      <c r="J7" s="1772" t="s">
        <v>2720</v>
      </c>
      <c r="K7" s="1773" t="s">
        <v>319</v>
      </c>
      <c r="L7" s="1771" t="s">
        <v>2719</v>
      </c>
      <c r="M7" s="1772" t="s">
        <v>2720</v>
      </c>
      <c r="N7" s="1773" t="s">
        <v>319</v>
      </c>
      <c r="O7" s="1774"/>
    </row>
    <row r="8" spans="1:15" ht="13.5" thickTop="1">
      <c r="A8" s="1776"/>
      <c r="B8" s="1777"/>
      <c r="C8" s="1778"/>
      <c r="D8" s="1779"/>
      <c r="E8" s="1780"/>
      <c r="F8" s="1778"/>
      <c r="G8" s="1781"/>
      <c r="H8" s="1782"/>
      <c r="I8" s="1777"/>
      <c r="J8" s="1778"/>
      <c r="K8" s="1781"/>
      <c r="L8" s="1780"/>
      <c r="M8" s="1778"/>
      <c r="N8" s="1781"/>
      <c r="O8" s="1782"/>
    </row>
    <row r="9" spans="1:15" s="1714" customFormat="1">
      <c r="A9" s="1783" t="s">
        <v>2721</v>
      </c>
      <c r="B9" s="1784">
        <v>932874210.91194749</v>
      </c>
      <c r="C9" s="1785">
        <v>166242864.73000044</v>
      </c>
      <c r="D9" s="1786">
        <v>1099117075.641948</v>
      </c>
      <c r="E9" s="1787">
        <v>9128418886.8433361</v>
      </c>
      <c r="F9" s="1785">
        <v>9854087.9879999999</v>
      </c>
      <c r="G9" s="1788">
        <v>9138272974.831337</v>
      </c>
      <c r="H9" s="1789">
        <v>10237390050.473286</v>
      </c>
      <c r="I9" s="1784">
        <v>252611105.93197495</v>
      </c>
      <c r="J9" s="1785">
        <v>3250073754.0857601</v>
      </c>
      <c r="K9" s="1788">
        <v>3502684860.017735</v>
      </c>
      <c r="L9" s="1787">
        <v>53533138904.437325</v>
      </c>
      <c r="M9" s="1785">
        <v>9913733123.8452835</v>
      </c>
      <c r="N9" s="1788">
        <v>63446872028.282608</v>
      </c>
      <c r="O9" s="1789">
        <v>66949556888.300346</v>
      </c>
    </row>
    <row r="10" spans="1:15" s="1714" customFormat="1">
      <c r="A10" s="1783"/>
      <c r="B10" s="1784"/>
      <c r="C10" s="1785"/>
      <c r="D10" s="1786"/>
      <c r="E10" s="1787"/>
      <c r="F10" s="1785"/>
      <c r="G10" s="1788"/>
      <c r="H10" s="1789"/>
      <c r="I10" s="1784"/>
      <c r="J10" s="1785"/>
      <c r="K10" s="1788"/>
      <c r="L10" s="1787"/>
      <c r="M10" s="1785"/>
      <c r="N10" s="1788"/>
      <c r="O10" s="1789"/>
    </row>
    <row r="11" spans="1:15" s="1714" customFormat="1">
      <c r="A11" s="1783" t="s">
        <v>2722</v>
      </c>
      <c r="B11" s="1784">
        <v>2337155087.6802697</v>
      </c>
      <c r="C11" s="1785">
        <v>258145564.48000002</v>
      </c>
      <c r="D11" s="1786">
        <v>2595300652.1602697</v>
      </c>
      <c r="E11" s="1787">
        <v>2259875979.8401465</v>
      </c>
      <c r="F11" s="1785">
        <v>309885</v>
      </c>
      <c r="G11" s="1788">
        <v>2260185864.8401465</v>
      </c>
      <c r="H11" s="1789">
        <v>4855486517.0004158</v>
      </c>
      <c r="I11" s="1784">
        <v>437510712.63002324</v>
      </c>
      <c r="J11" s="1785">
        <v>691042376.28735006</v>
      </c>
      <c r="K11" s="1788">
        <v>1128553088.9173732</v>
      </c>
      <c r="L11" s="1787">
        <v>12989202786.787159</v>
      </c>
      <c r="M11" s="1785">
        <v>12486087273.648006</v>
      </c>
      <c r="N11" s="1788">
        <v>25475290060.435165</v>
      </c>
      <c r="O11" s="1789">
        <v>26603843149.352539</v>
      </c>
    </row>
    <row r="12" spans="1:15" s="1714" customFormat="1">
      <c r="A12" s="1783"/>
      <c r="B12" s="1784"/>
      <c r="C12" s="1785"/>
      <c r="D12" s="1786"/>
      <c r="E12" s="1787"/>
      <c r="F12" s="1785"/>
      <c r="G12" s="1788"/>
      <c r="H12" s="1789"/>
      <c r="I12" s="1784"/>
      <c r="J12" s="1785"/>
      <c r="K12" s="1788"/>
      <c r="L12" s="1787"/>
      <c r="M12" s="1785"/>
      <c r="N12" s="1788"/>
      <c r="O12" s="1789"/>
    </row>
    <row r="13" spans="1:15" s="1714" customFormat="1">
      <c r="A13" s="1783" t="s">
        <v>2723</v>
      </c>
      <c r="B13" s="1784">
        <v>1314906213.6085539</v>
      </c>
      <c r="C13" s="1785">
        <v>107675276.44999999</v>
      </c>
      <c r="D13" s="1786">
        <v>1422581490.0585539</v>
      </c>
      <c r="E13" s="1787">
        <v>4527843055.0431805</v>
      </c>
      <c r="F13" s="1785">
        <v>30207043.97181515</v>
      </c>
      <c r="G13" s="1788">
        <v>4558050099.0149956</v>
      </c>
      <c r="H13" s="1789">
        <v>5980631589.0735493</v>
      </c>
      <c r="I13" s="1784">
        <v>724041189.98581934</v>
      </c>
      <c r="J13" s="1785">
        <v>1247716612.4601016</v>
      </c>
      <c r="K13" s="1788">
        <v>1971757802.4459209</v>
      </c>
      <c r="L13" s="1787">
        <v>32437705338.871803</v>
      </c>
      <c r="M13" s="1785">
        <v>5522113696.5192833</v>
      </c>
      <c r="N13" s="1788">
        <v>37959819035.391083</v>
      </c>
      <c r="O13" s="1789">
        <v>39931576837.837006</v>
      </c>
    </row>
    <row r="14" spans="1:15" s="1714" customFormat="1">
      <c r="A14" s="1783"/>
      <c r="B14" s="1784"/>
      <c r="C14" s="1785"/>
      <c r="D14" s="1786"/>
      <c r="E14" s="1787"/>
      <c r="F14" s="1785"/>
      <c r="G14" s="1788"/>
      <c r="H14" s="1789"/>
      <c r="I14" s="1784"/>
      <c r="J14" s="1785"/>
      <c r="K14" s="1788"/>
      <c r="L14" s="1787"/>
      <c r="M14" s="1785"/>
      <c r="N14" s="1788"/>
      <c r="O14" s="1789"/>
    </row>
    <row r="15" spans="1:15" s="1714" customFormat="1">
      <c r="A15" s="1783" t="s">
        <v>2724</v>
      </c>
      <c r="B15" s="1784">
        <v>2193707666.4089861</v>
      </c>
      <c r="C15" s="1785">
        <v>155800414.06999999</v>
      </c>
      <c r="D15" s="1786">
        <v>2349508080.4789863</v>
      </c>
      <c r="E15" s="1787">
        <v>5541835821.3580532</v>
      </c>
      <c r="F15" s="1785">
        <v>7557600</v>
      </c>
      <c r="G15" s="1788">
        <v>5549393421.3580532</v>
      </c>
      <c r="H15" s="1789">
        <v>7898901501.8370399</v>
      </c>
      <c r="I15" s="1784">
        <v>1318566493.2823269</v>
      </c>
      <c r="J15" s="1785">
        <v>2263214405.0388069</v>
      </c>
      <c r="K15" s="1788">
        <v>3581780898.3211336</v>
      </c>
      <c r="L15" s="1787">
        <v>6504121583.7752752</v>
      </c>
      <c r="M15" s="1785">
        <v>5350638726.5501699</v>
      </c>
      <c r="N15" s="1788">
        <v>11854760310.325445</v>
      </c>
      <c r="O15" s="1789">
        <v>15436541208.64658</v>
      </c>
    </row>
    <row r="16" spans="1:15" s="1714" customFormat="1">
      <c r="A16" s="1783"/>
      <c r="B16" s="1784"/>
      <c r="C16" s="1785"/>
      <c r="D16" s="1786"/>
      <c r="E16" s="1787"/>
      <c r="F16" s="1785"/>
      <c r="G16" s="1788"/>
      <c r="H16" s="1789"/>
      <c r="I16" s="1784"/>
      <c r="J16" s="1785"/>
      <c r="K16" s="1788"/>
      <c r="L16" s="1787"/>
      <c r="M16" s="1785"/>
      <c r="N16" s="1788"/>
      <c r="O16" s="1789"/>
    </row>
    <row r="17" spans="1:15" s="1714" customFormat="1">
      <c r="A17" s="1783" t="s">
        <v>2725</v>
      </c>
      <c r="B17" s="1784">
        <v>8268767723.6742773</v>
      </c>
      <c r="C17" s="1785">
        <v>1089280509.4400001</v>
      </c>
      <c r="D17" s="1786">
        <v>9358048233.1142769</v>
      </c>
      <c r="E17" s="1787">
        <v>6555650680.9889259</v>
      </c>
      <c r="F17" s="1785">
        <v>311922474.70999998</v>
      </c>
      <c r="G17" s="1788">
        <v>6867573155.698926</v>
      </c>
      <c r="H17" s="1789">
        <v>16225621388.813202</v>
      </c>
      <c r="I17" s="1784">
        <v>3076691845.6865492</v>
      </c>
      <c r="J17" s="1785">
        <v>3547591368.5035152</v>
      </c>
      <c r="K17" s="1788">
        <v>6624283214.1900644</v>
      </c>
      <c r="L17" s="1787">
        <v>21040444755.967026</v>
      </c>
      <c r="M17" s="1785">
        <v>5463518994.5343494</v>
      </c>
      <c r="N17" s="1788">
        <v>26503963750.501373</v>
      </c>
      <c r="O17" s="1789">
        <v>33128246964.691437</v>
      </c>
    </row>
    <row r="18" spans="1:15" s="1714" customFormat="1">
      <c r="A18" s="1783"/>
      <c r="B18" s="1784"/>
      <c r="C18" s="1785"/>
      <c r="D18" s="1786"/>
      <c r="E18" s="1787"/>
      <c r="F18" s="1785"/>
      <c r="G18" s="1788"/>
      <c r="H18" s="1789"/>
      <c r="I18" s="1784"/>
      <c r="J18" s="1785"/>
      <c r="K18" s="1788"/>
      <c r="L18" s="1787"/>
      <c r="M18" s="1785"/>
      <c r="N18" s="1788"/>
      <c r="O18" s="1789"/>
    </row>
    <row r="19" spans="1:15" s="1714" customFormat="1">
      <c r="A19" s="1783" t="s">
        <v>2726</v>
      </c>
      <c r="B19" s="1784">
        <v>2127940931.9545183</v>
      </c>
      <c r="C19" s="1785">
        <v>114901523.50082751</v>
      </c>
      <c r="D19" s="1786">
        <v>2242842455.4553456</v>
      </c>
      <c r="E19" s="1787">
        <v>839075676.67188215</v>
      </c>
      <c r="F19" s="1785">
        <v>4362678.2660269495</v>
      </c>
      <c r="G19" s="1788">
        <v>843438354.93790913</v>
      </c>
      <c r="H19" s="1789">
        <v>3086280810.3932548</v>
      </c>
      <c r="I19" s="1784">
        <v>859403028.89252031</v>
      </c>
      <c r="J19" s="1785">
        <v>775796301.35205078</v>
      </c>
      <c r="K19" s="1788">
        <v>1635199330.2445712</v>
      </c>
      <c r="L19" s="1787">
        <v>1496805155.5727351</v>
      </c>
      <c r="M19" s="1785">
        <v>284145104.34768271</v>
      </c>
      <c r="N19" s="1788">
        <v>1780950259.9204178</v>
      </c>
      <c r="O19" s="1789">
        <v>3416149590.164989</v>
      </c>
    </row>
    <row r="20" spans="1:15" s="1714" customFormat="1">
      <c r="A20" s="1783"/>
      <c r="B20" s="1784"/>
      <c r="C20" s="1785"/>
      <c r="D20" s="1786"/>
      <c r="E20" s="1787"/>
      <c r="F20" s="1785"/>
      <c r="G20" s="1788"/>
      <c r="H20" s="1789"/>
      <c r="I20" s="1784"/>
      <c r="J20" s="1785"/>
      <c r="K20" s="1788"/>
      <c r="L20" s="1787"/>
      <c r="M20" s="1785"/>
      <c r="N20" s="1788"/>
      <c r="O20" s="1789"/>
    </row>
    <row r="21" spans="1:15" s="1714" customFormat="1">
      <c r="A21" s="1783" t="s">
        <v>2727</v>
      </c>
      <c r="B21" s="1784">
        <v>5146689739.1491823</v>
      </c>
      <c r="C21" s="1785">
        <v>708305673.30000007</v>
      </c>
      <c r="D21" s="1786">
        <v>5854995412.4491825</v>
      </c>
      <c r="E21" s="1787">
        <v>1346000447.3076053</v>
      </c>
      <c r="F21" s="1785">
        <v>0</v>
      </c>
      <c r="G21" s="1788">
        <v>1346000447.3076053</v>
      </c>
      <c r="H21" s="1789">
        <v>7200995859.7567883</v>
      </c>
      <c r="I21" s="1784">
        <v>173099698.60920829</v>
      </c>
      <c r="J21" s="1785">
        <v>592925137.22435927</v>
      </c>
      <c r="K21" s="1788">
        <v>766024835.83356762</v>
      </c>
      <c r="L21" s="1787">
        <v>301950883.05173337</v>
      </c>
      <c r="M21" s="1785">
        <v>1033263770.0951667</v>
      </c>
      <c r="N21" s="1788">
        <v>1335214653.1469002</v>
      </c>
      <c r="O21" s="1789">
        <v>2101239488.9804678</v>
      </c>
    </row>
    <row r="22" spans="1:15" s="1714" customFormat="1">
      <c r="A22" s="1783"/>
      <c r="B22" s="1784"/>
      <c r="C22" s="1785"/>
      <c r="D22" s="1786"/>
      <c r="E22" s="1787"/>
      <c r="F22" s="1785"/>
      <c r="G22" s="1788"/>
      <c r="H22" s="1789"/>
      <c r="I22" s="1784"/>
      <c r="J22" s="1785"/>
      <c r="K22" s="1788"/>
      <c r="L22" s="1787"/>
      <c r="M22" s="1785"/>
      <c r="N22" s="1788"/>
      <c r="O22" s="1789"/>
    </row>
    <row r="23" spans="1:15" s="1714" customFormat="1">
      <c r="A23" s="1783" t="s">
        <v>2728</v>
      </c>
      <c r="B23" s="1784">
        <v>7014393030.6366749</v>
      </c>
      <c r="C23" s="1785">
        <v>750003417.9799999</v>
      </c>
      <c r="D23" s="1786">
        <v>7764396448.6166744</v>
      </c>
      <c r="E23" s="1787">
        <v>2456319023.7900019</v>
      </c>
      <c r="F23" s="1785">
        <v>300000</v>
      </c>
      <c r="G23" s="1788">
        <v>2456619023.7900019</v>
      </c>
      <c r="H23" s="1789">
        <v>10221015472.406677</v>
      </c>
      <c r="I23" s="1784">
        <v>159858569.00891244</v>
      </c>
      <c r="J23" s="1785">
        <v>384446264.16337603</v>
      </c>
      <c r="K23" s="1788">
        <v>544304833.17228842</v>
      </c>
      <c r="L23" s="1787">
        <v>1720130686.8522558</v>
      </c>
      <c r="M23" s="1785">
        <v>141044698.26186666</v>
      </c>
      <c r="N23" s="1788">
        <v>1861175385.1141224</v>
      </c>
      <c r="O23" s="1789">
        <v>2405480218.2864108</v>
      </c>
    </row>
    <row r="24" spans="1:15" s="1714" customFormat="1">
      <c r="A24" s="1783"/>
      <c r="B24" s="1784"/>
      <c r="C24" s="1785"/>
      <c r="D24" s="1786"/>
      <c r="E24" s="1787"/>
      <c r="F24" s="1785"/>
      <c r="G24" s="1788"/>
      <c r="H24" s="1789"/>
      <c r="I24" s="1784"/>
      <c r="J24" s="1785"/>
      <c r="K24" s="1788"/>
      <c r="L24" s="1787"/>
      <c r="M24" s="1785"/>
      <c r="N24" s="1788"/>
      <c r="O24" s="1789"/>
    </row>
    <row r="25" spans="1:15" s="1714" customFormat="1">
      <c r="A25" s="1783" t="s">
        <v>2729</v>
      </c>
      <c r="B25" s="1784">
        <v>2215128081.4907198</v>
      </c>
      <c r="C25" s="1785">
        <v>277810134.10783893</v>
      </c>
      <c r="D25" s="1786">
        <v>2492938215.5985589</v>
      </c>
      <c r="E25" s="1787">
        <v>1186653258.715683</v>
      </c>
      <c r="F25" s="1785">
        <v>0</v>
      </c>
      <c r="G25" s="1788">
        <v>1186653258.715683</v>
      </c>
      <c r="H25" s="1789">
        <v>3679591474.3142419</v>
      </c>
      <c r="I25" s="1784">
        <v>132716369.31553666</v>
      </c>
      <c r="J25" s="1785">
        <v>489819413.59239995</v>
      </c>
      <c r="K25" s="1788">
        <v>622535782.90793657</v>
      </c>
      <c r="L25" s="1787">
        <v>221786763.60090333</v>
      </c>
      <c r="M25" s="1785">
        <v>3444794.1307999999</v>
      </c>
      <c r="N25" s="1788">
        <v>225231557.73170334</v>
      </c>
      <c r="O25" s="1789">
        <v>847767340.63963985</v>
      </c>
    </row>
    <row r="26" spans="1:15" s="1714" customFormat="1">
      <c r="A26" s="1783"/>
      <c r="B26" s="1784"/>
      <c r="C26" s="1785"/>
      <c r="D26" s="1786"/>
      <c r="E26" s="1787"/>
      <c r="F26" s="1785"/>
      <c r="G26" s="1788"/>
      <c r="H26" s="1789"/>
      <c r="I26" s="1784"/>
      <c r="J26" s="1785"/>
      <c r="K26" s="1788"/>
      <c r="L26" s="1787"/>
      <c r="M26" s="1785"/>
      <c r="N26" s="1788"/>
      <c r="O26" s="1789"/>
    </row>
    <row r="27" spans="1:15" s="1714" customFormat="1">
      <c r="A27" s="1783" t="s">
        <v>2730</v>
      </c>
      <c r="B27" s="1784">
        <v>7361395933.01052</v>
      </c>
      <c r="C27" s="1785">
        <v>1026343804.15</v>
      </c>
      <c r="D27" s="1786">
        <v>8387739737.1605196</v>
      </c>
      <c r="E27" s="1787">
        <v>2257688781.9879327</v>
      </c>
      <c r="F27" s="1785">
        <v>22000000</v>
      </c>
      <c r="G27" s="1788">
        <v>2279688781.9879327</v>
      </c>
      <c r="H27" s="1789">
        <v>10667428519.148453</v>
      </c>
      <c r="I27" s="1784">
        <v>113786137.72598134</v>
      </c>
      <c r="J27" s="1785">
        <v>248514988.30000001</v>
      </c>
      <c r="K27" s="1788">
        <v>362301126.02598137</v>
      </c>
      <c r="L27" s="1787">
        <v>1459514.17</v>
      </c>
      <c r="M27" s="1785">
        <v>437308949.93036532</v>
      </c>
      <c r="N27" s="1788">
        <v>438768464.10036534</v>
      </c>
      <c r="O27" s="1789">
        <v>801069590.12634671</v>
      </c>
    </row>
    <row r="28" spans="1:15" s="1714" customFormat="1">
      <c r="A28" s="1783"/>
      <c r="B28" s="1784"/>
      <c r="C28" s="1785"/>
      <c r="D28" s="1786"/>
      <c r="E28" s="1787"/>
      <c r="F28" s="1785"/>
      <c r="G28" s="1788"/>
      <c r="H28" s="1789"/>
      <c r="I28" s="1784"/>
      <c r="J28" s="1785"/>
      <c r="K28" s="1788"/>
      <c r="L28" s="1787"/>
      <c r="M28" s="1785"/>
      <c r="N28" s="1788"/>
      <c r="O28" s="1789"/>
    </row>
    <row r="29" spans="1:15" s="1714" customFormat="1">
      <c r="A29" s="1783" t="s">
        <v>2731</v>
      </c>
      <c r="B29" s="1784">
        <v>599802907.32570338</v>
      </c>
      <c r="C29" s="1785">
        <v>58526434.408959977</v>
      </c>
      <c r="D29" s="1786">
        <v>658329341.73466337</v>
      </c>
      <c r="E29" s="1787">
        <v>357488696.75379694</v>
      </c>
      <c r="F29" s="1785">
        <v>0</v>
      </c>
      <c r="G29" s="1788">
        <v>357488696.75379694</v>
      </c>
      <c r="H29" s="1789">
        <v>1015818038.4884603</v>
      </c>
      <c r="I29" s="1784">
        <v>12567884.6996</v>
      </c>
      <c r="J29" s="1785">
        <v>630969.86035581271</v>
      </c>
      <c r="K29" s="1788">
        <v>13198854.559955813</v>
      </c>
      <c r="L29" s="1787">
        <v>2994528228</v>
      </c>
      <c r="M29" s="1785">
        <v>1383021200.3696001</v>
      </c>
      <c r="N29" s="1788">
        <v>4377549428.3696003</v>
      </c>
      <c r="O29" s="1789">
        <v>4390748282.9295559</v>
      </c>
    </row>
    <row r="30" spans="1:15" s="1714" customFormat="1">
      <c r="A30" s="1783"/>
      <c r="B30" s="1784"/>
      <c r="C30" s="1785"/>
      <c r="D30" s="1786"/>
      <c r="E30" s="1787"/>
      <c r="F30" s="1785"/>
      <c r="G30" s="1788"/>
      <c r="H30" s="1789"/>
      <c r="I30" s="1784"/>
      <c r="J30" s="1785"/>
      <c r="K30" s="1788"/>
      <c r="L30" s="1787"/>
      <c r="M30" s="1785"/>
      <c r="N30" s="1788"/>
      <c r="O30" s="1789"/>
    </row>
    <row r="31" spans="1:15" s="1795" customFormat="1">
      <c r="A31" s="1783" t="s">
        <v>369</v>
      </c>
      <c r="B31" s="1790">
        <v>39512761525.851349</v>
      </c>
      <c r="C31" s="1791">
        <v>4713035616.6176271</v>
      </c>
      <c r="D31" s="1792">
        <v>44225797142.468987</v>
      </c>
      <c r="E31" s="1793">
        <v>36456850309.300545</v>
      </c>
      <c r="F31" s="1791">
        <v>386513769.9358421</v>
      </c>
      <c r="G31" s="1794">
        <v>36843364079.236389</v>
      </c>
      <c r="H31" s="1789">
        <v>81069161221.705383</v>
      </c>
      <c r="I31" s="1790">
        <v>7260853035.7684517</v>
      </c>
      <c r="J31" s="1791">
        <v>13491771590.868074</v>
      </c>
      <c r="K31" s="1794">
        <v>20752624626.636528</v>
      </c>
      <c r="L31" s="1793">
        <v>133241274601.0862</v>
      </c>
      <c r="M31" s="1791">
        <v>42018320332.232567</v>
      </c>
      <c r="N31" s="1794">
        <v>175259594933.31879</v>
      </c>
      <c r="O31" s="1789">
        <v>196012219559.95532</v>
      </c>
    </row>
    <row r="32" spans="1:15" ht="13.5" thickBot="1">
      <c r="A32" s="1796"/>
      <c r="B32" s="1797"/>
      <c r="C32" s="1798"/>
      <c r="D32" s="1799"/>
      <c r="E32" s="1800"/>
      <c r="F32" s="1798"/>
      <c r="G32" s="1801"/>
      <c r="H32" s="1802"/>
      <c r="I32" s="1797"/>
      <c r="J32" s="1798"/>
      <c r="K32" s="1801"/>
      <c r="L32" s="1800"/>
      <c r="M32" s="1798"/>
      <c r="N32" s="1801"/>
      <c r="O32" s="1802"/>
    </row>
    <row r="33" spans="1:15" ht="13.5" thickTop="1">
      <c r="A33" s="1688" t="s">
        <v>2732</v>
      </c>
      <c r="B33" s="1752"/>
      <c r="C33" s="1752"/>
      <c r="D33" s="1803"/>
      <c r="E33" s="1752"/>
      <c r="F33" s="1752"/>
      <c r="G33" s="1803"/>
      <c r="H33" s="1752"/>
      <c r="I33" s="1752"/>
      <c r="J33" s="1752"/>
      <c r="K33" s="1752"/>
      <c r="L33" s="1752"/>
      <c r="M33" s="1752"/>
      <c r="N33" s="1803"/>
      <c r="O33" s="1803"/>
    </row>
    <row r="34" spans="1:15" hidden="1">
      <c r="A34" s="1744" t="s">
        <v>2713</v>
      </c>
      <c r="B34" s="1739"/>
      <c r="C34" s="1739"/>
      <c r="D34" s="1739"/>
      <c r="E34" s="1739"/>
      <c r="F34" s="1739"/>
      <c r="G34" s="1739"/>
      <c r="H34" s="1739"/>
      <c r="I34" s="1739"/>
      <c r="J34" s="1739"/>
      <c r="K34" s="1739"/>
      <c r="L34" s="1739"/>
      <c r="M34" s="1739"/>
      <c r="N34" s="1739"/>
      <c r="O34" s="1739"/>
    </row>
    <row r="35" spans="1:15">
      <c r="A35" s="1804" t="s">
        <v>2733</v>
      </c>
      <c r="E35" s="1739"/>
      <c r="O35" s="1739"/>
    </row>
    <row r="36" spans="1:15">
      <c r="A36" s="1804" t="s">
        <v>2695</v>
      </c>
      <c r="O36" s="1739"/>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24" activePane="bottomRight" state="frozen"/>
      <selection pane="topRight" activeCell="B1" sqref="B1"/>
      <selection pane="bottomLeft" activeCell="A6" sqref="A6"/>
      <selection pane="bottomRight" activeCell="J14" sqref="J14"/>
    </sheetView>
  </sheetViews>
  <sheetFormatPr defaultRowHeight="12.75"/>
  <cols>
    <col min="1" max="1" width="42.5703125" style="1806" customWidth="1"/>
    <col min="2" max="2" width="17" style="1806" bestFit="1" customWidth="1"/>
    <col min="3" max="4" width="15.85546875" style="1806" bestFit="1" customWidth="1"/>
    <col min="5" max="5" width="14.7109375" style="1806" bestFit="1" customWidth="1"/>
    <col min="6" max="6" width="16.28515625" style="1806" customWidth="1"/>
    <col min="7" max="7" width="17" style="1806" bestFit="1" customWidth="1"/>
    <col min="8" max="8" width="15.85546875" style="1806" customWidth="1"/>
    <col min="9" max="256" width="9.140625" style="1806"/>
    <col min="257" max="257" width="42.5703125" style="1806" customWidth="1"/>
    <col min="258" max="258" width="17" style="1806" bestFit="1" customWidth="1"/>
    <col min="259" max="260" width="15.85546875" style="1806" bestFit="1" customWidth="1"/>
    <col min="261" max="261" width="14.7109375" style="1806" bestFit="1" customWidth="1"/>
    <col min="262" max="262" width="16.28515625" style="1806" customWidth="1"/>
    <col min="263" max="263" width="17" style="1806" bestFit="1" customWidth="1"/>
    <col min="264" max="264" width="15.85546875" style="1806" customWidth="1"/>
    <col min="265" max="512" width="9.140625" style="1806"/>
    <col min="513" max="513" width="42.5703125" style="1806" customWidth="1"/>
    <col min="514" max="514" width="17" style="1806" bestFit="1" customWidth="1"/>
    <col min="515" max="516" width="15.85546875" style="1806" bestFit="1" customWidth="1"/>
    <col min="517" max="517" width="14.7109375" style="1806" bestFit="1" customWidth="1"/>
    <col min="518" max="518" width="16.28515625" style="1806" customWidth="1"/>
    <col min="519" max="519" width="17" style="1806" bestFit="1" customWidth="1"/>
    <col min="520" max="520" width="15.85546875" style="1806" customWidth="1"/>
    <col min="521" max="768" width="9.140625" style="1806"/>
    <col min="769" max="769" width="42.5703125" style="1806" customWidth="1"/>
    <col min="770" max="770" width="17" style="1806" bestFit="1" customWidth="1"/>
    <col min="771" max="772" width="15.85546875" style="1806" bestFit="1" customWidth="1"/>
    <col min="773" max="773" width="14.7109375" style="1806" bestFit="1" customWidth="1"/>
    <col min="774" max="774" width="16.28515625" style="1806" customWidth="1"/>
    <col min="775" max="775" width="17" style="1806" bestFit="1" customWidth="1"/>
    <col min="776" max="776" width="15.85546875" style="1806" customWidth="1"/>
    <col min="777" max="1024" width="9.140625" style="1806"/>
    <col min="1025" max="1025" width="42.5703125" style="1806" customWidth="1"/>
    <col min="1026" max="1026" width="17" style="1806" bestFit="1" customWidth="1"/>
    <col min="1027" max="1028" width="15.85546875" style="1806" bestFit="1" customWidth="1"/>
    <col min="1029" max="1029" width="14.7109375" style="1806" bestFit="1" customWidth="1"/>
    <col min="1030" max="1030" width="16.28515625" style="1806" customWidth="1"/>
    <col min="1031" max="1031" width="17" style="1806" bestFit="1" customWidth="1"/>
    <col min="1032" max="1032" width="15.85546875" style="1806" customWidth="1"/>
    <col min="1033" max="1280" width="9.140625" style="1806"/>
    <col min="1281" max="1281" width="42.5703125" style="1806" customWidth="1"/>
    <col min="1282" max="1282" width="17" style="1806" bestFit="1" customWidth="1"/>
    <col min="1283" max="1284" width="15.85546875" style="1806" bestFit="1" customWidth="1"/>
    <col min="1285" max="1285" width="14.7109375" style="1806" bestFit="1" customWidth="1"/>
    <col min="1286" max="1286" width="16.28515625" style="1806" customWidth="1"/>
    <col min="1287" max="1287" width="17" style="1806" bestFit="1" customWidth="1"/>
    <col min="1288" max="1288" width="15.85546875" style="1806" customWidth="1"/>
    <col min="1289" max="1536" width="9.140625" style="1806"/>
    <col min="1537" max="1537" width="42.5703125" style="1806" customWidth="1"/>
    <col min="1538" max="1538" width="17" style="1806" bestFit="1" customWidth="1"/>
    <col min="1539" max="1540" width="15.85546875" style="1806" bestFit="1" customWidth="1"/>
    <col min="1541" max="1541" width="14.7109375" style="1806" bestFit="1" customWidth="1"/>
    <col min="1542" max="1542" width="16.28515625" style="1806" customWidth="1"/>
    <col min="1543" max="1543" width="17" style="1806" bestFit="1" customWidth="1"/>
    <col min="1544" max="1544" width="15.85546875" style="1806" customWidth="1"/>
    <col min="1545" max="1792" width="9.140625" style="1806"/>
    <col min="1793" max="1793" width="42.5703125" style="1806" customWidth="1"/>
    <col min="1794" max="1794" width="17" style="1806" bestFit="1" customWidth="1"/>
    <col min="1795" max="1796" width="15.85546875" style="1806" bestFit="1" customWidth="1"/>
    <col min="1797" max="1797" width="14.7109375" style="1806" bestFit="1" customWidth="1"/>
    <col min="1798" max="1798" width="16.28515625" style="1806" customWidth="1"/>
    <col min="1799" max="1799" width="17" style="1806" bestFit="1" customWidth="1"/>
    <col min="1800" max="1800" width="15.85546875" style="1806" customWidth="1"/>
    <col min="1801" max="2048" width="9.140625" style="1806"/>
    <col min="2049" max="2049" width="42.5703125" style="1806" customWidth="1"/>
    <col min="2050" max="2050" width="17" style="1806" bestFit="1" customWidth="1"/>
    <col min="2051" max="2052" width="15.85546875" style="1806" bestFit="1" customWidth="1"/>
    <col min="2053" max="2053" width="14.7109375" style="1806" bestFit="1" customWidth="1"/>
    <col min="2054" max="2054" width="16.28515625" style="1806" customWidth="1"/>
    <col min="2055" max="2055" width="17" style="1806" bestFit="1" customWidth="1"/>
    <col min="2056" max="2056" width="15.85546875" style="1806" customWidth="1"/>
    <col min="2057" max="2304" width="9.140625" style="1806"/>
    <col min="2305" max="2305" width="42.5703125" style="1806" customWidth="1"/>
    <col min="2306" max="2306" width="17" style="1806" bestFit="1" customWidth="1"/>
    <col min="2307" max="2308" width="15.85546875" style="1806" bestFit="1" customWidth="1"/>
    <col min="2309" max="2309" width="14.7109375" style="1806" bestFit="1" customWidth="1"/>
    <col min="2310" max="2310" width="16.28515625" style="1806" customWidth="1"/>
    <col min="2311" max="2311" width="17" style="1806" bestFit="1" customWidth="1"/>
    <col min="2312" max="2312" width="15.85546875" style="1806" customWidth="1"/>
    <col min="2313" max="2560" width="9.140625" style="1806"/>
    <col min="2561" max="2561" width="42.5703125" style="1806" customWidth="1"/>
    <col min="2562" max="2562" width="17" style="1806" bestFit="1" customWidth="1"/>
    <col min="2563" max="2564" width="15.85546875" style="1806" bestFit="1" customWidth="1"/>
    <col min="2565" max="2565" width="14.7109375" style="1806" bestFit="1" customWidth="1"/>
    <col min="2566" max="2566" width="16.28515625" style="1806" customWidth="1"/>
    <col min="2567" max="2567" width="17" style="1806" bestFit="1" customWidth="1"/>
    <col min="2568" max="2568" width="15.85546875" style="1806" customWidth="1"/>
    <col min="2569" max="2816" width="9.140625" style="1806"/>
    <col min="2817" max="2817" width="42.5703125" style="1806" customWidth="1"/>
    <col min="2818" max="2818" width="17" style="1806" bestFit="1" customWidth="1"/>
    <col min="2819" max="2820" width="15.85546875" style="1806" bestFit="1" customWidth="1"/>
    <col min="2821" max="2821" width="14.7109375" style="1806" bestFit="1" customWidth="1"/>
    <col min="2822" max="2822" width="16.28515625" style="1806" customWidth="1"/>
    <col min="2823" max="2823" width="17" style="1806" bestFit="1" customWidth="1"/>
    <col min="2824" max="2824" width="15.85546875" style="1806" customWidth="1"/>
    <col min="2825" max="3072" width="9.140625" style="1806"/>
    <col min="3073" max="3073" width="42.5703125" style="1806" customWidth="1"/>
    <col min="3074" max="3074" width="17" style="1806" bestFit="1" customWidth="1"/>
    <col min="3075" max="3076" width="15.85546875" style="1806" bestFit="1" customWidth="1"/>
    <col min="3077" max="3077" width="14.7109375" style="1806" bestFit="1" customWidth="1"/>
    <col min="3078" max="3078" width="16.28515625" style="1806" customWidth="1"/>
    <col min="3079" max="3079" width="17" style="1806" bestFit="1" customWidth="1"/>
    <col min="3080" max="3080" width="15.85546875" style="1806" customWidth="1"/>
    <col min="3081" max="3328" width="9.140625" style="1806"/>
    <col min="3329" max="3329" width="42.5703125" style="1806" customWidth="1"/>
    <col min="3330" max="3330" width="17" style="1806" bestFit="1" customWidth="1"/>
    <col min="3331" max="3332" width="15.85546875" style="1806" bestFit="1" customWidth="1"/>
    <col min="3333" max="3333" width="14.7109375" style="1806" bestFit="1" customWidth="1"/>
    <col min="3334" max="3334" width="16.28515625" style="1806" customWidth="1"/>
    <col min="3335" max="3335" width="17" style="1806" bestFit="1" customWidth="1"/>
    <col min="3336" max="3336" width="15.85546875" style="1806" customWidth="1"/>
    <col min="3337" max="3584" width="9.140625" style="1806"/>
    <col min="3585" max="3585" width="42.5703125" style="1806" customWidth="1"/>
    <col min="3586" max="3586" width="17" style="1806" bestFit="1" customWidth="1"/>
    <col min="3587" max="3588" width="15.85546875" style="1806" bestFit="1" customWidth="1"/>
    <col min="3589" max="3589" width="14.7109375" style="1806" bestFit="1" customWidth="1"/>
    <col min="3590" max="3590" width="16.28515625" style="1806" customWidth="1"/>
    <col min="3591" max="3591" width="17" style="1806" bestFit="1" customWidth="1"/>
    <col min="3592" max="3592" width="15.85546875" style="1806" customWidth="1"/>
    <col min="3593" max="3840" width="9.140625" style="1806"/>
    <col min="3841" max="3841" width="42.5703125" style="1806" customWidth="1"/>
    <col min="3842" max="3842" width="17" style="1806" bestFit="1" customWidth="1"/>
    <col min="3843" max="3844" width="15.85546875" style="1806" bestFit="1" customWidth="1"/>
    <col min="3845" max="3845" width="14.7109375" style="1806" bestFit="1" customWidth="1"/>
    <col min="3846" max="3846" width="16.28515625" style="1806" customWidth="1"/>
    <col min="3847" max="3847" width="17" style="1806" bestFit="1" customWidth="1"/>
    <col min="3848" max="3848" width="15.85546875" style="1806" customWidth="1"/>
    <col min="3849" max="4096" width="9.140625" style="1806"/>
    <col min="4097" max="4097" width="42.5703125" style="1806" customWidth="1"/>
    <col min="4098" max="4098" width="17" style="1806" bestFit="1" customWidth="1"/>
    <col min="4099" max="4100" width="15.85546875" style="1806" bestFit="1" customWidth="1"/>
    <col min="4101" max="4101" width="14.7109375" style="1806" bestFit="1" customWidth="1"/>
    <col min="4102" max="4102" width="16.28515625" style="1806" customWidth="1"/>
    <col min="4103" max="4103" width="17" style="1806" bestFit="1" customWidth="1"/>
    <col min="4104" max="4104" width="15.85546875" style="1806" customWidth="1"/>
    <col min="4105" max="4352" width="9.140625" style="1806"/>
    <col min="4353" max="4353" width="42.5703125" style="1806" customWidth="1"/>
    <col min="4354" max="4354" width="17" style="1806" bestFit="1" customWidth="1"/>
    <col min="4355" max="4356" width="15.85546875" style="1806" bestFit="1" customWidth="1"/>
    <col min="4357" max="4357" width="14.7109375" style="1806" bestFit="1" customWidth="1"/>
    <col min="4358" max="4358" width="16.28515625" style="1806" customWidth="1"/>
    <col min="4359" max="4359" width="17" style="1806" bestFit="1" customWidth="1"/>
    <col min="4360" max="4360" width="15.85546875" style="1806" customWidth="1"/>
    <col min="4361" max="4608" width="9.140625" style="1806"/>
    <col min="4609" max="4609" width="42.5703125" style="1806" customWidth="1"/>
    <col min="4610" max="4610" width="17" style="1806" bestFit="1" customWidth="1"/>
    <col min="4611" max="4612" width="15.85546875" style="1806" bestFit="1" customWidth="1"/>
    <col min="4613" max="4613" width="14.7109375" style="1806" bestFit="1" customWidth="1"/>
    <col min="4614" max="4614" width="16.28515625" style="1806" customWidth="1"/>
    <col min="4615" max="4615" width="17" style="1806" bestFit="1" customWidth="1"/>
    <col min="4616" max="4616" width="15.85546875" style="1806" customWidth="1"/>
    <col min="4617" max="4864" width="9.140625" style="1806"/>
    <col min="4865" max="4865" width="42.5703125" style="1806" customWidth="1"/>
    <col min="4866" max="4866" width="17" style="1806" bestFit="1" customWidth="1"/>
    <col min="4867" max="4868" width="15.85546875" style="1806" bestFit="1" customWidth="1"/>
    <col min="4869" max="4869" width="14.7109375" style="1806" bestFit="1" customWidth="1"/>
    <col min="4870" max="4870" width="16.28515625" style="1806" customWidth="1"/>
    <col min="4871" max="4871" width="17" style="1806" bestFit="1" customWidth="1"/>
    <col min="4872" max="4872" width="15.85546875" style="1806" customWidth="1"/>
    <col min="4873" max="5120" width="9.140625" style="1806"/>
    <col min="5121" max="5121" width="42.5703125" style="1806" customWidth="1"/>
    <col min="5122" max="5122" width="17" style="1806" bestFit="1" customWidth="1"/>
    <col min="5123" max="5124" width="15.85546875" style="1806" bestFit="1" customWidth="1"/>
    <col min="5125" max="5125" width="14.7109375" style="1806" bestFit="1" customWidth="1"/>
    <col min="5126" max="5126" width="16.28515625" style="1806" customWidth="1"/>
    <col min="5127" max="5127" width="17" style="1806" bestFit="1" customWidth="1"/>
    <col min="5128" max="5128" width="15.85546875" style="1806" customWidth="1"/>
    <col min="5129" max="5376" width="9.140625" style="1806"/>
    <col min="5377" max="5377" width="42.5703125" style="1806" customWidth="1"/>
    <col min="5378" max="5378" width="17" style="1806" bestFit="1" customWidth="1"/>
    <col min="5379" max="5380" width="15.85546875" style="1806" bestFit="1" customWidth="1"/>
    <col min="5381" max="5381" width="14.7109375" style="1806" bestFit="1" customWidth="1"/>
    <col min="5382" max="5382" width="16.28515625" style="1806" customWidth="1"/>
    <col min="5383" max="5383" width="17" style="1806" bestFit="1" customWidth="1"/>
    <col min="5384" max="5384" width="15.85546875" style="1806" customWidth="1"/>
    <col min="5385" max="5632" width="9.140625" style="1806"/>
    <col min="5633" max="5633" width="42.5703125" style="1806" customWidth="1"/>
    <col min="5634" max="5634" width="17" style="1806" bestFit="1" customWidth="1"/>
    <col min="5635" max="5636" width="15.85546875" style="1806" bestFit="1" customWidth="1"/>
    <col min="5637" max="5637" width="14.7109375" style="1806" bestFit="1" customWidth="1"/>
    <col min="5638" max="5638" width="16.28515625" style="1806" customWidth="1"/>
    <col min="5639" max="5639" width="17" style="1806" bestFit="1" customWidth="1"/>
    <col min="5640" max="5640" width="15.85546875" style="1806" customWidth="1"/>
    <col min="5641" max="5888" width="9.140625" style="1806"/>
    <col min="5889" max="5889" width="42.5703125" style="1806" customWidth="1"/>
    <col min="5890" max="5890" width="17" style="1806" bestFit="1" customWidth="1"/>
    <col min="5891" max="5892" width="15.85546875" style="1806" bestFit="1" customWidth="1"/>
    <col min="5893" max="5893" width="14.7109375" style="1806" bestFit="1" customWidth="1"/>
    <col min="5894" max="5894" width="16.28515625" style="1806" customWidth="1"/>
    <col min="5895" max="5895" width="17" style="1806" bestFit="1" customWidth="1"/>
    <col min="5896" max="5896" width="15.85546875" style="1806" customWidth="1"/>
    <col min="5897" max="6144" width="9.140625" style="1806"/>
    <col min="6145" max="6145" width="42.5703125" style="1806" customWidth="1"/>
    <col min="6146" max="6146" width="17" style="1806" bestFit="1" customWidth="1"/>
    <col min="6147" max="6148" width="15.85546875" style="1806" bestFit="1" customWidth="1"/>
    <col min="6149" max="6149" width="14.7109375" style="1806" bestFit="1" customWidth="1"/>
    <col min="6150" max="6150" width="16.28515625" style="1806" customWidth="1"/>
    <col min="6151" max="6151" width="17" style="1806" bestFit="1" customWidth="1"/>
    <col min="6152" max="6152" width="15.85546875" style="1806" customWidth="1"/>
    <col min="6153" max="6400" width="9.140625" style="1806"/>
    <col min="6401" max="6401" width="42.5703125" style="1806" customWidth="1"/>
    <col min="6402" max="6402" width="17" style="1806" bestFit="1" customWidth="1"/>
    <col min="6403" max="6404" width="15.85546875" style="1806" bestFit="1" customWidth="1"/>
    <col min="6405" max="6405" width="14.7109375" style="1806" bestFit="1" customWidth="1"/>
    <col min="6406" max="6406" width="16.28515625" style="1806" customWidth="1"/>
    <col min="6407" max="6407" width="17" style="1806" bestFit="1" customWidth="1"/>
    <col min="6408" max="6408" width="15.85546875" style="1806" customWidth="1"/>
    <col min="6409" max="6656" width="9.140625" style="1806"/>
    <col min="6657" max="6657" width="42.5703125" style="1806" customWidth="1"/>
    <col min="6658" max="6658" width="17" style="1806" bestFit="1" customWidth="1"/>
    <col min="6659" max="6660" width="15.85546875" style="1806" bestFit="1" customWidth="1"/>
    <col min="6661" max="6661" width="14.7109375" style="1806" bestFit="1" customWidth="1"/>
    <col min="6662" max="6662" width="16.28515625" style="1806" customWidth="1"/>
    <col min="6663" max="6663" width="17" style="1806" bestFit="1" customWidth="1"/>
    <col min="6664" max="6664" width="15.85546875" style="1806" customWidth="1"/>
    <col min="6665" max="6912" width="9.140625" style="1806"/>
    <col min="6913" max="6913" width="42.5703125" style="1806" customWidth="1"/>
    <col min="6914" max="6914" width="17" style="1806" bestFit="1" customWidth="1"/>
    <col min="6915" max="6916" width="15.85546875" style="1806" bestFit="1" customWidth="1"/>
    <col min="6917" max="6917" width="14.7109375" style="1806" bestFit="1" customWidth="1"/>
    <col min="6918" max="6918" width="16.28515625" style="1806" customWidth="1"/>
    <col min="6919" max="6919" width="17" style="1806" bestFit="1" customWidth="1"/>
    <col min="6920" max="6920" width="15.85546875" style="1806" customWidth="1"/>
    <col min="6921" max="7168" width="9.140625" style="1806"/>
    <col min="7169" max="7169" width="42.5703125" style="1806" customWidth="1"/>
    <col min="7170" max="7170" width="17" style="1806" bestFit="1" customWidth="1"/>
    <col min="7171" max="7172" width="15.85546875" style="1806" bestFit="1" customWidth="1"/>
    <col min="7173" max="7173" width="14.7109375" style="1806" bestFit="1" customWidth="1"/>
    <col min="7174" max="7174" width="16.28515625" style="1806" customWidth="1"/>
    <col min="7175" max="7175" width="17" style="1806" bestFit="1" customWidth="1"/>
    <col min="7176" max="7176" width="15.85546875" style="1806" customWidth="1"/>
    <col min="7177" max="7424" width="9.140625" style="1806"/>
    <col min="7425" max="7425" width="42.5703125" style="1806" customWidth="1"/>
    <col min="7426" max="7426" width="17" style="1806" bestFit="1" customWidth="1"/>
    <col min="7427" max="7428" width="15.85546875" style="1806" bestFit="1" customWidth="1"/>
    <col min="7429" max="7429" width="14.7109375" style="1806" bestFit="1" customWidth="1"/>
    <col min="7430" max="7430" width="16.28515625" style="1806" customWidth="1"/>
    <col min="7431" max="7431" width="17" style="1806" bestFit="1" customWidth="1"/>
    <col min="7432" max="7432" width="15.85546875" style="1806" customWidth="1"/>
    <col min="7433" max="7680" width="9.140625" style="1806"/>
    <col min="7681" max="7681" width="42.5703125" style="1806" customWidth="1"/>
    <col min="7682" max="7682" width="17" style="1806" bestFit="1" customWidth="1"/>
    <col min="7683" max="7684" width="15.85546875" style="1806" bestFit="1" customWidth="1"/>
    <col min="7685" max="7685" width="14.7109375" style="1806" bestFit="1" customWidth="1"/>
    <col min="7686" max="7686" width="16.28515625" style="1806" customWidth="1"/>
    <col min="7687" max="7687" width="17" style="1806" bestFit="1" customWidth="1"/>
    <col min="7688" max="7688" width="15.85546875" style="1806" customWidth="1"/>
    <col min="7689" max="7936" width="9.140625" style="1806"/>
    <col min="7937" max="7937" width="42.5703125" style="1806" customWidth="1"/>
    <col min="7938" max="7938" width="17" style="1806" bestFit="1" customWidth="1"/>
    <col min="7939" max="7940" width="15.85546875" style="1806" bestFit="1" customWidth="1"/>
    <col min="7941" max="7941" width="14.7109375" style="1806" bestFit="1" customWidth="1"/>
    <col min="7942" max="7942" width="16.28515625" style="1806" customWidth="1"/>
    <col min="7943" max="7943" width="17" style="1806" bestFit="1" customWidth="1"/>
    <col min="7944" max="7944" width="15.85546875" style="1806" customWidth="1"/>
    <col min="7945" max="8192" width="9.140625" style="1806"/>
    <col min="8193" max="8193" width="42.5703125" style="1806" customWidth="1"/>
    <col min="8194" max="8194" width="17" style="1806" bestFit="1" customWidth="1"/>
    <col min="8195" max="8196" width="15.85546875" style="1806" bestFit="1" customWidth="1"/>
    <col min="8197" max="8197" width="14.7109375" style="1806" bestFit="1" customWidth="1"/>
    <col min="8198" max="8198" width="16.28515625" style="1806" customWidth="1"/>
    <col min="8199" max="8199" width="17" style="1806" bestFit="1" customWidth="1"/>
    <col min="8200" max="8200" width="15.85546875" style="1806" customWidth="1"/>
    <col min="8201" max="8448" width="9.140625" style="1806"/>
    <col min="8449" max="8449" width="42.5703125" style="1806" customWidth="1"/>
    <col min="8450" max="8450" width="17" style="1806" bestFit="1" customWidth="1"/>
    <col min="8451" max="8452" width="15.85546875" style="1806" bestFit="1" customWidth="1"/>
    <col min="8453" max="8453" width="14.7109375" style="1806" bestFit="1" customWidth="1"/>
    <col min="8454" max="8454" width="16.28515625" style="1806" customWidth="1"/>
    <col min="8455" max="8455" width="17" style="1806" bestFit="1" customWidth="1"/>
    <col min="8456" max="8456" width="15.85546875" style="1806" customWidth="1"/>
    <col min="8457" max="8704" width="9.140625" style="1806"/>
    <col min="8705" max="8705" width="42.5703125" style="1806" customWidth="1"/>
    <col min="8706" max="8706" width="17" style="1806" bestFit="1" customWidth="1"/>
    <col min="8707" max="8708" width="15.85546875" style="1806" bestFit="1" customWidth="1"/>
    <col min="8709" max="8709" width="14.7109375" style="1806" bestFit="1" customWidth="1"/>
    <col min="8710" max="8710" width="16.28515625" style="1806" customWidth="1"/>
    <col min="8711" max="8711" width="17" style="1806" bestFit="1" customWidth="1"/>
    <col min="8712" max="8712" width="15.85546875" style="1806" customWidth="1"/>
    <col min="8713" max="8960" width="9.140625" style="1806"/>
    <col min="8961" max="8961" width="42.5703125" style="1806" customWidth="1"/>
    <col min="8962" max="8962" width="17" style="1806" bestFit="1" customWidth="1"/>
    <col min="8963" max="8964" width="15.85546875" style="1806" bestFit="1" customWidth="1"/>
    <col min="8965" max="8965" width="14.7109375" style="1806" bestFit="1" customWidth="1"/>
    <col min="8966" max="8966" width="16.28515625" style="1806" customWidth="1"/>
    <col min="8967" max="8967" width="17" style="1806" bestFit="1" customWidth="1"/>
    <col min="8968" max="8968" width="15.85546875" style="1806" customWidth="1"/>
    <col min="8969" max="9216" width="9.140625" style="1806"/>
    <col min="9217" max="9217" width="42.5703125" style="1806" customWidth="1"/>
    <col min="9218" max="9218" width="17" style="1806" bestFit="1" customWidth="1"/>
    <col min="9219" max="9220" width="15.85546875" style="1806" bestFit="1" customWidth="1"/>
    <col min="9221" max="9221" width="14.7109375" style="1806" bestFit="1" customWidth="1"/>
    <col min="9222" max="9222" width="16.28515625" style="1806" customWidth="1"/>
    <col min="9223" max="9223" width="17" style="1806" bestFit="1" customWidth="1"/>
    <col min="9224" max="9224" width="15.85546875" style="1806" customWidth="1"/>
    <col min="9225" max="9472" width="9.140625" style="1806"/>
    <col min="9473" max="9473" width="42.5703125" style="1806" customWidth="1"/>
    <col min="9474" max="9474" width="17" style="1806" bestFit="1" customWidth="1"/>
    <col min="9475" max="9476" width="15.85546875" style="1806" bestFit="1" customWidth="1"/>
    <col min="9477" max="9477" width="14.7109375" style="1806" bestFit="1" customWidth="1"/>
    <col min="9478" max="9478" width="16.28515625" style="1806" customWidth="1"/>
    <col min="9479" max="9479" width="17" style="1806" bestFit="1" customWidth="1"/>
    <col min="9480" max="9480" width="15.85546875" style="1806" customWidth="1"/>
    <col min="9481" max="9728" width="9.140625" style="1806"/>
    <col min="9729" max="9729" width="42.5703125" style="1806" customWidth="1"/>
    <col min="9730" max="9730" width="17" style="1806" bestFit="1" customWidth="1"/>
    <col min="9731" max="9732" width="15.85546875" style="1806" bestFit="1" customWidth="1"/>
    <col min="9733" max="9733" width="14.7109375" style="1806" bestFit="1" customWidth="1"/>
    <col min="9734" max="9734" width="16.28515625" style="1806" customWidth="1"/>
    <col min="9735" max="9735" width="17" style="1806" bestFit="1" customWidth="1"/>
    <col min="9736" max="9736" width="15.85546875" style="1806" customWidth="1"/>
    <col min="9737" max="9984" width="9.140625" style="1806"/>
    <col min="9985" max="9985" width="42.5703125" style="1806" customWidth="1"/>
    <col min="9986" max="9986" width="17" style="1806" bestFit="1" customWidth="1"/>
    <col min="9987" max="9988" width="15.85546875" style="1806" bestFit="1" customWidth="1"/>
    <col min="9989" max="9989" width="14.7109375" style="1806" bestFit="1" customWidth="1"/>
    <col min="9990" max="9990" width="16.28515625" style="1806" customWidth="1"/>
    <col min="9991" max="9991" width="17" style="1806" bestFit="1" customWidth="1"/>
    <col min="9992" max="9992" width="15.85546875" style="1806" customWidth="1"/>
    <col min="9993" max="10240" width="9.140625" style="1806"/>
    <col min="10241" max="10241" width="42.5703125" style="1806" customWidth="1"/>
    <col min="10242" max="10242" width="17" style="1806" bestFit="1" customWidth="1"/>
    <col min="10243" max="10244" width="15.85546875" style="1806" bestFit="1" customWidth="1"/>
    <col min="10245" max="10245" width="14.7109375" style="1806" bestFit="1" customWidth="1"/>
    <col min="10246" max="10246" width="16.28515625" style="1806" customWidth="1"/>
    <col min="10247" max="10247" width="17" style="1806" bestFit="1" customWidth="1"/>
    <col min="10248" max="10248" width="15.85546875" style="1806" customWidth="1"/>
    <col min="10249" max="10496" width="9.140625" style="1806"/>
    <col min="10497" max="10497" width="42.5703125" style="1806" customWidth="1"/>
    <col min="10498" max="10498" width="17" style="1806" bestFit="1" customWidth="1"/>
    <col min="10499" max="10500" width="15.85546875" style="1806" bestFit="1" customWidth="1"/>
    <col min="10501" max="10501" width="14.7109375" style="1806" bestFit="1" customWidth="1"/>
    <col min="10502" max="10502" width="16.28515625" style="1806" customWidth="1"/>
    <col min="10503" max="10503" width="17" style="1806" bestFit="1" customWidth="1"/>
    <col min="10504" max="10504" width="15.85546875" style="1806" customWidth="1"/>
    <col min="10505" max="10752" width="9.140625" style="1806"/>
    <col min="10753" max="10753" width="42.5703125" style="1806" customWidth="1"/>
    <col min="10754" max="10754" width="17" style="1806" bestFit="1" customWidth="1"/>
    <col min="10755" max="10756" width="15.85546875" style="1806" bestFit="1" customWidth="1"/>
    <col min="10757" max="10757" width="14.7109375" style="1806" bestFit="1" customWidth="1"/>
    <col min="10758" max="10758" width="16.28515625" style="1806" customWidth="1"/>
    <col min="10759" max="10759" width="17" style="1806" bestFit="1" customWidth="1"/>
    <col min="10760" max="10760" width="15.85546875" style="1806" customWidth="1"/>
    <col min="10761" max="11008" width="9.140625" style="1806"/>
    <col min="11009" max="11009" width="42.5703125" style="1806" customWidth="1"/>
    <col min="11010" max="11010" width="17" style="1806" bestFit="1" customWidth="1"/>
    <col min="11011" max="11012" width="15.85546875" style="1806" bestFit="1" customWidth="1"/>
    <col min="11013" max="11013" width="14.7109375" style="1806" bestFit="1" customWidth="1"/>
    <col min="11014" max="11014" width="16.28515625" style="1806" customWidth="1"/>
    <col min="11015" max="11015" width="17" style="1806" bestFit="1" customWidth="1"/>
    <col min="11016" max="11016" width="15.85546875" style="1806" customWidth="1"/>
    <col min="11017" max="11264" width="9.140625" style="1806"/>
    <col min="11265" max="11265" width="42.5703125" style="1806" customWidth="1"/>
    <col min="11266" max="11266" width="17" style="1806" bestFit="1" customWidth="1"/>
    <col min="11267" max="11268" width="15.85546875" style="1806" bestFit="1" customWidth="1"/>
    <col min="11269" max="11269" width="14.7109375" style="1806" bestFit="1" customWidth="1"/>
    <col min="11270" max="11270" width="16.28515625" style="1806" customWidth="1"/>
    <col min="11271" max="11271" width="17" style="1806" bestFit="1" customWidth="1"/>
    <col min="11272" max="11272" width="15.85546875" style="1806" customWidth="1"/>
    <col min="11273" max="11520" width="9.140625" style="1806"/>
    <col min="11521" max="11521" width="42.5703125" style="1806" customWidth="1"/>
    <col min="11522" max="11522" width="17" style="1806" bestFit="1" customWidth="1"/>
    <col min="11523" max="11524" width="15.85546875" style="1806" bestFit="1" customWidth="1"/>
    <col min="11525" max="11525" width="14.7109375" style="1806" bestFit="1" customWidth="1"/>
    <col min="11526" max="11526" width="16.28515625" style="1806" customWidth="1"/>
    <col min="11527" max="11527" width="17" style="1806" bestFit="1" customWidth="1"/>
    <col min="11528" max="11528" width="15.85546875" style="1806" customWidth="1"/>
    <col min="11529" max="11776" width="9.140625" style="1806"/>
    <col min="11777" max="11777" width="42.5703125" style="1806" customWidth="1"/>
    <col min="11778" max="11778" width="17" style="1806" bestFit="1" customWidth="1"/>
    <col min="11779" max="11780" width="15.85546875" style="1806" bestFit="1" customWidth="1"/>
    <col min="11781" max="11781" width="14.7109375" style="1806" bestFit="1" customWidth="1"/>
    <col min="11782" max="11782" width="16.28515625" style="1806" customWidth="1"/>
    <col min="11783" max="11783" width="17" style="1806" bestFit="1" customWidth="1"/>
    <col min="11784" max="11784" width="15.85546875" style="1806" customWidth="1"/>
    <col min="11785" max="12032" width="9.140625" style="1806"/>
    <col min="12033" max="12033" width="42.5703125" style="1806" customWidth="1"/>
    <col min="12034" max="12034" width="17" style="1806" bestFit="1" customWidth="1"/>
    <col min="12035" max="12036" width="15.85546875" style="1806" bestFit="1" customWidth="1"/>
    <col min="12037" max="12037" width="14.7109375" style="1806" bestFit="1" customWidth="1"/>
    <col min="12038" max="12038" width="16.28515625" style="1806" customWidth="1"/>
    <col min="12039" max="12039" width="17" style="1806" bestFit="1" customWidth="1"/>
    <col min="12040" max="12040" width="15.85546875" style="1806" customWidth="1"/>
    <col min="12041" max="12288" width="9.140625" style="1806"/>
    <col min="12289" max="12289" width="42.5703125" style="1806" customWidth="1"/>
    <col min="12290" max="12290" width="17" style="1806" bestFit="1" customWidth="1"/>
    <col min="12291" max="12292" width="15.85546875" style="1806" bestFit="1" customWidth="1"/>
    <col min="12293" max="12293" width="14.7109375" style="1806" bestFit="1" customWidth="1"/>
    <col min="12294" max="12294" width="16.28515625" style="1806" customWidth="1"/>
    <col min="12295" max="12295" width="17" style="1806" bestFit="1" customWidth="1"/>
    <col min="12296" max="12296" width="15.85546875" style="1806" customWidth="1"/>
    <col min="12297" max="12544" width="9.140625" style="1806"/>
    <col min="12545" max="12545" width="42.5703125" style="1806" customWidth="1"/>
    <col min="12546" max="12546" width="17" style="1806" bestFit="1" customWidth="1"/>
    <col min="12547" max="12548" width="15.85546875" style="1806" bestFit="1" customWidth="1"/>
    <col min="12549" max="12549" width="14.7109375" style="1806" bestFit="1" customWidth="1"/>
    <col min="12550" max="12550" width="16.28515625" style="1806" customWidth="1"/>
    <col min="12551" max="12551" width="17" style="1806" bestFit="1" customWidth="1"/>
    <col min="12552" max="12552" width="15.85546875" style="1806" customWidth="1"/>
    <col min="12553" max="12800" width="9.140625" style="1806"/>
    <col min="12801" max="12801" width="42.5703125" style="1806" customWidth="1"/>
    <col min="12802" max="12802" width="17" style="1806" bestFit="1" customWidth="1"/>
    <col min="12803" max="12804" width="15.85546875" style="1806" bestFit="1" customWidth="1"/>
    <col min="12805" max="12805" width="14.7109375" style="1806" bestFit="1" customWidth="1"/>
    <col min="12806" max="12806" width="16.28515625" style="1806" customWidth="1"/>
    <col min="12807" max="12807" width="17" style="1806" bestFit="1" customWidth="1"/>
    <col min="12808" max="12808" width="15.85546875" style="1806" customWidth="1"/>
    <col min="12809" max="13056" width="9.140625" style="1806"/>
    <col min="13057" max="13057" width="42.5703125" style="1806" customWidth="1"/>
    <col min="13058" max="13058" width="17" style="1806" bestFit="1" customWidth="1"/>
    <col min="13059" max="13060" width="15.85546875" style="1806" bestFit="1" customWidth="1"/>
    <col min="13061" max="13061" width="14.7109375" style="1806" bestFit="1" customWidth="1"/>
    <col min="13062" max="13062" width="16.28515625" style="1806" customWidth="1"/>
    <col min="13063" max="13063" width="17" style="1806" bestFit="1" customWidth="1"/>
    <col min="13064" max="13064" width="15.85546875" style="1806" customWidth="1"/>
    <col min="13065" max="13312" width="9.140625" style="1806"/>
    <col min="13313" max="13313" width="42.5703125" style="1806" customWidth="1"/>
    <col min="13314" max="13314" width="17" style="1806" bestFit="1" customWidth="1"/>
    <col min="13315" max="13316" width="15.85546875" style="1806" bestFit="1" customWidth="1"/>
    <col min="13317" max="13317" width="14.7109375" style="1806" bestFit="1" customWidth="1"/>
    <col min="13318" max="13318" width="16.28515625" style="1806" customWidth="1"/>
    <col min="13319" max="13319" width="17" style="1806" bestFit="1" customWidth="1"/>
    <col min="13320" max="13320" width="15.85546875" style="1806" customWidth="1"/>
    <col min="13321" max="13568" width="9.140625" style="1806"/>
    <col min="13569" max="13569" width="42.5703125" style="1806" customWidth="1"/>
    <col min="13570" max="13570" width="17" style="1806" bestFit="1" customWidth="1"/>
    <col min="13571" max="13572" width="15.85546875" style="1806" bestFit="1" customWidth="1"/>
    <col min="13573" max="13573" width="14.7109375" style="1806" bestFit="1" customWidth="1"/>
    <col min="13574" max="13574" width="16.28515625" style="1806" customWidth="1"/>
    <col min="13575" max="13575" width="17" style="1806" bestFit="1" customWidth="1"/>
    <col min="13576" max="13576" width="15.85546875" style="1806" customWidth="1"/>
    <col min="13577" max="13824" width="9.140625" style="1806"/>
    <col min="13825" max="13825" width="42.5703125" style="1806" customWidth="1"/>
    <col min="13826" max="13826" width="17" style="1806" bestFit="1" customWidth="1"/>
    <col min="13827" max="13828" width="15.85546875" style="1806" bestFit="1" customWidth="1"/>
    <col min="13829" max="13829" width="14.7109375" style="1806" bestFit="1" customWidth="1"/>
    <col min="13830" max="13830" width="16.28515625" style="1806" customWidth="1"/>
    <col min="13831" max="13831" width="17" style="1806" bestFit="1" customWidth="1"/>
    <col min="13832" max="13832" width="15.85546875" style="1806" customWidth="1"/>
    <col min="13833" max="14080" width="9.140625" style="1806"/>
    <col min="14081" max="14081" width="42.5703125" style="1806" customWidth="1"/>
    <col min="14082" max="14082" width="17" style="1806" bestFit="1" customWidth="1"/>
    <col min="14083" max="14084" width="15.85546875" style="1806" bestFit="1" customWidth="1"/>
    <col min="14085" max="14085" width="14.7109375" style="1806" bestFit="1" customWidth="1"/>
    <col min="14086" max="14086" width="16.28515625" style="1806" customWidth="1"/>
    <col min="14087" max="14087" width="17" style="1806" bestFit="1" customWidth="1"/>
    <col min="14088" max="14088" width="15.85546875" style="1806" customWidth="1"/>
    <col min="14089" max="14336" width="9.140625" style="1806"/>
    <col min="14337" max="14337" width="42.5703125" style="1806" customWidth="1"/>
    <col min="14338" max="14338" width="17" style="1806" bestFit="1" customWidth="1"/>
    <col min="14339" max="14340" width="15.85546875" style="1806" bestFit="1" customWidth="1"/>
    <col min="14341" max="14341" width="14.7109375" style="1806" bestFit="1" customWidth="1"/>
    <col min="14342" max="14342" width="16.28515625" style="1806" customWidth="1"/>
    <col min="14343" max="14343" width="17" style="1806" bestFit="1" customWidth="1"/>
    <col min="14344" max="14344" width="15.85546875" style="1806" customWidth="1"/>
    <col min="14345" max="14592" width="9.140625" style="1806"/>
    <col min="14593" max="14593" width="42.5703125" style="1806" customWidth="1"/>
    <col min="14594" max="14594" width="17" style="1806" bestFit="1" customWidth="1"/>
    <col min="14595" max="14596" width="15.85546875" style="1806" bestFit="1" customWidth="1"/>
    <col min="14597" max="14597" width="14.7109375" style="1806" bestFit="1" customWidth="1"/>
    <col min="14598" max="14598" width="16.28515625" style="1806" customWidth="1"/>
    <col min="14599" max="14599" width="17" style="1806" bestFit="1" customWidth="1"/>
    <col min="14600" max="14600" width="15.85546875" style="1806" customWidth="1"/>
    <col min="14601" max="14848" width="9.140625" style="1806"/>
    <col min="14849" max="14849" width="42.5703125" style="1806" customWidth="1"/>
    <col min="14850" max="14850" width="17" style="1806" bestFit="1" customWidth="1"/>
    <col min="14851" max="14852" width="15.85546875" style="1806" bestFit="1" customWidth="1"/>
    <col min="14853" max="14853" width="14.7109375" style="1806" bestFit="1" customWidth="1"/>
    <col min="14854" max="14854" width="16.28515625" style="1806" customWidth="1"/>
    <col min="14855" max="14855" width="17" style="1806" bestFit="1" customWidth="1"/>
    <col min="14856" max="14856" width="15.85546875" style="1806" customWidth="1"/>
    <col min="14857" max="15104" width="9.140625" style="1806"/>
    <col min="15105" max="15105" width="42.5703125" style="1806" customWidth="1"/>
    <col min="15106" max="15106" width="17" style="1806" bestFit="1" customWidth="1"/>
    <col min="15107" max="15108" width="15.85546875" style="1806" bestFit="1" customWidth="1"/>
    <col min="15109" max="15109" width="14.7109375" style="1806" bestFit="1" customWidth="1"/>
    <col min="15110" max="15110" width="16.28515625" style="1806" customWidth="1"/>
    <col min="15111" max="15111" width="17" style="1806" bestFit="1" customWidth="1"/>
    <col min="15112" max="15112" width="15.85546875" style="1806" customWidth="1"/>
    <col min="15113" max="15360" width="9.140625" style="1806"/>
    <col min="15361" max="15361" width="42.5703125" style="1806" customWidth="1"/>
    <col min="15362" max="15362" width="17" style="1806" bestFit="1" customWidth="1"/>
    <col min="15363" max="15364" width="15.85546875" style="1806" bestFit="1" customWidth="1"/>
    <col min="15365" max="15365" width="14.7109375" style="1806" bestFit="1" customWidth="1"/>
    <col min="15366" max="15366" width="16.28515625" style="1806" customWidth="1"/>
    <col min="15367" max="15367" width="17" style="1806" bestFit="1" customWidth="1"/>
    <col min="15368" max="15368" width="15.85546875" style="1806" customWidth="1"/>
    <col min="15369" max="15616" width="9.140625" style="1806"/>
    <col min="15617" max="15617" width="42.5703125" style="1806" customWidth="1"/>
    <col min="15618" max="15618" width="17" style="1806" bestFit="1" customWidth="1"/>
    <col min="15619" max="15620" width="15.85546875" style="1806" bestFit="1" customWidth="1"/>
    <col min="15621" max="15621" width="14.7109375" style="1806" bestFit="1" customWidth="1"/>
    <col min="15622" max="15622" width="16.28515625" style="1806" customWidth="1"/>
    <col min="15623" max="15623" width="17" style="1806" bestFit="1" customWidth="1"/>
    <col min="15624" max="15624" width="15.85546875" style="1806" customWidth="1"/>
    <col min="15625" max="15872" width="9.140625" style="1806"/>
    <col min="15873" max="15873" width="42.5703125" style="1806" customWidth="1"/>
    <col min="15874" max="15874" width="17" style="1806" bestFit="1" customWidth="1"/>
    <col min="15875" max="15876" width="15.85546875" style="1806" bestFit="1" customWidth="1"/>
    <col min="15877" max="15877" width="14.7109375" style="1806" bestFit="1" customWidth="1"/>
    <col min="15878" max="15878" width="16.28515625" style="1806" customWidth="1"/>
    <col min="15879" max="15879" width="17" style="1806" bestFit="1" customWidth="1"/>
    <col min="15880" max="15880" width="15.85546875" style="1806" customWidth="1"/>
    <col min="15881" max="16128" width="9.140625" style="1806"/>
    <col min="16129" max="16129" width="42.5703125" style="1806" customWidth="1"/>
    <col min="16130" max="16130" width="17" style="1806" bestFit="1" customWidth="1"/>
    <col min="16131" max="16132" width="15.85546875" style="1806" bestFit="1" customWidth="1"/>
    <col min="16133" max="16133" width="14.7109375" style="1806" bestFit="1" customWidth="1"/>
    <col min="16134" max="16134" width="16.28515625" style="1806" customWidth="1"/>
    <col min="16135" max="16135" width="17" style="1806" bestFit="1" customWidth="1"/>
    <col min="16136" max="16136" width="15.85546875" style="1806" customWidth="1"/>
    <col min="16137" max="16384" width="9.140625" style="1806"/>
  </cols>
  <sheetData>
    <row r="1" spans="1:8" ht="18.75">
      <c r="A1" s="1805" t="s">
        <v>2734</v>
      </c>
      <c r="B1" s="762"/>
      <c r="C1" s="762"/>
      <c r="D1" s="762"/>
      <c r="E1" s="762"/>
      <c r="F1" s="762"/>
      <c r="G1" s="762"/>
    </row>
    <row r="2" spans="1:8" ht="13.5" thickBot="1">
      <c r="A2" s="762"/>
      <c r="B2" s="762"/>
      <c r="C2" s="762"/>
      <c r="D2" s="762"/>
      <c r="E2" s="762"/>
      <c r="F2" s="762"/>
      <c r="G2" s="1807" t="s">
        <v>26</v>
      </c>
    </row>
    <row r="3" spans="1:8" ht="14.25" thickTop="1" thickBot="1">
      <c r="A3" s="1808" t="s">
        <v>910</v>
      </c>
      <c r="B3" s="1809" t="s">
        <v>2735</v>
      </c>
      <c r="C3" s="1810"/>
      <c r="D3" s="1810"/>
      <c r="E3" s="1810"/>
      <c r="F3" s="1810"/>
      <c r="G3" s="1811"/>
    </row>
    <row r="4" spans="1:8">
      <c r="A4" s="1812"/>
      <c r="B4" s="1813" t="s">
        <v>2736</v>
      </c>
      <c r="C4" s="1814" t="s">
        <v>2737</v>
      </c>
      <c r="D4" s="1814" t="s">
        <v>2738</v>
      </c>
      <c r="E4" s="1814" t="s">
        <v>2739</v>
      </c>
      <c r="F4" s="1814" t="s">
        <v>368</v>
      </c>
      <c r="G4" s="1815" t="s">
        <v>319</v>
      </c>
    </row>
    <row r="5" spans="1:8" ht="13.5" thickBot="1">
      <c r="A5" s="1816"/>
      <c r="B5" s="1817" t="s">
        <v>2740</v>
      </c>
      <c r="C5" s="1818" t="s">
        <v>2741</v>
      </c>
      <c r="D5" s="1818"/>
      <c r="E5" s="1818" t="s">
        <v>2742</v>
      </c>
      <c r="F5" s="1818"/>
      <c r="G5" s="1819"/>
    </row>
    <row r="6" spans="1:8" ht="13.5" thickTop="1">
      <c r="A6" s="1820"/>
      <c r="B6" s="1821"/>
      <c r="C6" s="1822"/>
      <c r="D6" s="1822"/>
      <c r="E6" s="1822"/>
      <c r="F6" s="1822"/>
      <c r="G6" s="1823"/>
    </row>
    <row r="7" spans="1:8">
      <c r="A7" s="1820"/>
      <c r="B7" s="1821"/>
      <c r="C7" s="1822"/>
      <c r="D7" s="1822"/>
      <c r="E7" s="1822"/>
      <c r="F7" s="1822"/>
      <c r="G7" s="1823"/>
    </row>
    <row r="8" spans="1:8" ht="15" customHeight="1">
      <c r="A8" s="1824" t="s">
        <v>2743</v>
      </c>
      <c r="B8" s="1825">
        <v>165972711865.85782</v>
      </c>
      <c r="C8" s="1826">
        <v>17221774788.985313</v>
      </c>
      <c r="D8" s="1826">
        <v>25391924986.603729</v>
      </c>
      <c r="E8" s="1826">
        <v>1838330664.0059934</v>
      </c>
      <c r="F8" s="1826">
        <v>14815153456.606657</v>
      </c>
      <c r="G8" s="1827">
        <v>225239895762.05951</v>
      </c>
      <c r="H8" s="1828"/>
    </row>
    <row r="9" spans="1:8">
      <c r="A9" s="1824"/>
      <c r="B9" s="1829"/>
      <c r="C9" s="1830"/>
      <c r="D9" s="1830"/>
      <c r="E9" s="1830"/>
      <c r="F9" s="1830"/>
      <c r="G9" s="1827"/>
      <c r="H9" s="1828"/>
    </row>
    <row r="10" spans="1:8">
      <c r="A10" s="1820"/>
      <c r="B10" s="1678"/>
      <c r="C10" s="1831"/>
      <c r="D10" s="1831"/>
      <c r="E10" s="1831"/>
      <c r="F10" s="1831"/>
      <c r="G10" s="1832"/>
      <c r="H10" s="1828"/>
    </row>
    <row r="11" spans="1:8" ht="15" customHeight="1">
      <c r="A11" s="1824" t="s">
        <v>2744</v>
      </c>
      <c r="B11" s="1825">
        <v>2953739020.4956946</v>
      </c>
      <c r="C11" s="1826">
        <v>544807929.51514316</v>
      </c>
      <c r="D11" s="1826">
        <v>795301342.51062095</v>
      </c>
      <c r="E11" s="1826">
        <v>27248059.626113724</v>
      </c>
      <c r="F11" s="1826">
        <v>284894902.56729901</v>
      </c>
      <c r="G11" s="1827">
        <v>4605991254.7148714</v>
      </c>
      <c r="H11" s="1828"/>
    </row>
    <row r="12" spans="1:8">
      <c r="A12" s="1824"/>
      <c r="B12" s="1829"/>
      <c r="C12" s="1830"/>
      <c r="D12" s="1830"/>
      <c r="E12" s="1830"/>
      <c r="F12" s="1830"/>
      <c r="G12" s="1827"/>
      <c r="H12" s="1828"/>
    </row>
    <row r="13" spans="1:8">
      <c r="A13" s="1820"/>
      <c r="B13" s="1678"/>
      <c r="C13" s="1831"/>
      <c r="D13" s="1831"/>
      <c r="E13" s="1831"/>
      <c r="F13" s="1831"/>
      <c r="G13" s="1832"/>
      <c r="H13" s="1828"/>
    </row>
    <row r="14" spans="1:8" ht="15" customHeight="1">
      <c r="A14" s="1824" t="s">
        <v>2745</v>
      </c>
      <c r="B14" s="1825">
        <v>152978191866.14584</v>
      </c>
      <c r="C14" s="1826">
        <v>11795177555.580854</v>
      </c>
      <c r="D14" s="1826">
        <v>20143342458.948349</v>
      </c>
      <c r="E14" s="1826">
        <v>3241946584.5227909</v>
      </c>
      <c r="F14" s="1826">
        <v>7853561094.5621605</v>
      </c>
      <c r="G14" s="1827">
        <v>196012219559.75998</v>
      </c>
      <c r="H14" s="1828"/>
    </row>
    <row r="15" spans="1:8">
      <c r="A15" s="1824"/>
      <c r="B15" s="1829"/>
      <c r="C15" s="1830"/>
      <c r="D15" s="1830"/>
      <c r="E15" s="1830"/>
      <c r="F15" s="1830"/>
      <c r="G15" s="1827"/>
      <c r="H15" s="1828"/>
    </row>
    <row r="16" spans="1:8">
      <c r="A16" s="1820"/>
      <c r="B16" s="1678"/>
      <c r="C16" s="1831"/>
      <c r="D16" s="1831"/>
      <c r="E16" s="1831"/>
      <c r="F16" s="1831"/>
      <c r="G16" s="1832"/>
      <c r="H16" s="1828"/>
    </row>
    <row r="17" spans="1:8" ht="15" customHeight="1">
      <c r="A17" s="1824" t="s">
        <v>2721</v>
      </c>
      <c r="B17" s="1678">
        <v>54309124135.675308</v>
      </c>
      <c r="C17" s="1831">
        <v>4241813835.4472361</v>
      </c>
      <c r="D17" s="1831">
        <v>5480844279.6230412</v>
      </c>
      <c r="E17" s="1831">
        <v>1178610348.6101699</v>
      </c>
      <c r="F17" s="1831">
        <v>1739164288.2392774</v>
      </c>
      <c r="G17" s="1827">
        <v>66949556887.595032</v>
      </c>
      <c r="H17" s="1828"/>
    </row>
    <row r="18" spans="1:8" ht="15" customHeight="1">
      <c r="A18" s="1824" t="s">
        <v>2722</v>
      </c>
      <c r="B18" s="1678">
        <v>23852710242.657211</v>
      </c>
      <c r="C18" s="1831">
        <v>1204369256.1190295</v>
      </c>
      <c r="D18" s="1831">
        <v>458390507.33424151</v>
      </c>
      <c r="E18" s="1831">
        <v>411074224.6589855</v>
      </c>
      <c r="F18" s="1831">
        <v>677298918.59280014</v>
      </c>
      <c r="G18" s="1827">
        <v>26603843149.362267</v>
      </c>
      <c r="H18" s="1828"/>
    </row>
    <row r="19" spans="1:8" ht="15" customHeight="1">
      <c r="A19" s="1824" t="s">
        <v>2723</v>
      </c>
      <c r="B19" s="1678">
        <v>33708945204.225094</v>
      </c>
      <c r="C19" s="1831">
        <v>2084396571.6138179</v>
      </c>
      <c r="D19" s="1831">
        <v>2268492308.8193159</v>
      </c>
      <c r="E19" s="1831">
        <v>1123415419.3058677</v>
      </c>
      <c r="F19" s="1831">
        <v>746327333.8763299</v>
      </c>
      <c r="G19" s="1827">
        <v>39931576837.840424</v>
      </c>
      <c r="H19" s="1828"/>
    </row>
    <row r="20" spans="1:8" ht="15" customHeight="1">
      <c r="A20" s="1824" t="s">
        <v>2724</v>
      </c>
      <c r="B20" s="1678">
        <v>11026459485.521559</v>
      </c>
      <c r="C20" s="1831">
        <v>1006441034.2495582</v>
      </c>
      <c r="D20" s="1831">
        <v>2397034125.6588235</v>
      </c>
      <c r="E20" s="1831">
        <v>228525115.97527376</v>
      </c>
      <c r="F20" s="1831">
        <v>778081447.24962068</v>
      </c>
      <c r="G20" s="1827">
        <v>15436541208.654833</v>
      </c>
      <c r="H20" s="1828"/>
    </row>
    <row r="21" spans="1:8" ht="15" customHeight="1">
      <c r="A21" s="1824" t="s">
        <v>2725</v>
      </c>
      <c r="B21" s="1678">
        <v>25212546899.241032</v>
      </c>
      <c r="C21" s="1831">
        <v>1431479063.3806474</v>
      </c>
      <c r="D21" s="1831">
        <v>3979070682.0629296</v>
      </c>
      <c r="E21" s="1831">
        <v>291623191.16760492</v>
      </c>
      <c r="F21" s="1831">
        <v>2213527128.841485</v>
      </c>
      <c r="G21" s="1827">
        <v>33128246964.693699</v>
      </c>
      <c r="H21" s="1828"/>
    </row>
    <row r="22" spans="1:8" ht="15" customHeight="1">
      <c r="A22" s="1824" t="s">
        <v>2726</v>
      </c>
      <c r="B22" s="1678">
        <v>1580959739.7771392</v>
      </c>
      <c r="C22" s="1831">
        <v>186848591.20992288</v>
      </c>
      <c r="D22" s="1831">
        <v>732553174.51243162</v>
      </c>
      <c r="E22" s="1831">
        <v>8067317.9645333337</v>
      </c>
      <c r="F22" s="1831">
        <v>907720766.69616365</v>
      </c>
      <c r="G22" s="1827">
        <v>3416149590.1601906</v>
      </c>
      <c r="H22" s="1828"/>
    </row>
    <row r="23" spans="1:8" ht="15" customHeight="1">
      <c r="A23" s="1824" t="s">
        <v>2727</v>
      </c>
      <c r="B23" s="1678">
        <v>422725033.12767673</v>
      </c>
      <c r="C23" s="1831">
        <v>606102800.74627876</v>
      </c>
      <c r="D23" s="1831">
        <v>1060699744.4315135</v>
      </c>
      <c r="E23" s="1831">
        <v>0</v>
      </c>
      <c r="F23" s="1831">
        <v>11711910.674998334</v>
      </c>
      <c r="G23" s="1827">
        <v>2101239488.9804673</v>
      </c>
      <c r="H23" s="1828"/>
    </row>
    <row r="24" spans="1:8" ht="15" customHeight="1">
      <c r="A24" s="1824" t="s">
        <v>2728</v>
      </c>
      <c r="B24" s="1678">
        <v>735369141.76110005</v>
      </c>
      <c r="C24" s="1831">
        <v>829960379.28812432</v>
      </c>
      <c r="D24" s="1831">
        <v>71935091.393733338</v>
      </c>
      <c r="E24" s="1831">
        <v>0</v>
      </c>
      <c r="F24" s="1831">
        <v>768215605.84628689</v>
      </c>
      <c r="G24" s="1827">
        <v>2405480218.2892447</v>
      </c>
      <c r="H24" s="1828"/>
    </row>
    <row r="25" spans="1:8" ht="15" customHeight="1">
      <c r="A25" s="1824" t="s">
        <v>2729</v>
      </c>
      <c r="B25" s="1678">
        <v>141438151.90071669</v>
      </c>
      <c r="C25" s="1831">
        <v>158165353.05624002</v>
      </c>
      <c r="D25" s="1831">
        <v>539759855.15481663</v>
      </c>
      <c r="E25" s="1831">
        <v>0</v>
      </c>
      <c r="F25" s="1831">
        <v>8403980.5236000009</v>
      </c>
      <c r="G25" s="1827">
        <v>847767340.63537335</v>
      </c>
      <c r="H25" s="1828"/>
    </row>
    <row r="26" spans="1:8" ht="15" customHeight="1">
      <c r="A26" s="1824" t="s">
        <v>2730</v>
      </c>
      <c r="B26" s="1678">
        <v>532534894.92724663</v>
      </c>
      <c r="C26" s="1831">
        <v>45600670.469999999</v>
      </c>
      <c r="D26" s="1831">
        <v>219824310.70750001</v>
      </c>
      <c r="E26" s="1831">
        <v>0</v>
      </c>
      <c r="F26" s="1831">
        <v>3109714.0216000001</v>
      </c>
      <c r="G26" s="1827">
        <v>801069590.12634659</v>
      </c>
      <c r="H26" s="1828"/>
    </row>
    <row r="27" spans="1:8" ht="15" customHeight="1">
      <c r="A27" s="1824" t="s">
        <v>2731</v>
      </c>
      <c r="B27" s="1678">
        <v>1455378937.3317335</v>
      </c>
      <c r="C27" s="1831">
        <v>0</v>
      </c>
      <c r="D27" s="1831">
        <v>2934738379.25</v>
      </c>
      <c r="E27" s="1831">
        <v>630966.84035581269</v>
      </c>
      <c r="F27" s="1831">
        <v>0</v>
      </c>
      <c r="G27" s="1827">
        <v>4390748283.4220896</v>
      </c>
      <c r="H27" s="1828"/>
    </row>
    <row r="28" spans="1:8">
      <c r="A28" s="1824"/>
      <c r="B28" s="1678"/>
      <c r="C28" s="1831"/>
      <c r="D28" s="1831"/>
      <c r="E28" s="1831"/>
      <c r="F28" s="1831"/>
      <c r="G28" s="1832"/>
      <c r="H28" s="1828"/>
    </row>
    <row r="29" spans="1:8" ht="15.75" customHeight="1">
      <c r="A29" s="1824" t="s">
        <v>369</v>
      </c>
      <c r="B29" s="1825">
        <v>321904642752.49939</v>
      </c>
      <c r="C29" s="1826">
        <v>29561760274.081314</v>
      </c>
      <c r="D29" s="1826">
        <v>46330568788.062698</v>
      </c>
      <c r="E29" s="1826">
        <v>5107525308.1548977</v>
      </c>
      <c r="F29" s="1826">
        <v>22953609453.736115</v>
      </c>
      <c r="G29" s="1827">
        <v>425858106576.53436</v>
      </c>
      <c r="H29" s="1828"/>
    </row>
    <row r="30" spans="1:8" ht="13.5" thickBot="1">
      <c r="A30" s="1833"/>
      <c r="B30" s="1834"/>
      <c r="C30" s="1835"/>
      <c r="D30" s="1835"/>
      <c r="E30" s="1835"/>
      <c r="F30" s="1835"/>
      <c r="G30" s="1836"/>
      <c r="H30" s="1828"/>
    </row>
    <row r="31" spans="1:8" ht="13.5" hidden="1" thickTop="1">
      <c r="A31" s="762"/>
      <c r="B31" s="1837"/>
      <c r="C31" s="1837"/>
      <c r="D31" s="1837"/>
      <c r="E31" s="1837"/>
      <c r="F31" s="1837"/>
      <c r="G31" s="762"/>
      <c r="H31" s="1828"/>
    </row>
    <row r="32" spans="1:8" ht="13.5" thickTop="1">
      <c r="A32" s="1838" t="s">
        <v>2746</v>
      </c>
      <c r="B32" s="1839"/>
      <c r="C32" s="762"/>
      <c r="D32" s="762"/>
      <c r="E32" s="1838" t="s">
        <v>2747</v>
      </c>
      <c r="F32" s="762"/>
      <c r="G32" s="1839"/>
      <c r="H32" s="1828"/>
    </row>
    <row r="33" spans="1:12">
      <c r="A33" s="1288" t="s">
        <v>2733</v>
      </c>
      <c r="B33" s="1839"/>
      <c r="C33" s="1839"/>
      <c r="D33" s="1839"/>
      <c r="E33" s="1839"/>
      <c r="F33" s="1839"/>
      <c r="G33" s="1839"/>
      <c r="H33" s="1828"/>
      <c r="I33" s="1828"/>
      <c r="J33" s="1828"/>
      <c r="K33" s="1828"/>
      <c r="L33" s="1828"/>
    </row>
    <row r="34" spans="1:12">
      <c r="A34" s="1288" t="s">
        <v>303</v>
      </c>
      <c r="B34" s="1839"/>
      <c r="C34" s="1839"/>
      <c r="D34" s="1839"/>
      <c r="E34" s="1839"/>
      <c r="F34" s="1839"/>
      <c r="G34" s="1839"/>
      <c r="H34" s="1828"/>
      <c r="I34" s="1828"/>
      <c r="J34" s="1828"/>
      <c r="K34" s="1828"/>
      <c r="L34" s="1828"/>
    </row>
    <row r="35" spans="1:12">
      <c r="B35" s="1828"/>
      <c r="C35" s="1828"/>
      <c r="D35" s="1828"/>
      <c r="E35" s="1828"/>
      <c r="F35" s="1828"/>
      <c r="G35" s="1828"/>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A3" sqref="A3"/>
    </sheetView>
  </sheetViews>
  <sheetFormatPr defaultRowHeight="12.75"/>
  <cols>
    <col min="1" max="1" width="38.140625" style="280" customWidth="1"/>
    <col min="2" max="2" width="10.140625" style="280" customWidth="1"/>
    <col min="3" max="3" width="12.85546875" style="280" customWidth="1"/>
    <col min="4" max="4" width="11.7109375" style="280" customWidth="1"/>
    <col min="5" max="5" width="11.42578125" style="280" customWidth="1"/>
    <col min="6" max="6" width="11.28515625" style="280" customWidth="1"/>
    <col min="7" max="7" width="13.5703125" style="280" customWidth="1"/>
    <col min="8" max="8" width="10.5703125" style="280" customWidth="1"/>
    <col min="9" max="9" width="11.7109375" style="280" customWidth="1"/>
    <col min="10" max="10" width="13.7109375" style="280" customWidth="1"/>
    <col min="11" max="256" width="9.140625" style="280"/>
    <col min="257" max="257" width="38.140625" style="280" customWidth="1"/>
    <col min="258" max="258" width="10.140625" style="280" customWidth="1"/>
    <col min="259" max="259" width="12.85546875" style="280" customWidth="1"/>
    <col min="260" max="260" width="11.7109375" style="280" customWidth="1"/>
    <col min="261" max="261" width="11.42578125" style="280" customWidth="1"/>
    <col min="262" max="262" width="11.28515625" style="280" customWidth="1"/>
    <col min="263" max="263" width="13.5703125" style="280" customWidth="1"/>
    <col min="264" max="264" width="10.5703125" style="280" customWidth="1"/>
    <col min="265" max="265" width="11.7109375" style="280" customWidth="1"/>
    <col min="266" max="266" width="13.7109375" style="280" customWidth="1"/>
    <col min="267" max="512" width="9.140625" style="280"/>
    <col min="513" max="513" width="38.140625" style="280" customWidth="1"/>
    <col min="514" max="514" width="10.140625" style="280" customWidth="1"/>
    <col min="515" max="515" width="12.85546875" style="280" customWidth="1"/>
    <col min="516" max="516" width="11.7109375" style="280" customWidth="1"/>
    <col min="517" max="517" width="11.42578125" style="280" customWidth="1"/>
    <col min="518" max="518" width="11.28515625" style="280" customWidth="1"/>
    <col min="519" max="519" width="13.5703125" style="280" customWidth="1"/>
    <col min="520" max="520" width="10.5703125" style="280" customWidth="1"/>
    <col min="521" max="521" width="11.7109375" style="280" customWidth="1"/>
    <col min="522" max="522" width="13.7109375" style="280" customWidth="1"/>
    <col min="523" max="768" width="9.140625" style="280"/>
    <col min="769" max="769" width="38.140625" style="280" customWidth="1"/>
    <col min="770" max="770" width="10.140625" style="280" customWidth="1"/>
    <col min="771" max="771" width="12.85546875" style="280" customWidth="1"/>
    <col min="772" max="772" width="11.7109375" style="280" customWidth="1"/>
    <col min="773" max="773" width="11.42578125" style="280" customWidth="1"/>
    <col min="774" max="774" width="11.28515625" style="280" customWidth="1"/>
    <col min="775" max="775" width="13.5703125" style="280" customWidth="1"/>
    <col min="776" max="776" width="10.5703125" style="280" customWidth="1"/>
    <col min="777" max="777" width="11.7109375" style="280" customWidth="1"/>
    <col min="778" max="778" width="13.7109375" style="280" customWidth="1"/>
    <col min="779" max="1024" width="9.140625" style="280"/>
    <col min="1025" max="1025" width="38.140625" style="280" customWidth="1"/>
    <col min="1026" max="1026" width="10.140625" style="280" customWidth="1"/>
    <col min="1027" max="1027" width="12.85546875" style="280" customWidth="1"/>
    <col min="1028" max="1028" width="11.7109375" style="280" customWidth="1"/>
    <col min="1029" max="1029" width="11.42578125" style="280" customWidth="1"/>
    <col min="1030" max="1030" width="11.28515625" style="280" customWidth="1"/>
    <col min="1031" max="1031" width="13.5703125" style="280" customWidth="1"/>
    <col min="1032" max="1032" width="10.5703125" style="280" customWidth="1"/>
    <col min="1033" max="1033" width="11.7109375" style="280" customWidth="1"/>
    <col min="1034" max="1034" width="13.7109375" style="280" customWidth="1"/>
    <col min="1035" max="1280" width="9.140625" style="280"/>
    <col min="1281" max="1281" width="38.140625" style="280" customWidth="1"/>
    <col min="1282" max="1282" width="10.140625" style="280" customWidth="1"/>
    <col min="1283" max="1283" width="12.85546875" style="280" customWidth="1"/>
    <col min="1284" max="1284" width="11.7109375" style="280" customWidth="1"/>
    <col min="1285" max="1285" width="11.42578125" style="280" customWidth="1"/>
    <col min="1286" max="1286" width="11.28515625" style="280" customWidth="1"/>
    <col min="1287" max="1287" width="13.5703125" style="280" customWidth="1"/>
    <col min="1288" max="1288" width="10.5703125" style="280" customWidth="1"/>
    <col min="1289" max="1289" width="11.7109375" style="280" customWidth="1"/>
    <col min="1290" max="1290" width="13.7109375" style="280" customWidth="1"/>
    <col min="1291" max="1536" width="9.140625" style="280"/>
    <col min="1537" max="1537" width="38.140625" style="280" customWidth="1"/>
    <col min="1538" max="1538" width="10.140625" style="280" customWidth="1"/>
    <col min="1539" max="1539" width="12.85546875" style="280" customWidth="1"/>
    <col min="1540" max="1540" width="11.7109375" style="280" customWidth="1"/>
    <col min="1541" max="1541" width="11.42578125" style="280" customWidth="1"/>
    <col min="1542" max="1542" width="11.28515625" style="280" customWidth="1"/>
    <col min="1543" max="1543" width="13.5703125" style="280" customWidth="1"/>
    <col min="1544" max="1544" width="10.5703125" style="280" customWidth="1"/>
    <col min="1545" max="1545" width="11.7109375" style="280" customWidth="1"/>
    <col min="1546" max="1546" width="13.7109375" style="280" customWidth="1"/>
    <col min="1547" max="1792" width="9.140625" style="280"/>
    <col min="1793" max="1793" width="38.140625" style="280" customWidth="1"/>
    <col min="1794" max="1794" width="10.140625" style="280" customWidth="1"/>
    <col min="1795" max="1795" width="12.85546875" style="280" customWidth="1"/>
    <col min="1796" max="1796" width="11.7109375" style="280" customWidth="1"/>
    <col min="1797" max="1797" width="11.42578125" style="280" customWidth="1"/>
    <col min="1798" max="1798" width="11.28515625" style="280" customWidth="1"/>
    <col min="1799" max="1799" width="13.5703125" style="280" customWidth="1"/>
    <col min="1800" max="1800" width="10.5703125" style="280" customWidth="1"/>
    <col min="1801" max="1801" width="11.7109375" style="280" customWidth="1"/>
    <col min="1802" max="1802" width="13.7109375" style="280" customWidth="1"/>
    <col min="1803" max="2048" width="9.140625" style="280"/>
    <col min="2049" max="2049" width="38.140625" style="280" customWidth="1"/>
    <col min="2050" max="2050" width="10.140625" style="280" customWidth="1"/>
    <col min="2051" max="2051" width="12.85546875" style="280" customWidth="1"/>
    <col min="2052" max="2052" width="11.7109375" style="280" customWidth="1"/>
    <col min="2053" max="2053" width="11.42578125" style="280" customWidth="1"/>
    <col min="2054" max="2054" width="11.28515625" style="280" customWidth="1"/>
    <col min="2055" max="2055" width="13.5703125" style="280" customWidth="1"/>
    <col min="2056" max="2056" width="10.5703125" style="280" customWidth="1"/>
    <col min="2057" max="2057" width="11.7109375" style="280" customWidth="1"/>
    <col min="2058" max="2058" width="13.7109375" style="280" customWidth="1"/>
    <col min="2059" max="2304" width="9.140625" style="280"/>
    <col min="2305" max="2305" width="38.140625" style="280" customWidth="1"/>
    <col min="2306" max="2306" width="10.140625" style="280" customWidth="1"/>
    <col min="2307" max="2307" width="12.85546875" style="280" customWidth="1"/>
    <col min="2308" max="2308" width="11.7109375" style="280" customWidth="1"/>
    <col min="2309" max="2309" width="11.42578125" style="280" customWidth="1"/>
    <col min="2310" max="2310" width="11.28515625" style="280" customWidth="1"/>
    <col min="2311" max="2311" width="13.5703125" style="280" customWidth="1"/>
    <col min="2312" max="2312" width="10.5703125" style="280" customWidth="1"/>
    <col min="2313" max="2313" width="11.7109375" style="280" customWidth="1"/>
    <col min="2314" max="2314" width="13.7109375" style="280" customWidth="1"/>
    <col min="2315" max="2560" width="9.140625" style="280"/>
    <col min="2561" max="2561" width="38.140625" style="280" customWidth="1"/>
    <col min="2562" max="2562" width="10.140625" style="280" customWidth="1"/>
    <col min="2563" max="2563" width="12.85546875" style="280" customWidth="1"/>
    <col min="2564" max="2564" width="11.7109375" style="280" customWidth="1"/>
    <col min="2565" max="2565" width="11.42578125" style="280" customWidth="1"/>
    <col min="2566" max="2566" width="11.28515625" style="280" customWidth="1"/>
    <col min="2567" max="2567" width="13.5703125" style="280" customWidth="1"/>
    <col min="2568" max="2568" width="10.5703125" style="280" customWidth="1"/>
    <col min="2569" max="2569" width="11.7109375" style="280" customWidth="1"/>
    <col min="2570" max="2570" width="13.7109375" style="280" customWidth="1"/>
    <col min="2571" max="2816" width="9.140625" style="280"/>
    <col min="2817" max="2817" width="38.140625" style="280" customWidth="1"/>
    <col min="2818" max="2818" width="10.140625" style="280" customWidth="1"/>
    <col min="2819" max="2819" width="12.85546875" style="280" customWidth="1"/>
    <col min="2820" max="2820" width="11.7109375" style="280" customWidth="1"/>
    <col min="2821" max="2821" width="11.42578125" style="280" customWidth="1"/>
    <col min="2822" max="2822" width="11.28515625" style="280" customWidth="1"/>
    <col min="2823" max="2823" width="13.5703125" style="280" customWidth="1"/>
    <col min="2824" max="2824" width="10.5703125" style="280" customWidth="1"/>
    <col min="2825" max="2825" width="11.7109375" style="280" customWidth="1"/>
    <col min="2826" max="2826" width="13.7109375" style="280" customWidth="1"/>
    <col min="2827" max="3072" width="9.140625" style="280"/>
    <col min="3073" max="3073" width="38.140625" style="280" customWidth="1"/>
    <col min="3074" max="3074" width="10.140625" style="280" customWidth="1"/>
    <col min="3075" max="3075" width="12.85546875" style="280" customWidth="1"/>
    <col min="3076" max="3076" width="11.7109375" style="280" customWidth="1"/>
    <col min="3077" max="3077" width="11.42578125" style="280" customWidth="1"/>
    <col min="3078" max="3078" width="11.28515625" style="280" customWidth="1"/>
    <col min="3079" max="3079" width="13.5703125" style="280" customWidth="1"/>
    <col min="3080" max="3080" width="10.5703125" style="280" customWidth="1"/>
    <col min="3081" max="3081" width="11.7109375" style="280" customWidth="1"/>
    <col min="3082" max="3082" width="13.7109375" style="280" customWidth="1"/>
    <col min="3083" max="3328" width="9.140625" style="280"/>
    <col min="3329" max="3329" width="38.140625" style="280" customWidth="1"/>
    <col min="3330" max="3330" width="10.140625" style="280" customWidth="1"/>
    <col min="3331" max="3331" width="12.85546875" style="280" customWidth="1"/>
    <col min="3332" max="3332" width="11.7109375" style="280" customWidth="1"/>
    <col min="3333" max="3333" width="11.42578125" style="280" customWidth="1"/>
    <col min="3334" max="3334" width="11.28515625" style="280" customWidth="1"/>
    <col min="3335" max="3335" width="13.5703125" style="280" customWidth="1"/>
    <col min="3336" max="3336" width="10.5703125" style="280" customWidth="1"/>
    <col min="3337" max="3337" width="11.7109375" style="280" customWidth="1"/>
    <col min="3338" max="3338" width="13.7109375" style="280" customWidth="1"/>
    <col min="3339" max="3584" width="9.140625" style="280"/>
    <col min="3585" max="3585" width="38.140625" style="280" customWidth="1"/>
    <col min="3586" max="3586" width="10.140625" style="280" customWidth="1"/>
    <col min="3587" max="3587" width="12.85546875" style="280" customWidth="1"/>
    <col min="3588" max="3588" width="11.7109375" style="280" customWidth="1"/>
    <col min="3589" max="3589" width="11.42578125" style="280" customWidth="1"/>
    <col min="3590" max="3590" width="11.28515625" style="280" customWidth="1"/>
    <col min="3591" max="3591" width="13.5703125" style="280" customWidth="1"/>
    <col min="3592" max="3592" width="10.5703125" style="280" customWidth="1"/>
    <col min="3593" max="3593" width="11.7109375" style="280" customWidth="1"/>
    <col min="3594" max="3594" width="13.7109375" style="280" customWidth="1"/>
    <col min="3595" max="3840" width="9.140625" style="280"/>
    <col min="3841" max="3841" width="38.140625" style="280" customWidth="1"/>
    <col min="3842" max="3842" width="10.140625" style="280" customWidth="1"/>
    <col min="3843" max="3843" width="12.85546875" style="280" customWidth="1"/>
    <col min="3844" max="3844" width="11.7109375" style="280" customWidth="1"/>
    <col min="3845" max="3845" width="11.42578125" style="280" customWidth="1"/>
    <col min="3846" max="3846" width="11.28515625" style="280" customWidth="1"/>
    <col min="3847" max="3847" width="13.5703125" style="280" customWidth="1"/>
    <col min="3848" max="3848" width="10.5703125" style="280" customWidth="1"/>
    <col min="3849" max="3849" width="11.7109375" style="280" customWidth="1"/>
    <col min="3850" max="3850" width="13.7109375" style="280" customWidth="1"/>
    <col min="3851" max="4096" width="9.140625" style="280"/>
    <col min="4097" max="4097" width="38.140625" style="280" customWidth="1"/>
    <col min="4098" max="4098" width="10.140625" style="280" customWidth="1"/>
    <col min="4099" max="4099" width="12.85546875" style="280" customWidth="1"/>
    <col min="4100" max="4100" width="11.7109375" style="280" customWidth="1"/>
    <col min="4101" max="4101" width="11.42578125" style="280" customWidth="1"/>
    <col min="4102" max="4102" width="11.28515625" style="280" customWidth="1"/>
    <col min="4103" max="4103" width="13.5703125" style="280" customWidth="1"/>
    <col min="4104" max="4104" width="10.5703125" style="280" customWidth="1"/>
    <col min="4105" max="4105" width="11.7109375" style="280" customWidth="1"/>
    <col min="4106" max="4106" width="13.7109375" style="280" customWidth="1"/>
    <col min="4107" max="4352" width="9.140625" style="280"/>
    <col min="4353" max="4353" width="38.140625" style="280" customWidth="1"/>
    <col min="4354" max="4354" width="10.140625" style="280" customWidth="1"/>
    <col min="4355" max="4355" width="12.85546875" style="280" customWidth="1"/>
    <col min="4356" max="4356" width="11.7109375" style="280" customWidth="1"/>
    <col min="4357" max="4357" width="11.42578125" style="280" customWidth="1"/>
    <col min="4358" max="4358" width="11.28515625" style="280" customWidth="1"/>
    <col min="4359" max="4359" width="13.5703125" style="280" customWidth="1"/>
    <col min="4360" max="4360" width="10.5703125" style="280" customWidth="1"/>
    <col min="4361" max="4361" width="11.7109375" style="280" customWidth="1"/>
    <col min="4362" max="4362" width="13.7109375" style="280" customWidth="1"/>
    <col min="4363" max="4608" width="9.140625" style="280"/>
    <col min="4609" max="4609" width="38.140625" style="280" customWidth="1"/>
    <col min="4610" max="4610" width="10.140625" style="280" customWidth="1"/>
    <col min="4611" max="4611" width="12.85546875" style="280" customWidth="1"/>
    <col min="4612" max="4612" width="11.7109375" style="280" customWidth="1"/>
    <col min="4613" max="4613" width="11.42578125" style="280" customWidth="1"/>
    <col min="4614" max="4614" width="11.28515625" style="280" customWidth="1"/>
    <col min="4615" max="4615" width="13.5703125" style="280" customWidth="1"/>
    <col min="4616" max="4616" width="10.5703125" style="280" customWidth="1"/>
    <col min="4617" max="4617" width="11.7109375" style="280" customWidth="1"/>
    <col min="4618" max="4618" width="13.7109375" style="280" customWidth="1"/>
    <col min="4619" max="4864" width="9.140625" style="280"/>
    <col min="4865" max="4865" width="38.140625" style="280" customWidth="1"/>
    <col min="4866" max="4866" width="10.140625" style="280" customWidth="1"/>
    <col min="4867" max="4867" width="12.85546875" style="280" customWidth="1"/>
    <col min="4868" max="4868" width="11.7109375" style="280" customWidth="1"/>
    <col min="4869" max="4869" width="11.42578125" style="280" customWidth="1"/>
    <col min="4870" max="4870" width="11.28515625" style="280" customWidth="1"/>
    <col min="4871" max="4871" width="13.5703125" style="280" customWidth="1"/>
    <col min="4872" max="4872" width="10.5703125" style="280" customWidth="1"/>
    <col min="4873" max="4873" width="11.7109375" style="280" customWidth="1"/>
    <col min="4874" max="4874" width="13.7109375" style="280" customWidth="1"/>
    <col min="4875" max="5120" width="9.140625" style="280"/>
    <col min="5121" max="5121" width="38.140625" style="280" customWidth="1"/>
    <col min="5122" max="5122" width="10.140625" style="280" customWidth="1"/>
    <col min="5123" max="5123" width="12.85546875" style="280" customWidth="1"/>
    <col min="5124" max="5124" width="11.7109375" style="280" customWidth="1"/>
    <col min="5125" max="5125" width="11.42578125" style="280" customWidth="1"/>
    <col min="5126" max="5126" width="11.28515625" style="280" customWidth="1"/>
    <col min="5127" max="5127" width="13.5703125" style="280" customWidth="1"/>
    <col min="5128" max="5128" width="10.5703125" style="280" customWidth="1"/>
    <col min="5129" max="5129" width="11.7109375" style="280" customWidth="1"/>
    <col min="5130" max="5130" width="13.7109375" style="280" customWidth="1"/>
    <col min="5131" max="5376" width="9.140625" style="280"/>
    <col min="5377" max="5377" width="38.140625" style="280" customWidth="1"/>
    <col min="5378" max="5378" width="10.140625" style="280" customWidth="1"/>
    <col min="5379" max="5379" width="12.85546875" style="280" customWidth="1"/>
    <col min="5380" max="5380" width="11.7109375" style="280" customWidth="1"/>
    <col min="5381" max="5381" width="11.42578125" style="280" customWidth="1"/>
    <col min="5382" max="5382" width="11.28515625" style="280" customWidth="1"/>
    <col min="5383" max="5383" width="13.5703125" style="280" customWidth="1"/>
    <col min="5384" max="5384" width="10.5703125" style="280" customWidth="1"/>
    <col min="5385" max="5385" width="11.7109375" style="280" customWidth="1"/>
    <col min="5386" max="5386" width="13.7109375" style="280" customWidth="1"/>
    <col min="5387" max="5632" width="9.140625" style="280"/>
    <col min="5633" max="5633" width="38.140625" style="280" customWidth="1"/>
    <col min="5634" max="5634" width="10.140625" style="280" customWidth="1"/>
    <col min="5635" max="5635" width="12.85546875" style="280" customWidth="1"/>
    <col min="5636" max="5636" width="11.7109375" style="280" customWidth="1"/>
    <col min="5637" max="5637" width="11.42578125" style="280" customWidth="1"/>
    <col min="5638" max="5638" width="11.28515625" style="280" customWidth="1"/>
    <col min="5639" max="5639" width="13.5703125" style="280" customWidth="1"/>
    <col min="5640" max="5640" width="10.5703125" style="280" customWidth="1"/>
    <col min="5641" max="5641" width="11.7109375" style="280" customWidth="1"/>
    <col min="5642" max="5642" width="13.7109375" style="280" customWidth="1"/>
    <col min="5643" max="5888" width="9.140625" style="280"/>
    <col min="5889" max="5889" width="38.140625" style="280" customWidth="1"/>
    <col min="5890" max="5890" width="10.140625" style="280" customWidth="1"/>
    <col min="5891" max="5891" width="12.85546875" style="280" customWidth="1"/>
    <col min="5892" max="5892" width="11.7109375" style="280" customWidth="1"/>
    <col min="5893" max="5893" width="11.42578125" style="280" customWidth="1"/>
    <col min="5894" max="5894" width="11.28515625" style="280" customWidth="1"/>
    <col min="5895" max="5895" width="13.5703125" style="280" customWidth="1"/>
    <col min="5896" max="5896" width="10.5703125" style="280" customWidth="1"/>
    <col min="5897" max="5897" width="11.7109375" style="280" customWidth="1"/>
    <col min="5898" max="5898" width="13.7109375" style="280" customWidth="1"/>
    <col min="5899" max="6144" width="9.140625" style="280"/>
    <col min="6145" max="6145" width="38.140625" style="280" customWidth="1"/>
    <col min="6146" max="6146" width="10.140625" style="280" customWidth="1"/>
    <col min="6147" max="6147" width="12.85546875" style="280" customWidth="1"/>
    <col min="6148" max="6148" width="11.7109375" style="280" customWidth="1"/>
    <col min="6149" max="6149" width="11.42578125" style="280" customWidth="1"/>
    <col min="6150" max="6150" width="11.28515625" style="280" customWidth="1"/>
    <col min="6151" max="6151" width="13.5703125" style="280" customWidth="1"/>
    <col min="6152" max="6152" width="10.5703125" style="280" customWidth="1"/>
    <col min="6153" max="6153" width="11.7109375" style="280" customWidth="1"/>
    <col min="6154" max="6154" width="13.7109375" style="280" customWidth="1"/>
    <col min="6155" max="6400" width="9.140625" style="280"/>
    <col min="6401" max="6401" width="38.140625" style="280" customWidth="1"/>
    <col min="6402" max="6402" width="10.140625" style="280" customWidth="1"/>
    <col min="6403" max="6403" width="12.85546875" style="280" customWidth="1"/>
    <col min="6404" max="6404" width="11.7109375" style="280" customWidth="1"/>
    <col min="6405" max="6405" width="11.42578125" style="280" customWidth="1"/>
    <col min="6406" max="6406" width="11.28515625" style="280" customWidth="1"/>
    <col min="6407" max="6407" width="13.5703125" style="280" customWidth="1"/>
    <col min="6408" max="6408" width="10.5703125" style="280" customWidth="1"/>
    <col min="6409" max="6409" width="11.7109375" style="280" customWidth="1"/>
    <col min="6410" max="6410" width="13.7109375" style="280" customWidth="1"/>
    <col min="6411" max="6656" width="9.140625" style="280"/>
    <col min="6657" max="6657" width="38.140625" style="280" customWidth="1"/>
    <col min="6658" max="6658" width="10.140625" style="280" customWidth="1"/>
    <col min="6659" max="6659" width="12.85546875" style="280" customWidth="1"/>
    <col min="6660" max="6660" width="11.7109375" style="280" customWidth="1"/>
    <col min="6661" max="6661" width="11.42578125" style="280" customWidth="1"/>
    <col min="6662" max="6662" width="11.28515625" style="280" customWidth="1"/>
    <col min="6663" max="6663" width="13.5703125" style="280" customWidth="1"/>
    <col min="6664" max="6664" width="10.5703125" style="280" customWidth="1"/>
    <col min="6665" max="6665" width="11.7109375" style="280" customWidth="1"/>
    <col min="6666" max="6666" width="13.7109375" style="280" customWidth="1"/>
    <col min="6667" max="6912" width="9.140625" style="280"/>
    <col min="6913" max="6913" width="38.140625" style="280" customWidth="1"/>
    <col min="6914" max="6914" width="10.140625" style="280" customWidth="1"/>
    <col min="6915" max="6915" width="12.85546875" style="280" customWidth="1"/>
    <col min="6916" max="6916" width="11.7109375" style="280" customWidth="1"/>
    <col min="6917" max="6917" width="11.42578125" style="280" customWidth="1"/>
    <col min="6918" max="6918" width="11.28515625" style="280" customWidth="1"/>
    <col min="6919" max="6919" width="13.5703125" style="280" customWidth="1"/>
    <col min="6920" max="6920" width="10.5703125" style="280" customWidth="1"/>
    <col min="6921" max="6921" width="11.7109375" style="280" customWidth="1"/>
    <col min="6922" max="6922" width="13.7109375" style="280" customWidth="1"/>
    <col min="6923" max="7168" width="9.140625" style="280"/>
    <col min="7169" max="7169" width="38.140625" style="280" customWidth="1"/>
    <col min="7170" max="7170" width="10.140625" style="280" customWidth="1"/>
    <col min="7171" max="7171" width="12.85546875" style="280" customWidth="1"/>
    <col min="7172" max="7172" width="11.7109375" style="280" customWidth="1"/>
    <col min="7173" max="7173" width="11.42578125" style="280" customWidth="1"/>
    <col min="7174" max="7174" width="11.28515625" style="280" customWidth="1"/>
    <col min="7175" max="7175" width="13.5703125" style="280" customWidth="1"/>
    <col min="7176" max="7176" width="10.5703125" style="280" customWidth="1"/>
    <col min="7177" max="7177" width="11.7109375" style="280" customWidth="1"/>
    <col min="7178" max="7178" width="13.7109375" style="280" customWidth="1"/>
    <col min="7179" max="7424" width="9.140625" style="280"/>
    <col min="7425" max="7425" width="38.140625" style="280" customWidth="1"/>
    <col min="7426" max="7426" width="10.140625" style="280" customWidth="1"/>
    <col min="7427" max="7427" width="12.85546875" style="280" customWidth="1"/>
    <col min="7428" max="7428" width="11.7109375" style="280" customWidth="1"/>
    <col min="7429" max="7429" width="11.42578125" style="280" customWidth="1"/>
    <col min="7430" max="7430" width="11.28515625" style="280" customWidth="1"/>
    <col min="7431" max="7431" width="13.5703125" style="280" customWidth="1"/>
    <col min="7432" max="7432" width="10.5703125" style="280" customWidth="1"/>
    <col min="7433" max="7433" width="11.7109375" style="280" customWidth="1"/>
    <col min="7434" max="7434" width="13.7109375" style="280" customWidth="1"/>
    <col min="7435" max="7680" width="9.140625" style="280"/>
    <col min="7681" max="7681" width="38.140625" style="280" customWidth="1"/>
    <col min="7682" max="7682" width="10.140625" style="280" customWidth="1"/>
    <col min="7683" max="7683" width="12.85546875" style="280" customWidth="1"/>
    <col min="7684" max="7684" width="11.7109375" style="280" customWidth="1"/>
    <col min="7685" max="7685" width="11.42578125" style="280" customWidth="1"/>
    <col min="7686" max="7686" width="11.28515625" style="280" customWidth="1"/>
    <col min="7687" max="7687" width="13.5703125" style="280" customWidth="1"/>
    <col min="7688" max="7688" width="10.5703125" style="280" customWidth="1"/>
    <col min="7689" max="7689" width="11.7109375" style="280" customWidth="1"/>
    <col min="7690" max="7690" width="13.7109375" style="280" customWidth="1"/>
    <col min="7691" max="7936" width="9.140625" style="280"/>
    <col min="7937" max="7937" width="38.140625" style="280" customWidth="1"/>
    <col min="7938" max="7938" width="10.140625" style="280" customWidth="1"/>
    <col min="7939" max="7939" width="12.85546875" style="280" customWidth="1"/>
    <col min="7940" max="7940" width="11.7109375" style="280" customWidth="1"/>
    <col min="7941" max="7941" width="11.42578125" style="280" customWidth="1"/>
    <col min="7942" max="7942" width="11.28515625" style="280" customWidth="1"/>
    <col min="7943" max="7943" width="13.5703125" style="280" customWidth="1"/>
    <col min="7944" max="7944" width="10.5703125" style="280" customWidth="1"/>
    <col min="7945" max="7945" width="11.7109375" style="280" customWidth="1"/>
    <col min="7946" max="7946" width="13.7109375" style="280" customWidth="1"/>
    <col min="7947" max="8192" width="9.140625" style="280"/>
    <col min="8193" max="8193" width="38.140625" style="280" customWidth="1"/>
    <col min="8194" max="8194" width="10.140625" style="280" customWidth="1"/>
    <col min="8195" max="8195" width="12.85546875" style="280" customWidth="1"/>
    <col min="8196" max="8196" width="11.7109375" style="280" customWidth="1"/>
    <col min="8197" max="8197" width="11.42578125" style="280" customWidth="1"/>
    <col min="8198" max="8198" width="11.28515625" style="280" customWidth="1"/>
    <col min="8199" max="8199" width="13.5703125" style="280" customWidth="1"/>
    <col min="8200" max="8200" width="10.5703125" style="280" customWidth="1"/>
    <col min="8201" max="8201" width="11.7109375" style="280" customWidth="1"/>
    <col min="8202" max="8202" width="13.7109375" style="280" customWidth="1"/>
    <col min="8203" max="8448" width="9.140625" style="280"/>
    <col min="8449" max="8449" width="38.140625" style="280" customWidth="1"/>
    <col min="8450" max="8450" width="10.140625" style="280" customWidth="1"/>
    <col min="8451" max="8451" width="12.85546875" style="280" customWidth="1"/>
    <col min="8452" max="8452" width="11.7109375" style="280" customWidth="1"/>
    <col min="8453" max="8453" width="11.42578125" style="280" customWidth="1"/>
    <col min="8454" max="8454" width="11.28515625" style="280" customWidth="1"/>
    <col min="8455" max="8455" width="13.5703125" style="280" customWidth="1"/>
    <col min="8456" max="8456" width="10.5703125" style="280" customWidth="1"/>
    <col min="8457" max="8457" width="11.7109375" style="280" customWidth="1"/>
    <col min="8458" max="8458" width="13.7109375" style="280" customWidth="1"/>
    <col min="8459" max="8704" width="9.140625" style="280"/>
    <col min="8705" max="8705" width="38.140625" style="280" customWidth="1"/>
    <col min="8706" max="8706" width="10.140625" style="280" customWidth="1"/>
    <col min="8707" max="8707" width="12.85546875" style="280" customWidth="1"/>
    <col min="8708" max="8708" width="11.7109375" style="280" customWidth="1"/>
    <col min="8709" max="8709" width="11.42578125" style="280" customWidth="1"/>
    <col min="8710" max="8710" width="11.28515625" style="280" customWidth="1"/>
    <col min="8711" max="8711" width="13.5703125" style="280" customWidth="1"/>
    <col min="8712" max="8712" width="10.5703125" style="280" customWidth="1"/>
    <col min="8713" max="8713" width="11.7109375" style="280" customWidth="1"/>
    <col min="8714" max="8714" width="13.7109375" style="280" customWidth="1"/>
    <col min="8715" max="8960" width="9.140625" style="280"/>
    <col min="8961" max="8961" width="38.140625" style="280" customWidth="1"/>
    <col min="8962" max="8962" width="10.140625" style="280" customWidth="1"/>
    <col min="8963" max="8963" width="12.85546875" style="280" customWidth="1"/>
    <col min="8964" max="8964" width="11.7109375" style="280" customWidth="1"/>
    <col min="8965" max="8965" width="11.42578125" style="280" customWidth="1"/>
    <col min="8966" max="8966" width="11.28515625" style="280" customWidth="1"/>
    <col min="8967" max="8967" width="13.5703125" style="280" customWidth="1"/>
    <col min="8968" max="8968" width="10.5703125" style="280" customWidth="1"/>
    <col min="8969" max="8969" width="11.7109375" style="280" customWidth="1"/>
    <col min="8970" max="8970" width="13.7109375" style="280" customWidth="1"/>
    <col min="8971" max="9216" width="9.140625" style="280"/>
    <col min="9217" max="9217" width="38.140625" style="280" customWidth="1"/>
    <col min="9218" max="9218" width="10.140625" style="280" customWidth="1"/>
    <col min="9219" max="9219" width="12.85546875" style="280" customWidth="1"/>
    <col min="9220" max="9220" width="11.7109375" style="280" customWidth="1"/>
    <col min="9221" max="9221" width="11.42578125" style="280" customWidth="1"/>
    <col min="9222" max="9222" width="11.28515625" style="280" customWidth="1"/>
    <col min="9223" max="9223" width="13.5703125" style="280" customWidth="1"/>
    <col min="9224" max="9224" width="10.5703125" style="280" customWidth="1"/>
    <col min="9225" max="9225" width="11.7109375" style="280" customWidth="1"/>
    <col min="9226" max="9226" width="13.7109375" style="280" customWidth="1"/>
    <col min="9227" max="9472" width="9.140625" style="280"/>
    <col min="9473" max="9473" width="38.140625" style="280" customWidth="1"/>
    <col min="9474" max="9474" width="10.140625" style="280" customWidth="1"/>
    <col min="9475" max="9475" width="12.85546875" style="280" customWidth="1"/>
    <col min="9476" max="9476" width="11.7109375" style="280" customWidth="1"/>
    <col min="9477" max="9477" width="11.42578125" style="280" customWidth="1"/>
    <col min="9478" max="9478" width="11.28515625" style="280" customWidth="1"/>
    <col min="9479" max="9479" width="13.5703125" style="280" customWidth="1"/>
    <col min="9480" max="9480" width="10.5703125" style="280" customWidth="1"/>
    <col min="9481" max="9481" width="11.7109375" style="280" customWidth="1"/>
    <col min="9482" max="9482" width="13.7109375" style="280" customWidth="1"/>
    <col min="9483" max="9728" width="9.140625" style="280"/>
    <col min="9729" max="9729" width="38.140625" style="280" customWidth="1"/>
    <col min="9730" max="9730" width="10.140625" style="280" customWidth="1"/>
    <col min="9731" max="9731" width="12.85546875" style="280" customWidth="1"/>
    <col min="9732" max="9732" width="11.7109375" style="280" customWidth="1"/>
    <col min="9733" max="9733" width="11.42578125" style="280" customWidth="1"/>
    <col min="9734" max="9734" width="11.28515625" style="280" customWidth="1"/>
    <col min="9735" max="9735" width="13.5703125" style="280" customWidth="1"/>
    <col min="9736" max="9736" width="10.5703125" style="280" customWidth="1"/>
    <col min="9737" max="9737" width="11.7109375" style="280" customWidth="1"/>
    <col min="9738" max="9738" width="13.7109375" style="280" customWidth="1"/>
    <col min="9739" max="9984" width="9.140625" style="280"/>
    <col min="9985" max="9985" width="38.140625" style="280" customWidth="1"/>
    <col min="9986" max="9986" width="10.140625" style="280" customWidth="1"/>
    <col min="9987" max="9987" width="12.85546875" style="280" customWidth="1"/>
    <col min="9988" max="9988" width="11.7109375" style="280" customWidth="1"/>
    <col min="9989" max="9989" width="11.42578125" style="280" customWidth="1"/>
    <col min="9990" max="9990" width="11.28515625" style="280" customWidth="1"/>
    <col min="9991" max="9991" width="13.5703125" style="280" customWidth="1"/>
    <col min="9992" max="9992" width="10.5703125" style="280" customWidth="1"/>
    <col min="9993" max="9993" width="11.7109375" style="280" customWidth="1"/>
    <col min="9994" max="9994" width="13.7109375" style="280" customWidth="1"/>
    <col min="9995" max="10240" width="9.140625" style="280"/>
    <col min="10241" max="10241" width="38.140625" style="280" customWidth="1"/>
    <col min="10242" max="10242" width="10.140625" style="280" customWidth="1"/>
    <col min="10243" max="10243" width="12.85546875" style="280" customWidth="1"/>
    <col min="10244" max="10244" width="11.7109375" style="280" customWidth="1"/>
    <col min="10245" max="10245" width="11.42578125" style="280" customWidth="1"/>
    <col min="10246" max="10246" width="11.28515625" style="280" customWidth="1"/>
    <col min="10247" max="10247" width="13.5703125" style="280" customWidth="1"/>
    <col min="10248" max="10248" width="10.5703125" style="280" customWidth="1"/>
    <col min="10249" max="10249" width="11.7109375" style="280" customWidth="1"/>
    <col min="10250" max="10250" width="13.7109375" style="280" customWidth="1"/>
    <col min="10251" max="10496" width="9.140625" style="280"/>
    <col min="10497" max="10497" width="38.140625" style="280" customWidth="1"/>
    <col min="10498" max="10498" width="10.140625" style="280" customWidth="1"/>
    <col min="10499" max="10499" width="12.85546875" style="280" customWidth="1"/>
    <col min="10500" max="10500" width="11.7109375" style="280" customWidth="1"/>
    <col min="10501" max="10501" width="11.42578125" style="280" customWidth="1"/>
    <col min="10502" max="10502" width="11.28515625" style="280" customWidth="1"/>
    <col min="10503" max="10503" width="13.5703125" style="280" customWidth="1"/>
    <col min="10504" max="10504" width="10.5703125" style="280" customWidth="1"/>
    <col min="10505" max="10505" width="11.7109375" style="280" customWidth="1"/>
    <col min="10506" max="10506" width="13.7109375" style="280" customWidth="1"/>
    <col min="10507" max="10752" width="9.140625" style="280"/>
    <col min="10753" max="10753" width="38.140625" style="280" customWidth="1"/>
    <col min="10754" max="10754" width="10.140625" style="280" customWidth="1"/>
    <col min="10755" max="10755" width="12.85546875" style="280" customWidth="1"/>
    <col min="10756" max="10756" width="11.7109375" style="280" customWidth="1"/>
    <col min="10757" max="10757" width="11.42578125" style="280" customWidth="1"/>
    <col min="10758" max="10758" width="11.28515625" style="280" customWidth="1"/>
    <col min="10759" max="10759" width="13.5703125" style="280" customWidth="1"/>
    <col min="10760" max="10760" width="10.5703125" style="280" customWidth="1"/>
    <col min="10761" max="10761" width="11.7109375" style="280" customWidth="1"/>
    <col min="10762" max="10762" width="13.7109375" style="280" customWidth="1"/>
    <col min="10763" max="11008" width="9.140625" style="280"/>
    <col min="11009" max="11009" width="38.140625" style="280" customWidth="1"/>
    <col min="11010" max="11010" width="10.140625" style="280" customWidth="1"/>
    <col min="11011" max="11011" width="12.85546875" style="280" customWidth="1"/>
    <col min="11012" max="11012" width="11.7109375" style="280" customWidth="1"/>
    <col min="11013" max="11013" width="11.42578125" style="280" customWidth="1"/>
    <col min="11014" max="11014" width="11.28515625" style="280" customWidth="1"/>
    <col min="11015" max="11015" width="13.5703125" style="280" customWidth="1"/>
    <col min="11016" max="11016" width="10.5703125" style="280" customWidth="1"/>
    <col min="11017" max="11017" width="11.7109375" style="280" customWidth="1"/>
    <col min="11018" max="11018" width="13.7109375" style="280" customWidth="1"/>
    <col min="11019" max="11264" width="9.140625" style="280"/>
    <col min="11265" max="11265" width="38.140625" style="280" customWidth="1"/>
    <col min="11266" max="11266" width="10.140625" style="280" customWidth="1"/>
    <col min="11267" max="11267" width="12.85546875" style="280" customWidth="1"/>
    <col min="11268" max="11268" width="11.7109375" style="280" customWidth="1"/>
    <col min="11269" max="11269" width="11.42578125" style="280" customWidth="1"/>
    <col min="11270" max="11270" width="11.28515625" style="280" customWidth="1"/>
    <col min="11271" max="11271" width="13.5703125" style="280" customWidth="1"/>
    <col min="11272" max="11272" width="10.5703125" style="280" customWidth="1"/>
    <col min="11273" max="11273" width="11.7109375" style="280" customWidth="1"/>
    <col min="11274" max="11274" width="13.7109375" style="280" customWidth="1"/>
    <col min="11275" max="11520" width="9.140625" style="280"/>
    <col min="11521" max="11521" width="38.140625" style="280" customWidth="1"/>
    <col min="11522" max="11522" width="10.140625" style="280" customWidth="1"/>
    <col min="11523" max="11523" width="12.85546875" style="280" customWidth="1"/>
    <col min="11524" max="11524" width="11.7109375" style="280" customWidth="1"/>
    <col min="11525" max="11525" width="11.42578125" style="280" customWidth="1"/>
    <col min="11526" max="11526" width="11.28515625" style="280" customWidth="1"/>
    <col min="11527" max="11527" width="13.5703125" style="280" customWidth="1"/>
    <col min="11528" max="11528" width="10.5703125" style="280" customWidth="1"/>
    <col min="11529" max="11529" width="11.7109375" style="280" customWidth="1"/>
    <col min="11530" max="11530" width="13.7109375" style="280" customWidth="1"/>
    <col min="11531" max="11776" width="9.140625" style="280"/>
    <col min="11777" max="11777" width="38.140625" style="280" customWidth="1"/>
    <col min="11778" max="11778" width="10.140625" style="280" customWidth="1"/>
    <col min="11779" max="11779" width="12.85546875" style="280" customWidth="1"/>
    <col min="11780" max="11780" width="11.7109375" style="280" customWidth="1"/>
    <col min="11781" max="11781" width="11.42578125" style="280" customWidth="1"/>
    <col min="11782" max="11782" width="11.28515625" style="280" customWidth="1"/>
    <col min="11783" max="11783" width="13.5703125" style="280" customWidth="1"/>
    <col min="11784" max="11784" width="10.5703125" style="280" customWidth="1"/>
    <col min="11785" max="11785" width="11.7109375" style="280" customWidth="1"/>
    <col min="11786" max="11786" width="13.7109375" style="280" customWidth="1"/>
    <col min="11787" max="12032" width="9.140625" style="280"/>
    <col min="12033" max="12033" width="38.140625" style="280" customWidth="1"/>
    <col min="12034" max="12034" width="10.140625" style="280" customWidth="1"/>
    <col min="12035" max="12035" width="12.85546875" style="280" customWidth="1"/>
    <col min="12036" max="12036" width="11.7109375" style="280" customWidth="1"/>
    <col min="12037" max="12037" width="11.42578125" style="280" customWidth="1"/>
    <col min="12038" max="12038" width="11.28515625" style="280" customWidth="1"/>
    <col min="12039" max="12039" width="13.5703125" style="280" customWidth="1"/>
    <col min="12040" max="12040" width="10.5703125" style="280" customWidth="1"/>
    <col min="12041" max="12041" width="11.7109375" style="280" customWidth="1"/>
    <col min="12042" max="12042" width="13.7109375" style="280" customWidth="1"/>
    <col min="12043" max="12288" width="9.140625" style="280"/>
    <col min="12289" max="12289" width="38.140625" style="280" customWidth="1"/>
    <col min="12290" max="12290" width="10.140625" style="280" customWidth="1"/>
    <col min="12291" max="12291" width="12.85546875" style="280" customWidth="1"/>
    <col min="12292" max="12292" width="11.7109375" style="280" customWidth="1"/>
    <col min="12293" max="12293" width="11.42578125" style="280" customWidth="1"/>
    <col min="12294" max="12294" width="11.28515625" style="280" customWidth="1"/>
    <col min="12295" max="12295" width="13.5703125" style="280" customWidth="1"/>
    <col min="12296" max="12296" width="10.5703125" style="280" customWidth="1"/>
    <col min="12297" max="12297" width="11.7109375" style="280" customWidth="1"/>
    <col min="12298" max="12298" width="13.7109375" style="280" customWidth="1"/>
    <col min="12299" max="12544" width="9.140625" style="280"/>
    <col min="12545" max="12545" width="38.140625" style="280" customWidth="1"/>
    <col min="12546" max="12546" width="10.140625" style="280" customWidth="1"/>
    <col min="12547" max="12547" width="12.85546875" style="280" customWidth="1"/>
    <col min="12548" max="12548" width="11.7109375" style="280" customWidth="1"/>
    <col min="12549" max="12549" width="11.42578125" style="280" customWidth="1"/>
    <col min="12550" max="12550" width="11.28515625" style="280" customWidth="1"/>
    <col min="12551" max="12551" width="13.5703125" style="280" customWidth="1"/>
    <col min="12552" max="12552" width="10.5703125" style="280" customWidth="1"/>
    <col min="12553" max="12553" width="11.7109375" style="280" customWidth="1"/>
    <col min="12554" max="12554" width="13.7109375" style="280" customWidth="1"/>
    <col min="12555" max="12800" width="9.140625" style="280"/>
    <col min="12801" max="12801" width="38.140625" style="280" customWidth="1"/>
    <col min="12802" max="12802" width="10.140625" style="280" customWidth="1"/>
    <col min="12803" max="12803" width="12.85546875" style="280" customWidth="1"/>
    <col min="12804" max="12804" width="11.7109375" style="280" customWidth="1"/>
    <col min="12805" max="12805" width="11.42578125" style="280" customWidth="1"/>
    <col min="12806" max="12806" width="11.28515625" style="280" customWidth="1"/>
    <col min="12807" max="12807" width="13.5703125" style="280" customWidth="1"/>
    <col min="12808" max="12808" width="10.5703125" style="280" customWidth="1"/>
    <col min="12809" max="12809" width="11.7109375" style="280" customWidth="1"/>
    <col min="12810" max="12810" width="13.7109375" style="280" customWidth="1"/>
    <col min="12811" max="13056" width="9.140625" style="280"/>
    <col min="13057" max="13057" width="38.140625" style="280" customWidth="1"/>
    <col min="13058" max="13058" width="10.140625" style="280" customWidth="1"/>
    <col min="13059" max="13059" width="12.85546875" style="280" customWidth="1"/>
    <col min="13060" max="13060" width="11.7109375" style="280" customWidth="1"/>
    <col min="13061" max="13061" width="11.42578125" style="280" customWidth="1"/>
    <col min="13062" max="13062" width="11.28515625" style="280" customWidth="1"/>
    <col min="13063" max="13063" width="13.5703125" style="280" customWidth="1"/>
    <col min="13064" max="13064" width="10.5703125" style="280" customWidth="1"/>
    <col min="13065" max="13065" width="11.7109375" style="280" customWidth="1"/>
    <col min="13066" max="13066" width="13.7109375" style="280" customWidth="1"/>
    <col min="13067" max="13312" width="9.140625" style="280"/>
    <col min="13313" max="13313" width="38.140625" style="280" customWidth="1"/>
    <col min="13314" max="13314" width="10.140625" style="280" customWidth="1"/>
    <col min="13315" max="13315" width="12.85546875" style="280" customWidth="1"/>
    <col min="13316" max="13316" width="11.7109375" style="280" customWidth="1"/>
    <col min="13317" max="13317" width="11.42578125" style="280" customWidth="1"/>
    <col min="13318" max="13318" width="11.28515625" style="280" customWidth="1"/>
    <col min="13319" max="13319" width="13.5703125" style="280" customWidth="1"/>
    <col min="13320" max="13320" width="10.5703125" style="280" customWidth="1"/>
    <col min="13321" max="13321" width="11.7109375" style="280" customWidth="1"/>
    <col min="13322" max="13322" width="13.7109375" style="280" customWidth="1"/>
    <col min="13323" max="13568" width="9.140625" style="280"/>
    <col min="13569" max="13569" width="38.140625" style="280" customWidth="1"/>
    <col min="13570" max="13570" width="10.140625" style="280" customWidth="1"/>
    <col min="13571" max="13571" width="12.85546875" style="280" customWidth="1"/>
    <col min="13572" max="13572" width="11.7109375" style="280" customWidth="1"/>
    <col min="13573" max="13573" width="11.42578125" style="280" customWidth="1"/>
    <col min="13574" max="13574" width="11.28515625" style="280" customWidth="1"/>
    <col min="13575" max="13575" width="13.5703125" style="280" customWidth="1"/>
    <col min="13576" max="13576" width="10.5703125" style="280" customWidth="1"/>
    <col min="13577" max="13577" width="11.7109375" style="280" customWidth="1"/>
    <col min="13578" max="13578" width="13.7109375" style="280" customWidth="1"/>
    <col min="13579" max="13824" width="9.140625" style="280"/>
    <col min="13825" max="13825" width="38.140625" style="280" customWidth="1"/>
    <col min="13826" max="13826" width="10.140625" style="280" customWidth="1"/>
    <col min="13827" max="13827" width="12.85546875" style="280" customWidth="1"/>
    <col min="13828" max="13828" width="11.7109375" style="280" customWidth="1"/>
    <col min="13829" max="13829" width="11.42578125" style="280" customWidth="1"/>
    <col min="13830" max="13830" width="11.28515625" style="280" customWidth="1"/>
    <col min="13831" max="13831" width="13.5703125" style="280" customWidth="1"/>
    <col min="13832" max="13832" width="10.5703125" style="280" customWidth="1"/>
    <col min="13833" max="13833" width="11.7109375" style="280" customWidth="1"/>
    <col min="13834" max="13834" width="13.7109375" style="280" customWidth="1"/>
    <col min="13835" max="14080" width="9.140625" style="280"/>
    <col min="14081" max="14081" width="38.140625" style="280" customWidth="1"/>
    <col min="14082" max="14082" width="10.140625" style="280" customWidth="1"/>
    <col min="14083" max="14083" width="12.85546875" style="280" customWidth="1"/>
    <col min="14084" max="14084" width="11.7109375" style="280" customWidth="1"/>
    <col min="14085" max="14085" width="11.42578125" style="280" customWidth="1"/>
    <col min="14086" max="14086" width="11.28515625" style="280" customWidth="1"/>
    <col min="14087" max="14087" width="13.5703125" style="280" customWidth="1"/>
    <col min="14088" max="14088" width="10.5703125" style="280" customWidth="1"/>
    <col min="14089" max="14089" width="11.7109375" style="280" customWidth="1"/>
    <col min="14090" max="14090" width="13.7109375" style="280" customWidth="1"/>
    <col min="14091" max="14336" width="9.140625" style="280"/>
    <col min="14337" max="14337" width="38.140625" style="280" customWidth="1"/>
    <col min="14338" max="14338" width="10.140625" style="280" customWidth="1"/>
    <col min="14339" max="14339" width="12.85546875" style="280" customWidth="1"/>
    <col min="14340" max="14340" width="11.7109375" style="280" customWidth="1"/>
    <col min="14341" max="14341" width="11.42578125" style="280" customWidth="1"/>
    <col min="14342" max="14342" width="11.28515625" style="280" customWidth="1"/>
    <col min="14343" max="14343" width="13.5703125" style="280" customWidth="1"/>
    <col min="14344" max="14344" width="10.5703125" style="280" customWidth="1"/>
    <col min="14345" max="14345" width="11.7109375" style="280" customWidth="1"/>
    <col min="14346" max="14346" width="13.7109375" style="280" customWidth="1"/>
    <col min="14347" max="14592" width="9.140625" style="280"/>
    <col min="14593" max="14593" width="38.140625" style="280" customWidth="1"/>
    <col min="14594" max="14594" width="10.140625" style="280" customWidth="1"/>
    <col min="14595" max="14595" width="12.85546875" style="280" customWidth="1"/>
    <col min="14596" max="14596" width="11.7109375" style="280" customWidth="1"/>
    <col min="14597" max="14597" width="11.42578125" style="280" customWidth="1"/>
    <col min="14598" max="14598" width="11.28515625" style="280" customWidth="1"/>
    <col min="14599" max="14599" width="13.5703125" style="280" customWidth="1"/>
    <col min="14600" max="14600" width="10.5703125" style="280" customWidth="1"/>
    <col min="14601" max="14601" width="11.7109375" style="280" customWidth="1"/>
    <col min="14602" max="14602" width="13.7109375" style="280" customWidth="1"/>
    <col min="14603" max="14848" width="9.140625" style="280"/>
    <col min="14849" max="14849" width="38.140625" style="280" customWidth="1"/>
    <col min="14850" max="14850" width="10.140625" style="280" customWidth="1"/>
    <col min="14851" max="14851" width="12.85546875" style="280" customWidth="1"/>
    <col min="14852" max="14852" width="11.7109375" style="280" customWidth="1"/>
    <col min="14853" max="14853" width="11.42578125" style="280" customWidth="1"/>
    <col min="14854" max="14854" width="11.28515625" style="280" customWidth="1"/>
    <col min="14855" max="14855" width="13.5703125" style="280" customWidth="1"/>
    <col min="14856" max="14856" width="10.5703125" style="280" customWidth="1"/>
    <col min="14857" max="14857" width="11.7109375" style="280" customWidth="1"/>
    <col min="14858" max="14858" width="13.7109375" style="280" customWidth="1"/>
    <col min="14859" max="15104" width="9.140625" style="280"/>
    <col min="15105" max="15105" width="38.140625" style="280" customWidth="1"/>
    <col min="15106" max="15106" width="10.140625" style="280" customWidth="1"/>
    <col min="15107" max="15107" width="12.85546875" style="280" customWidth="1"/>
    <col min="15108" max="15108" width="11.7109375" style="280" customWidth="1"/>
    <col min="15109" max="15109" width="11.42578125" style="280" customWidth="1"/>
    <col min="15110" max="15110" width="11.28515625" style="280" customWidth="1"/>
    <col min="15111" max="15111" width="13.5703125" style="280" customWidth="1"/>
    <col min="15112" max="15112" width="10.5703125" style="280" customWidth="1"/>
    <col min="15113" max="15113" width="11.7109375" style="280" customWidth="1"/>
    <col min="15114" max="15114" width="13.7109375" style="280" customWidth="1"/>
    <col min="15115" max="15360" width="9.140625" style="280"/>
    <col min="15361" max="15361" width="38.140625" style="280" customWidth="1"/>
    <col min="15362" max="15362" width="10.140625" style="280" customWidth="1"/>
    <col min="15363" max="15363" width="12.85546875" style="280" customWidth="1"/>
    <col min="15364" max="15364" width="11.7109375" style="280" customWidth="1"/>
    <col min="15365" max="15365" width="11.42578125" style="280" customWidth="1"/>
    <col min="15366" max="15366" width="11.28515625" style="280" customWidth="1"/>
    <col min="15367" max="15367" width="13.5703125" style="280" customWidth="1"/>
    <col min="15368" max="15368" width="10.5703125" style="280" customWidth="1"/>
    <col min="15369" max="15369" width="11.7109375" style="280" customWidth="1"/>
    <col min="15370" max="15370" width="13.7109375" style="280" customWidth="1"/>
    <col min="15371" max="15616" width="9.140625" style="280"/>
    <col min="15617" max="15617" width="38.140625" style="280" customWidth="1"/>
    <col min="15618" max="15618" width="10.140625" style="280" customWidth="1"/>
    <col min="15619" max="15619" width="12.85546875" style="280" customWidth="1"/>
    <col min="15620" max="15620" width="11.7109375" style="280" customWidth="1"/>
    <col min="15621" max="15621" width="11.42578125" style="280" customWidth="1"/>
    <col min="15622" max="15622" width="11.28515625" style="280" customWidth="1"/>
    <col min="15623" max="15623" width="13.5703125" style="280" customWidth="1"/>
    <col min="15624" max="15624" width="10.5703125" style="280" customWidth="1"/>
    <col min="15625" max="15625" width="11.7109375" style="280" customWidth="1"/>
    <col min="15626" max="15626" width="13.7109375" style="280" customWidth="1"/>
    <col min="15627" max="15872" width="9.140625" style="280"/>
    <col min="15873" max="15873" width="38.140625" style="280" customWidth="1"/>
    <col min="15874" max="15874" width="10.140625" style="280" customWidth="1"/>
    <col min="15875" max="15875" width="12.85546875" style="280" customWidth="1"/>
    <col min="15876" max="15876" width="11.7109375" style="280" customWidth="1"/>
    <col min="15877" max="15877" width="11.42578125" style="280" customWidth="1"/>
    <col min="15878" max="15878" width="11.28515625" style="280" customWidth="1"/>
    <col min="15879" max="15879" width="13.5703125" style="280" customWidth="1"/>
    <col min="15880" max="15880" width="10.5703125" style="280" customWidth="1"/>
    <col min="15881" max="15881" width="11.7109375" style="280" customWidth="1"/>
    <col min="15882" max="15882" width="13.7109375" style="280" customWidth="1"/>
    <col min="15883" max="16128" width="9.140625" style="280"/>
    <col min="16129" max="16129" width="38.140625" style="280" customWidth="1"/>
    <col min="16130" max="16130" width="10.140625" style="280" customWidth="1"/>
    <col min="16131" max="16131" width="12.85546875" style="280" customWidth="1"/>
    <col min="16132" max="16132" width="11.7109375" style="280" customWidth="1"/>
    <col min="16133" max="16133" width="11.42578125" style="280" customWidth="1"/>
    <col min="16134" max="16134" width="11.28515625" style="280" customWidth="1"/>
    <col min="16135" max="16135" width="13.5703125" style="280" customWidth="1"/>
    <col min="16136" max="16136" width="10.5703125" style="280" customWidth="1"/>
    <col min="16137" max="16137" width="11.7109375" style="280" customWidth="1"/>
    <col min="16138" max="16138" width="13.7109375" style="280" customWidth="1"/>
    <col min="16139" max="16384" width="9.140625" style="280"/>
  </cols>
  <sheetData>
    <row r="1" spans="1:10" ht="15.75">
      <c r="A1" s="1840" t="s">
        <v>2748</v>
      </c>
      <c r="B1" s="1841"/>
      <c r="C1" s="1842"/>
      <c r="D1" s="1842"/>
      <c r="E1" s="1842"/>
      <c r="F1" s="1842"/>
      <c r="G1" s="1842"/>
      <c r="H1" s="1842"/>
      <c r="I1" s="1842"/>
      <c r="J1" s="1842"/>
    </row>
    <row r="2" spans="1:10">
      <c r="A2" s="1842"/>
      <c r="B2" s="1842"/>
      <c r="C2" s="1842"/>
      <c r="D2" s="1842"/>
      <c r="E2" s="1842"/>
      <c r="F2" s="1842"/>
      <c r="G2" s="1842"/>
      <c r="H2" s="1842"/>
      <c r="I2" s="1842"/>
      <c r="J2" s="1842"/>
    </row>
    <row r="3" spans="1:10">
      <c r="A3" s="1843"/>
      <c r="B3" s="1844"/>
      <c r="C3" s="1844"/>
      <c r="D3" s="1844"/>
      <c r="E3" s="1844"/>
      <c r="F3" s="1844"/>
      <c r="G3" s="1844"/>
      <c r="H3" s="1844"/>
      <c r="I3" s="1844"/>
      <c r="J3" s="1845" t="s">
        <v>12</v>
      </c>
    </row>
    <row r="4" spans="1:10" s="1847" customFormat="1" ht="17.100000000000001" customHeight="1">
      <c r="A4" s="1846" t="s">
        <v>386</v>
      </c>
      <c r="B4" s="3392" t="s">
        <v>2749</v>
      </c>
      <c r="C4" s="3393"/>
      <c r="D4" s="3394"/>
      <c r="E4" s="3394" t="s">
        <v>2750</v>
      </c>
      <c r="F4" s="3399" t="s">
        <v>2751</v>
      </c>
      <c r="G4" s="3400"/>
      <c r="H4" s="3401"/>
      <c r="I4" s="3402" t="s">
        <v>368</v>
      </c>
      <c r="J4" s="3402" t="s">
        <v>369</v>
      </c>
    </row>
    <row r="5" spans="1:10" s="1847" customFormat="1" ht="17.100000000000001" customHeight="1">
      <c r="A5" s="1848"/>
      <c r="B5" s="3395"/>
      <c r="C5" s="3396"/>
      <c r="D5" s="3397"/>
      <c r="E5" s="3398"/>
      <c r="F5" s="3392" t="s">
        <v>2752</v>
      </c>
      <c r="G5" s="3402" t="s">
        <v>2753</v>
      </c>
      <c r="H5" s="3394" t="s">
        <v>368</v>
      </c>
      <c r="I5" s="3403"/>
      <c r="J5" s="3403"/>
    </row>
    <row r="6" spans="1:10" s="1847" customFormat="1" ht="17.100000000000001" customHeight="1">
      <c r="A6" s="1849"/>
      <c r="B6" s="1850" t="s">
        <v>2687</v>
      </c>
      <c r="C6" s="1850" t="s">
        <v>322</v>
      </c>
      <c r="D6" s="1850" t="s">
        <v>368</v>
      </c>
      <c r="E6" s="3397"/>
      <c r="F6" s="3405"/>
      <c r="G6" s="3406"/>
      <c r="H6" s="3407"/>
      <c r="I6" s="3404"/>
      <c r="J6" s="3404"/>
    </row>
    <row r="7" spans="1:10" ht="17.100000000000001" customHeight="1">
      <c r="A7" s="1851" t="s">
        <v>397</v>
      </c>
      <c r="B7" s="1852">
        <v>234.13512098920532</v>
      </c>
      <c r="C7" s="1852">
        <v>3706.9614717200002</v>
      </c>
      <c r="D7" s="1852">
        <v>0</v>
      </c>
      <c r="E7" s="1852">
        <v>9.2256990000000005</v>
      </c>
      <c r="F7" s="1852">
        <v>0</v>
      </c>
      <c r="G7" s="1852">
        <v>0</v>
      </c>
      <c r="H7" s="1852">
        <v>0</v>
      </c>
      <c r="I7" s="1852">
        <v>0</v>
      </c>
      <c r="J7" s="1853">
        <f>SUM(B7:I7)</f>
        <v>3950.3222917092057</v>
      </c>
    </row>
    <row r="8" spans="1:10" ht="17.100000000000001" customHeight="1">
      <c r="A8" s="1854" t="s">
        <v>408</v>
      </c>
      <c r="B8" s="1855">
        <v>908.02927725126801</v>
      </c>
      <c r="C8" s="1855">
        <v>62324.503082249663</v>
      </c>
      <c r="D8" s="1855">
        <v>2901.8953333333334</v>
      </c>
      <c r="E8" s="1855">
        <v>1699.3745259372454</v>
      </c>
      <c r="F8" s="1855">
        <v>49.98975960293334</v>
      </c>
      <c r="G8" s="1855">
        <v>700.59345793069406</v>
      </c>
      <c r="H8" s="1855">
        <v>0</v>
      </c>
      <c r="I8" s="1855">
        <v>5.080673</v>
      </c>
      <c r="J8" s="1856">
        <f t="shared" ref="J8:J17" si="0">SUM(B8:I8)</f>
        <v>68589.46610930514</v>
      </c>
    </row>
    <row r="9" spans="1:10" ht="17.100000000000001" customHeight="1">
      <c r="A9" s="1854" t="s">
        <v>425</v>
      </c>
      <c r="B9" s="1855">
        <v>1056.928448699404</v>
      </c>
      <c r="C9" s="1855">
        <v>14837.626915744029</v>
      </c>
      <c r="D9" s="1855">
        <v>10.346259</v>
      </c>
      <c r="E9" s="1855">
        <v>21.47514</v>
      </c>
      <c r="F9" s="1855">
        <v>0</v>
      </c>
      <c r="G9" s="1855">
        <v>0</v>
      </c>
      <c r="H9" s="1855">
        <v>0</v>
      </c>
      <c r="I9" s="1855">
        <v>15.665716880000002</v>
      </c>
      <c r="J9" s="1856">
        <f t="shared" si="0"/>
        <v>15942.042480323433</v>
      </c>
    </row>
    <row r="10" spans="1:10" ht="17.100000000000001" customHeight="1">
      <c r="A10" s="1854" t="s">
        <v>432</v>
      </c>
      <c r="B10" s="1855">
        <v>81.810224805429328</v>
      </c>
      <c r="C10" s="1855">
        <v>8321.1869826739767</v>
      </c>
      <c r="D10" s="1855">
        <v>0</v>
      </c>
      <c r="E10" s="1855">
        <v>6.0896780000000001</v>
      </c>
      <c r="F10" s="1855">
        <v>13.808763316128434</v>
      </c>
      <c r="G10" s="1855">
        <v>0</v>
      </c>
      <c r="H10" s="1855">
        <v>0</v>
      </c>
      <c r="I10" s="1855">
        <v>359.95202924</v>
      </c>
      <c r="J10" s="1856">
        <f t="shared" si="0"/>
        <v>8782.847678035534</v>
      </c>
    </row>
    <row r="11" spans="1:10" ht="17.100000000000001" customHeight="1">
      <c r="A11" s="1854" t="s">
        <v>436</v>
      </c>
      <c r="B11" s="1855">
        <v>67.905536700237334</v>
      </c>
      <c r="C11" s="1855">
        <v>17339.282661930167</v>
      </c>
      <c r="D11" s="1855">
        <v>0</v>
      </c>
      <c r="E11" s="1855">
        <v>5.4</v>
      </c>
      <c r="F11" s="1855">
        <v>61.009399401669903</v>
      </c>
      <c r="G11" s="1855">
        <v>5472.8258837321164</v>
      </c>
      <c r="H11" s="1855">
        <v>0</v>
      </c>
      <c r="I11" s="1855">
        <v>776.45584690999999</v>
      </c>
      <c r="J11" s="1856">
        <f t="shared" si="0"/>
        <v>23722.879328674193</v>
      </c>
    </row>
    <row r="12" spans="1:10" ht="17.100000000000001" customHeight="1">
      <c r="A12" s="1854" t="s">
        <v>448</v>
      </c>
      <c r="B12" s="1855">
        <v>693.52073974357734</v>
      </c>
      <c r="C12" s="1855">
        <v>21076.046712982439</v>
      </c>
      <c r="D12" s="1855">
        <v>11533.730720900767</v>
      </c>
      <c r="E12" s="1855">
        <v>276.517493253466</v>
      </c>
      <c r="F12" s="1855">
        <v>490.8296740561517</v>
      </c>
      <c r="G12" s="1855">
        <v>2006.969184216844</v>
      </c>
      <c r="H12" s="1855">
        <v>0</v>
      </c>
      <c r="I12" s="1855">
        <v>0.74822100000000002</v>
      </c>
      <c r="J12" s="1856">
        <f t="shared" si="0"/>
        <v>36078.362746153245</v>
      </c>
    </row>
    <row r="13" spans="1:10" ht="17.100000000000001" customHeight="1">
      <c r="A13" s="1854" t="s">
        <v>459</v>
      </c>
      <c r="B13" s="1855">
        <v>0.75697738217600008</v>
      </c>
      <c r="C13" s="1855">
        <v>12835.937509311645</v>
      </c>
      <c r="D13" s="1855">
        <v>0</v>
      </c>
      <c r="E13" s="1855">
        <v>1.1507609999999999</v>
      </c>
      <c r="F13" s="1855">
        <v>224.23926124280149</v>
      </c>
      <c r="G13" s="1855">
        <v>350.93278406697715</v>
      </c>
      <c r="H13" s="1855">
        <v>0</v>
      </c>
      <c r="I13" s="1855">
        <v>6.9206000000000004E-2</v>
      </c>
      <c r="J13" s="1856">
        <f t="shared" si="0"/>
        <v>13413.086499003601</v>
      </c>
    </row>
    <row r="14" spans="1:10" ht="17.100000000000001" customHeight="1">
      <c r="A14" s="1854" t="s">
        <v>466</v>
      </c>
      <c r="B14" s="1855">
        <v>195.17678062933331</v>
      </c>
      <c r="C14" s="1855">
        <v>24342.793825678531</v>
      </c>
      <c r="D14" s="1855">
        <v>52728.182956550372</v>
      </c>
      <c r="E14" s="1855">
        <v>3042.2705770194693</v>
      </c>
      <c r="F14" s="1855">
        <v>2776.3902192119076</v>
      </c>
      <c r="G14" s="1855">
        <v>24534.544375660025</v>
      </c>
      <c r="H14" s="1855">
        <v>4623.1717839743251</v>
      </c>
      <c r="I14" s="1855">
        <v>603.81072099999994</v>
      </c>
      <c r="J14" s="1856">
        <f t="shared" si="0"/>
        <v>112846.34123972397</v>
      </c>
    </row>
    <row r="15" spans="1:10" ht="17.100000000000001" customHeight="1">
      <c r="A15" s="1854" t="s">
        <v>474</v>
      </c>
      <c r="B15" s="1855">
        <v>4.1899930000000003</v>
      </c>
      <c r="C15" s="1855">
        <v>4870.4235024558666</v>
      </c>
      <c r="D15" s="1855">
        <v>0</v>
      </c>
      <c r="E15" s="1855">
        <v>4.6125109999999996</v>
      </c>
      <c r="F15" s="1855">
        <v>8.7957673627021347</v>
      </c>
      <c r="G15" s="1855">
        <v>2898.4864939071736</v>
      </c>
      <c r="H15" s="1855">
        <v>0</v>
      </c>
      <c r="I15" s="1855">
        <v>0</v>
      </c>
      <c r="J15" s="1856">
        <f t="shared" si="0"/>
        <v>7786.5082677257433</v>
      </c>
    </row>
    <row r="16" spans="1:10" ht="17.100000000000001" customHeight="1">
      <c r="A16" s="1854" t="s">
        <v>2754</v>
      </c>
      <c r="B16" s="1855">
        <v>91.579656016804009</v>
      </c>
      <c r="C16" s="1855">
        <v>2865.1384221244452</v>
      </c>
      <c r="D16" s="1855">
        <v>28.365998749999999</v>
      </c>
      <c r="E16" s="1855">
        <v>9.1250975000000007</v>
      </c>
      <c r="F16" s="1855">
        <v>0</v>
      </c>
      <c r="G16" s="1855">
        <v>0</v>
      </c>
      <c r="H16" s="1855">
        <v>0</v>
      </c>
      <c r="I16" s="1855">
        <v>259.11557666000004</v>
      </c>
      <c r="J16" s="1856">
        <f t="shared" si="0"/>
        <v>3253.3247510512492</v>
      </c>
    </row>
    <row r="17" spans="1:10" ht="17.100000000000001" customHeight="1">
      <c r="A17" s="1854" t="s">
        <v>312</v>
      </c>
      <c r="B17" s="1855">
        <v>288.62174950999997</v>
      </c>
      <c r="C17" s="1855">
        <v>21268.516363661107</v>
      </c>
      <c r="D17" s="1855">
        <v>204.80779441999999</v>
      </c>
      <c r="E17" s="1855">
        <v>4022.3975788899997</v>
      </c>
      <c r="F17" s="1855">
        <v>1741.6727463212553</v>
      </c>
      <c r="G17" s="1855">
        <v>13712.3404405816</v>
      </c>
      <c r="H17" s="1855">
        <v>66.507657701200003</v>
      </c>
      <c r="I17" s="1855">
        <v>729.56025765999993</v>
      </c>
      <c r="J17" s="1856">
        <f t="shared" si="0"/>
        <v>42034.424588745162</v>
      </c>
    </row>
    <row r="18" spans="1:10" ht="17.100000000000001" customHeight="1">
      <c r="A18" s="1857" t="s">
        <v>369</v>
      </c>
      <c r="B18" s="1858">
        <f>SUM(B7:B17)</f>
        <v>3622.6545047274349</v>
      </c>
      <c r="C18" s="1858">
        <f t="shared" ref="C18:J18" si="1">SUM(C7:C17)</f>
        <v>193788.41745053185</v>
      </c>
      <c r="D18" s="1858">
        <f t="shared" si="1"/>
        <v>67407.329062954479</v>
      </c>
      <c r="E18" s="1858">
        <f t="shared" si="1"/>
        <v>9097.6390616001809</v>
      </c>
      <c r="F18" s="1858">
        <f t="shared" si="1"/>
        <v>5366.73559051555</v>
      </c>
      <c r="G18" s="1858">
        <f t="shared" si="1"/>
        <v>49676.692620095433</v>
      </c>
      <c r="H18" s="1858">
        <f t="shared" si="1"/>
        <v>4689.6794416755247</v>
      </c>
      <c r="I18" s="1858">
        <f t="shared" si="1"/>
        <v>2750.4582483499998</v>
      </c>
      <c r="J18" s="1858">
        <f t="shared" si="1"/>
        <v>336399.60598045052</v>
      </c>
    </row>
    <row r="19" spans="1:10">
      <c r="A19" s="1842"/>
      <c r="B19" s="1859"/>
      <c r="C19" s="1842"/>
      <c r="D19" s="1842"/>
      <c r="E19" s="1842"/>
      <c r="F19" s="1842"/>
      <c r="G19" s="1842"/>
      <c r="H19" s="1842"/>
      <c r="I19" s="1842"/>
      <c r="J19" s="1842"/>
    </row>
    <row r="20" spans="1:10">
      <c r="A20" s="1860" t="s">
        <v>361</v>
      </c>
      <c r="B20" s="1842"/>
      <c r="C20" s="1842"/>
      <c r="D20" s="1842"/>
      <c r="E20" s="1842"/>
      <c r="F20" s="1842"/>
      <c r="G20" s="1842"/>
      <c r="H20" s="1842"/>
      <c r="I20" s="1842"/>
      <c r="J20" s="1842"/>
    </row>
    <row r="21" spans="1:10">
      <c r="A21" s="1861" t="s">
        <v>2755</v>
      </c>
      <c r="B21" s="1842"/>
      <c r="C21" s="1842"/>
      <c r="D21" s="1842"/>
      <c r="E21" s="1842"/>
      <c r="F21" s="1842"/>
      <c r="G21" s="1842"/>
      <c r="H21" s="1842"/>
      <c r="I21" s="1842"/>
      <c r="J21" s="1842"/>
    </row>
    <row r="22" spans="1:10" ht="15.75">
      <c r="A22" s="1862"/>
    </row>
    <row r="23" spans="1:10" ht="15.75">
      <c r="A23" s="1863"/>
    </row>
    <row r="24" spans="1:10" ht="15.75">
      <c r="A24" s="1862"/>
    </row>
    <row r="25" spans="1:10" ht="15.75">
      <c r="A25" s="1862"/>
    </row>
    <row r="26" spans="1:10" ht="15.75">
      <c r="A26" s="1862"/>
    </row>
    <row r="27" spans="1:10" ht="15.75">
      <c r="A27" s="1862"/>
    </row>
    <row r="28" spans="1:10" ht="15.75">
      <c r="A28" s="1862"/>
    </row>
    <row r="29" spans="1:10" ht="15.75">
      <c r="A29" s="1862"/>
    </row>
    <row r="30" spans="1:10" ht="15.75">
      <c r="A30" s="1862"/>
    </row>
    <row r="31" spans="1:10" ht="15.75">
      <c r="A31" s="1862"/>
    </row>
    <row r="32" spans="1:10" ht="15.75">
      <c r="A32" s="1862"/>
    </row>
    <row r="33" spans="1:1" ht="15.75">
      <c r="A33" s="1862"/>
    </row>
    <row r="34" spans="1:1" ht="15.75">
      <c r="A34" s="1862"/>
    </row>
    <row r="35" spans="1:1" ht="15.75">
      <c r="A35" s="1862"/>
    </row>
    <row r="36" spans="1:1" ht="15.75">
      <c r="A36" s="1862"/>
    </row>
    <row r="37" spans="1:1" ht="15.75">
      <c r="A37" s="1862"/>
    </row>
    <row r="38" spans="1:1" ht="15.75">
      <c r="A38" s="1862"/>
    </row>
    <row r="39" spans="1:1" ht="15.75">
      <c r="A39" s="1862"/>
    </row>
    <row r="40" spans="1:1" ht="15.75">
      <c r="A40" s="1862"/>
    </row>
    <row r="41" spans="1:1" ht="15.75">
      <c r="A41" s="1862"/>
    </row>
    <row r="42" spans="1:1" ht="15.75">
      <c r="A42" s="1862"/>
    </row>
    <row r="43" spans="1:1" ht="15.75">
      <c r="A43" s="1862"/>
    </row>
    <row r="44" spans="1:1" ht="15.75">
      <c r="A44" s="1862"/>
    </row>
    <row r="45" spans="1:1" ht="15.75">
      <c r="A45" s="1862"/>
    </row>
    <row r="46" spans="1:1" ht="15.75">
      <c r="A46" s="1862"/>
    </row>
    <row r="47" spans="1:1" ht="15.75">
      <c r="A47" s="1862"/>
    </row>
    <row r="48" spans="1:1" ht="15.75">
      <c r="A48" s="1862"/>
    </row>
    <row r="49" spans="1:1" ht="15.75">
      <c r="A49" s="1862"/>
    </row>
    <row r="50" spans="1:1" ht="15.75">
      <c r="A50" s="1862"/>
    </row>
    <row r="51" spans="1:1" ht="15.75">
      <c r="A51" s="1862"/>
    </row>
    <row r="52" spans="1:1" ht="15.75">
      <c r="A52" s="1862"/>
    </row>
    <row r="53" spans="1:1" ht="15.75">
      <c r="A53" s="1862"/>
    </row>
    <row r="54" spans="1:1" ht="15.75">
      <c r="A54" s="1862"/>
    </row>
    <row r="55" spans="1:1" ht="15.75">
      <c r="A55" s="1862"/>
    </row>
    <row r="56" spans="1:1" ht="15.75">
      <c r="A56" s="1862"/>
    </row>
    <row r="57" spans="1:1" ht="15.75">
      <c r="A57" s="1862"/>
    </row>
    <row r="58" spans="1:1" ht="15.75">
      <c r="A58" s="1862"/>
    </row>
    <row r="59" spans="1:1" ht="15.75">
      <c r="A59" s="1862"/>
    </row>
    <row r="60" spans="1:1" ht="15.75">
      <c r="A60" s="1862"/>
    </row>
    <row r="61" spans="1:1" ht="15.75">
      <c r="A61" s="1862"/>
    </row>
    <row r="62" spans="1:1" ht="15.75">
      <c r="A62" s="1864"/>
    </row>
    <row r="63" spans="1:1" ht="15.75">
      <c r="A63" s="1864"/>
    </row>
    <row r="64" spans="1:1" ht="15.75">
      <c r="A64" s="1864"/>
    </row>
    <row r="65" spans="1:1" ht="15.75">
      <c r="A65" s="1864"/>
    </row>
    <row r="66" spans="1:1" ht="15.75">
      <c r="A66" s="1864"/>
    </row>
    <row r="67" spans="1:1" ht="15.75">
      <c r="A67" s="1864"/>
    </row>
    <row r="68" spans="1:1" ht="15.75">
      <c r="A68" s="1864"/>
    </row>
    <row r="69" spans="1:1" ht="15.75">
      <c r="A69" s="1864"/>
    </row>
    <row r="70" spans="1:1" ht="15.75">
      <c r="A70" s="1864"/>
    </row>
    <row r="71" spans="1:1" ht="15.75">
      <c r="A71" s="1864"/>
    </row>
    <row r="72" spans="1:1" ht="15.75">
      <c r="A72" s="1864"/>
    </row>
    <row r="73" spans="1:1" ht="15.75">
      <c r="A73" s="1864"/>
    </row>
    <row r="74" spans="1:1" ht="15.75">
      <c r="A74" s="1864"/>
    </row>
    <row r="75" spans="1:1" ht="15.75">
      <c r="A75" s="1864"/>
    </row>
    <row r="76" spans="1:1" ht="15.75">
      <c r="A76" s="1864"/>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scale="9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2"/>
  <sheetViews>
    <sheetView zoomScaleNormal="100" workbookViewId="0">
      <pane xSplit="1" ySplit="25" topLeftCell="B141" activePane="bottomRight" state="frozen"/>
      <selection pane="topRight" activeCell="B1" sqref="B1"/>
      <selection pane="bottomLeft" activeCell="A26" sqref="A26"/>
      <selection pane="bottomRight" activeCell="F182" sqref="F182"/>
    </sheetView>
  </sheetViews>
  <sheetFormatPr defaultRowHeight="12.75"/>
  <cols>
    <col min="1" max="1" width="14.42578125" style="1868" customWidth="1"/>
    <col min="2" max="2" width="12.7109375" style="1868" customWidth="1"/>
    <col min="3" max="4" width="16.7109375" style="1869" customWidth="1"/>
    <col min="5" max="5" width="13.7109375" style="1868" customWidth="1"/>
    <col min="6" max="6" width="12.42578125" style="1868" customWidth="1"/>
    <col min="7" max="7" width="12.5703125" style="1868" customWidth="1"/>
    <col min="8" max="8" width="12.7109375" style="1868" customWidth="1"/>
    <col min="9" max="9" width="12.42578125" style="1868" customWidth="1"/>
    <col min="10" max="10" width="11.85546875" style="1868" customWidth="1"/>
    <col min="11" max="11" width="9.85546875" style="1868" customWidth="1"/>
    <col min="12" max="12" width="9.140625" style="1868"/>
    <col min="13" max="13" width="10.28515625" style="1868" customWidth="1"/>
    <col min="14" max="256" width="9.140625" style="1868"/>
    <col min="257" max="257" width="14.42578125" style="1868" customWidth="1"/>
    <col min="258" max="258" width="12.7109375" style="1868" customWidth="1"/>
    <col min="259" max="260" width="16.7109375" style="1868" customWidth="1"/>
    <col min="261" max="261" width="13.7109375" style="1868" customWidth="1"/>
    <col min="262" max="262" width="12.42578125" style="1868" customWidth="1"/>
    <col min="263" max="263" width="12.5703125" style="1868" customWidth="1"/>
    <col min="264" max="264" width="12.7109375" style="1868" customWidth="1"/>
    <col min="265" max="265" width="12.42578125" style="1868" customWidth="1"/>
    <col min="266" max="266" width="11.85546875" style="1868" customWidth="1"/>
    <col min="267" max="267" width="9.85546875" style="1868" customWidth="1"/>
    <col min="268" max="268" width="9.140625" style="1868"/>
    <col min="269" max="269" width="10.28515625" style="1868" customWidth="1"/>
    <col min="270" max="512" width="9.140625" style="1868"/>
    <col min="513" max="513" width="14.42578125" style="1868" customWidth="1"/>
    <col min="514" max="514" width="12.7109375" style="1868" customWidth="1"/>
    <col min="515" max="516" width="16.7109375" style="1868" customWidth="1"/>
    <col min="517" max="517" width="13.7109375" style="1868" customWidth="1"/>
    <col min="518" max="518" width="12.42578125" style="1868" customWidth="1"/>
    <col min="519" max="519" width="12.5703125" style="1868" customWidth="1"/>
    <col min="520" max="520" width="12.7109375" style="1868" customWidth="1"/>
    <col min="521" max="521" width="12.42578125" style="1868" customWidth="1"/>
    <col min="522" max="522" width="11.85546875" style="1868" customWidth="1"/>
    <col min="523" max="523" width="9.85546875" style="1868" customWidth="1"/>
    <col min="524" max="524" width="9.140625" style="1868"/>
    <col min="525" max="525" width="10.28515625" style="1868" customWidth="1"/>
    <col min="526" max="768" width="9.140625" style="1868"/>
    <col min="769" max="769" width="14.42578125" style="1868" customWidth="1"/>
    <col min="770" max="770" width="12.7109375" style="1868" customWidth="1"/>
    <col min="771" max="772" width="16.7109375" style="1868" customWidth="1"/>
    <col min="773" max="773" width="13.7109375" style="1868" customWidth="1"/>
    <col min="774" max="774" width="12.42578125" style="1868" customWidth="1"/>
    <col min="775" max="775" width="12.5703125" style="1868" customWidth="1"/>
    <col min="776" max="776" width="12.7109375" style="1868" customWidth="1"/>
    <col min="777" max="777" width="12.42578125" style="1868" customWidth="1"/>
    <col min="778" max="778" width="11.85546875" style="1868" customWidth="1"/>
    <col min="779" max="779" width="9.85546875" style="1868" customWidth="1"/>
    <col min="780" max="780" width="9.140625" style="1868"/>
    <col min="781" max="781" width="10.28515625" style="1868" customWidth="1"/>
    <col min="782" max="1024" width="9.140625" style="1868"/>
    <col min="1025" max="1025" width="14.42578125" style="1868" customWidth="1"/>
    <col min="1026" max="1026" width="12.7109375" style="1868" customWidth="1"/>
    <col min="1027" max="1028" width="16.7109375" style="1868" customWidth="1"/>
    <col min="1029" max="1029" width="13.7109375" style="1868" customWidth="1"/>
    <col min="1030" max="1030" width="12.42578125" style="1868" customWidth="1"/>
    <col min="1031" max="1031" width="12.5703125" style="1868" customWidth="1"/>
    <col min="1032" max="1032" width="12.7109375" style="1868" customWidth="1"/>
    <col min="1033" max="1033" width="12.42578125" style="1868" customWidth="1"/>
    <col min="1034" max="1034" width="11.85546875" style="1868" customWidth="1"/>
    <col min="1035" max="1035" width="9.85546875" style="1868" customWidth="1"/>
    <col min="1036" max="1036" width="9.140625" style="1868"/>
    <col min="1037" max="1037" width="10.28515625" style="1868" customWidth="1"/>
    <col min="1038" max="1280" width="9.140625" style="1868"/>
    <col min="1281" max="1281" width="14.42578125" style="1868" customWidth="1"/>
    <col min="1282" max="1282" width="12.7109375" style="1868" customWidth="1"/>
    <col min="1283" max="1284" width="16.7109375" style="1868" customWidth="1"/>
    <col min="1285" max="1285" width="13.7109375" style="1868" customWidth="1"/>
    <col min="1286" max="1286" width="12.42578125" style="1868" customWidth="1"/>
    <col min="1287" max="1287" width="12.5703125" style="1868" customWidth="1"/>
    <col min="1288" max="1288" width="12.7109375" style="1868" customWidth="1"/>
    <col min="1289" max="1289" width="12.42578125" style="1868" customWidth="1"/>
    <col min="1290" max="1290" width="11.85546875" style="1868" customWidth="1"/>
    <col min="1291" max="1291" width="9.85546875" style="1868" customWidth="1"/>
    <col min="1292" max="1292" width="9.140625" style="1868"/>
    <col min="1293" max="1293" width="10.28515625" style="1868" customWidth="1"/>
    <col min="1294" max="1536" width="9.140625" style="1868"/>
    <col min="1537" max="1537" width="14.42578125" style="1868" customWidth="1"/>
    <col min="1538" max="1538" width="12.7109375" style="1868" customWidth="1"/>
    <col min="1539" max="1540" width="16.7109375" style="1868" customWidth="1"/>
    <col min="1541" max="1541" width="13.7109375" style="1868" customWidth="1"/>
    <col min="1542" max="1542" width="12.42578125" style="1868" customWidth="1"/>
    <col min="1543" max="1543" width="12.5703125" style="1868" customWidth="1"/>
    <col min="1544" max="1544" width="12.7109375" style="1868" customWidth="1"/>
    <col min="1545" max="1545" width="12.42578125" style="1868" customWidth="1"/>
    <col min="1546" max="1546" width="11.85546875" style="1868" customWidth="1"/>
    <col min="1547" max="1547" width="9.85546875" style="1868" customWidth="1"/>
    <col min="1548" max="1548" width="9.140625" style="1868"/>
    <col min="1549" max="1549" width="10.28515625" style="1868" customWidth="1"/>
    <col min="1550" max="1792" width="9.140625" style="1868"/>
    <col min="1793" max="1793" width="14.42578125" style="1868" customWidth="1"/>
    <col min="1794" max="1794" width="12.7109375" style="1868" customWidth="1"/>
    <col min="1795" max="1796" width="16.7109375" style="1868" customWidth="1"/>
    <col min="1797" max="1797" width="13.7109375" style="1868" customWidth="1"/>
    <col min="1798" max="1798" width="12.42578125" style="1868" customWidth="1"/>
    <col min="1799" max="1799" width="12.5703125" style="1868" customWidth="1"/>
    <col min="1800" max="1800" width="12.7109375" style="1868" customWidth="1"/>
    <col min="1801" max="1801" width="12.42578125" style="1868" customWidth="1"/>
    <col min="1802" max="1802" width="11.85546875" style="1868" customWidth="1"/>
    <col min="1803" max="1803" width="9.85546875" style="1868" customWidth="1"/>
    <col min="1804" max="1804" width="9.140625" style="1868"/>
    <col min="1805" max="1805" width="10.28515625" style="1868" customWidth="1"/>
    <col min="1806" max="2048" width="9.140625" style="1868"/>
    <col min="2049" max="2049" width="14.42578125" style="1868" customWidth="1"/>
    <col min="2050" max="2050" width="12.7109375" style="1868" customWidth="1"/>
    <col min="2051" max="2052" width="16.7109375" style="1868" customWidth="1"/>
    <col min="2053" max="2053" width="13.7109375" style="1868" customWidth="1"/>
    <col min="2054" max="2054" width="12.42578125" style="1868" customWidth="1"/>
    <col min="2055" max="2055" width="12.5703125" style="1868" customWidth="1"/>
    <col min="2056" max="2056" width="12.7109375" style="1868" customWidth="1"/>
    <col min="2057" max="2057" width="12.42578125" style="1868" customWidth="1"/>
    <col min="2058" max="2058" width="11.85546875" style="1868" customWidth="1"/>
    <col min="2059" max="2059" width="9.85546875" style="1868" customWidth="1"/>
    <col min="2060" max="2060" width="9.140625" style="1868"/>
    <col min="2061" max="2061" width="10.28515625" style="1868" customWidth="1"/>
    <col min="2062" max="2304" width="9.140625" style="1868"/>
    <col min="2305" max="2305" width="14.42578125" style="1868" customWidth="1"/>
    <col min="2306" max="2306" width="12.7109375" style="1868" customWidth="1"/>
    <col min="2307" max="2308" width="16.7109375" style="1868" customWidth="1"/>
    <col min="2309" max="2309" width="13.7109375" style="1868" customWidth="1"/>
    <col min="2310" max="2310" width="12.42578125" style="1868" customWidth="1"/>
    <col min="2311" max="2311" width="12.5703125" style="1868" customWidth="1"/>
    <col min="2312" max="2312" width="12.7109375" style="1868" customWidth="1"/>
    <col min="2313" max="2313" width="12.42578125" style="1868" customWidth="1"/>
    <col min="2314" max="2314" width="11.85546875" style="1868" customWidth="1"/>
    <col min="2315" max="2315" width="9.85546875" style="1868" customWidth="1"/>
    <col min="2316" max="2316" width="9.140625" style="1868"/>
    <col min="2317" max="2317" width="10.28515625" style="1868" customWidth="1"/>
    <col min="2318" max="2560" width="9.140625" style="1868"/>
    <col min="2561" max="2561" width="14.42578125" style="1868" customWidth="1"/>
    <col min="2562" max="2562" width="12.7109375" style="1868" customWidth="1"/>
    <col min="2563" max="2564" width="16.7109375" style="1868" customWidth="1"/>
    <col min="2565" max="2565" width="13.7109375" style="1868" customWidth="1"/>
    <col min="2566" max="2566" width="12.42578125" style="1868" customWidth="1"/>
    <col min="2567" max="2567" width="12.5703125" style="1868" customWidth="1"/>
    <col min="2568" max="2568" width="12.7109375" style="1868" customWidth="1"/>
    <col min="2569" max="2569" width="12.42578125" style="1868" customWidth="1"/>
    <col min="2570" max="2570" width="11.85546875" style="1868" customWidth="1"/>
    <col min="2571" max="2571" width="9.85546875" style="1868" customWidth="1"/>
    <col min="2572" max="2572" width="9.140625" style="1868"/>
    <col min="2573" max="2573" width="10.28515625" style="1868" customWidth="1"/>
    <col min="2574" max="2816" width="9.140625" style="1868"/>
    <col min="2817" max="2817" width="14.42578125" style="1868" customWidth="1"/>
    <col min="2818" max="2818" width="12.7109375" style="1868" customWidth="1"/>
    <col min="2819" max="2820" width="16.7109375" style="1868" customWidth="1"/>
    <col min="2821" max="2821" width="13.7109375" style="1868" customWidth="1"/>
    <col min="2822" max="2822" width="12.42578125" style="1868" customWidth="1"/>
    <col min="2823" max="2823" width="12.5703125" style="1868" customWidth="1"/>
    <col min="2824" max="2824" width="12.7109375" style="1868" customWidth="1"/>
    <col min="2825" max="2825" width="12.42578125" style="1868" customWidth="1"/>
    <col min="2826" max="2826" width="11.85546875" style="1868" customWidth="1"/>
    <col min="2827" max="2827" width="9.85546875" style="1868" customWidth="1"/>
    <col min="2828" max="2828" width="9.140625" style="1868"/>
    <col min="2829" max="2829" width="10.28515625" style="1868" customWidth="1"/>
    <col min="2830" max="3072" width="9.140625" style="1868"/>
    <col min="3073" max="3073" width="14.42578125" style="1868" customWidth="1"/>
    <col min="3074" max="3074" width="12.7109375" style="1868" customWidth="1"/>
    <col min="3075" max="3076" width="16.7109375" style="1868" customWidth="1"/>
    <col min="3077" max="3077" width="13.7109375" style="1868" customWidth="1"/>
    <col min="3078" max="3078" width="12.42578125" style="1868" customWidth="1"/>
    <col min="3079" max="3079" width="12.5703125" style="1868" customWidth="1"/>
    <col min="3080" max="3080" width="12.7109375" style="1868" customWidth="1"/>
    <col min="3081" max="3081" width="12.42578125" style="1868" customWidth="1"/>
    <col min="3082" max="3082" width="11.85546875" style="1868" customWidth="1"/>
    <col min="3083" max="3083" width="9.85546875" style="1868" customWidth="1"/>
    <col min="3084" max="3084" width="9.140625" style="1868"/>
    <col min="3085" max="3085" width="10.28515625" style="1868" customWidth="1"/>
    <col min="3086" max="3328" width="9.140625" style="1868"/>
    <col min="3329" max="3329" width="14.42578125" style="1868" customWidth="1"/>
    <col min="3330" max="3330" width="12.7109375" style="1868" customWidth="1"/>
    <col min="3331" max="3332" width="16.7109375" style="1868" customWidth="1"/>
    <col min="3333" max="3333" width="13.7109375" style="1868" customWidth="1"/>
    <col min="3334" max="3334" width="12.42578125" style="1868" customWidth="1"/>
    <col min="3335" max="3335" width="12.5703125" style="1868" customWidth="1"/>
    <col min="3336" max="3336" width="12.7109375" style="1868" customWidth="1"/>
    <col min="3337" max="3337" width="12.42578125" style="1868" customWidth="1"/>
    <col min="3338" max="3338" width="11.85546875" style="1868" customWidth="1"/>
    <col min="3339" max="3339" width="9.85546875" style="1868" customWidth="1"/>
    <col min="3340" max="3340" width="9.140625" style="1868"/>
    <col min="3341" max="3341" width="10.28515625" style="1868" customWidth="1"/>
    <col min="3342" max="3584" width="9.140625" style="1868"/>
    <col min="3585" max="3585" width="14.42578125" style="1868" customWidth="1"/>
    <col min="3586" max="3586" width="12.7109375" style="1868" customWidth="1"/>
    <col min="3587" max="3588" width="16.7109375" style="1868" customWidth="1"/>
    <col min="3589" max="3589" width="13.7109375" style="1868" customWidth="1"/>
    <col min="3590" max="3590" width="12.42578125" style="1868" customWidth="1"/>
    <col min="3591" max="3591" width="12.5703125" style="1868" customWidth="1"/>
    <col min="3592" max="3592" width="12.7109375" style="1868" customWidth="1"/>
    <col min="3593" max="3593" width="12.42578125" style="1868" customWidth="1"/>
    <col min="3594" max="3594" width="11.85546875" style="1868" customWidth="1"/>
    <col min="3595" max="3595" width="9.85546875" style="1868" customWidth="1"/>
    <col min="3596" max="3596" width="9.140625" style="1868"/>
    <col min="3597" max="3597" width="10.28515625" style="1868" customWidth="1"/>
    <col min="3598" max="3840" width="9.140625" style="1868"/>
    <col min="3841" max="3841" width="14.42578125" style="1868" customWidth="1"/>
    <col min="3842" max="3842" width="12.7109375" style="1868" customWidth="1"/>
    <col min="3843" max="3844" width="16.7109375" style="1868" customWidth="1"/>
    <col min="3845" max="3845" width="13.7109375" style="1868" customWidth="1"/>
    <col min="3846" max="3846" width="12.42578125" style="1868" customWidth="1"/>
    <col min="3847" max="3847" width="12.5703125" style="1868" customWidth="1"/>
    <col min="3848" max="3848" width="12.7109375" style="1868" customWidth="1"/>
    <col min="3849" max="3849" width="12.42578125" style="1868" customWidth="1"/>
    <col min="3850" max="3850" width="11.85546875" style="1868" customWidth="1"/>
    <col min="3851" max="3851" width="9.85546875" style="1868" customWidth="1"/>
    <col min="3852" max="3852" width="9.140625" style="1868"/>
    <col min="3853" max="3853" width="10.28515625" style="1868" customWidth="1"/>
    <col min="3854" max="4096" width="9.140625" style="1868"/>
    <col min="4097" max="4097" width="14.42578125" style="1868" customWidth="1"/>
    <col min="4098" max="4098" width="12.7109375" style="1868" customWidth="1"/>
    <col min="4099" max="4100" width="16.7109375" style="1868" customWidth="1"/>
    <col min="4101" max="4101" width="13.7109375" style="1868" customWidth="1"/>
    <col min="4102" max="4102" width="12.42578125" style="1868" customWidth="1"/>
    <col min="4103" max="4103" width="12.5703125" style="1868" customWidth="1"/>
    <col min="4104" max="4104" width="12.7109375" style="1868" customWidth="1"/>
    <col min="4105" max="4105" width="12.42578125" style="1868" customWidth="1"/>
    <col min="4106" max="4106" width="11.85546875" style="1868" customWidth="1"/>
    <col min="4107" max="4107" width="9.85546875" style="1868" customWidth="1"/>
    <col min="4108" max="4108" width="9.140625" style="1868"/>
    <col min="4109" max="4109" width="10.28515625" style="1868" customWidth="1"/>
    <col min="4110" max="4352" width="9.140625" style="1868"/>
    <col min="4353" max="4353" width="14.42578125" style="1868" customWidth="1"/>
    <col min="4354" max="4354" width="12.7109375" style="1868" customWidth="1"/>
    <col min="4355" max="4356" width="16.7109375" style="1868" customWidth="1"/>
    <col min="4357" max="4357" width="13.7109375" style="1868" customWidth="1"/>
    <col min="4358" max="4358" width="12.42578125" style="1868" customWidth="1"/>
    <col min="4359" max="4359" width="12.5703125" style="1868" customWidth="1"/>
    <col min="4360" max="4360" width="12.7109375" style="1868" customWidth="1"/>
    <col min="4361" max="4361" width="12.42578125" style="1868" customWidth="1"/>
    <col min="4362" max="4362" width="11.85546875" style="1868" customWidth="1"/>
    <col min="4363" max="4363" width="9.85546875" style="1868" customWidth="1"/>
    <col min="4364" max="4364" width="9.140625" style="1868"/>
    <col min="4365" max="4365" width="10.28515625" style="1868" customWidth="1"/>
    <col min="4366" max="4608" width="9.140625" style="1868"/>
    <col min="4609" max="4609" width="14.42578125" style="1868" customWidth="1"/>
    <col min="4610" max="4610" width="12.7109375" style="1868" customWidth="1"/>
    <col min="4611" max="4612" width="16.7109375" style="1868" customWidth="1"/>
    <col min="4613" max="4613" width="13.7109375" style="1868" customWidth="1"/>
    <col min="4614" max="4614" width="12.42578125" style="1868" customWidth="1"/>
    <col min="4615" max="4615" width="12.5703125" style="1868" customWidth="1"/>
    <col min="4616" max="4616" width="12.7109375" style="1868" customWidth="1"/>
    <col min="4617" max="4617" width="12.42578125" style="1868" customWidth="1"/>
    <col min="4618" max="4618" width="11.85546875" style="1868" customWidth="1"/>
    <col min="4619" max="4619" width="9.85546875" style="1868" customWidth="1"/>
    <col min="4620" max="4620" width="9.140625" style="1868"/>
    <col min="4621" max="4621" width="10.28515625" style="1868" customWidth="1"/>
    <col min="4622" max="4864" width="9.140625" style="1868"/>
    <col min="4865" max="4865" width="14.42578125" style="1868" customWidth="1"/>
    <col min="4866" max="4866" width="12.7109375" style="1868" customWidth="1"/>
    <col min="4867" max="4868" width="16.7109375" style="1868" customWidth="1"/>
    <col min="4869" max="4869" width="13.7109375" style="1868" customWidth="1"/>
    <col min="4870" max="4870" width="12.42578125" style="1868" customWidth="1"/>
    <col min="4871" max="4871" width="12.5703125" style="1868" customWidth="1"/>
    <col min="4872" max="4872" width="12.7109375" style="1868" customWidth="1"/>
    <col min="4873" max="4873" width="12.42578125" style="1868" customWidth="1"/>
    <col min="4874" max="4874" width="11.85546875" style="1868" customWidth="1"/>
    <col min="4875" max="4875" width="9.85546875" style="1868" customWidth="1"/>
    <col min="4876" max="4876" width="9.140625" style="1868"/>
    <col min="4877" max="4877" width="10.28515625" style="1868" customWidth="1"/>
    <col min="4878" max="5120" width="9.140625" style="1868"/>
    <col min="5121" max="5121" width="14.42578125" style="1868" customWidth="1"/>
    <col min="5122" max="5122" width="12.7109375" style="1868" customWidth="1"/>
    <col min="5123" max="5124" width="16.7109375" style="1868" customWidth="1"/>
    <col min="5125" max="5125" width="13.7109375" style="1868" customWidth="1"/>
    <col min="5126" max="5126" width="12.42578125" style="1868" customWidth="1"/>
    <col min="5127" max="5127" width="12.5703125" style="1868" customWidth="1"/>
    <col min="5128" max="5128" width="12.7109375" style="1868" customWidth="1"/>
    <col min="5129" max="5129" width="12.42578125" style="1868" customWidth="1"/>
    <col min="5130" max="5130" width="11.85546875" style="1868" customWidth="1"/>
    <col min="5131" max="5131" width="9.85546875" style="1868" customWidth="1"/>
    <col min="5132" max="5132" width="9.140625" style="1868"/>
    <col min="5133" max="5133" width="10.28515625" style="1868" customWidth="1"/>
    <col min="5134" max="5376" width="9.140625" style="1868"/>
    <col min="5377" max="5377" width="14.42578125" style="1868" customWidth="1"/>
    <col min="5378" max="5378" width="12.7109375" style="1868" customWidth="1"/>
    <col min="5379" max="5380" width="16.7109375" style="1868" customWidth="1"/>
    <col min="5381" max="5381" width="13.7109375" style="1868" customWidth="1"/>
    <col min="5382" max="5382" width="12.42578125" style="1868" customWidth="1"/>
    <col min="5383" max="5383" width="12.5703125" style="1868" customWidth="1"/>
    <col min="5384" max="5384" width="12.7109375" style="1868" customWidth="1"/>
    <col min="5385" max="5385" width="12.42578125" style="1868" customWidth="1"/>
    <col min="5386" max="5386" width="11.85546875" style="1868" customWidth="1"/>
    <col min="5387" max="5387" width="9.85546875" style="1868" customWidth="1"/>
    <col min="5388" max="5388" width="9.140625" style="1868"/>
    <col min="5389" max="5389" width="10.28515625" style="1868" customWidth="1"/>
    <col min="5390" max="5632" width="9.140625" style="1868"/>
    <col min="5633" max="5633" width="14.42578125" style="1868" customWidth="1"/>
    <col min="5634" max="5634" width="12.7109375" style="1868" customWidth="1"/>
    <col min="5635" max="5636" width="16.7109375" style="1868" customWidth="1"/>
    <col min="5637" max="5637" width="13.7109375" style="1868" customWidth="1"/>
    <col min="5638" max="5638" width="12.42578125" style="1868" customWidth="1"/>
    <col min="5639" max="5639" width="12.5703125" style="1868" customWidth="1"/>
    <col min="5640" max="5640" width="12.7109375" style="1868" customWidth="1"/>
    <col min="5641" max="5641" width="12.42578125" style="1868" customWidth="1"/>
    <col min="5642" max="5642" width="11.85546875" style="1868" customWidth="1"/>
    <col min="5643" max="5643" width="9.85546875" style="1868" customWidth="1"/>
    <col min="5644" max="5644" width="9.140625" style="1868"/>
    <col min="5645" max="5645" width="10.28515625" style="1868" customWidth="1"/>
    <col min="5646" max="5888" width="9.140625" style="1868"/>
    <col min="5889" max="5889" width="14.42578125" style="1868" customWidth="1"/>
    <col min="5890" max="5890" width="12.7109375" style="1868" customWidth="1"/>
    <col min="5891" max="5892" width="16.7109375" style="1868" customWidth="1"/>
    <col min="5893" max="5893" width="13.7109375" style="1868" customWidth="1"/>
    <col min="5894" max="5894" width="12.42578125" style="1868" customWidth="1"/>
    <col min="5895" max="5895" width="12.5703125" style="1868" customWidth="1"/>
    <col min="5896" max="5896" width="12.7109375" style="1868" customWidth="1"/>
    <col min="5897" max="5897" width="12.42578125" style="1868" customWidth="1"/>
    <col min="5898" max="5898" width="11.85546875" style="1868" customWidth="1"/>
    <col min="5899" max="5899" width="9.85546875" style="1868" customWidth="1"/>
    <col min="5900" max="5900" width="9.140625" style="1868"/>
    <col min="5901" max="5901" width="10.28515625" style="1868" customWidth="1"/>
    <col min="5902" max="6144" width="9.140625" style="1868"/>
    <col min="6145" max="6145" width="14.42578125" style="1868" customWidth="1"/>
    <col min="6146" max="6146" width="12.7109375" style="1868" customWidth="1"/>
    <col min="6147" max="6148" width="16.7109375" style="1868" customWidth="1"/>
    <col min="6149" max="6149" width="13.7109375" style="1868" customWidth="1"/>
    <col min="6150" max="6150" width="12.42578125" style="1868" customWidth="1"/>
    <col min="6151" max="6151" width="12.5703125" style="1868" customWidth="1"/>
    <col min="6152" max="6152" width="12.7109375" style="1868" customWidth="1"/>
    <col min="6153" max="6153" width="12.42578125" style="1868" customWidth="1"/>
    <col min="6154" max="6154" width="11.85546875" style="1868" customWidth="1"/>
    <col min="6155" max="6155" width="9.85546875" style="1868" customWidth="1"/>
    <col min="6156" max="6156" width="9.140625" style="1868"/>
    <col min="6157" max="6157" width="10.28515625" style="1868" customWidth="1"/>
    <col min="6158" max="6400" width="9.140625" style="1868"/>
    <col min="6401" max="6401" width="14.42578125" style="1868" customWidth="1"/>
    <col min="6402" max="6402" width="12.7109375" style="1868" customWidth="1"/>
    <col min="6403" max="6404" width="16.7109375" style="1868" customWidth="1"/>
    <col min="6405" max="6405" width="13.7109375" style="1868" customWidth="1"/>
    <col min="6406" max="6406" width="12.42578125" style="1868" customWidth="1"/>
    <col min="6407" max="6407" width="12.5703125" style="1868" customWidth="1"/>
    <col min="6408" max="6408" width="12.7109375" style="1868" customWidth="1"/>
    <col min="6409" max="6409" width="12.42578125" style="1868" customWidth="1"/>
    <col min="6410" max="6410" width="11.85546875" style="1868" customWidth="1"/>
    <col min="6411" max="6411" width="9.85546875" style="1868" customWidth="1"/>
    <col min="6412" max="6412" width="9.140625" style="1868"/>
    <col min="6413" max="6413" width="10.28515625" style="1868" customWidth="1"/>
    <col min="6414" max="6656" width="9.140625" style="1868"/>
    <col min="6657" max="6657" width="14.42578125" style="1868" customWidth="1"/>
    <col min="6658" max="6658" width="12.7109375" style="1868" customWidth="1"/>
    <col min="6659" max="6660" width="16.7109375" style="1868" customWidth="1"/>
    <col min="6661" max="6661" width="13.7109375" style="1868" customWidth="1"/>
    <col min="6662" max="6662" width="12.42578125" style="1868" customWidth="1"/>
    <col min="6663" max="6663" width="12.5703125" style="1868" customWidth="1"/>
    <col min="6664" max="6664" width="12.7109375" style="1868" customWidth="1"/>
    <col min="6665" max="6665" width="12.42578125" style="1868" customWidth="1"/>
    <col min="6666" max="6666" width="11.85546875" style="1868" customWidth="1"/>
    <col min="6667" max="6667" width="9.85546875" style="1868" customWidth="1"/>
    <col min="6668" max="6668" width="9.140625" style="1868"/>
    <col min="6669" max="6669" width="10.28515625" style="1868" customWidth="1"/>
    <col min="6670" max="6912" width="9.140625" style="1868"/>
    <col min="6913" max="6913" width="14.42578125" style="1868" customWidth="1"/>
    <col min="6914" max="6914" width="12.7109375" style="1868" customWidth="1"/>
    <col min="6915" max="6916" width="16.7109375" style="1868" customWidth="1"/>
    <col min="6917" max="6917" width="13.7109375" style="1868" customWidth="1"/>
    <col min="6918" max="6918" width="12.42578125" style="1868" customWidth="1"/>
    <col min="6919" max="6919" width="12.5703125" style="1868" customWidth="1"/>
    <col min="6920" max="6920" width="12.7109375" style="1868" customWidth="1"/>
    <col min="6921" max="6921" width="12.42578125" style="1868" customWidth="1"/>
    <col min="6922" max="6922" width="11.85546875" style="1868" customWidth="1"/>
    <col min="6923" max="6923" width="9.85546875" style="1868" customWidth="1"/>
    <col min="6924" max="6924" width="9.140625" style="1868"/>
    <col min="6925" max="6925" width="10.28515625" style="1868" customWidth="1"/>
    <col min="6926" max="7168" width="9.140625" style="1868"/>
    <col min="7169" max="7169" width="14.42578125" style="1868" customWidth="1"/>
    <col min="7170" max="7170" width="12.7109375" style="1868" customWidth="1"/>
    <col min="7171" max="7172" width="16.7109375" style="1868" customWidth="1"/>
    <col min="7173" max="7173" width="13.7109375" style="1868" customWidth="1"/>
    <col min="7174" max="7174" width="12.42578125" style="1868" customWidth="1"/>
    <col min="7175" max="7175" width="12.5703125" style="1868" customWidth="1"/>
    <col min="7176" max="7176" width="12.7109375" style="1868" customWidth="1"/>
    <col min="7177" max="7177" width="12.42578125" style="1868" customWidth="1"/>
    <col min="7178" max="7178" width="11.85546875" style="1868" customWidth="1"/>
    <col min="7179" max="7179" width="9.85546875" style="1868" customWidth="1"/>
    <col min="7180" max="7180" width="9.140625" style="1868"/>
    <col min="7181" max="7181" width="10.28515625" style="1868" customWidth="1"/>
    <col min="7182" max="7424" width="9.140625" style="1868"/>
    <col min="7425" max="7425" width="14.42578125" style="1868" customWidth="1"/>
    <col min="7426" max="7426" width="12.7109375" style="1868" customWidth="1"/>
    <col min="7427" max="7428" width="16.7109375" style="1868" customWidth="1"/>
    <col min="7429" max="7429" width="13.7109375" style="1868" customWidth="1"/>
    <col min="7430" max="7430" width="12.42578125" style="1868" customWidth="1"/>
    <col min="7431" max="7431" width="12.5703125" style="1868" customWidth="1"/>
    <col min="7432" max="7432" width="12.7109375" style="1868" customWidth="1"/>
    <col min="7433" max="7433" width="12.42578125" style="1868" customWidth="1"/>
    <col min="7434" max="7434" width="11.85546875" style="1868" customWidth="1"/>
    <col min="7435" max="7435" width="9.85546875" style="1868" customWidth="1"/>
    <col min="7436" max="7436" width="9.140625" style="1868"/>
    <col min="7437" max="7437" width="10.28515625" style="1868" customWidth="1"/>
    <col min="7438" max="7680" width="9.140625" style="1868"/>
    <col min="7681" max="7681" width="14.42578125" style="1868" customWidth="1"/>
    <col min="7682" max="7682" width="12.7109375" style="1868" customWidth="1"/>
    <col min="7683" max="7684" width="16.7109375" style="1868" customWidth="1"/>
    <col min="7685" max="7685" width="13.7109375" style="1868" customWidth="1"/>
    <col min="7686" max="7686" width="12.42578125" style="1868" customWidth="1"/>
    <col min="7687" max="7687" width="12.5703125" style="1868" customWidth="1"/>
    <col min="7688" max="7688" width="12.7109375" style="1868" customWidth="1"/>
    <col min="7689" max="7689" width="12.42578125" style="1868" customWidth="1"/>
    <col min="7690" max="7690" width="11.85546875" style="1868" customWidth="1"/>
    <col min="7691" max="7691" width="9.85546875" style="1868" customWidth="1"/>
    <col min="7692" max="7692" width="9.140625" style="1868"/>
    <col min="7693" max="7693" width="10.28515625" style="1868" customWidth="1"/>
    <col min="7694" max="7936" width="9.140625" style="1868"/>
    <col min="7937" max="7937" width="14.42578125" style="1868" customWidth="1"/>
    <col min="7938" max="7938" width="12.7109375" style="1868" customWidth="1"/>
    <col min="7939" max="7940" width="16.7109375" style="1868" customWidth="1"/>
    <col min="7941" max="7941" width="13.7109375" style="1868" customWidth="1"/>
    <col min="7942" max="7942" width="12.42578125" style="1868" customWidth="1"/>
    <col min="7943" max="7943" width="12.5703125" style="1868" customWidth="1"/>
    <col min="7944" max="7944" width="12.7109375" style="1868" customWidth="1"/>
    <col min="7945" max="7945" width="12.42578125" style="1868" customWidth="1"/>
    <col min="7946" max="7946" width="11.85546875" style="1868" customWidth="1"/>
    <col min="7947" max="7947" width="9.85546875" style="1868" customWidth="1"/>
    <col min="7948" max="7948" width="9.140625" style="1868"/>
    <col min="7949" max="7949" width="10.28515625" style="1868" customWidth="1"/>
    <col min="7950" max="8192" width="9.140625" style="1868"/>
    <col min="8193" max="8193" width="14.42578125" style="1868" customWidth="1"/>
    <col min="8194" max="8194" width="12.7109375" style="1868" customWidth="1"/>
    <col min="8195" max="8196" width="16.7109375" style="1868" customWidth="1"/>
    <col min="8197" max="8197" width="13.7109375" style="1868" customWidth="1"/>
    <col min="8198" max="8198" width="12.42578125" style="1868" customWidth="1"/>
    <col min="8199" max="8199" width="12.5703125" style="1868" customWidth="1"/>
    <col min="8200" max="8200" width="12.7109375" style="1868" customWidth="1"/>
    <col min="8201" max="8201" width="12.42578125" style="1868" customWidth="1"/>
    <col min="8202" max="8202" width="11.85546875" style="1868" customWidth="1"/>
    <col min="8203" max="8203" width="9.85546875" style="1868" customWidth="1"/>
    <col min="8204" max="8204" width="9.140625" style="1868"/>
    <col min="8205" max="8205" width="10.28515625" style="1868" customWidth="1"/>
    <col min="8206" max="8448" width="9.140625" style="1868"/>
    <col min="8449" max="8449" width="14.42578125" style="1868" customWidth="1"/>
    <col min="8450" max="8450" width="12.7109375" style="1868" customWidth="1"/>
    <col min="8451" max="8452" width="16.7109375" style="1868" customWidth="1"/>
    <col min="8453" max="8453" width="13.7109375" style="1868" customWidth="1"/>
    <col min="8454" max="8454" width="12.42578125" style="1868" customWidth="1"/>
    <col min="8455" max="8455" width="12.5703125" style="1868" customWidth="1"/>
    <col min="8456" max="8456" width="12.7109375" style="1868" customWidth="1"/>
    <col min="8457" max="8457" width="12.42578125" style="1868" customWidth="1"/>
    <col min="8458" max="8458" width="11.85546875" style="1868" customWidth="1"/>
    <col min="8459" max="8459" width="9.85546875" style="1868" customWidth="1"/>
    <col min="8460" max="8460" width="9.140625" style="1868"/>
    <col min="8461" max="8461" width="10.28515625" style="1868" customWidth="1"/>
    <col min="8462" max="8704" width="9.140625" style="1868"/>
    <col min="8705" max="8705" width="14.42578125" style="1868" customWidth="1"/>
    <col min="8706" max="8706" width="12.7109375" style="1868" customWidth="1"/>
    <col min="8707" max="8708" width="16.7109375" style="1868" customWidth="1"/>
    <col min="8709" max="8709" width="13.7109375" style="1868" customWidth="1"/>
    <col min="8710" max="8710" width="12.42578125" style="1868" customWidth="1"/>
    <col min="8711" max="8711" width="12.5703125" style="1868" customWidth="1"/>
    <col min="8712" max="8712" width="12.7109375" style="1868" customWidth="1"/>
    <col min="8713" max="8713" width="12.42578125" style="1868" customWidth="1"/>
    <col min="8714" max="8714" width="11.85546875" style="1868" customWidth="1"/>
    <col min="8715" max="8715" width="9.85546875" style="1868" customWidth="1"/>
    <col min="8716" max="8716" width="9.140625" style="1868"/>
    <col min="8717" max="8717" width="10.28515625" style="1868" customWidth="1"/>
    <col min="8718" max="8960" width="9.140625" style="1868"/>
    <col min="8961" max="8961" width="14.42578125" style="1868" customWidth="1"/>
    <col min="8962" max="8962" width="12.7109375" style="1868" customWidth="1"/>
    <col min="8963" max="8964" width="16.7109375" style="1868" customWidth="1"/>
    <col min="8965" max="8965" width="13.7109375" style="1868" customWidth="1"/>
    <col min="8966" max="8966" width="12.42578125" style="1868" customWidth="1"/>
    <col min="8967" max="8967" width="12.5703125" style="1868" customWidth="1"/>
    <col min="8968" max="8968" width="12.7109375" style="1868" customWidth="1"/>
    <col min="8969" max="8969" width="12.42578125" style="1868" customWidth="1"/>
    <col min="8970" max="8970" width="11.85546875" style="1868" customWidth="1"/>
    <col min="8971" max="8971" width="9.85546875" style="1868" customWidth="1"/>
    <col min="8972" max="8972" width="9.140625" style="1868"/>
    <col min="8973" max="8973" width="10.28515625" style="1868" customWidth="1"/>
    <col min="8974" max="9216" width="9.140625" style="1868"/>
    <col min="9217" max="9217" width="14.42578125" style="1868" customWidth="1"/>
    <col min="9218" max="9218" width="12.7109375" style="1868" customWidth="1"/>
    <col min="9219" max="9220" width="16.7109375" style="1868" customWidth="1"/>
    <col min="9221" max="9221" width="13.7109375" style="1868" customWidth="1"/>
    <col min="9222" max="9222" width="12.42578125" style="1868" customWidth="1"/>
    <col min="9223" max="9223" width="12.5703125" style="1868" customWidth="1"/>
    <col min="9224" max="9224" width="12.7109375" style="1868" customWidth="1"/>
    <col min="9225" max="9225" width="12.42578125" style="1868" customWidth="1"/>
    <col min="9226" max="9226" width="11.85546875" style="1868" customWidth="1"/>
    <col min="9227" max="9227" width="9.85546875" style="1868" customWidth="1"/>
    <col min="9228" max="9228" width="9.140625" style="1868"/>
    <col min="9229" max="9229" width="10.28515625" style="1868" customWidth="1"/>
    <col min="9230" max="9472" width="9.140625" style="1868"/>
    <col min="9473" max="9473" width="14.42578125" style="1868" customWidth="1"/>
    <col min="9474" max="9474" width="12.7109375" style="1868" customWidth="1"/>
    <col min="9475" max="9476" width="16.7109375" style="1868" customWidth="1"/>
    <col min="9477" max="9477" width="13.7109375" style="1868" customWidth="1"/>
    <col min="9478" max="9478" width="12.42578125" style="1868" customWidth="1"/>
    <col min="9479" max="9479" width="12.5703125" style="1868" customWidth="1"/>
    <col min="9480" max="9480" width="12.7109375" style="1868" customWidth="1"/>
    <col min="9481" max="9481" width="12.42578125" style="1868" customWidth="1"/>
    <col min="9482" max="9482" width="11.85546875" style="1868" customWidth="1"/>
    <col min="9483" max="9483" width="9.85546875" style="1868" customWidth="1"/>
    <col min="9484" max="9484" width="9.140625" style="1868"/>
    <col min="9485" max="9485" width="10.28515625" style="1868" customWidth="1"/>
    <col min="9486" max="9728" width="9.140625" style="1868"/>
    <col min="9729" max="9729" width="14.42578125" style="1868" customWidth="1"/>
    <col min="9730" max="9730" width="12.7109375" style="1868" customWidth="1"/>
    <col min="9731" max="9732" width="16.7109375" style="1868" customWidth="1"/>
    <col min="9733" max="9733" width="13.7109375" style="1868" customWidth="1"/>
    <col min="9734" max="9734" width="12.42578125" style="1868" customWidth="1"/>
    <col min="9735" max="9735" width="12.5703125" style="1868" customWidth="1"/>
    <col min="9736" max="9736" width="12.7109375" style="1868" customWidth="1"/>
    <col min="9737" max="9737" width="12.42578125" style="1868" customWidth="1"/>
    <col min="9738" max="9738" width="11.85546875" style="1868" customWidth="1"/>
    <col min="9739" max="9739" width="9.85546875" style="1868" customWidth="1"/>
    <col min="9740" max="9740" width="9.140625" style="1868"/>
    <col min="9741" max="9741" width="10.28515625" style="1868" customWidth="1"/>
    <col min="9742" max="9984" width="9.140625" style="1868"/>
    <col min="9985" max="9985" width="14.42578125" style="1868" customWidth="1"/>
    <col min="9986" max="9986" width="12.7109375" style="1868" customWidth="1"/>
    <col min="9987" max="9988" width="16.7109375" style="1868" customWidth="1"/>
    <col min="9989" max="9989" width="13.7109375" style="1868" customWidth="1"/>
    <col min="9990" max="9990" width="12.42578125" style="1868" customWidth="1"/>
    <col min="9991" max="9991" width="12.5703125" style="1868" customWidth="1"/>
    <col min="9992" max="9992" width="12.7109375" style="1868" customWidth="1"/>
    <col min="9993" max="9993" width="12.42578125" style="1868" customWidth="1"/>
    <col min="9994" max="9994" width="11.85546875" style="1868" customWidth="1"/>
    <col min="9995" max="9995" width="9.85546875" style="1868" customWidth="1"/>
    <col min="9996" max="9996" width="9.140625" style="1868"/>
    <col min="9997" max="9997" width="10.28515625" style="1868" customWidth="1"/>
    <col min="9998" max="10240" width="9.140625" style="1868"/>
    <col min="10241" max="10241" width="14.42578125" style="1868" customWidth="1"/>
    <col min="10242" max="10242" width="12.7109375" style="1868" customWidth="1"/>
    <col min="10243" max="10244" width="16.7109375" style="1868" customWidth="1"/>
    <col min="10245" max="10245" width="13.7109375" style="1868" customWidth="1"/>
    <col min="10246" max="10246" width="12.42578125" style="1868" customWidth="1"/>
    <col min="10247" max="10247" width="12.5703125" style="1868" customWidth="1"/>
    <col min="10248" max="10248" width="12.7109375" style="1868" customWidth="1"/>
    <col min="10249" max="10249" width="12.42578125" style="1868" customWidth="1"/>
    <col min="10250" max="10250" width="11.85546875" style="1868" customWidth="1"/>
    <col min="10251" max="10251" width="9.85546875" style="1868" customWidth="1"/>
    <col min="10252" max="10252" width="9.140625" style="1868"/>
    <col min="10253" max="10253" width="10.28515625" style="1868" customWidth="1"/>
    <col min="10254" max="10496" width="9.140625" style="1868"/>
    <col min="10497" max="10497" width="14.42578125" style="1868" customWidth="1"/>
    <col min="10498" max="10498" width="12.7109375" style="1868" customWidth="1"/>
    <col min="10499" max="10500" width="16.7109375" style="1868" customWidth="1"/>
    <col min="10501" max="10501" width="13.7109375" style="1868" customWidth="1"/>
    <col min="10502" max="10502" width="12.42578125" style="1868" customWidth="1"/>
    <col min="10503" max="10503" width="12.5703125" style="1868" customWidth="1"/>
    <col min="10504" max="10504" width="12.7109375" style="1868" customWidth="1"/>
    <col min="10505" max="10505" width="12.42578125" style="1868" customWidth="1"/>
    <col min="10506" max="10506" width="11.85546875" style="1868" customWidth="1"/>
    <col min="10507" max="10507" width="9.85546875" style="1868" customWidth="1"/>
    <col min="10508" max="10508" width="9.140625" style="1868"/>
    <col min="10509" max="10509" width="10.28515625" style="1868" customWidth="1"/>
    <col min="10510" max="10752" width="9.140625" style="1868"/>
    <col min="10753" max="10753" width="14.42578125" style="1868" customWidth="1"/>
    <col min="10754" max="10754" width="12.7109375" style="1868" customWidth="1"/>
    <col min="10755" max="10756" width="16.7109375" style="1868" customWidth="1"/>
    <col min="10757" max="10757" width="13.7109375" style="1868" customWidth="1"/>
    <col min="10758" max="10758" width="12.42578125" style="1868" customWidth="1"/>
    <col min="10759" max="10759" width="12.5703125" style="1868" customWidth="1"/>
    <col min="10760" max="10760" width="12.7109375" style="1868" customWidth="1"/>
    <col min="10761" max="10761" width="12.42578125" style="1868" customWidth="1"/>
    <col min="10762" max="10762" width="11.85546875" style="1868" customWidth="1"/>
    <col min="10763" max="10763" width="9.85546875" style="1868" customWidth="1"/>
    <col min="10764" max="10764" width="9.140625" style="1868"/>
    <col min="10765" max="10765" width="10.28515625" style="1868" customWidth="1"/>
    <col min="10766" max="11008" width="9.140625" style="1868"/>
    <col min="11009" max="11009" width="14.42578125" style="1868" customWidth="1"/>
    <col min="11010" max="11010" width="12.7109375" style="1868" customWidth="1"/>
    <col min="11011" max="11012" width="16.7109375" style="1868" customWidth="1"/>
    <col min="11013" max="11013" width="13.7109375" style="1868" customWidth="1"/>
    <col min="11014" max="11014" width="12.42578125" style="1868" customWidth="1"/>
    <col min="11015" max="11015" width="12.5703125" style="1868" customWidth="1"/>
    <col min="11016" max="11016" width="12.7109375" style="1868" customWidth="1"/>
    <col min="11017" max="11017" width="12.42578125" style="1868" customWidth="1"/>
    <col min="11018" max="11018" width="11.85546875" style="1868" customWidth="1"/>
    <col min="11019" max="11019" width="9.85546875" style="1868" customWidth="1"/>
    <col min="11020" max="11020" width="9.140625" style="1868"/>
    <col min="11021" max="11021" width="10.28515625" style="1868" customWidth="1"/>
    <col min="11022" max="11264" width="9.140625" style="1868"/>
    <col min="11265" max="11265" width="14.42578125" style="1868" customWidth="1"/>
    <col min="11266" max="11266" width="12.7109375" style="1868" customWidth="1"/>
    <col min="11267" max="11268" width="16.7109375" style="1868" customWidth="1"/>
    <col min="11269" max="11269" width="13.7109375" style="1868" customWidth="1"/>
    <col min="11270" max="11270" width="12.42578125" style="1868" customWidth="1"/>
    <col min="11271" max="11271" width="12.5703125" style="1868" customWidth="1"/>
    <col min="11272" max="11272" width="12.7109375" style="1868" customWidth="1"/>
    <col min="11273" max="11273" width="12.42578125" style="1868" customWidth="1"/>
    <col min="11274" max="11274" width="11.85546875" style="1868" customWidth="1"/>
    <col min="11275" max="11275" width="9.85546875" style="1868" customWidth="1"/>
    <col min="11276" max="11276" width="9.140625" style="1868"/>
    <col min="11277" max="11277" width="10.28515625" style="1868" customWidth="1"/>
    <col min="11278" max="11520" width="9.140625" style="1868"/>
    <col min="11521" max="11521" width="14.42578125" style="1868" customWidth="1"/>
    <col min="11522" max="11522" width="12.7109375" style="1868" customWidth="1"/>
    <col min="11523" max="11524" width="16.7109375" style="1868" customWidth="1"/>
    <col min="11525" max="11525" width="13.7109375" style="1868" customWidth="1"/>
    <col min="11526" max="11526" width="12.42578125" style="1868" customWidth="1"/>
    <col min="11527" max="11527" width="12.5703125" style="1868" customWidth="1"/>
    <col min="11528" max="11528" width="12.7109375" style="1868" customWidth="1"/>
    <col min="11529" max="11529" width="12.42578125" style="1868" customWidth="1"/>
    <col min="11530" max="11530" width="11.85546875" style="1868" customWidth="1"/>
    <col min="11531" max="11531" width="9.85546875" style="1868" customWidth="1"/>
    <col min="11532" max="11532" width="9.140625" style="1868"/>
    <col min="11533" max="11533" width="10.28515625" style="1868" customWidth="1"/>
    <col min="11534" max="11776" width="9.140625" style="1868"/>
    <col min="11777" max="11777" width="14.42578125" style="1868" customWidth="1"/>
    <col min="11778" max="11778" width="12.7109375" style="1868" customWidth="1"/>
    <col min="11779" max="11780" width="16.7109375" style="1868" customWidth="1"/>
    <col min="11781" max="11781" width="13.7109375" style="1868" customWidth="1"/>
    <col min="11782" max="11782" width="12.42578125" style="1868" customWidth="1"/>
    <col min="11783" max="11783" width="12.5703125" style="1868" customWidth="1"/>
    <col min="11784" max="11784" width="12.7109375" style="1868" customWidth="1"/>
    <col min="11785" max="11785" width="12.42578125" style="1868" customWidth="1"/>
    <col min="11786" max="11786" width="11.85546875" style="1868" customWidth="1"/>
    <col min="11787" max="11787" width="9.85546875" style="1868" customWidth="1"/>
    <col min="11788" max="11788" width="9.140625" style="1868"/>
    <col min="11789" max="11789" width="10.28515625" style="1868" customWidth="1"/>
    <col min="11790" max="12032" width="9.140625" style="1868"/>
    <col min="12033" max="12033" width="14.42578125" style="1868" customWidth="1"/>
    <col min="12034" max="12034" width="12.7109375" style="1868" customWidth="1"/>
    <col min="12035" max="12036" width="16.7109375" style="1868" customWidth="1"/>
    <col min="12037" max="12037" width="13.7109375" style="1868" customWidth="1"/>
    <col min="12038" max="12038" width="12.42578125" style="1868" customWidth="1"/>
    <col min="12039" max="12039" width="12.5703125" style="1868" customWidth="1"/>
    <col min="12040" max="12040" width="12.7109375" style="1868" customWidth="1"/>
    <col min="12041" max="12041" width="12.42578125" style="1868" customWidth="1"/>
    <col min="12042" max="12042" width="11.85546875" style="1868" customWidth="1"/>
    <col min="12043" max="12043" width="9.85546875" style="1868" customWidth="1"/>
    <col min="12044" max="12044" width="9.140625" style="1868"/>
    <col min="12045" max="12045" width="10.28515625" style="1868" customWidth="1"/>
    <col min="12046" max="12288" width="9.140625" style="1868"/>
    <col min="12289" max="12289" width="14.42578125" style="1868" customWidth="1"/>
    <col min="12290" max="12290" width="12.7109375" style="1868" customWidth="1"/>
    <col min="12291" max="12292" width="16.7109375" style="1868" customWidth="1"/>
    <col min="12293" max="12293" width="13.7109375" style="1868" customWidth="1"/>
    <col min="12294" max="12294" width="12.42578125" style="1868" customWidth="1"/>
    <col min="12295" max="12295" width="12.5703125" style="1868" customWidth="1"/>
    <col min="12296" max="12296" width="12.7109375" style="1868" customWidth="1"/>
    <col min="12297" max="12297" width="12.42578125" style="1868" customWidth="1"/>
    <col min="12298" max="12298" width="11.85546875" style="1868" customWidth="1"/>
    <col min="12299" max="12299" width="9.85546875" style="1868" customWidth="1"/>
    <col min="12300" max="12300" width="9.140625" style="1868"/>
    <col min="12301" max="12301" width="10.28515625" style="1868" customWidth="1"/>
    <col min="12302" max="12544" width="9.140625" style="1868"/>
    <col min="12545" max="12545" width="14.42578125" style="1868" customWidth="1"/>
    <col min="12546" max="12546" width="12.7109375" style="1868" customWidth="1"/>
    <col min="12547" max="12548" width="16.7109375" style="1868" customWidth="1"/>
    <col min="12549" max="12549" width="13.7109375" style="1868" customWidth="1"/>
    <col min="12550" max="12550" width="12.42578125" style="1868" customWidth="1"/>
    <col min="12551" max="12551" width="12.5703125" style="1868" customWidth="1"/>
    <col min="12552" max="12552" width="12.7109375" style="1868" customWidth="1"/>
    <col min="12553" max="12553" width="12.42578125" style="1868" customWidth="1"/>
    <col min="12554" max="12554" width="11.85546875" style="1868" customWidth="1"/>
    <col min="12555" max="12555" width="9.85546875" style="1868" customWidth="1"/>
    <col min="12556" max="12556" width="9.140625" style="1868"/>
    <col min="12557" max="12557" width="10.28515625" style="1868" customWidth="1"/>
    <col min="12558" max="12800" width="9.140625" style="1868"/>
    <col min="12801" max="12801" width="14.42578125" style="1868" customWidth="1"/>
    <col min="12802" max="12802" width="12.7109375" style="1868" customWidth="1"/>
    <col min="12803" max="12804" width="16.7109375" style="1868" customWidth="1"/>
    <col min="12805" max="12805" width="13.7109375" style="1868" customWidth="1"/>
    <col min="12806" max="12806" width="12.42578125" style="1868" customWidth="1"/>
    <col min="12807" max="12807" width="12.5703125" style="1868" customWidth="1"/>
    <col min="12808" max="12808" width="12.7109375" style="1868" customWidth="1"/>
    <col min="12809" max="12809" width="12.42578125" style="1868" customWidth="1"/>
    <col min="12810" max="12810" width="11.85546875" style="1868" customWidth="1"/>
    <col min="12811" max="12811" width="9.85546875" style="1868" customWidth="1"/>
    <col min="12812" max="12812" width="9.140625" style="1868"/>
    <col min="12813" max="12813" width="10.28515625" style="1868" customWidth="1"/>
    <col min="12814" max="13056" width="9.140625" style="1868"/>
    <col min="13057" max="13057" width="14.42578125" style="1868" customWidth="1"/>
    <col min="13058" max="13058" width="12.7109375" style="1868" customWidth="1"/>
    <col min="13059" max="13060" width="16.7109375" style="1868" customWidth="1"/>
    <col min="13061" max="13061" width="13.7109375" style="1868" customWidth="1"/>
    <col min="13062" max="13062" width="12.42578125" style="1868" customWidth="1"/>
    <col min="13063" max="13063" width="12.5703125" style="1868" customWidth="1"/>
    <col min="13064" max="13064" width="12.7109375" style="1868" customWidth="1"/>
    <col min="13065" max="13065" width="12.42578125" style="1868" customWidth="1"/>
    <col min="13066" max="13066" width="11.85546875" style="1868" customWidth="1"/>
    <col min="13067" max="13067" width="9.85546875" style="1868" customWidth="1"/>
    <col min="13068" max="13068" width="9.140625" style="1868"/>
    <col min="13069" max="13069" width="10.28515625" style="1868" customWidth="1"/>
    <col min="13070" max="13312" width="9.140625" style="1868"/>
    <col min="13313" max="13313" width="14.42578125" style="1868" customWidth="1"/>
    <col min="13314" max="13314" width="12.7109375" style="1868" customWidth="1"/>
    <col min="13315" max="13316" width="16.7109375" style="1868" customWidth="1"/>
    <col min="13317" max="13317" width="13.7109375" style="1868" customWidth="1"/>
    <col min="13318" max="13318" width="12.42578125" style="1868" customWidth="1"/>
    <col min="13319" max="13319" width="12.5703125" style="1868" customWidth="1"/>
    <col min="13320" max="13320" width="12.7109375" style="1868" customWidth="1"/>
    <col min="13321" max="13321" width="12.42578125" style="1868" customWidth="1"/>
    <col min="13322" max="13322" width="11.85546875" style="1868" customWidth="1"/>
    <col min="13323" max="13323" width="9.85546875" style="1868" customWidth="1"/>
    <col min="13324" max="13324" width="9.140625" style="1868"/>
    <col min="13325" max="13325" width="10.28515625" style="1868" customWidth="1"/>
    <col min="13326" max="13568" width="9.140625" style="1868"/>
    <col min="13569" max="13569" width="14.42578125" style="1868" customWidth="1"/>
    <col min="13570" max="13570" width="12.7109375" style="1868" customWidth="1"/>
    <col min="13571" max="13572" width="16.7109375" style="1868" customWidth="1"/>
    <col min="13573" max="13573" width="13.7109375" style="1868" customWidth="1"/>
    <col min="13574" max="13574" width="12.42578125" style="1868" customWidth="1"/>
    <col min="13575" max="13575" width="12.5703125" style="1868" customWidth="1"/>
    <col min="13576" max="13576" width="12.7109375" style="1868" customWidth="1"/>
    <col min="13577" max="13577" width="12.42578125" style="1868" customWidth="1"/>
    <col min="13578" max="13578" width="11.85546875" style="1868" customWidth="1"/>
    <col min="13579" max="13579" width="9.85546875" style="1868" customWidth="1"/>
    <col min="13580" max="13580" width="9.140625" style="1868"/>
    <col min="13581" max="13581" width="10.28515625" style="1868" customWidth="1"/>
    <col min="13582" max="13824" width="9.140625" style="1868"/>
    <col min="13825" max="13825" width="14.42578125" style="1868" customWidth="1"/>
    <col min="13826" max="13826" width="12.7109375" style="1868" customWidth="1"/>
    <col min="13827" max="13828" width="16.7109375" style="1868" customWidth="1"/>
    <col min="13829" max="13829" width="13.7109375" style="1868" customWidth="1"/>
    <col min="13830" max="13830" width="12.42578125" style="1868" customWidth="1"/>
    <col min="13831" max="13831" width="12.5703125" style="1868" customWidth="1"/>
    <col min="13832" max="13832" width="12.7109375" style="1868" customWidth="1"/>
    <col min="13833" max="13833" width="12.42578125" style="1868" customWidth="1"/>
    <col min="13834" max="13834" width="11.85546875" style="1868" customWidth="1"/>
    <col min="13835" max="13835" width="9.85546875" style="1868" customWidth="1"/>
    <col min="13836" max="13836" width="9.140625" style="1868"/>
    <col min="13837" max="13837" width="10.28515625" style="1868" customWidth="1"/>
    <col min="13838" max="14080" width="9.140625" style="1868"/>
    <col min="14081" max="14081" width="14.42578125" style="1868" customWidth="1"/>
    <col min="14082" max="14082" width="12.7109375" style="1868" customWidth="1"/>
    <col min="14083" max="14084" width="16.7109375" style="1868" customWidth="1"/>
    <col min="14085" max="14085" width="13.7109375" style="1868" customWidth="1"/>
    <col min="14086" max="14086" width="12.42578125" style="1868" customWidth="1"/>
    <col min="14087" max="14087" width="12.5703125" style="1868" customWidth="1"/>
    <col min="14088" max="14088" width="12.7109375" style="1868" customWidth="1"/>
    <col min="14089" max="14089" width="12.42578125" style="1868" customWidth="1"/>
    <col min="14090" max="14090" width="11.85546875" style="1868" customWidth="1"/>
    <col min="14091" max="14091" width="9.85546875" style="1868" customWidth="1"/>
    <col min="14092" max="14092" width="9.140625" style="1868"/>
    <col min="14093" max="14093" width="10.28515625" style="1868" customWidth="1"/>
    <col min="14094" max="14336" width="9.140625" style="1868"/>
    <col min="14337" max="14337" width="14.42578125" style="1868" customWidth="1"/>
    <col min="14338" max="14338" width="12.7109375" style="1868" customWidth="1"/>
    <col min="14339" max="14340" width="16.7109375" style="1868" customWidth="1"/>
    <col min="14341" max="14341" width="13.7109375" style="1868" customWidth="1"/>
    <col min="14342" max="14342" width="12.42578125" style="1868" customWidth="1"/>
    <col min="14343" max="14343" width="12.5703125" style="1868" customWidth="1"/>
    <col min="14344" max="14344" width="12.7109375" style="1868" customWidth="1"/>
    <col min="14345" max="14345" width="12.42578125" style="1868" customWidth="1"/>
    <col min="14346" max="14346" width="11.85546875" style="1868" customWidth="1"/>
    <col min="14347" max="14347" width="9.85546875" style="1868" customWidth="1"/>
    <col min="14348" max="14348" width="9.140625" style="1868"/>
    <col min="14349" max="14349" width="10.28515625" style="1868" customWidth="1"/>
    <col min="14350" max="14592" width="9.140625" style="1868"/>
    <col min="14593" max="14593" width="14.42578125" style="1868" customWidth="1"/>
    <col min="14594" max="14594" width="12.7109375" style="1868" customWidth="1"/>
    <col min="14595" max="14596" width="16.7109375" style="1868" customWidth="1"/>
    <col min="14597" max="14597" width="13.7109375" style="1868" customWidth="1"/>
    <col min="14598" max="14598" width="12.42578125" style="1868" customWidth="1"/>
    <col min="14599" max="14599" width="12.5703125" style="1868" customWidth="1"/>
    <col min="14600" max="14600" width="12.7109375" style="1868" customWidth="1"/>
    <col min="14601" max="14601" width="12.42578125" style="1868" customWidth="1"/>
    <col min="14602" max="14602" width="11.85546875" style="1868" customWidth="1"/>
    <col min="14603" max="14603" width="9.85546875" style="1868" customWidth="1"/>
    <col min="14604" max="14604" width="9.140625" style="1868"/>
    <col min="14605" max="14605" width="10.28515625" style="1868" customWidth="1"/>
    <col min="14606" max="14848" width="9.140625" style="1868"/>
    <col min="14849" max="14849" width="14.42578125" style="1868" customWidth="1"/>
    <col min="14850" max="14850" width="12.7109375" style="1868" customWidth="1"/>
    <col min="14851" max="14852" width="16.7109375" style="1868" customWidth="1"/>
    <col min="14853" max="14853" width="13.7109375" style="1868" customWidth="1"/>
    <col min="14854" max="14854" width="12.42578125" style="1868" customWidth="1"/>
    <col min="14855" max="14855" width="12.5703125" style="1868" customWidth="1"/>
    <col min="14856" max="14856" width="12.7109375" style="1868" customWidth="1"/>
    <col min="14857" max="14857" width="12.42578125" style="1868" customWidth="1"/>
    <col min="14858" max="14858" width="11.85546875" style="1868" customWidth="1"/>
    <col min="14859" max="14859" width="9.85546875" style="1868" customWidth="1"/>
    <col min="14860" max="14860" width="9.140625" style="1868"/>
    <col min="14861" max="14861" width="10.28515625" style="1868" customWidth="1"/>
    <col min="14862" max="15104" width="9.140625" style="1868"/>
    <col min="15105" max="15105" width="14.42578125" style="1868" customWidth="1"/>
    <col min="15106" max="15106" width="12.7109375" style="1868" customWidth="1"/>
    <col min="15107" max="15108" width="16.7109375" style="1868" customWidth="1"/>
    <col min="15109" max="15109" width="13.7109375" style="1868" customWidth="1"/>
    <col min="15110" max="15110" width="12.42578125" style="1868" customWidth="1"/>
    <col min="15111" max="15111" width="12.5703125" style="1868" customWidth="1"/>
    <col min="15112" max="15112" width="12.7109375" style="1868" customWidth="1"/>
    <col min="15113" max="15113" width="12.42578125" style="1868" customWidth="1"/>
    <col min="15114" max="15114" width="11.85546875" style="1868" customWidth="1"/>
    <col min="15115" max="15115" width="9.85546875" style="1868" customWidth="1"/>
    <col min="15116" max="15116" width="9.140625" style="1868"/>
    <col min="15117" max="15117" width="10.28515625" style="1868" customWidth="1"/>
    <col min="15118" max="15360" width="9.140625" style="1868"/>
    <col min="15361" max="15361" width="14.42578125" style="1868" customWidth="1"/>
    <col min="15362" max="15362" width="12.7109375" style="1868" customWidth="1"/>
    <col min="15363" max="15364" width="16.7109375" style="1868" customWidth="1"/>
    <col min="15365" max="15365" width="13.7109375" style="1868" customWidth="1"/>
    <col min="15366" max="15366" width="12.42578125" style="1868" customWidth="1"/>
    <col min="15367" max="15367" width="12.5703125" style="1868" customWidth="1"/>
    <col min="15368" max="15368" width="12.7109375" style="1868" customWidth="1"/>
    <col min="15369" max="15369" width="12.42578125" style="1868" customWidth="1"/>
    <col min="15370" max="15370" width="11.85546875" style="1868" customWidth="1"/>
    <col min="15371" max="15371" width="9.85546875" style="1868" customWidth="1"/>
    <col min="15372" max="15372" width="9.140625" style="1868"/>
    <col min="15373" max="15373" width="10.28515625" style="1868" customWidth="1"/>
    <col min="15374" max="15616" width="9.140625" style="1868"/>
    <col min="15617" max="15617" width="14.42578125" style="1868" customWidth="1"/>
    <col min="15618" max="15618" width="12.7109375" style="1868" customWidth="1"/>
    <col min="15619" max="15620" width="16.7109375" style="1868" customWidth="1"/>
    <col min="15621" max="15621" width="13.7109375" style="1868" customWidth="1"/>
    <col min="15622" max="15622" width="12.42578125" style="1868" customWidth="1"/>
    <col min="15623" max="15623" width="12.5703125" style="1868" customWidth="1"/>
    <col min="15624" max="15624" width="12.7109375" style="1868" customWidth="1"/>
    <col min="15625" max="15625" width="12.42578125" style="1868" customWidth="1"/>
    <col min="15626" max="15626" width="11.85546875" style="1868" customWidth="1"/>
    <col min="15627" max="15627" width="9.85546875" style="1868" customWidth="1"/>
    <col min="15628" max="15628" width="9.140625" style="1868"/>
    <col min="15629" max="15629" width="10.28515625" style="1868" customWidth="1"/>
    <col min="15630" max="15872" width="9.140625" style="1868"/>
    <col min="15873" max="15873" width="14.42578125" style="1868" customWidth="1"/>
    <col min="15874" max="15874" width="12.7109375" style="1868" customWidth="1"/>
    <col min="15875" max="15876" width="16.7109375" style="1868" customWidth="1"/>
    <col min="15877" max="15877" width="13.7109375" style="1868" customWidth="1"/>
    <col min="15878" max="15878" width="12.42578125" style="1868" customWidth="1"/>
    <col min="15879" max="15879" width="12.5703125" style="1868" customWidth="1"/>
    <col min="15880" max="15880" width="12.7109375" style="1868" customWidth="1"/>
    <col min="15881" max="15881" width="12.42578125" style="1868" customWidth="1"/>
    <col min="15882" max="15882" width="11.85546875" style="1868" customWidth="1"/>
    <col min="15883" max="15883" width="9.85546875" style="1868" customWidth="1"/>
    <col min="15884" max="15884" width="9.140625" style="1868"/>
    <col min="15885" max="15885" width="10.28515625" style="1868" customWidth="1"/>
    <col min="15886" max="16128" width="9.140625" style="1868"/>
    <col min="16129" max="16129" width="14.42578125" style="1868" customWidth="1"/>
    <col min="16130" max="16130" width="12.7109375" style="1868" customWidth="1"/>
    <col min="16131" max="16132" width="16.7109375" style="1868" customWidth="1"/>
    <col min="16133" max="16133" width="13.7109375" style="1868" customWidth="1"/>
    <col min="16134" max="16134" width="12.42578125" style="1868" customWidth="1"/>
    <col min="16135" max="16135" width="12.5703125" style="1868" customWidth="1"/>
    <col min="16136" max="16136" width="12.7109375" style="1868" customWidth="1"/>
    <col min="16137" max="16137" width="12.42578125" style="1868" customWidth="1"/>
    <col min="16138" max="16138" width="11.85546875" style="1868" customWidth="1"/>
    <col min="16139" max="16139" width="9.85546875" style="1868" customWidth="1"/>
    <col min="16140" max="16140" width="9.140625" style="1868"/>
    <col min="16141" max="16141" width="10.28515625" style="1868" customWidth="1"/>
    <col min="16142" max="16384" width="9.140625" style="1868"/>
  </cols>
  <sheetData>
    <row r="1" spans="1:8" s="1866" customFormat="1" ht="15">
      <c r="A1" s="1865" t="s">
        <v>2756</v>
      </c>
      <c r="C1" s="1867"/>
      <c r="D1" s="1867"/>
    </row>
    <row r="2" spans="1:8" ht="7.5" customHeight="1" thickBot="1">
      <c r="F2" s="1870"/>
    </row>
    <row r="3" spans="1:8" ht="13.5" thickBot="1">
      <c r="A3" s="1871"/>
      <c r="B3" s="1872" t="s">
        <v>2757</v>
      </c>
      <c r="C3" s="1873"/>
      <c r="D3" s="1873"/>
      <c r="E3" s="1874"/>
      <c r="F3" s="1875"/>
      <c r="G3" s="1875"/>
      <c r="H3" s="1876"/>
    </row>
    <row r="4" spans="1:8" ht="12.75" customHeight="1" thickBot="1">
      <c r="A4" s="1877" t="s">
        <v>1</v>
      </c>
      <c r="B4" s="1878" t="s">
        <v>1351</v>
      </c>
      <c r="C4" s="1879"/>
      <c r="D4" s="1873"/>
      <c r="E4" s="3408" t="s">
        <v>1255</v>
      </c>
      <c r="F4" s="3408"/>
      <c r="G4" s="3408"/>
      <c r="H4" s="3409"/>
    </row>
    <row r="5" spans="1:8" ht="12.75" customHeight="1">
      <c r="A5" s="1877"/>
      <c r="B5" s="1880" t="s">
        <v>315</v>
      </c>
      <c r="C5" s="1871" t="s">
        <v>2758</v>
      </c>
      <c r="D5" s="1878" t="s">
        <v>2758</v>
      </c>
      <c r="E5" s="1878" t="s">
        <v>2759</v>
      </c>
      <c r="F5" s="1881" t="s">
        <v>2760</v>
      </c>
      <c r="G5" s="1871" t="s">
        <v>2761</v>
      </c>
      <c r="H5" s="1871" t="s">
        <v>2762</v>
      </c>
    </row>
    <row r="6" spans="1:8" ht="15" customHeight="1">
      <c r="A6" s="1877"/>
      <c r="B6" s="1880" t="s">
        <v>2763</v>
      </c>
      <c r="C6" s="1882" t="s">
        <v>2764</v>
      </c>
      <c r="D6" s="1880" t="s">
        <v>2765</v>
      </c>
      <c r="E6" s="1880"/>
      <c r="F6" s="1883"/>
      <c r="G6" s="1882" t="s">
        <v>915</v>
      </c>
      <c r="H6" s="1882" t="s">
        <v>915</v>
      </c>
    </row>
    <row r="7" spans="1:8" ht="12.75" customHeight="1" thickBot="1">
      <c r="A7" s="1884"/>
      <c r="B7" s="1885"/>
      <c r="C7" s="1886"/>
      <c r="D7" s="1885"/>
      <c r="E7" s="1885"/>
      <c r="F7" s="1887" t="s">
        <v>148</v>
      </c>
      <c r="G7" s="1886" t="s">
        <v>1353</v>
      </c>
      <c r="H7" s="1886" t="s">
        <v>2766</v>
      </c>
    </row>
    <row r="8" spans="1:8" ht="12.75" hidden="1" customHeight="1">
      <c r="A8" s="1888">
        <v>37438</v>
      </c>
      <c r="B8" s="1889">
        <v>23</v>
      </c>
      <c r="C8" s="1890">
        <v>703.38</v>
      </c>
      <c r="D8" s="1890">
        <v>375.02</v>
      </c>
      <c r="E8" s="1891">
        <v>79.459999999999994</v>
      </c>
      <c r="F8" s="1892">
        <v>359.86</v>
      </c>
      <c r="G8" s="1893">
        <v>5462</v>
      </c>
      <c r="H8" s="1893">
        <v>390</v>
      </c>
    </row>
    <row r="9" spans="1:8" ht="12.75" hidden="1" customHeight="1">
      <c r="A9" s="1888">
        <v>37469</v>
      </c>
      <c r="B9" s="1889">
        <v>21</v>
      </c>
      <c r="C9" s="1890">
        <v>724.61</v>
      </c>
      <c r="D9" s="1890">
        <v>383.5</v>
      </c>
      <c r="E9" s="1891">
        <v>81.349999999999994</v>
      </c>
      <c r="F9" s="1892">
        <v>369.27</v>
      </c>
      <c r="G9" s="1893">
        <v>4237</v>
      </c>
      <c r="H9" s="1893">
        <v>334</v>
      </c>
    </row>
    <row r="10" spans="1:8" ht="12.75" hidden="1" customHeight="1">
      <c r="A10" s="1888">
        <v>37500</v>
      </c>
      <c r="B10" s="1889">
        <v>20</v>
      </c>
      <c r="C10" s="1890">
        <v>748.41</v>
      </c>
      <c r="D10" s="1890">
        <v>393.72</v>
      </c>
      <c r="E10" s="1891">
        <v>82.34</v>
      </c>
      <c r="F10" s="1892">
        <v>381.25</v>
      </c>
      <c r="G10" s="1893">
        <v>6328</v>
      </c>
      <c r="H10" s="1893">
        <v>488</v>
      </c>
    </row>
    <row r="11" spans="1:8" ht="12.75" hidden="1" customHeight="1">
      <c r="A11" s="1888">
        <v>37530</v>
      </c>
      <c r="B11" s="1889">
        <v>23</v>
      </c>
      <c r="C11" s="1890">
        <v>751.53</v>
      </c>
      <c r="D11" s="1890">
        <v>395.52</v>
      </c>
      <c r="E11" s="1891">
        <v>82.38</v>
      </c>
      <c r="F11" s="1892">
        <v>379.09</v>
      </c>
      <c r="G11" s="1893">
        <v>4380</v>
      </c>
      <c r="H11" s="1893">
        <v>399</v>
      </c>
    </row>
    <row r="12" spans="1:8" ht="12.75" hidden="1" customHeight="1">
      <c r="A12" s="1888">
        <v>37562</v>
      </c>
      <c r="B12" s="1889">
        <v>20</v>
      </c>
      <c r="C12" s="1890">
        <v>757.45</v>
      </c>
      <c r="D12" s="1890">
        <v>400.61</v>
      </c>
      <c r="E12" s="1891">
        <v>82.79</v>
      </c>
      <c r="F12" s="1892">
        <v>380.92</v>
      </c>
      <c r="G12" s="1893">
        <v>5790</v>
      </c>
      <c r="H12" s="1893">
        <v>455</v>
      </c>
    </row>
    <row r="13" spans="1:8" ht="12.75" hidden="1" customHeight="1">
      <c r="A13" s="1888">
        <v>37592</v>
      </c>
      <c r="B13" s="1889">
        <v>20</v>
      </c>
      <c r="C13" s="1890">
        <v>792.91</v>
      </c>
      <c r="D13" s="1890">
        <v>420.66</v>
      </c>
      <c r="E13" s="1891">
        <v>86.5</v>
      </c>
      <c r="F13" s="1892">
        <v>394.26</v>
      </c>
      <c r="G13" s="1893">
        <v>5671</v>
      </c>
      <c r="H13" s="1893">
        <v>421</v>
      </c>
    </row>
    <row r="14" spans="1:8" ht="12.75" hidden="1" customHeight="1">
      <c r="A14" s="1888">
        <v>37624</v>
      </c>
      <c r="B14" s="1889">
        <v>21</v>
      </c>
      <c r="C14" s="1890">
        <v>855</v>
      </c>
      <c r="D14" s="1894">
        <v>463.05</v>
      </c>
      <c r="E14" s="1895">
        <v>94.07</v>
      </c>
      <c r="F14" s="1892">
        <v>419.4</v>
      </c>
      <c r="G14" s="1893">
        <v>7066</v>
      </c>
      <c r="H14" s="1893">
        <v>370</v>
      </c>
    </row>
    <row r="15" spans="1:8" ht="12.75" hidden="1" customHeight="1">
      <c r="A15" s="1888">
        <v>37655</v>
      </c>
      <c r="B15" s="1889">
        <v>19</v>
      </c>
      <c r="C15" s="1890">
        <v>879.71</v>
      </c>
      <c r="D15" s="1894">
        <v>491.9</v>
      </c>
      <c r="E15" s="1895">
        <v>96.74</v>
      </c>
      <c r="F15" s="1892">
        <v>430.16</v>
      </c>
      <c r="G15" s="1893">
        <v>8543</v>
      </c>
      <c r="H15" s="1893">
        <v>419.83</v>
      </c>
    </row>
    <row r="16" spans="1:8" ht="12.75" hidden="1" customHeight="1">
      <c r="A16" s="1888">
        <v>37683</v>
      </c>
      <c r="B16" s="1889">
        <v>20</v>
      </c>
      <c r="C16" s="1890">
        <v>870.27</v>
      </c>
      <c r="D16" s="1894">
        <v>492.47</v>
      </c>
      <c r="E16" s="1895">
        <v>95.12</v>
      </c>
      <c r="F16" s="1892">
        <v>425.16</v>
      </c>
      <c r="G16" s="1893">
        <v>6958</v>
      </c>
      <c r="H16" s="1893">
        <v>440</v>
      </c>
    </row>
    <row r="17" spans="1:8" ht="12.75" hidden="1" customHeight="1">
      <c r="A17" s="1888">
        <v>37714</v>
      </c>
      <c r="B17" s="1889">
        <v>21</v>
      </c>
      <c r="C17" s="1890">
        <v>910.33</v>
      </c>
      <c r="D17" s="1894">
        <v>518.30999999999995</v>
      </c>
      <c r="E17" s="1895">
        <v>98.54</v>
      </c>
      <c r="F17" s="1892">
        <v>440</v>
      </c>
      <c r="G17" s="1893">
        <v>7399</v>
      </c>
      <c r="H17" s="1893">
        <v>814</v>
      </c>
    </row>
    <row r="18" spans="1:8" ht="12.75" hidden="1" customHeight="1">
      <c r="A18" s="1888">
        <v>37742</v>
      </c>
      <c r="B18" s="1889">
        <v>21</v>
      </c>
      <c r="C18" s="1890">
        <v>968.13</v>
      </c>
      <c r="D18" s="1894">
        <v>548.11</v>
      </c>
      <c r="E18" s="1895">
        <v>104.06</v>
      </c>
      <c r="F18" s="1892">
        <v>465.27</v>
      </c>
      <c r="G18" s="1893">
        <v>10253</v>
      </c>
      <c r="H18" s="1893">
        <v>659</v>
      </c>
    </row>
    <row r="19" spans="1:8" ht="12.75" hidden="1" customHeight="1">
      <c r="A19" s="1888">
        <v>37773</v>
      </c>
      <c r="B19" s="1889">
        <v>21</v>
      </c>
      <c r="C19" s="1890">
        <v>1004.17</v>
      </c>
      <c r="D19" s="1894">
        <v>551.09</v>
      </c>
      <c r="E19" s="1895">
        <v>105.98</v>
      </c>
      <c r="F19" s="1892">
        <v>481.03</v>
      </c>
      <c r="G19" s="1893">
        <v>10462</v>
      </c>
      <c r="H19" s="1893">
        <v>970</v>
      </c>
    </row>
    <row r="20" spans="1:8" ht="12.75" hidden="1" customHeight="1">
      <c r="A20" s="1888">
        <v>37805</v>
      </c>
      <c r="B20" s="1889">
        <v>20</v>
      </c>
      <c r="C20" s="1890">
        <v>1013.62</v>
      </c>
      <c r="D20" s="1894">
        <v>537.32000000000005</v>
      </c>
      <c r="E20" s="1895">
        <v>105.19</v>
      </c>
      <c r="F20" s="1892">
        <v>480.96</v>
      </c>
      <c r="G20" s="1893">
        <v>20172</v>
      </c>
      <c r="H20" s="1893">
        <v>1026</v>
      </c>
    </row>
    <row r="21" spans="1:8" ht="13.5" hidden="1" customHeight="1">
      <c r="A21" s="1888">
        <v>37836</v>
      </c>
      <c r="B21" s="1889">
        <v>21</v>
      </c>
      <c r="C21" s="1894">
        <v>995.12</v>
      </c>
      <c r="D21" s="1894">
        <v>531.36</v>
      </c>
      <c r="E21" s="1895">
        <v>102.27</v>
      </c>
      <c r="F21" s="1892">
        <v>472.29</v>
      </c>
      <c r="G21" s="1893">
        <v>11623</v>
      </c>
      <c r="H21" s="1893">
        <v>855</v>
      </c>
    </row>
    <row r="22" spans="1:8" ht="12.75" hidden="1" customHeight="1">
      <c r="A22" s="1888">
        <v>37867</v>
      </c>
      <c r="B22" s="1896">
        <v>21</v>
      </c>
      <c r="C22" s="1894">
        <v>1018.06</v>
      </c>
      <c r="D22" s="1894">
        <v>544.78</v>
      </c>
      <c r="E22" s="1895">
        <v>105.32</v>
      </c>
      <c r="F22" s="1892">
        <v>483.08</v>
      </c>
      <c r="G22" s="1893">
        <v>6792</v>
      </c>
      <c r="H22" s="1893">
        <v>464</v>
      </c>
    </row>
    <row r="23" spans="1:8" ht="12.75" hidden="1" customHeight="1">
      <c r="A23" s="1888">
        <v>37897</v>
      </c>
      <c r="B23" s="1896">
        <v>23</v>
      </c>
      <c r="C23" s="1894">
        <v>1089.51</v>
      </c>
      <c r="D23" s="1894">
        <v>591.4</v>
      </c>
      <c r="E23" s="1895">
        <v>113.54</v>
      </c>
      <c r="F23" s="1892">
        <v>512.29</v>
      </c>
      <c r="G23" s="1893">
        <v>19436</v>
      </c>
      <c r="H23" s="1893">
        <v>995</v>
      </c>
    </row>
    <row r="24" spans="1:8" ht="12.75" hidden="1" customHeight="1">
      <c r="A24" s="1888">
        <v>37928</v>
      </c>
      <c r="B24" s="1889">
        <v>19</v>
      </c>
      <c r="C24" s="1894">
        <v>1163.97</v>
      </c>
      <c r="D24" s="1894">
        <v>639.53</v>
      </c>
      <c r="E24" s="1895">
        <v>120.18</v>
      </c>
      <c r="F24" s="1892">
        <v>545.24</v>
      </c>
      <c r="G24" s="1893">
        <v>7775</v>
      </c>
      <c r="H24" s="1893">
        <v>545</v>
      </c>
    </row>
    <row r="25" spans="1:8" ht="12.75" hidden="1" customHeight="1">
      <c r="A25" s="1888">
        <v>37958</v>
      </c>
      <c r="B25" s="1889">
        <v>22</v>
      </c>
      <c r="C25" s="1894">
        <v>1194.27</v>
      </c>
      <c r="D25" s="1894">
        <v>691.95</v>
      </c>
      <c r="E25" s="1895">
        <v>121.5</v>
      </c>
      <c r="F25" s="1892">
        <v>554.84</v>
      </c>
      <c r="G25" s="1893">
        <v>9682.2000000000007</v>
      </c>
      <c r="H25" s="1893">
        <v>408</v>
      </c>
    </row>
    <row r="26" spans="1:8" ht="12.75" hidden="1" customHeight="1">
      <c r="A26" s="1888">
        <v>37989</v>
      </c>
      <c r="B26" s="1897">
        <v>19</v>
      </c>
      <c r="C26" s="1894">
        <v>1231.02</v>
      </c>
      <c r="D26" s="1894">
        <v>732.75</v>
      </c>
      <c r="E26" s="1894">
        <v>123.2</v>
      </c>
      <c r="F26" s="1898">
        <v>565.4</v>
      </c>
      <c r="G26" s="1899">
        <v>13223</v>
      </c>
      <c r="H26" s="1899">
        <v>703</v>
      </c>
    </row>
    <row r="27" spans="1:8" ht="12.75" hidden="1" customHeight="1">
      <c r="A27" s="1888">
        <v>38021</v>
      </c>
      <c r="B27" s="1897">
        <v>18</v>
      </c>
      <c r="C27" s="1894">
        <v>1306.7</v>
      </c>
      <c r="D27" s="1894">
        <v>787.86</v>
      </c>
      <c r="E27" s="1894">
        <v>130.58000000000001</v>
      </c>
      <c r="F27" s="1898">
        <v>599.33000000000004</v>
      </c>
      <c r="G27" s="1899">
        <v>15372</v>
      </c>
      <c r="H27" s="1899">
        <v>825</v>
      </c>
    </row>
    <row r="28" spans="1:8" ht="12.75" hidden="1" customHeight="1">
      <c r="A28" s="1888">
        <v>38047</v>
      </c>
      <c r="B28" s="1897">
        <v>22</v>
      </c>
      <c r="C28" s="1894">
        <v>1322.36</v>
      </c>
      <c r="D28" s="1894">
        <v>785.43</v>
      </c>
      <c r="E28" s="1894">
        <v>130.88999999999999</v>
      </c>
      <c r="F28" s="1898">
        <v>605.41</v>
      </c>
      <c r="G28" s="1899">
        <v>10015</v>
      </c>
      <c r="H28" s="1899">
        <v>369</v>
      </c>
    </row>
    <row r="29" spans="1:8" ht="12.75" hidden="1" customHeight="1">
      <c r="A29" s="1888">
        <v>38078</v>
      </c>
      <c r="B29" s="1900">
        <v>22</v>
      </c>
      <c r="C29" s="1894">
        <v>1376.95</v>
      </c>
      <c r="D29" s="1894">
        <v>788.88</v>
      </c>
      <c r="E29" s="1894">
        <v>132.37</v>
      </c>
      <c r="F29" s="1898">
        <v>623.96</v>
      </c>
      <c r="G29" s="1899">
        <v>8819</v>
      </c>
      <c r="H29" s="1899">
        <v>321</v>
      </c>
    </row>
    <row r="30" spans="1:8" ht="12.75" hidden="1" customHeight="1">
      <c r="A30" s="1888">
        <v>38108</v>
      </c>
      <c r="B30" s="1900">
        <v>21</v>
      </c>
      <c r="C30" s="1894">
        <v>1441.08</v>
      </c>
      <c r="D30" s="1894">
        <v>802.63</v>
      </c>
      <c r="E30" s="1894">
        <v>137.75</v>
      </c>
      <c r="F30" s="1898">
        <v>650.94000000000005</v>
      </c>
      <c r="G30" s="1899">
        <v>14037</v>
      </c>
      <c r="H30" s="1899">
        <v>624</v>
      </c>
    </row>
    <row r="31" spans="1:8" ht="12.75" hidden="1" customHeight="1">
      <c r="A31" s="1888">
        <v>38139</v>
      </c>
      <c r="B31" s="1897">
        <v>22</v>
      </c>
      <c r="C31" s="1894">
        <v>1457.2</v>
      </c>
      <c r="D31" s="1894">
        <v>805.75</v>
      </c>
      <c r="E31" s="1894">
        <v>138.49</v>
      </c>
      <c r="F31" s="1898">
        <v>656.8</v>
      </c>
      <c r="G31" s="1899">
        <v>12794</v>
      </c>
      <c r="H31" s="1899">
        <v>670</v>
      </c>
    </row>
    <row r="32" spans="1:8" ht="12.75" hidden="1" customHeight="1">
      <c r="A32" s="1888">
        <v>38169</v>
      </c>
      <c r="B32" s="1897">
        <v>22</v>
      </c>
      <c r="C32" s="1894">
        <v>1453.15</v>
      </c>
      <c r="D32" s="1894">
        <v>801.78</v>
      </c>
      <c r="E32" s="1894">
        <v>136.01</v>
      </c>
      <c r="F32" s="1898">
        <v>651.09</v>
      </c>
      <c r="G32" s="1899">
        <v>7884</v>
      </c>
      <c r="H32" s="1899">
        <v>459</v>
      </c>
    </row>
    <row r="33" spans="1:8" ht="12.75" hidden="1" customHeight="1">
      <c r="A33" s="1888">
        <v>38200</v>
      </c>
      <c r="B33" s="1897">
        <v>22</v>
      </c>
      <c r="C33" s="1894">
        <v>1444.65</v>
      </c>
      <c r="D33" s="1894">
        <v>793.9</v>
      </c>
      <c r="E33" s="1894">
        <v>134.07</v>
      </c>
      <c r="F33" s="1898">
        <v>646.79</v>
      </c>
      <c r="G33" s="1899">
        <v>7304</v>
      </c>
      <c r="H33" s="1899">
        <v>482</v>
      </c>
    </row>
    <row r="34" spans="1:8" ht="12.75" hidden="1" customHeight="1">
      <c r="A34" s="1888">
        <v>38231</v>
      </c>
      <c r="B34" s="1897">
        <v>22</v>
      </c>
      <c r="C34" s="1894">
        <v>1455.79</v>
      </c>
      <c r="D34" s="1894">
        <v>794.7</v>
      </c>
      <c r="E34" s="1894">
        <v>135.30000000000001</v>
      </c>
      <c r="F34" s="1898">
        <v>651.04</v>
      </c>
      <c r="G34" s="1899">
        <v>9027</v>
      </c>
      <c r="H34" s="1899">
        <v>558</v>
      </c>
    </row>
    <row r="35" spans="1:8" ht="12.75" hidden="1" customHeight="1">
      <c r="A35" s="1901">
        <v>38261</v>
      </c>
      <c r="B35" s="1897">
        <v>21</v>
      </c>
      <c r="C35" s="1894">
        <v>1499.44</v>
      </c>
      <c r="D35" s="1894">
        <v>817.72</v>
      </c>
      <c r="E35" s="1894">
        <v>138.04</v>
      </c>
      <c r="F35" s="1898">
        <v>666.32</v>
      </c>
      <c r="G35" s="1899">
        <v>12770</v>
      </c>
      <c r="H35" s="1902">
        <v>573.98400000000004</v>
      </c>
    </row>
    <row r="36" spans="1:8" ht="12.75" hidden="1" customHeight="1">
      <c r="A36" s="1888">
        <v>38292</v>
      </c>
      <c r="B36" s="1897">
        <v>20</v>
      </c>
      <c r="C36" s="1894">
        <v>1529.97</v>
      </c>
      <c r="D36" s="1894">
        <v>836.12</v>
      </c>
      <c r="E36" s="1894">
        <v>141.09</v>
      </c>
      <c r="F36" s="1898">
        <v>677.77</v>
      </c>
      <c r="G36" s="1899">
        <v>12281</v>
      </c>
      <c r="H36" s="1899">
        <v>640</v>
      </c>
    </row>
    <row r="37" spans="1:8" ht="12.75" hidden="1" customHeight="1">
      <c r="A37" s="1888">
        <v>38322</v>
      </c>
      <c r="B37" s="1897">
        <v>23</v>
      </c>
      <c r="C37" s="1894">
        <v>1585.78</v>
      </c>
      <c r="D37" s="1894">
        <v>873.31</v>
      </c>
      <c r="E37" s="1894">
        <v>146.06</v>
      </c>
      <c r="F37" s="1898">
        <v>697.01</v>
      </c>
      <c r="G37" s="1899">
        <v>11043</v>
      </c>
      <c r="H37" s="1899">
        <v>753</v>
      </c>
    </row>
    <row r="38" spans="1:8" ht="12.75" hidden="1" customHeight="1">
      <c r="A38" s="1888">
        <v>38353</v>
      </c>
      <c r="B38" s="1897">
        <v>19</v>
      </c>
      <c r="C38" s="1894">
        <v>1656.32</v>
      </c>
      <c r="D38" s="1894">
        <v>909.02</v>
      </c>
      <c r="E38" s="1894">
        <v>151.65</v>
      </c>
      <c r="F38" s="1898">
        <v>722.2</v>
      </c>
      <c r="G38" s="1899">
        <v>11864</v>
      </c>
      <c r="H38" s="1899">
        <v>1010.5</v>
      </c>
    </row>
    <row r="39" spans="1:8" ht="12.75" hidden="1" customHeight="1">
      <c r="A39" s="1888">
        <v>38384</v>
      </c>
      <c r="B39" s="1897">
        <v>18</v>
      </c>
      <c r="C39" s="1894">
        <v>1684.81</v>
      </c>
      <c r="D39" s="1894">
        <v>913.47</v>
      </c>
      <c r="E39" s="1894">
        <v>153.96</v>
      </c>
      <c r="F39" s="1898">
        <v>731.03</v>
      </c>
      <c r="G39" s="1899">
        <v>10978</v>
      </c>
      <c r="H39" s="1899">
        <v>400</v>
      </c>
    </row>
    <row r="40" spans="1:8" ht="12.75" hidden="1" customHeight="1">
      <c r="A40" s="1888">
        <v>38412</v>
      </c>
      <c r="B40" s="1897">
        <v>20</v>
      </c>
      <c r="C40" s="1894">
        <v>1713.2</v>
      </c>
      <c r="D40" s="1894">
        <v>922.99</v>
      </c>
      <c r="E40" s="1894">
        <v>158.25</v>
      </c>
      <c r="F40" s="1898">
        <v>742.65</v>
      </c>
      <c r="G40" s="1899">
        <v>18126</v>
      </c>
      <c r="H40" s="1899">
        <v>805</v>
      </c>
    </row>
    <row r="41" spans="1:8" ht="12.75" hidden="1" customHeight="1">
      <c r="A41" s="1888">
        <v>38443</v>
      </c>
      <c r="B41" s="1897">
        <v>21</v>
      </c>
      <c r="C41" s="1894">
        <v>1705.97</v>
      </c>
      <c r="D41" s="1894">
        <v>915.09</v>
      </c>
      <c r="E41" s="1894">
        <v>155.06</v>
      </c>
      <c r="F41" s="1898">
        <v>730.93</v>
      </c>
      <c r="G41" s="1899">
        <v>12972</v>
      </c>
      <c r="H41" s="1899">
        <v>463</v>
      </c>
    </row>
    <row r="42" spans="1:8" ht="12.75" hidden="1" customHeight="1">
      <c r="A42" s="1888">
        <v>38473</v>
      </c>
      <c r="B42" s="1897">
        <v>22</v>
      </c>
      <c r="C42" s="1894">
        <v>1649.42</v>
      </c>
      <c r="D42" s="1894">
        <v>883.36</v>
      </c>
      <c r="E42" s="1894">
        <v>148.54</v>
      </c>
      <c r="F42" s="1898">
        <v>705.22</v>
      </c>
      <c r="G42" s="1899">
        <v>9013</v>
      </c>
      <c r="H42" s="1899">
        <v>272</v>
      </c>
    </row>
    <row r="43" spans="1:8" ht="12.75" hidden="1" customHeight="1">
      <c r="A43" s="1888">
        <v>38504</v>
      </c>
      <c r="B43" s="1897">
        <v>22</v>
      </c>
      <c r="C43" s="1894">
        <v>1681.86</v>
      </c>
      <c r="D43" s="1894">
        <v>895.08</v>
      </c>
      <c r="E43" s="1894">
        <v>152.52000000000001</v>
      </c>
      <c r="F43" s="1898">
        <v>717.54</v>
      </c>
      <c r="G43" s="1899">
        <v>29856</v>
      </c>
      <c r="H43" s="1899">
        <v>804</v>
      </c>
    </row>
    <row r="44" spans="1:8" ht="12.75" hidden="1" customHeight="1">
      <c r="A44" s="1888">
        <v>38534</v>
      </c>
      <c r="B44" s="1897">
        <v>21</v>
      </c>
      <c r="C44" s="1894">
        <v>1724.38</v>
      </c>
      <c r="D44" s="1894">
        <v>911.56</v>
      </c>
      <c r="E44" s="1894">
        <v>155.41999999999999</v>
      </c>
      <c r="F44" s="1898">
        <v>726.77</v>
      </c>
      <c r="G44" s="1899">
        <v>8071</v>
      </c>
      <c r="H44" s="1899">
        <v>520</v>
      </c>
    </row>
    <row r="45" spans="1:8" ht="12.75" hidden="1" customHeight="1">
      <c r="A45" s="1888">
        <v>38565</v>
      </c>
      <c r="B45" s="1897">
        <v>23</v>
      </c>
      <c r="C45" s="1894">
        <v>1812.43</v>
      </c>
      <c r="D45" s="1894">
        <v>952.76</v>
      </c>
      <c r="E45" s="1903">
        <v>164.74</v>
      </c>
      <c r="F45" s="1892">
        <v>759.86</v>
      </c>
      <c r="G45" s="1893">
        <v>11593</v>
      </c>
      <c r="H45" s="1893">
        <v>612</v>
      </c>
    </row>
    <row r="46" spans="1:8" ht="12.75" hidden="1" customHeight="1">
      <c r="A46" s="1888">
        <v>38596</v>
      </c>
      <c r="B46" s="1897">
        <v>21</v>
      </c>
      <c r="C46" s="1894">
        <v>1922.12</v>
      </c>
      <c r="D46" s="1894">
        <v>1003.55</v>
      </c>
      <c r="E46" s="1895">
        <v>176.47</v>
      </c>
      <c r="F46" s="1892">
        <v>805.72</v>
      </c>
      <c r="G46" s="1893">
        <v>17669</v>
      </c>
      <c r="H46" s="1893">
        <v>1026</v>
      </c>
    </row>
    <row r="47" spans="1:8" ht="12.75" hidden="1" customHeight="1">
      <c r="A47" s="1888">
        <v>38626</v>
      </c>
      <c r="B47" s="1897">
        <v>21</v>
      </c>
      <c r="C47" s="1894">
        <v>1957.01</v>
      </c>
      <c r="D47" s="1894">
        <v>1007.65</v>
      </c>
      <c r="E47" s="1895">
        <v>178.24</v>
      </c>
      <c r="F47" s="1892">
        <v>815.68</v>
      </c>
      <c r="G47" s="1893">
        <v>15882</v>
      </c>
      <c r="H47" s="1893">
        <v>762</v>
      </c>
    </row>
    <row r="48" spans="1:8" ht="12.75" hidden="1" customHeight="1">
      <c r="A48" s="1888">
        <v>38657</v>
      </c>
      <c r="B48" s="1897">
        <v>19</v>
      </c>
      <c r="C48" s="1894">
        <v>1965.17</v>
      </c>
      <c r="D48" s="1894">
        <v>1007.33</v>
      </c>
      <c r="E48" s="1895">
        <v>177.89</v>
      </c>
      <c r="F48" s="1892">
        <v>816.57</v>
      </c>
      <c r="G48" s="1893">
        <v>25540</v>
      </c>
      <c r="H48" s="1893">
        <v>935</v>
      </c>
    </row>
    <row r="49" spans="1:8" ht="12.75" hidden="1" customHeight="1">
      <c r="A49" s="1888">
        <v>38687</v>
      </c>
      <c r="B49" s="1897">
        <v>22</v>
      </c>
      <c r="C49" s="1894">
        <v>1958.47</v>
      </c>
      <c r="D49" s="1894">
        <v>1000.5</v>
      </c>
      <c r="E49" s="1895">
        <v>176.76</v>
      </c>
      <c r="F49" s="1892">
        <v>807.72</v>
      </c>
      <c r="G49" s="1893">
        <v>45862</v>
      </c>
      <c r="H49" s="1893">
        <v>5243</v>
      </c>
    </row>
    <row r="50" spans="1:8" ht="12.75" hidden="1" customHeight="1">
      <c r="A50" s="1901">
        <v>38718</v>
      </c>
      <c r="B50" s="1897">
        <v>21</v>
      </c>
      <c r="C50" s="1894">
        <v>1982.3</v>
      </c>
      <c r="D50" s="1894">
        <v>1012.04</v>
      </c>
      <c r="E50" s="1895">
        <v>178.52</v>
      </c>
      <c r="F50" s="1892">
        <v>816.24</v>
      </c>
      <c r="G50" s="1893">
        <v>19067</v>
      </c>
      <c r="H50" s="1904">
        <v>700</v>
      </c>
    </row>
    <row r="51" spans="1:8" ht="12.75" hidden="1" customHeight="1">
      <c r="A51" s="1901">
        <v>38749</v>
      </c>
      <c r="B51" s="1897">
        <v>19</v>
      </c>
      <c r="C51" s="1894">
        <v>2028.15</v>
      </c>
      <c r="D51" s="1894">
        <v>1033.42</v>
      </c>
      <c r="E51" s="1895">
        <v>183.78</v>
      </c>
      <c r="F51" s="1892">
        <v>834.57</v>
      </c>
      <c r="G51" s="1893">
        <v>21168</v>
      </c>
      <c r="H51" s="1904">
        <v>865</v>
      </c>
    </row>
    <row r="52" spans="1:8" ht="12.75" hidden="1" customHeight="1">
      <c r="A52" s="1901">
        <v>38777</v>
      </c>
      <c r="B52" s="1897">
        <v>22</v>
      </c>
      <c r="C52" s="1894">
        <v>2059.31</v>
      </c>
      <c r="D52" s="1894">
        <v>1047.3599999999999</v>
      </c>
      <c r="E52" s="1895">
        <v>184.86</v>
      </c>
      <c r="F52" s="1892">
        <v>845.69</v>
      </c>
      <c r="G52" s="1893">
        <v>12508</v>
      </c>
      <c r="H52" s="1904">
        <v>684</v>
      </c>
    </row>
    <row r="53" spans="1:8" ht="12.75" hidden="1" customHeight="1">
      <c r="A53" s="1888">
        <v>38808</v>
      </c>
      <c r="B53" s="1897">
        <v>20</v>
      </c>
      <c r="C53" s="1894">
        <v>2044.66</v>
      </c>
      <c r="D53" s="1894">
        <v>1037.69</v>
      </c>
      <c r="E53" s="1895">
        <v>181.23</v>
      </c>
      <c r="F53" s="1892">
        <v>833.78</v>
      </c>
      <c r="G53" s="1893">
        <v>10726</v>
      </c>
      <c r="H53" s="1904">
        <v>631</v>
      </c>
    </row>
    <row r="54" spans="1:8" ht="12.75" hidden="1" customHeight="1">
      <c r="A54" s="1888">
        <v>38838</v>
      </c>
      <c r="B54" s="1897">
        <v>22</v>
      </c>
      <c r="C54" s="1894">
        <v>2038.16</v>
      </c>
      <c r="D54" s="1894">
        <v>1034.25</v>
      </c>
      <c r="E54" s="1895">
        <v>180.08</v>
      </c>
      <c r="F54" s="1892">
        <v>828.41</v>
      </c>
      <c r="G54" s="1893">
        <v>13755.8</v>
      </c>
      <c r="H54" s="1893">
        <v>386</v>
      </c>
    </row>
    <row r="55" spans="1:8" ht="12.75" hidden="1" customHeight="1">
      <c r="A55" s="1888">
        <v>38869</v>
      </c>
      <c r="B55" s="1897">
        <v>22</v>
      </c>
      <c r="C55" s="1894">
        <v>2023.92</v>
      </c>
      <c r="D55" s="1894">
        <v>1026.75</v>
      </c>
      <c r="E55" s="1895">
        <v>178.23</v>
      </c>
      <c r="F55" s="1892">
        <v>818.95</v>
      </c>
      <c r="G55" s="1893">
        <v>15269</v>
      </c>
      <c r="H55" s="1893">
        <v>1054</v>
      </c>
    </row>
    <row r="56" spans="1:8" ht="12.75" hidden="1" customHeight="1">
      <c r="A56" s="1888">
        <v>38899</v>
      </c>
      <c r="B56" s="1897">
        <v>21</v>
      </c>
      <c r="C56" s="1894">
        <v>2110.1</v>
      </c>
      <c r="D56" s="1894">
        <v>1060.6300000000001</v>
      </c>
      <c r="E56" s="1895">
        <v>187</v>
      </c>
      <c r="F56" s="1892">
        <v>852.36</v>
      </c>
      <c r="G56" s="1893">
        <v>18819</v>
      </c>
      <c r="H56" s="1893">
        <v>425.6</v>
      </c>
    </row>
    <row r="57" spans="1:8" ht="12.75" hidden="1" customHeight="1">
      <c r="A57" s="1888">
        <v>38930</v>
      </c>
      <c r="B57" s="1897">
        <v>21</v>
      </c>
      <c r="C57" s="1894">
        <v>2223.5500000000002</v>
      </c>
      <c r="D57" s="1894">
        <v>1089.49</v>
      </c>
      <c r="E57" s="1895">
        <v>195.58</v>
      </c>
      <c r="F57" s="1892">
        <v>890.52</v>
      </c>
      <c r="G57" s="1893">
        <v>14331</v>
      </c>
      <c r="H57" s="1893">
        <v>794</v>
      </c>
    </row>
    <row r="58" spans="1:8" ht="12.75" hidden="1" customHeight="1">
      <c r="A58" s="1888">
        <v>38961</v>
      </c>
      <c r="B58" s="1897">
        <v>21</v>
      </c>
      <c r="C58" s="1894">
        <v>2394.35</v>
      </c>
      <c r="D58" s="1894">
        <v>1154.33</v>
      </c>
      <c r="E58" s="1895">
        <v>207.36</v>
      </c>
      <c r="F58" s="1892">
        <v>957.06</v>
      </c>
      <c r="G58" s="1893">
        <v>16903.900000000001</v>
      </c>
      <c r="H58" s="1893">
        <v>622.79999999999995</v>
      </c>
    </row>
    <row r="59" spans="1:8" ht="12.75" hidden="1" customHeight="1">
      <c r="A59" s="1888">
        <v>38991</v>
      </c>
      <c r="B59" s="1897">
        <v>21</v>
      </c>
      <c r="C59" s="1894">
        <v>2631.06</v>
      </c>
      <c r="D59" s="1894">
        <v>1259.0899999999999</v>
      </c>
      <c r="E59" s="1895">
        <v>228.19</v>
      </c>
      <c r="F59" s="1892">
        <v>1046.08</v>
      </c>
      <c r="G59" s="1893">
        <v>17704</v>
      </c>
      <c r="H59" s="1893">
        <v>551.31799999999998</v>
      </c>
    </row>
    <row r="60" spans="1:8" ht="12.75" hidden="1" customHeight="1">
      <c r="A60" s="1888">
        <v>39022</v>
      </c>
      <c r="B60" s="1897">
        <v>21</v>
      </c>
      <c r="C60" s="1894">
        <v>2979.76</v>
      </c>
      <c r="D60" s="1894">
        <v>1412.8</v>
      </c>
      <c r="E60" s="1895">
        <v>255.29</v>
      </c>
      <c r="F60" s="1892">
        <v>1181.17</v>
      </c>
      <c r="G60" s="1893">
        <v>24762</v>
      </c>
      <c r="H60" s="1893">
        <v>771</v>
      </c>
    </row>
    <row r="61" spans="1:8" ht="12.75" hidden="1" customHeight="1">
      <c r="A61" s="1888">
        <v>39052</v>
      </c>
      <c r="B61" s="1897">
        <v>20</v>
      </c>
      <c r="C61" s="1894">
        <v>3028.73</v>
      </c>
      <c r="D61" s="1894">
        <v>1426.82</v>
      </c>
      <c r="E61" s="1895">
        <v>259.47000000000003</v>
      </c>
      <c r="F61" s="1892">
        <v>1193.69</v>
      </c>
      <c r="G61" s="1893">
        <v>105922</v>
      </c>
      <c r="H61" s="1893">
        <v>3221</v>
      </c>
    </row>
    <row r="62" spans="1:8" ht="12.75" hidden="1" customHeight="1">
      <c r="A62" s="1888">
        <v>39083</v>
      </c>
      <c r="B62" s="1897">
        <v>21</v>
      </c>
      <c r="C62" s="1894">
        <v>3244.01</v>
      </c>
      <c r="D62" s="1894">
        <v>1515.07</v>
      </c>
      <c r="E62" s="1895">
        <v>281.14999999999998</v>
      </c>
      <c r="F62" s="1892">
        <v>1276.51</v>
      </c>
      <c r="G62" s="1893">
        <v>25890</v>
      </c>
      <c r="H62" s="1893">
        <v>686.3</v>
      </c>
    </row>
    <row r="63" spans="1:8" ht="12.75" hidden="1" customHeight="1">
      <c r="A63" s="1888">
        <v>39114</v>
      </c>
      <c r="B63" s="1897">
        <v>18</v>
      </c>
      <c r="C63" s="1894">
        <v>3265.93</v>
      </c>
      <c r="D63" s="1894">
        <v>1534.24</v>
      </c>
      <c r="E63" s="1895">
        <v>286.47000000000003</v>
      </c>
      <c r="F63" s="1892">
        <v>1284.03</v>
      </c>
      <c r="G63" s="1893">
        <v>215289.557</v>
      </c>
      <c r="H63" s="1893">
        <v>4616.0870000000004</v>
      </c>
    </row>
    <row r="64" spans="1:8" ht="12.75" hidden="1" customHeight="1">
      <c r="A64" s="1888">
        <v>39142</v>
      </c>
      <c r="B64" s="1897">
        <v>20</v>
      </c>
      <c r="C64" s="1894">
        <v>3327.8</v>
      </c>
      <c r="D64" s="1894">
        <v>1591.49</v>
      </c>
      <c r="E64" s="1895">
        <v>294.11</v>
      </c>
      <c r="F64" s="1892">
        <v>1305.58</v>
      </c>
      <c r="G64" s="1893">
        <v>20607.429</v>
      </c>
      <c r="H64" s="1893">
        <v>529.08500000000004</v>
      </c>
    </row>
    <row r="65" spans="1:8" ht="12.75" hidden="1" customHeight="1">
      <c r="A65" s="1888">
        <v>39173</v>
      </c>
      <c r="B65" s="1897">
        <v>21</v>
      </c>
      <c r="C65" s="1894">
        <v>3444.42</v>
      </c>
      <c r="D65" s="1894">
        <v>1669.21</v>
      </c>
      <c r="E65" s="1895">
        <v>304.26</v>
      </c>
      <c r="F65" s="1892">
        <v>1345.27</v>
      </c>
      <c r="G65" s="1893">
        <v>27817</v>
      </c>
      <c r="H65" s="1893">
        <v>684</v>
      </c>
    </row>
    <row r="66" spans="1:8" ht="12.75" hidden="1" customHeight="1">
      <c r="A66" s="1888">
        <v>39203</v>
      </c>
      <c r="B66" s="1897">
        <v>22</v>
      </c>
      <c r="C66" s="1894">
        <v>3513.32</v>
      </c>
      <c r="D66" s="1894">
        <v>1730.77</v>
      </c>
      <c r="E66" s="1895">
        <v>317.95</v>
      </c>
      <c r="F66" s="1892">
        <v>1369.27</v>
      </c>
      <c r="G66" s="1893">
        <v>31129.279999999999</v>
      </c>
      <c r="H66" s="1893">
        <v>636.38300000000004</v>
      </c>
    </row>
    <row r="67" spans="1:8" ht="12.75" hidden="1" customHeight="1">
      <c r="A67" s="1888">
        <v>39234</v>
      </c>
      <c r="B67" s="1897">
        <v>21</v>
      </c>
      <c r="C67" s="1894">
        <v>3698.34</v>
      </c>
      <c r="D67" s="1894">
        <v>1811.6</v>
      </c>
      <c r="E67" s="1895">
        <v>327.11</v>
      </c>
      <c r="F67" s="1892">
        <v>1386.03</v>
      </c>
      <c r="G67" s="1893">
        <v>28688</v>
      </c>
      <c r="H67" s="1893">
        <v>641.274</v>
      </c>
    </row>
    <row r="68" spans="1:8" ht="12.75" hidden="1" customHeight="1">
      <c r="A68" s="1888">
        <v>39264</v>
      </c>
      <c r="B68" s="1897">
        <v>22</v>
      </c>
      <c r="C68" s="1894">
        <v>3758.4</v>
      </c>
      <c r="D68" s="1894">
        <v>1851.74</v>
      </c>
      <c r="E68" s="1895">
        <v>347.12</v>
      </c>
      <c r="F68" s="1892">
        <v>1457.49</v>
      </c>
      <c r="G68" s="1893">
        <v>19415.598000000002</v>
      </c>
      <c r="H68" s="1893">
        <v>436.88600000000002</v>
      </c>
    </row>
    <row r="69" spans="1:8" ht="12.75" hidden="1" customHeight="1">
      <c r="A69" s="1888">
        <v>39295</v>
      </c>
      <c r="B69" s="1897">
        <v>23</v>
      </c>
      <c r="C69" s="1894">
        <v>3823.44</v>
      </c>
      <c r="D69" s="1894">
        <v>1909.21</v>
      </c>
      <c r="E69" s="1895">
        <v>356.91</v>
      </c>
      <c r="F69" s="1892">
        <v>1480.6</v>
      </c>
      <c r="G69" s="1893">
        <v>21702</v>
      </c>
      <c r="H69" s="1893">
        <v>625</v>
      </c>
    </row>
    <row r="70" spans="1:8" ht="12.75" hidden="1" customHeight="1">
      <c r="A70" s="1888">
        <v>39326</v>
      </c>
      <c r="B70" s="1897">
        <v>20</v>
      </c>
      <c r="C70" s="1894">
        <v>3848.39</v>
      </c>
      <c r="D70" s="1894">
        <v>1928.04</v>
      </c>
      <c r="E70" s="1895">
        <v>362</v>
      </c>
      <c r="F70" s="1892">
        <v>1484.38</v>
      </c>
      <c r="G70" s="1893">
        <v>26549.976999999999</v>
      </c>
      <c r="H70" s="1893">
        <v>566.15899999999999</v>
      </c>
    </row>
    <row r="71" spans="1:8" ht="12.75" hidden="1" customHeight="1">
      <c r="A71" s="1888">
        <v>39356</v>
      </c>
      <c r="B71" s="1897">
        <v>23</v>
      </c>
      <c r="C71" s="1894">
        <v>4289.03</v>
      </c>
      <c r="D71" s="1894">
        <v>2182.33</v>
      </c>
      <c r="E71" s="1895">
        <v>409.25</v>
      </c>
      <c r="F71" s="1892">
        <v>1644.98</v>
      </c>
      <c r="G71" s="1893">
        <v>49955.307999999997</v>
      </c>
      <c r="H71" s="1893">
        <v>806.62400000000002</v>
      </c>
    </row>
    <row r="72" spans="1:8" ht="12.75" hidden="1" customHeight="1">
      <c r="A72" s="1888">
        <v>39387</v>
      </c>
      <c r="B72" s="1897">
        <v>19</v>
      </c>
      <c r="C72" s="1894">
        <v>4729.45</v>
      </c>
      <c r="D72" s="1894">
        <v>2423.71</v>
      </c>
      <c r="E72" s="1895">
        <v>464.41</v>
      </c>
      <c r="F72" s="1892">
        <v>1809.61</v>
      </c>
      <c r="G72" s="1893">
        <v>66924.271999999997</v>
      </c>
      <c r="H72" s="1893">
        <v>1736.2529999999999</v>
      </c>
    </row>
    <row r="73" spans="1:8" ht="12.75" hidden="1" customHeight="1">
      <c r="A73" s="1888">
        <v>39417</v>
      </c>
      <c r="B73" s="1897">
        <v>20</v>
      </c>
      <c r="C73" s="1894">
        <v>4779.3615000000009</v>
      </c>
      <c r="D73" s="1894">
        <v>2506.6840000000002</v>
      </c>
      <c r="E73" s="1895">
        <v>468.03199999999998</v>
      </c>
      <c r="F73" s="1892">
        <v>1819.6895</v>
      </c>
      <c r="G73" s="1893">
        <v>62188</v>
      </c>
      <c r="H73" s="1893">
        <v>1041</v>
      </c>
    </row>
    <row r="74" spans="1:8" ht="12.75" hidden="1" customHeight="1">
      <c r="A74" s="1888">
        <v>39448</v>
      </c>
      <c r="B74" s="1897">
        <v>20</v>
      </c>
      <c r="C74" s="1894">
        <v>5097.03</v>
      </c>
      <c r="D74" s="1894">
        <v>2739.86</v>
      </c>
      <c r="E74" s="1895">
        <v>505.55</v>
      </c>
      <c r="F74" s="1892">
        <v>1938.86</v>
      </c>
      <c r="G74" s="1893">
        <v>52533</v>
      </c>
      <c r="H74" s="1893">
        <v>1097</v>
      </c>
    </row>
    <row r="75" spans="1:8" ht="12.75" hidden="1" customHeight="1">
      <c r="A75" s="1888">
        <v>39479</v>
      </c>
      <c r="B75" s="1897">
        <v>19</v>
      </c>
      <c r="C75" s="1894">
        <v>5334.6215789473672</v>
      </c>
      <c r="D75" s="1894">
        <v>2906.4263157894734</v>
      </c>
      <c r="E75" s="1895">
        <v>523.21421052631592</v>
      </c>
      <c r="F75" s="1892">
        <v>2028.65</v>
      </c>
      <c r="G75" s="1893">
        <v>65724</v>
      </c>
      <c r="H75" s="1893">
        <v>870</v>
      </c>
    </row>
    <row r="76" spans="1:8" ht="12.75" hidden="1" customHeight="1">
      <c r="A76" s="1888">
        <v>39508</v>
      </c>
      <c r="B76" s="1897">
        <v>19</v>
      </c>
      <c r="C76" s="1894">
        <v>5047.18</v>
      </c>
      <c r="D76" s="1894">
        <v>2897.84</v>
      </c>
      <c r="E76" s="1895">
        <v>486.33</v>
      </c>
      <c r="F76" s="1892">
        <v>1916.63</v>
      </c>
      <c r="G76" s="1893">
        <v>50776</v>
      </c>
      <c r="H76" s="1893">
        <v>854</v>
      </c>
    </row>
    <row r="77" spans="1:8" ht="12.75" hidden="1" customHeight="1">
      <c r="A77" s="1888">
        <v>39539</v>
      </c>
      <c r="B77" s="1897">
        <v>21</v>
      </c>
      <c r="C77" s="1894">
        <v>4752.76</v>
      </c>
      <c r="D77" s="1894">
        <v>2815.46</v>
      </c>
      <c r="E77" s="1895">
        <v>446.57</v>
      </c>
      <c r="F77" s="1892">
        <v>1796.01</v>
      </c>
      <c r="G77" s="1893">
        <v>36358</v>
      </c>
      <c r="H77" s="1893">
        <v>1091</v>
      </c>
    </row>
    <row r="78" spans="1:8" ht="12.75" hidden="1" customHeight="1">
      <c r="A78" s="1888">
        <v>39569</v>
      </c>
      <c r="B78" s="1897">
        <v>21</v>
      </c>
      <c r="C78" s="1894">
        <v>4960.6499999999996</v>
      </c>
      <c r="D78" s="1894">
        <v>2800.19</v>
      </c>
      <c r="E78" s="1895">
        <v>471.43</v>
      </c>
      <c r="F78" s="1892">
        <v>1870.7</v>
      </c>
      <c r="G78" s="1893">
        <v>56054</v>
      </c>
      <c r="H78" s="1893">
        <v>1132</v>
      </c>
    </row>
    <row r="79" spans="1:8" ht="12.75" hidden="1" customHeight="1">
      <c r="A79" s="1888">
        <v>39600</v>
      </c>
      <c r="B79" s="1897">
        <v>21</v>
      </c>
      <c r="C79" s="1894">
        <v>4966.8900000000003</v>
      </c>
      <c r="D79" s="1894">
        <v>2797.4</v>
      </c>
      <c r="E79" s="1895">
        <v>469.24</v>
      </c>
      <c r="F79" s="1892">
        <v>1871.83</v>
      </c>
      <c r="G79" s="1893">
        <v>70459</v>
      </c>
      <c r="H79" s="1893">
        <v>1700</v>
      </c>
    </row>
    <row r="80" spans="1:8" ht="12.75" hidden="1" customHeight="1">
      <c r="A80" s="1888">
        <v>39630</v>
      </c>
      <c r="B80" s="1897">
        <v>23</v>
      </c>
      <c r="C80" s="1894">
        <v>4557.3900000000003</v>
      </c>
      <c r="D80" s="1894">
        <v>2626.4</v>
      </c>
      <c r="E80" s="1895">
        <v>420.36</v>
      </c>
      <c r="F80" s="1892">
        <v>1709.9</v>
      </c>
      <c r="G80" s="1893">
        <v>25202</v>
      </c>
      <c r="H80" s="1893">
        <v>876</v>
      </c>
    </row>
    <row r="81" spans="1:8" ht="12.75" hidden="1" customHeight="1">
      <c r="A81" s="1888">
        <v>39661</v>
      </c>
      <c r="B81" s="1897">
        <v>20</v>
      </c>
      <c r="C81" s="1894">
        <v>4564.1099999999997</v>
      </c>
      <c r="D81" s="1894">
        <v>2550.79</v>
      </c>
      <c r="E81" s="1895">
        <v>418.64</v>
      </c>
      <c r="F81" s="1892">
        <v>1708.4</v>
      </c>
      <c r="G81" s="1893">
        <v>43094</v>
      </c>
      <c r="H81" s="1893">
        <v>705</v>
      </c>
    </row>
    <row r="82" spans="1:8" ht="12.75" hidden="1" customHeight="1">
      <c r="A82" s="1888">
        <v>39699</v>
      </c>
      <c r="B82" s="1897">
        <v>21</v>
      </c>
      <c r="C82" s="1894">
        <v>4369.83</v>
      </c>
      <c r="D82" s="1894">
        <v>2326.5700000000002</v>
      </c>
      <c r="E82" s="1895">
        <v>393.49</v>
      </c>
      <c r="F82" s="1892">
        <v>1630.66</v>
      </c>
      <c r="G82" s="1893">
        <v>37203</v>
      </c>
      <c r="H82" s="1893">
        <v>504</v>
      </c>
    </row>
    <row r="83" spans="1:8" ht="12.75" hidden="1" customHeight="1">
      <c r="A83" s="1888">
        <v>39729</v>
      </c>
      <c r="B83" s="1897">
        <v>21</v>
      </c>
      <c r="C83" s="1894">
        <v>3873.6</v>
      </c>
      <c r="D83" s="1894">
        <v>1976.09</v>
      </c>
      <c r="E83" s="1895">
        <v>339.74</v>
      </c>
      <c r="F83" s="1892">
        <v>1434.25</v>
      </c>
      <c r="G83" s="1893">
        <v>45100</v>
      </c>
      <c r="H83" s="1893">
        <v>902</v>
      </c>
    </row>
    <row r="84" spans="1:8" ht="12.75" hidden="1" customHeight="1">
      <c r="A84" s="1888">
        <v>39760</v>
      </c>
      <c r="B84" s="1897">
        <v>20</v>
      </c>
      <c r="C84" s="1894">
        <v>3431.06</v>
      </c>
      <c r="D84" s="1894">
        <v>1653.51</v>
      </c>
      <c r="E84" s="1895">
        <v>289.25450000000001</v>
      </c>
      <c r="F84" s="1892">
        <v>1266.8094999999998</v>
      </c>
      <c r="G84" s="1893">
        <v>40288</v>
      </c>
      <c r="H84" s="1893">
        <v>766</v>
      </c>
    </row>
    <row r="85" spans="1:8" ht="12.75" hidden="1" customHeight="1">
      <c r="A85" s="1888">
        <v>39790</v>
      </c>
      <c r="B85" s="1897">
        <v>22</v>
      </c>
      <c r="C85" s="1894">
        <v>3220.7404545454551</v>
      </c>
      <c r="D85" s="1894">
        <v>1551.9959090909092</v>
      </c>
      <c r="E85" s="1895">
        <v>266.05318181818183</v>
      </c>
      <c r="F85" s="1892">
        <v>1179.2677272727271</v>
      </c>
      <c r="G85" s="1893">
        <v>38757</v>
      </c>
      <c r="H85" s="1893">
        <v>674</v>
      </c>
    </row>
    <row r="86" spans="1:8" ht="12.75" hidden="1" customHeight="1">
      <c r="A86" s="1888">
        <v>39821</v>
      </c>
      <c r="B86" s="1897">
        <v>19</v>
      </c>
      <c r="C86" s="1894">
        <v>3205.9642105263156</v>
      </c>
      <c r="D86" s="1894">
        <v>1528.0031578947367</v>
      </c>
      <c r="E86" s="1895">
        <v>265.43842105263167</v>
      </c>
      <c r="F86" s="1892">
        <v>1171.0794736842101</v>
      </c>
      <c r="G86" s="1893">
        <v>14198</v>
      </c>
      <c r="H86" s="1893">
        <v>370</v>
      </c>
    </row>
    <row r="87" spans="1:8" ht="12.75" hidden="1" customHeight="1">
      <c r="A87" s="1888">
        <v>39852</v>
      </c>
      <c r="B87" s="1897">
        <v>19</v>
      </c>
      <c r="C87" s="1894">
        <v>2771.1478947368423</v>
      </c>
      <c r="D87" s="1894">
        <v>1286.3705263157894</v>
      </c>
      <c r="E87" s="1895">
        <v>219.57157894736847</v>
      </c>
      <c r="F87" s="1892">
        <v>1011.6305263157897</v>
      </c>
      <c r="G87" s="1893">
        <v>30908</v>
      </c>
      <c r="H87" s="1893">
        <v>664</v>
      </c>
    </row>
    <row r="88" spans="1:8" ht="12.75" hidden="1" customHeight="1">
      <c r="A88" s="1888">
        <v>39880</v>
      </c>
      <c r="B88" s="1897">
        <v>20</v>
      </c>
      <c r="C88" s="1894">
        <v>2673.8294999999994</v>
      </c>
      <c r="D88" s="1894">
        <v>1220.9910000000002</v>
      </c>
      <c r="E88" s="1895">
        <v>210.45700000000005</v>
      </c>
      <c r="F88" s="1892">
        <v>974.81600000000003</v>
      </c>
      <c r="G88" s="1893">
        <v>22700</v>
      </c>
      <c r="H88" s="1893">
        <v>594</v>
      </c>
    </row>
    <row r="89" spans="1:8" ht="12.75" hidden="1" customHeight="1">
      <c r="A89" s="1888">
        <v>39911</v>
      </c>
      <c r="B89" s="1897">
        <v>22</v>
      </c>
      <c r="C89" s="1894">
        <v>3146.7736363636359</v>
      </c>
      <c r="D89" s="1894">
        <v>1446.2295454545456</v>
      </c>
      <c r="E89" s="1895">
        <v>250.3868181818182</v>
      </c>
      <c r="F89" s="1892">
        <v>1141.6222727272725</v>
      </c>
      <c r="G89" s="1893">
        <v>61733</v>
      </c>
      <c r="H89" s="1893">
        <v>1170</v>
      </c>
    </row>
    <row r="90" spans="1:8" ht="12.75" hidden="1" customHeight="1">
      <c r="A90" s="1888">
        <v>39941</v>
      </c>
      <c r="B90" s="1897">
        <v>20</v>
      </c>
      <c r="C90" s="1894">
        <v>3297.8479999999995</v>
      </c>
      <c r="D90" s="1894">
        <v>1537.1479999999999</v>
      </c>
      <c r="E90" s="1895">
        <v>263.45</v>
      </c>
      <c r="F90" s="1892">
        <v>1194.3605</v>
      </c>
      <c r="G90" s="1893">
        <v>64090</v>
      </c>
      <c r="H90" s="1893">
        <v>1116</v>
      </c>
    </row>
    <row r="91" spans="1:8" ht="12.75" hidden="1" customHeight="1">
      <c r="A91" s="1888">
        <v>39972</v>
      </c>
      <c r="B91" s="1897">
        <v>22</v>
      </c>
      <c r="C91" s="1894">
        <v>3903.7250000000004</v>
      </c>
      <c r="D91" s="1894">
        <v>1846.6913636363633</v>
      </c>
      <c r="E91" s="1895">
        <v>319.95227272727271</v>
      </c>
      <c r="F91" s="1892">
        <v>1412.1186363636361</v>
      </c>
      <c r="G91" s="1893">
        <v>54702</v>
      </c>
      <c r="H91" s="1893">
        <v>918</v>
      </c>
    </row>
    <row r="92" spans="1:8" ht="12.75" hidden="1" customHeight="1">
      <c r="A92" s="1888">
        <v>40002</v>
      </c>
      <c r="B92" s="1897">
        <v>23</v>
      </c>
      <c r="C92" s="1894">
        <v>3914.88</v>
      </c>
      <c r="D92" s="1894">
        <v>1869.76</v>
      </c>
      <c r="E92" s="1895">
        <v>318.86</v>
      </c>
      <c r="F92" s="1892">
        <v>1408.19</v>
      </c>
      <c r="G92" s="1893">
        <v>29655</v>
      </c>
      <c r="H92" s="1893">
        <v>919</v>
      </c>
    </row>
    <row r="93" spans="1:8" ht="12.75" hidden="1" customHeight="1">
      <c r="A93" s="1888">
        <v>40033</v>
      </c>
      <c r="B93" s="1897">
        <v>20</v>
      </c>
      <c r="C93" s="1894">
        <v>4160.22</v>
      </c>
      <c r="D93" s="1894">
        <v>2008.75</v>
      </c>
      <c r="E93" s="1895">
        <v>335.63</v>
      </c>
      <c r="F93" s="1892">
        <v>1493.15</v>
      </c>
      <c r="G93" s="1893">
        <v>36738</v>
      </c>
      <c r="H93" s="1893">
        <v>822</v>
      </c>
    </row>
    <row r="94" spans="1:8" ht="12.75" hidden="1" customHeight="1">
      <c r="A94" s="1888">
        <v>40064</v>
      </c>
      <c r="B94" s="1897">
        <v>21</v>
      </c>
      <c r="C94" s="1894">
        <v>4464.2119047619053</v>
      </c>
      <c r="D94" s="1894">
        <v>2197.2742857142857</v>
      </c>
      <c r="E94" s="1895">
        <v>362.01428571428568</v>
      </c>
      <c r="F94" s="1892">
        <v>1597.3671428571431</v>
      </c>
      <c r="G94" s="1893">
        <v>42226</v>
      </c>
      <c r="H94" s="1893">
        <v>863</v>
      </c>
    </row>
    <row r="95" spans="1:8" ht="12.75" hidden="1" customHeight="1">
      <c r="A95" s="1888">
        <v>40094</v>
      </c>
      <c r="B95" s="1897">
        <v>22</v>
      </c>
      <c r="C95" s="1894">
        <v>4767.124545454546</v>
      </c>
      <c r="D95" s="1894">
        <v>2403.7390909090905</v>
      </c>
      <c r="E95" s="1895">
        <v>381.49681818181813</v>
      </c>
      <c r="F95" s="1892">
        <v>1696.5281818181816</v>
      </c>
      <c r="G95" s="1893">
        <v>43510</v>
      </c>
      <c r="H95" s="1893">
        <v>769</v>
      </c>
    </row>
    <row r="96" spans="1:8" ht="12.75" hidden="1" customHeight="1">
      <c r="A96" s="1888">
        <v>40125</v>
      </c>
      <c r="B96" s="1897">
        <v>20</v>
      </c>
      <c r="C96" s="1894">
        <v>4721.5674129955196</v>
      </c>
      <c r="D96" s="1894">
        <v>2406.3637595919799</v>
      </c>
      <c r="E96" s="1895">
        <v>372.11362115828592</v>
      </c>
      <c r="F96" s="1892">
        <v>1677.3474031503495</v>
      </c>
      <c r="G96" s="1893">
        <v>40743</v>
      </c>
      <c r="H96" s="1893">
        <v>877</v>
      </c>
    </row>
    <row r="97" spans="1:8" ht="12.75" hidden="1" customHeight="1">
      <c r="A97" s="1888">
        <v>40155</v>
      </c>
      <c r="B97" s="1897">
        <v>22</v>
      </c>
      <c r="C97" s="1894">
        <v>4701.4132797052725</v>
      </c>
      <c r="D97" s="1894">
        <v>2446.8369212574939</v>
      </c>
      <c r="E97" s="1895">
        <v>362.67871098361297</v>
      </c>
      <c r="F97" s="1892">
        <v>1657.6934882367291</v>
      </c>
      <c r="G97" s="1893">
        <v>56531</v>
      </c>
      <c r="H97" s="1893">
        <v>1654</v>
      </c>
    </row>
    <row r="98" spans="1:8" ht="12.75" hidden="1" customHeight="1">
      <c r="A98" s="1888">
        <v>40186</v>
      </c>
      <c r="B98" s="1897">
        <v>20</v>
      </c>
      <c r="C98" s="1894">
        <v>4827.1281697691684</v>
      </c>
      <c r="D98" s="1894">
        <v>2475.0554744435585</v>
      </c>
      <c r="E98" s="1895">
        <v>365.83203606426071</v>
      </c>
      <c r="F98" s="1892">
        <v>1700.434026533318</v>
      </c>
      <c r="G98" s="1893">
        <v>38064</v>
      </c>
      <c r="H98" s="1893">
        <v>1413</v>
      </c>
    </row>
    <row r="99" spans="1:8" ht="12.75" hidden="1" customHeight="1">
      <c r="A99" s="1888">
        <v>40217</v>
      </c>
      <c r="B99" s="1897">
        <v>18</v>
      </c>
      <c r="C99" s="1894">
        <v>4805.5193926340053</v>
      </c>
      <c r="D99" s="1894">
        <v>2430.7307198612152</v>
      </c>
      <c r="E99" s="1895">
        <v>353.9740535310724</v>
      </c>
      <c r="F99" s="1892">
        <v>1692.2094895967871</v>
      </c>
      <c r="G99" s="1893">
        <v>40847</v>
      </c>
      <c r="H99" s="1893">
        <v>785</v>
      </c>
    </row>
    <row r="100" spans="1:8" ht="12.75" hidden="1" customHeight="1">
      <c r="A100" s="1888">
        <v>40245</v>
      </c>
      <c r="B100" s="1897">
        <v>21</v>
      </c>
      <c r="C100" s="1894">
        <v>4674.8081776468707</v>
      </c>
      <c r="D100" s="1894">
        <v>2350.0572374430562</v>
      </c>
      <c r="E100" s="1895">
        <v>341.97600536861296</v>
      </c>
      <c r="F100" s="1892">
        <v>1643.7926014056338</v>
      </c>
      <c r="G100" s="1893">
        <v>82793</v>
      </c>
      <c r="H100" s="1893">
        <v>4025</v>
      </c>
    </row>
    <row r="101" spans="1:8" ht="12.75" hidden="1" customHeight="1">
      <c r="A101" s="1888">
        <v>40276</v>
      </c>
      <c r="B101" s="1897">
        <v>22</v>
      </c>
      <c r="C101" s="1894">
        <v>4760.5342160712489</v>
      </c>
      <c r="D101" s="1894">
        <v>2382.7889710460195</v>
      </c>
      <c r="E101" s="1895">
        <v>345.60349215515083</v>
      </c>
      <c r="F101" s="1892">
        <v>1668.8078676625278</v>
      </c>
      <c r="G101" s="1893">
        <v>54778</v>
      </c>
      <c r="H101" s="1893">
        <v>1748</v>
      </c>
    </row>
    <row r="102" spans="1:8" ht="12.75" hidden="1" customHeight="1">
      <c r="A102" s="1888">
        <v>40306</v>
      </c>
      <c r="B102" s="1897">
        <v>20</v>
      </c>
      <c r="C102" s="1894">
        <v>4662.6628687485299</v>
      </c>
      <c r="D102" s="1894">
        <v>2210.6989462763413</v>
      </c>
      <c r="E102" s="1895">
        <v>332.38117521174797</v>
      </c>
      <c r="F102" s="1892">
        <v>1631.7926129041973</v>
      </c>
      <c r="G102" s="1893">
        <v>67156</v>
      </c>
      <c r="H102" s="1893">
        <v>868</v>
      </c>
    </row>
    <row r="103" spans="1:8" ht="12.75" hidden="1" customHeight="1">
      <c r="A103" s="1888">
        <v>40337</v>
      </c>
      <c r="B103" s="1897">
        <v>22</v>
      </c>
      <c r="C103" s="1894">
        <v>4672.8805318184213</v>
      </c>
      <c r="D103" s="1894">
        <v>2190.7194830182489</v>
      </c>
      <c r="E103" s="1895">
        <v>331.08397814321273</v>
      </c>
      <c r="F103" s="1892">
        <v>1632.9807664416192</v>
      </c>
      <c r="G103" s="1893">
        <v>32840</v>
      </c>
      <c r="H103" s="1893">
        <v>564</v>
      </c>
    </row>
    <row r="104" spans="1:8" s="1906" customFormat="1" ht="21.75" hidden="1" customHeight="1">
      <c r="A104" s="1905">
        <v>40367</v>
      </c>
      <c r="B104" s="1897">
        <v>22</v>
      </c>
      <c r="C104" s="1894">
        <v>4838.2017363038049</v>
      </c>
      <c r="D104" s="1894">
        <v>2387.9606222700363</v>
      </c>
      <c r="E104" s="1895">
        <v>335.74937648069584</v>
      </c>
      <c r="F104" s="1892">
        <v>1682.4248521466639</v>
      </c>
      <c r="G104" s="1893">
        <v>54326</v>
      </c>
      <c r="H104" s="1893">
        <v>2003</v>
      </c>
    </row>
    <row r="105" spans="1:8" s="1906" customFormat="1" ht="21.75" hidden="1" customHeight="1">
      <c r="A105" s="1905">
        <v>40398</v>
      </c>
      <c r="B105" s="1897">
        <v>22</v>
      </c>
      <c r="C105" s="1894">
        <v>4988.2433227794754</v>
      </c>
      <c r="D105" s="1894">
        <v>2514.5728062364096</v>
      </c>
      <c r="E105" s="1895">
        <v>342.64115513215557</v>
      </c>
      <c r="F105" s="1892">
        <v>1732.0934897286488</v>
      </c>
      <c r="G105" s="1893">
        <v>27448</v>
      </c>
      <c r="H105" s="1893">
        <v>980</v>
      </c>
    </row>
    <row r="106" spans="1:8" s="1906" customFormat="1" ht="21.75" hidden="1" customHeight="1">
      <c r="A106" s="1905">
        <v>40429</v>
      </c>
      <c r="B106" s="1897">
        <v>21</v>
      </c>
      <c r="C106" s="1894">
        <v>5022.4022225149456</v>
      </c>
      <c r="D106" s="1894">
        <v>2518.2450421749295</v>
      </c>
      <c r="E106" s="1895">
        <v>334.51944034010921</v>
      </c>
      <c r="F106" s="1892">
        <v>1738.0269440402251</v>
      </c>
      <c r="G106" s="1893">
        <v>43286</v>
      </c>
      <c r="H106" s="1893">
        <v>1176</v>
      </c>
    </row>
    <row r="107" spans="1:8" s="1906" customFormat="1" ht="21.75" hidden="1" customHeight="1">
      <c r="A107" s="1905">
        <v>40459</v>
      </c>
      <c r="B107" s="1897">
        <v>21</v>
      </c>
      <c r="C107" s="1894">
        <v>5285.4285551968696</v>
      </c>
      <c r="D107" s="1894">
        <v>2713.2079883741744</v>
      </c>
      <c r="E107" s="1895">
        <v>348.07677117991886</v>
      </c>
      <c r="F107" s="1892">
        <v>1823.9338179872177</v>
      </c>
      <c r="G107" s="1893">
        <v>51066</v>
      </c>
      <c r="H107" s="1893">
        <v>895</v>
      </c>
    </row>
    <row r="108" spans="1:8" s="1906" customFormat="1" ht="21.75" hidden="1" customHeight="1">
      <c r="A108" s="1905">
        <v>40490</v>
      </c>
      <c r="B108" s="1897">
        <v>20</v>
      </c>
      <c r="C108" s="1894">
        <v>5501.1338542679714</v>
      </c>
      <c r="D108" s="1894">
        <v>2807.6990289142145</v>
      </c>
      <c r="E108" s="1895">
        <v>361.86941521596083</v>
      </c>
      <c r="F108" s="1892">
        <v>1896.7225727265977</v>
      </c>
      <c r="G108" s="1893">
        <v>45840</v>
      </c>
      <c r="H108" s="1893">
        <v>970</v>
      </c>
    </row>
    <row r="109" spans="1:8" s="1906" customFormat="1" ht="21.75" hidden="1" customHeight="1">
      <c r="A109" s="1905">
        <v>40520</v>
      </c>
      <c r="B109" s="1897">
        <v>23</v>
      </c>
      <c r="C109" s="1894">
        <v>5618.3541600930466</v>
      </c>
      <c r="D109" s="1894">
        <v>2822.6191139903472</v>
      </c>
      <c r="E109" s="1895">
        <v>366.39261578827808</v>
      </c>
      <c r="F109" s="1892">
        <v>1924.7444906555879</v>
      </c>
      <c r="G109" s="1893">
        <v>24223</v>
      </c>
      <c r="H109" s="1893">
        <v>687</v>
      </c>
    </row>
    <row r="110" spans="1:8" s="1906" customFormat="1" ht="21.75" hidden="1" customHeight="1">
      <c r="A110" s="1905">
        <v>40551</v>
      </c>
      <c r="B110" s="1897">
        <v>19</v>
      </c>
      <c r="C110" s="1894">
        <v>5913.2862330420758</v>
      </c>
      <c r="D110" s="1894">
        <v>3006.7265101479898</v>
      </c>
      <c r="E110" s="1895">
        <v>385.70946088370619</v>
      </c>
      <c r="F110" s="1892">
        <v>2023.8537404096467</v>
      </c>
      <c r="G110" s="1893">
        <v>63052</v>
      </c>
      <c r="H110" s="1893">
        <v>1131</v>
      </c>
    </row>
    <row r="111" spans="1:8" s="1906" customFormat="1" ht="21.75" hidden="1" customHeight="1">
      <c r="A111" s="1905">
        <v>40582</v>
      </c>
      <c r="B111" s="1897">
        <v>18</v>
      </c>
      <c r="C111" s="1894">
        <v>5971.5883042516125</v>
      </c>
      <c r="D111" s="1894">
        <v>3100.530430433852</v>
      </c>
      <c r="E111" s="1895">
        <v>388.02398015466383</v>
      </c>
      <c r="F111" s="1892">
        <v>2042.9682051176185</v>
      </c>
      <c r="G111" s="1893">
        <v>36863</v>
      </c>
      <c r="H111" s="1893">
        <v>798</v>
      </c>
    </row>
    <row r="112" spans="1:8" s="1906" customFormat="1" ht="21.75" hidden="1" customHeight="1">
      <c r="A112" s="1905">
        <v>40610</v>
      </c>
      <c r="B112" s="1897">
        <v>22</v>
      </c>
      <c r="C112" s="1894">
        <v>5831.1306084196221</v>
      </c>
      <c r="D112" s="1894">
        <v>3076.7769249677276</v>
      </c>
      <c r="E112" s="1895">
        <v>375.53189619666387</v>
      </c>
      <c r="F112" s="1892">
        <v>1992.36040584489</v>
      </c>
      <c r="G112" s="1893">
        <v>32668.889211363639</v>
      </c>
      <c r="H112" s="1893">
        <v>598</v>
      </c>
    </row>
    <row r="113" spans="1:8" s="1906" customFormat="1" ht="21.75" hidden="1" customHeight="1">
      <c r="A113" s="1905">
        <v>40641</v>
      </c>
      <c r="B113" s="1897">
        <v>20</v>
      </c>
      <c r="C113" s="1894">
        <v>5989.9702859358367</v>
      </c>
      <c r="D113" s="1894">
        <v>3269.5195610526985</v>
      </c>
      <c r="E113" s="1895">
        <v>382.92513075988165</v>
      </c>
      <c r="F113" s="1892">
        <v>2041.4989029438213</v>
      </c>
      <c r="G113" s="1893">
        <v>30257</v>
      </c>
      <c r="H113" s="1893">
        <v>623</v>
      </c>
    </row>
    <row r="114" spans="1:8" s="1906" customFormat="1" ht="21.75" hidden="1" customHeight="1">
      <c r="A114" s="1905">
        <v>40671</v>
      </c>
      <c r="B114" s="1897">
        <v>22</v>
      </c>
      <c r="C114" s="1894">
        <v>6123.3196184820754</v>
      </c>
      <c r="D114" s="1894">
        <v>3355.5446732187688</v>
      </c>
      <c r="E114" s="1895">
        <v>391.50420544999781</v>
      </c>
      <c r="F114" s="1892">
        <v>2084.7833272037842</v>
      </c>
      <c r="G114" s="1893">
        <v>52608</v>
      </c>
      <c r="H114" s="1893">
        <v>931</v>
      </c>
    </row>
    <row r="115" spans="1:8" s="1906" customFormat="1" ht="21.75" hidden="1" customHeight="1">
      <c r="A115" s="1905">
        <v>40702</v>
      </c>
      <c r="B115" s="1897">
        <v>22</v>
      </c>
      <c r="C115" s="1894">
        <v>6134.9756152538139</v>
      </c>
      <c r="D115" s="1894">
        <v>3330.8548858048957</v>
      </c>
      <c r="E115" s="1895">
        <v>393.56788981559907</v>
      </c>
      <c r="F115" s="1892">
        <v>2085.3614012646781</v>
      </c>
      <c r="G115" s="1893">
        <v>34508</v>
      </c>
      <c r="H115" s="1893">
        <v>655</v>
      </c>
    </row>
    <row r="116" spans="1:8" s="1906" customFormat="1" ht="21.75" hidden="1" customHeight="1">
      <c r="A116" s="1905">
        <v>40732</v>
      </c>
      <c r="B116" s="1897">
        <v>21</v>
      </c>
      <c r="C116" s="1894">
        <v>6100.5340312545441</v>
      </c>
      <c r="D116" s="1894">
        <v>3311.6270853551978</v>
      </c>
      <c r="E116" s="1895">
        <v>385.70675885352853</v>
      </c>
      <c r="F116" s="1892">
        <v>2064.2108597424194</v>
      </c>
      <c r="G116" s="1893">
        <v>34925</v>
      </c>
      <c r="H116" s="1893">
        <v>747</v>
      </c>
    </row>
    <row r="117" spans="1:8" s="1906" customFormat="1" ht="21.75" hidden="1" customHeight="1">
      <c r="A117" s="1905">
        <v>40763</v>
      </c>
      <c r="B117" s="1897">
        <v>22</v>
      </c>
      <c r="C117" s="1894">
        <v>5808.8463405194743</v>
      </c>
      <c r="D117" s="1894">
        <v>3183.1998574103122</v>
      </c>
      <c r="E117" s="1895">
        <v>364.34880298524291</v>
      </c>
      <c r="F117" s="1892">
        <v>1958.5331262179209</v>
      </c>
      <c r="G117" s="1893">
        <v>53001</v>
      </c>
      <c r="H117" s="1893">
        <v>881</v>
      </c>
    </row>
    <row r="118" spans="1:8" s="1906" customFormat="1" ht="21.75" hidden="1" customHeight="1">
      <c r="A118" s="1905">
        <v>40794</v>
      </c>
      <c r="B118" s="1897">
        <v>21</v>
      </c>
      <c r="C118" s="1894">
        <v>5670.9189604148805</v>
      </c>
      <c r="D118" s="1894">
        <v>3059.7972168683987</v>
      </c>
      <c r="E118" s="1895">
        <v>353.40800894684475</v>
      </c>
      <c r="F118" s="1892">
        <v>1905.4120639045841</v>
      </c>
      <c r="G118" s="1893">
        <v>28224</v>
      </c>
      <c r="H118" s="1893">
        <v>561</v>
      </c>
    </row>
    <row r="119" spans="1:8" s="1906" customFormat="1" ht="21.75" hidden="1" customHeight="1">
      <c r="A119" s="1905">
        <v>40824</v>
      </c>
      <c r="B119" s="1897">
        <v>20</v>
      </c>
      <c r="C119" s="1894">
        <v>5637.5744888979953</v>
      </c>
      <c r="D119" s="1894">
        <v>2995.3269299796339</v>
      </c>
      <c r="E119" s="1895">
        <v>349.34833664543714</v>
      </c>
      <c r="F119" s="1892">
        <v>1889.8135130994874</v>
      </c>
      <c r="G119" s="1893">
        <v>134903</v>
      </c>
      <c r="H119" s="1893">
        <v>2876</v>
      </c>
    </row>
    <row r="120" spans="1:8" s="1906" customFormat="1" ht="21.75" hidden="1" customHeight="1">
      <c r="A120" s="1905">
        <v>40855</v>
      </c>
      <c r="B120" s="1897">
        <v>20</v>
      </c>
      <c r="C120" s="1894">
        <v>5670.6592734865053</v>
      </c>
      <c r="D120" s="1894">
        <v>3004.8248623912759</v>
      </c>
      <c r="E120" s="1895">
        <v>351.42636680825899</v>
      </c>
      <c r="F120" s="1892">
        <v>1899.078404469974</v>
      </c>
      <c r="G120" s="1893">
        <v>203815</v>
      </c>
      <c r="H120" s="1893">
        <v>1755</v>
      </c>
    </row>
    <row r="121" spans="1:8" s="1906" customFormat="1" ht="21.75" hidden="1" customHeight="1">
      <c r="A121" s="1905">
        <v>40885</v>
      </c>
      <c r="B121" s="1897">
        <v>22</v>
      </c>
      <c r="C121" s="1894">
        <v>5594.3785752621407</v>
      </c>
      <c r="D121" s="1894">
        <v>2944.5615894899115</v>
      </c>
      <c r="E121" s="1895">
        <v>344.85004846409981</v>
      </c>
      <c r="F121" s="1892">
        <v>1864.2220738195088</v>
      </c>
      <c r="G121" s="1893">
        <v>26850</v>
      </c>
      <c r="H121" s="1893">
        <v>367</v>
      </c>
    </row>
    <row r="122" spans="1:8" s="1906" customFormat="1" ht="21.75" hidden="1" customHeight="1">
      <c r="A122" s="1905">
        <v>40916</v>
      </c>
      <c r="B122" s="1897">
        <v>20</v>
      </c>
      <c r="C122" s="1894">
        <v>5610.8151320798479</v>
      </c>
      <c r="D122" s="1894">
        <v>2953.8328536620202</v>
      </c>
      <c r="E122" s="1895">
        <v>346.98399905645067</v>
      </c>
      <c r="F122" s="1892">
        <v>1865.3933302329146</v>
      </c>
      <c r="G122" s="1893">
        <v>23760</v>
      </c>
      <c r="H122" s="1893">
        <v>463</v>
      </c>
    </row>
    <row r="123" spans="1:8" s="1906" customFormat="1" ht="21.75" customHeight="1">
      <c r="A123" s="1905">
        <v>40947</v>
      </c>
      <c r="B123" s="1897">
        <v>18</v>
      </c>
      <c r="C123" s="1894">
        <v>5470.1114168408585</v>
      </c>
      <c r="D123" s="1894">
        <v>2913.2561118098797</v>
      </c>
      <c r="E123" s="1895">
        <v>340.90402923250309</v>
      </c>
      <c r="F123" s="1892">
        <v>1816.4284835109709</v>
      </c>
      <c r="G123" s="1893">
        <v>29830</v>
      </c>
      <c r="H123" s="1893">
        <v>569</v>
      </c>
    </row>
    <row r="124" spans="1:8" s="1906" customFormat="1" ht="21.75" customHeight="1">
      <c r="A124" s="1905">
        <v>40976</v>
      </c>
      <c r="B124" s="1897">
        <v>20</v>
      </c>
      <c r="C124" s="1894">
        <v>5344.216449809076</v>
      </c>
      <c r="D124" s="1894">
        <v>2843.40224746678</v>
      </c>
      <c r="E124" s="1895">
        <v>331.90113355150743</v>
      </c>
      <c r="F124" s="1892">
        <v>1772.0401656764675</v>
      </c>
      <c r="G124" s="1893">
        <v>22808</v>
      </c>
      <c r="H124" s="1893">
        <v>587</v>
      </c>
    </row>
    <row r="125" spans="1:8" s="1906" customFormat="1" ht="21.75" customHeight="1">
      <c r="A125" s="1905">
        <v>41007</v>
      </c>
      <c r="B125" s="1897">
        <v>21</v>
      </c>
      <c r="C125" s="1894">
        <v>5432.8290132240727</v>
      </c>
      <c r="D125" s="1894">
        <v>2876.0336849063874</v>
      </c>
      <c r="E125" s="1895">
        <v>338.76382206302799</v>
      </c>
      <c r="F125" s="1892">
        <v>1797.9146441970308</v>
      </c>
      <c r="G125" s="1893">
        <v>27694</v>
      </c>
      <c r="H125" s="1893">
        <v>444</v>
      </c>
    </row>
    <row r="126" spans="1:8" s="1906" customFormat="1" ht="21.75" customHeight="1">
      <c r="A126" s="1905">
        <v>41030</v>
      </c>
      <c r="B126" s="1897">
        <v>22</v>
      </c>
      <c r="C126" s="1894">
        <v>5473.6417947698528</v>
      </c>
      <c r="D126" s="1894">
        <v>2864.68</v>
      </c>
      <c r="E126" s="1895">
        <v>342.88817332746271</v>
      </c>
      <c r="F126" s="1892">
        <v>1809.4602287430114</v>
      </c>
      <c r="G126" s="1893">
        <v>49260.276581363636</v>
      </c>
      <c r="H126" s="1893">
        <v>1218</v>
      </c>
    </row>
    <row r="127" spans="1:8" s="1906" customFormat="1" ht="21.75" customHeight="1">
      <c r="A127" s="1905">
        <v>41061</v>
      </c>
      <c r="B127" s="1897">
        <v>21</v>
      </c>
      <c r="C127" s="1894">
        <v>5420.0854013313028</v>
      </c>
      <c r="D127" s="1894">
        <v>2758.76320559943</v>
      </c>
      <c r="E127" s="1895">
        <v>340.89007235984388</v>
      </c>
      <c r="F127" s="1892">
        <v>1788.7070911958654</v>
      </c>
      <c r="G127" s="1893">
        <v>27132.0045942857</v>
      </c>
      <c r="H127" s="1893">
        <v>528.29661904761906</v>
      </c>
    </row>
    <row r="128" spans="1:8" s="1906" customFormat="1" ht="21.75" customHeight="1">
      <c r="A128" s="1905">
        <v>41091</v>
      </c>
      <c r="B128" s="1897">
        <v>22</v>
      </c>
      <c r="C128" s="1894">
        <v>5349.9797180510968</v>
      </c>
      <c r="D128" s="1894">
        <v>2662.3849025838758</v>
      </c>
      <c r="E128" s="1895">
        <v>337.62030270935105</v>
      </c>
      <c r="F128" s="1892">
        <v>1757.0258603567993</v>
      </c>
      <c r="G128" s="1893">
        <v>55150</v>
      </c>
      <c r="H128" s="1893">
        <v>835</v>
      </c>
    </row>
    <row r="129" spans="1:12" s="1906" customFormat="1" ht="21.75" customHeight="1">
      <c r="A129" s="1905">
        <v>41122</v>
      </c>
      <c r="B129" s="1897">
        <v>21</v>
      </c>
      <c r="C129" s="1894">
        <v>5245.0794021110551</v>
      </c>
      <c r="D129" s="1895">
        <v>2639.3387503780659</v>
      </c>
      <c r="E129" s="1895">
        <v>333.33846830889098</v>
      </c>
      <c r="F129" s="1892">
        <v>1719.9610192639136</v>
      </c>
      <c r="G129" s="1893">
        <v>44271</v>
      </c>
      <c r="H129" s="1893">
        <v>897</v>
      </c>
    </row>
    <row r="130" spans="1:12" s="1906" customFormat="1" ht="21.75" customHeight="1">
      <c r="A130" s="1905">
        <v>41153</v>
      </c>
      <c r="B130" s="1897">
        <v>19</v>
      </c>
      <c r="C130" s="1894">
        <v>5192.6105554554606</v>
      </c>
      <c r="D130" s="1894">
        <v>2641.6586168231688</v>
      </c>
      <c r="E130" s="1895">
        <v>330.92570796411428</v>
      </c>
      <c r="F130" s="1892">
        <v>1702.112424445781</v>
      </c>
      <c r="G130" s="1893">
        <v>48290</v>
      </c>
      <c r="H130" s="1893">
        <v>1046</v>
      </c>
    </row>
    <row r="131" spans="1:12" s="1906" customFormat="1" ht="21.75" customHeight="1">
      <c r="A131" s="1905">
        <v>41183</v>
      </c>
      <c r="B131" s="1897">
        <v>23</v>
      </c>
      <c r="C131" s="1894">
        <v>5167.6407259096486</v>
      </c>
      <c r="D131" s="1894">
        <v>2596.9531537295984</v>
      </c>
      <c r="E131" s="1895">
        <v>326.87429115643334</v>
      </c>
      <c r="F131" s="1892">
        <v>1692.5891542268419</v>
      </c>
      <c r="G131" s="1893">
        <v>42041</v>
      </c>
      <c r="H131" s="1893">
        <v>1208</v>
      </c>
    </row>
    <row r="132" spans="1:12" s="1906" customFormat="1" ht="21.75" customHeight="1">
      <c r="A132" s="1905">
        <v>41214</v>
      </c>
      <c r="B132" s="1897">
        <v>20</v>
      </c>
      <c r="C132" s="1894">
        <v>5111.2919006366801</v>
      </c>
      <c r="D132" s="1894">
        <v>2552.5462217573104</v>
      </c>
      <c r="E132" s="1895">
        <v>320.88367861160424</v>
      </c>
      <c r="F132" s="1892">
        <v>1663.6266381723792</v>
      </c>
      <c r="G132" s="1893">
        <v>43271</v>
      </c>
      <c r="H132" s="1893">
        <v>2242</v>
      </c>
    </row>
    <row r="133" spans="1:12" s="1906" customFormat="1" ht="21.75" customHeight="1">
      <c r="A133" s="1905">
        <v>41244</v>
      </c>
      <c r="B133" s="1897">
        <v>20</v>
      </c>
      <c r="C133" s="1894">
        <v>5289.9115873023793</v>
      </c>
      <c r="D133" s="1894">
        <v>2678.9063357086279</v>
      </c>
      <c r="E133" s="1895">
        <v>333.15411350648162</v>
      </c>
      <c r="F133" s="1892">
        <v>1710.9982147528208</v>
      </c>
      <c r="G133" s="1893">
        <v>43266</v>
      </c>
      <c r="H133" s="1893">
        <v>976</v>
      </c>
    </row>
    <row r="134" spans="1:12" s="1906" customFormat="1" ht="21.75" customHeight="1">
      <c r="A134" s="1905">
        <v>41275</v>
      </c>
      <c r="B134" s="1897">
        <v>21</v>
      </c>
      <c r="C134" s="1894">
        <v>5491.2625203959324</v>
      </c>
      <c r="D134" s="1894">
        <v>2797.8274260708181</v>
      </c>
      <c r="E134" s="1895">
        <v>347.03893506091526</v>
      </c>
      <c r="F134" s="1892">
        <v>1771.9293336032008</v>
      </c>
      <c r="G134" s="1893">
        <v>50325</v>
      </c>
      <c r="H134" s="1893">
        <v>1480</v>
      </c>
    </row>
    <row r="135" spans="1:12" s="1914" customFormat="1" ht="21.75" customHeight="1" thickBot="1">
      <c r="A135" s="1907">
        <v>41306</v>
      </c>
      <c r="B135" s="1908">
        <v>19</v>
      </c>
      <c r="C135" s="1909">
        <v>5711.7698208890888</v>
      </c>
      <c r="D135" s="1909">
        <v>2913.3728545294202</v>
      </c>
      <c r="E135" s="1910">
        <v>361.36561988269057</v>
      </c>
      <c r="F135" s="1911">
        <v>1842.5341962184448</v>
      </c>
      <c r="G135" s="1912">
        <v>56805</v>
      </c>
      <c r="H135" s="1912">
        <v>1454</v>
      </c>
      <c r="I135" s="1913"/>
    </row>
    <row r="136" spans="1:12" s="1906" customFormat="1" ht="21.75" customHeight="1">
      <c r="A136" s="1915"/>
      <c r="B136" s="1915"/>
      <c r="C136" s="1916"/>
      <c r="D136" s="1916"/>
      <c r="E136" s="1917"/>
      <c r="F136" s="1918"/>
      <c r="G136" s="1919"/>
      <c r="H136" s="1919"/>
    </row>
    <row r="137" spans="1:12" s="1924" customFormat="1" ht="12.75" customHeight="1">
      <c r="A137" s="1920" t="s">
        <v>2767</v>
      </c>
      <c r="B137" s="1921"/>
      <c r="C137" s="1922"/>
      <c r="D137" s="1922"/>
      <c r="E137" s="1923"/>
      <c r="F137" s="1921"/>
      <c r="G137" s="1921"/>
      <c r="H137" s="1921"/>
    </row>
    <row r="138" spans="1:12" s="1924" customFormat="1" ht="12.75" customHeight="1">
      <c r="A138" s="1925" t="s">
        <v>2768</v>
      </c>
      <c r="B138" s="1921"/>
      <c r="C138" s="1922"/>
      <c r="D138" s="1922"/>
      <c r="E138" s="1923"/>
      <c r="F138" s="1921"/>
      <c r="G138" s="1921"/>
      <c r="H138" s="1906"/>
      <c r="I138" s="1906"/>
      <c r="J138" s="1906"/>
      <c r="K138" s="1906"/>
      <c r="L138" s="1906"/>
    </row>
    <row r="139" spans="1:12" s="1924" customFormat="1" ht="12.75" customHeight="1">
      <c r="A139" s="1924" t="s">
        <v>2769</v>
      </c>
      <c r="C139" s="1926"/>
      <c r="D139" s="1926"/>
      <c r="E139" s="1925"/>
    </row>
    <row r="140" spans="1:12" s="1924" customFormat="1" ht="12.75" customHeight="1">
      <c r="A140" s="1920" t="s">
        <v>2770</v>
      </c>
      <c r="C140" s="1927"/>
      <c r="D140" s="1927"/>
      <c r="H140" s="1906"/>
      <c r="I140" s="1906"/>
      <c r="J140" s="1906"/>
      <c r="K140" s="1906"/>
      <c r="L140" s="1906"/>
    </row>
    <row r="141" spans="1:12" s="1924" customFormat="1" ht="12.75" customHeight="1">
      <c r="A141" s="1925" t="s">
        <v>2771</v>
      </c>
      <c r="C141" s="1927"/>
      <c r="D141" s="1927"/>
      <c r="H141" s="1906"/>
      <c r="I141" s="1906"/>
      <c r="J141" s="1906"/>
      <c r="K141" s="1906"/>
      <c r="L141" s="1906"/>
    </row>
    <row r="142" spans="1:12" s="1866" customFormat="1" ht="57.75" customHeight="1">
      <c r="A142" s="3410" t="s">
        <v>2772</v>
      </c>
      <c r="B142" s="3410"/>
      <c r="C142" s="3410"/>
      <c r="D142" s="3410"/>
      <c r="E142" s="1928"/>
      <c r="F142" s="1929"/>
      <c r="G142" s="1929"/>
      <c r="H142" s="1906"/>
      <c r="I142" s="1906"/>
      <c r="J142" s="1906"/>
      <c r="K142" s="1906"/>
      <c r="L142" s="1906"/>
    </row>
    <row r="143" spans="1:12" ht="12.75" customHeight="1" thickBot="1">
      <c r="A143" s="1930"/>
      <c r="B143" s="1930"/>
      <c r="C143" s="1931"/>
      <c r="D143" s="1932" t="s">
        <v>12</v>
      </c>
      <c r="H143" s="1906"/>
      <c r="I143" s="1906"/>
      <c r="J143" s="1906"/>
      <c r="K143" s="1906"/>
      <c r="L143" s="1906"/>
    </row>
    <row r="144" spans="1:12" ht="51" customHeight="1" thickBot="1">
      <c r="A144" s="1933" t="s">
        <v>1</v>
      </c>
      <c r="B144" s="1933" t="s">
        <v>2773</v>
      </c>
      <c r="C144" s="1933" t="s">
        <v>2774</v>
      </c>
      <c r="D144" s="1934" t="s">
        <v>2775</v>
      </c>
      <c r="H144" s="1906"/>
      <c r="I144" s="1906"/>
      <c r="J144" s="1906"/>
      <c r="K144" s="1906"/>
      <c r="L144" s="1906"/>
    </row>
    <row r="145" spans="1:8" ht="16.5" hidden="1" customHeight="1">
      <c r="A145" s="1888">
        <v>40217</v>
      </c>
      <c r="B145" s="1935">
        <v>161.03771599999999</v>
      </c>
      <c r="C145" s="1936">
        <v>131.77647004000002</v>
      </c>
      <c r="D145" s="1937" t="s">
        <v>2776</v>
      </c>
      <c r="E145" s="1938"/>
      <c r="F145" s="1939"/>
    </row>
    <row r="146" spans="1:8" ht="15" hidden="1" customHeight="1">
      <c r="A146" s="1888">
        <v>40245</v>
      </c>
      <c r="B146" s="1935">
        <v>403.32256000000001</v>
      </c>
      <c r="C146" s="1936">
        <v>356.66909319999996</v>
      </c>
      <c r="D146" s="1937" t="s">
        <v>2777</v>
      </c>
      <c r="E146" s="1938"/>
      <c r="F146" s="1939"/>
    </row>
    <row r="147" spans="1:8" ht="15" hidden="1" customHeight="1">
      <c r="A147" s="1888">
        <v>40276</v>
      </c>
      <c r="B147" s="1935">
        <v>521.20303650000005</v>
      </c>
      <c r="C147" s="1936">
        <v>201.15583000000001</v>
      </c>
      <c r="D147" s="1937" t="s">
        <v>2778</v>
      </c>
      <c r="E147" s="1938"/>
      <c r="F147" s="1940"/>
      <c r="G147" s="1941"/>
      <c r="H147" s="1941"/>
    </row>
    <row r="148" spans="1:8" ht="15" hidden="1" customHeight="1">
      <c r="A148" s="1888">
        <v>40306</v>
      </c>
      <c r="B148" s="1935">
        <v>329.135806</v>
      </c>
      <c r="C148" s="1936">
        <v>128.8008695</v>
      </c>
      <c r="D148" s="1937" t="s">
        <v>2779</v>
      </c>
      <c r="E148" s="1938"/>
      <c r="F148" s="1939"/>
      <c r="G148" s="1941"/>
      <c r="H148" s="1941"/>
    </row>
    <row r="149" spans="1:8" ht="15" hidden="1" customHeight="1">
      <c r="A149" s="1888">
        <v>40337</v>
      </c>
      <c r="B149" s="1935">
        <v>207.11887580000001</v>
      </c>
      <c r="C149" s="1936">
        <v>28.417289</v>
      </c>
      <c r="D149" s="1937" t="s">
        <v>2780</v>
      </c>
      <c r="E149" s="1938"/>
      <c r="F149" s="1939"/>
      <c r="G149" s="1941"/>
      <c r="H149" s="1941"/>
    </row>
    <row r="150" spans="1:8" ht="15" hidden="1" customHeight="1">
      <c r="A150" s="1905">
        <v>40367</v>
      </c>
      <c r="B150" s="1935">
        <v>270.14908350000002</v>
      </c>
      <c r="C150" s="1936">
        <v>133.29416225</v>
      </c>
      <c r="D150" s="1937" t="s">
        <v>2781</v>
      </c>
      <c r="E150" s="1938"/>
      <c r="F150" s="1939"/>
      <c r="G150" s="1941"/>
      <c r="H150" s="1941"/>
    </row>
    <row r="151" spans="1:8" ht="15" hidden="1" customHeight="1">
      <c r="A151" s="1905">
        <v>40398</v>
      </c>
      <c r="B151" s="1935">
        <v>217.86438000000001</v>
      </c>
      <c r="C151" s="1936">
        <v>79.483020699999997</v>
      </c>
      <c r="D151" s="1937" t="s">
        <v>2782</v>
      </c>
      <c r="E151" s="1938"/>
      <c r="F151" s="1940"/>
      <c r="G151" s="1939"/>
    </row>
    <row r="152" spans="1:8" ht="15" hidden="1" customHeight="1">
      <c r="A152" s="1905">
        <v>40429</v>
      </c>
      <c r="B152" s="1935">
        <v>388.8727184</v>
      </c>
      <c r="C152" s="1936">
        <v>199.41526140000002</v>
      </c>
      <c r="D152" s="1937" t="s">
        <v>2783</v>
      </c>
      <c r="E152" s="1938"/>
      <c r="F152" s="1939"/>
      <c r="G152" s="1939"/>
    </row>
    <row r="153" spans="1:8" ht="15" hidden="1" customHeight="1">
      <c r="A153" s="1905">
        <v>40459</v>
      </c>
      <c r="B153" s="1935">
        <v>348.71195539999997</v>
      </c>
      <c r="C153" s="1936">
        <v>354.42421330000002</v>
      </c>
      <c r="D153" s="1937" t="s">
        <v>2784</v>
      </c>
      <c r="E153" s="1938"/>
      <c r="F153" s="1939"/>
      <c r="G153" s="1939"/>
    </row>
    <row r="154" spans="1:8" ht="15" hidden="1" customHeight="1">
      <c r="A154" s="1905">
        <v>40490</v>
      </c>
      <c r="B154" s="1935">
        <v>347.89406220000001</v>
      </c>
      <c r="C154" s="1936">
        <v>128.35713510000002</v>
      </c>
      <c r="D154" s="1937" t="s">
        <v>2785</v>
      </c>
      <c r="E154" s="1938"/>
      <c r="F154" s="1939"/>
      <c r="G154" s="1939"/>
    </row>
    <row r="155" spans="1:8" ht="15" hidden="1" customHeight="1">
      <c r="A155" s="1905">
        <v>40520</v>
      </c>
      <c r="B155" s="1935">
        <v>178.9509745</v>
      </c>
      <c r="C155" s="1936">
        <v>55.540696149999995</v>
      </c>
      <c r="D155" s="1937" t="s">
        <v>2786</v>
      </c>
      <c r="E155" s="1938"/>
      <c r="F155" s="1939"/>
    </row>
    <row r="156" spans="1:8" ht="15" hidden="1" customHeight="1">
      <c r="A156" s="1905">
        <v>40551</v>
      </c>
      <c r="B156" s="1942">
        <v>725.55969600000003</v>
      </c>
      <c r="C156" s="1943">
        <v>370.46430950000001</v>
      </c>
      <c r="D156" s="1937" t="s">
        <v>2787</v>
      </c>
      <c r="E156" s="1938"/>
      <c r="F156" s="1939"/>
    </row>
    <row r="157" spans="1:8" ht="15" hidden="1" customHeight="1">
      <c r="A157" s="1905">
        <v>40582</v>
      </c>
      <c r="B157" s="1942">
        <v>154.24198669999998</v>
      </c>
      <c r="C157" s="1944">
        <v>111.00644709999999</v>
      </c>
      <c r="D157" s="1937" t="s">
        <v>2788</v>
      </c>
      <c r="E157" s="1938"/>
      <c r="F157" s="1939"/>
    </row>
    <row r="158" spans="1:8" ht="15" hidden="1" customHeight="1">
      <c r="A158" s="1905">
        <v>40610</v>
      </c>
      <c r="B158" s="1942">
        <v>42.2</v>
      </c>
      <c r="C158" s="1944">
        <v>203.6</v>
      </c>
      <c r="D158" s="1937" t="s">
        <v>2789</v>
      </c>
      <c r="E158" s="1938"/>
      <c r="F158" s="1939"/>
    </row>
    <row r="159" spans="1:8" ht="15" hidden="1" customHeight="1">
      <c r="A159" s="1905">
        <v>40641</v>
      </c>
      <c r="B159" s="1942">
        <v>142.80000000000001</v>
      </c>
      <c r="C159" s="1944">
        <v>119.9</v>
      </c>
      <c r="D159" s="1937" t="s">
        <v>2790</v>
      </c>
      <c r="E159" s="1938"/>
      <c r="F159" s="1939"/>
    </row>
    <row r="160" spans="1:8" ht="15" hidden="1" customHeight="1">
      <c r="A160" s="1905">
        <v>40671</v>
      </c>
      <c r="B160" s="1942">
        <v>246.9</v>
      </c>
      <c r="C160" s="1944">
        <v>263.39999999999998</v>
      </c>
      <c r="D160" s="1937" t="s">
        <v>2791</v>
      </c>
      <c r="E160" s="1938"/>
      <c r="F160" s="1939"/>
    </row>
    <row r="161" spans="1:8" ht="15" hidden="1" customHeight="1">
      <c r="A161" s="1905">
        <v>40702</v>
      </c>
      <c r="B161" s="1942">
        <v>201.6</v>
      </c>
      <c r="C161" s="1944">
        <v>336.5</v>
      </c>
      <c r="D161" s="1937" t="s">
        <v>2792</v>
      </c>
      <c r="E161" s="1938"/>
      <c r="F161" s="1945"/>
    </row>
    <row r="162" spans="1:8" ht="15" hidden="1" customHeight="1">
      <c r="A162" s="1905">
        <v>40732</v>
      </c>
      <c r="B162" s="1942">
        <v>218.3</v>
      </c>
      <c r="C162" s="1944">
        <v>240.4</v>
      </c>
      <c r="D162" s="1937" t="s">
        <v>2793</v>
      </c>
      <c r="E162" s="1938"/>
      <c r="F162" s="1939"/>
      <c r="G162" s="1946"/>
    </row>
    <row r="163" spans="1:8" ht="15" hidden="1" customHeight="1">
      <c r="A163" s="1905">
        <v>40763</v>
      </c>
      <c r="B163" s="1942">
        <v>168.1</v>
      </c>
      <c r="C163" s="1944">
        <v>606.6</v>
      </c>
      <c r="D163" s="1937" t="s">
        <v>2794</v>
      </c>
      <c r="E163" s="1938"/>
      <c r="F163" s="1939"/>
      <c r="G163" s="1946"/>
    </row>
    <row r="164" spans="1:8" ht="15" hidden="1" customHeight="1">
      <c r="A164" s="1905">
        <v>40794</v>
      </c>
      <c r="B164" s="1942">
        <v>130.69999999999999</v>
      </c>
      <c r="C164" s="1944">
        <v>174.4</v>
      </c>
      <c r="D164" s="1937" t="s">
        <v>2795</v>
      </c>
      <c r="E164" s="1938"/>
      <c r="F164" s="1939"/>
      <c r="G164" s="1946"/>
    </row>
    <row r="165" spans="1:8" ht="15" hidden="1" customHeight="1">
      <c r="A165" s="1905">
        <v>40824</v>
      </c>
      <c r="B165" s="1942">
        <v>166.1</v>
      </c>
      <c r="C165" s="1944">
        <v>339.9</v>
      </c>
      <c r="D165" s="1937" t="s">
        <v>2796</v>
      </c>
      <c r="E165" s="1938"/>
      <c r="F165" s="1939"/>
      <c r="G165" s="1946"/>
      <c r="H165" s="1941"/>
    </row>
    <row r="166" spans="1:8" ht="15" hidden="1" customHeight="1">
      <c r="A166" s="1905">
        <v>40855</v>
      </c>
      <c r="B166" s="1942">
        <v>3631.7</v>
      </c>
      <c r="C166" s="1944">
        <v>3694.6</v>
      </c>
      <c r="D166" s="1937" t="s">
        <v>2797</v>
      </c>
      <c r="E166" s="1938"/>
      <c r="F166" s="1939"/>
      <c r="G166" s="1946"/>
      <c r="H166" s="1941"/>
    </row>
    <row r="167" spans="1:8" ht="15" hidden="1" customHeight="1">
      <c r="A167" s="1905">
        <v>40885</v>
      </c>
      <c r="B167" s="1944">
        <v>329.8</v>
      </c>
      <c r="C167" s="1944">
        <v>175.4</v>
      </c>
      <c r="D167" s="1937" t="s">
        <v>2798</v>
      </c>
      <c r="E167" s="1938"/>
      <c r="F167" s="1945"/>
      <c r="G167" s="1946"/>
      <c r="H167" s="1941"/>
    </row>
    <row r="168" spans="1:8" ht="15" hidden="1" customHeight="1">
      <c r="A168" s="1905">
        <v>40916</v>
      </c>
      <c r="B168" s="1944">
        <v>125.6</v>
      </c>
      <c r="C168" s="1944">
        <v>111.1</v>
      </c>
      <c r="D168" s="1937" t="s">
        <v>2799</v>
      </c>
      <c r="E168" s="1938"/>
      <c r="F168" s="1945"/>
      <c r="G168" s="1946"/>
      <c r="H168" s="1941"/>
    </row>
    <row r="169" spans="1:8" ht="15" customHeight="1">
      <c r="A169" s="1905">
        <v>40947</v>
      </c>
      <c r="B169" s="1944">
        <v>180</v>
      </c>
      <c r="C169" s="1944">
        <v>131.6</v>
      </c>
      <c r="D169" s="1937" t="s">
        <v>2800</v>
      </c>
      <c r="E169" s="1938"/>
      <c r="F169" s="1945"/>
      <c r="G169" s="1946"/>
      <c r="H169" s="1941"/>
    </row>
    <row r="170" spans="1:8" ht="15" customHeight="1">
      <c r="A170" s="1905">
        <v>40976</v>
      </c>
      <c r="B170" s="1944">
        <v>151.69999999999999</v>
      </c>
      <c r="C170" s="1944">
        <v>123.2</v>
      </c>
      <c r="D170" s="1937" t="s">
        <v>2801</v>
      </c>
      <c r="E170" s="1938"/>
      <c r="F170" s="1945"/>
      <c r="G170" s="1946"/>
      <c r="H170" s="1941"/>
    </row>
    <row r="171" spans="1:8" ht="15" customHeight="1">
      <c r="A171" s="1905">
        <v>41007</v>
      </c>
      <c r="B171" s="1944">
        <v>311.5</v>
      </c>
      <c r="C171" s="1944">
        <v>291.5</v>
      </c>
      <c r="D171" s="1937" t="s">
        <v>2802</v>
      </c>
      <c r="E171" s="1938"/>
      <c r="F171" s="1945"/>
      <c r="G171" s="1946"/>
      <c r="H171" s="1941"/>
    </row>
    <row r="172" spans="1:8" ht="15" customHeight="1">
      <c r="A172" s="1905">
        <v>41037</v>
      </c>
      <c r="B172" s="1944">
        <v>210.2</v>
      </c>
      <c r="C172" s="1944">
        <v>395.36</v>
      </c>
      <c r="D172" s="1947">
        <v>-185.2</v>
      </c>
      <c r="E172" s="1938"/>
      <c r="F172" s="1945"/>
      <c r="G172" s="1946"/>
      <c r="H172" s="1941"/>
    </row>
    <row r="173" spans="1:8" ht="15" customHeight="1">
      <c r="A173" s="1905">
        <v>41068</v>
      </c>
      <c r="B173" s="1944">
        <v>154.94</v>
      </c>
      <c r="C173" s="1944">
        <v>223.923</v>
      </c>
      <c r="D173" s="1947">
        <v>-68.983000000000004</v>
      </c>
      <c r="E173" s="1938"/>
      <c r="F173" s="1945"/>
      <c r="G173" s="1946"/>
      <c r="H173" s="1941"/>
    </row>
    <row r="174" spans="1:8" ht="15" customHeight="1">
      <c r="A174" s="1905">
        <v>41098</v>
      </c>
      <c r="B174" s="1944">
        <v>389.9</v>
      </c>
      <c r="C174" s="1944">
        <v>344.3</v>
      </c>
      <c r="D174" s="1947" t="s">
        <v>2803</v>
      </c>
      <c r="E174" s="1938"/>
      <c r="F174" s="1945"/>
      <c r="G174" s="1946"/>
      <c r="H174" s="1941"/>
    </row>
    <row r="175" spans="1:8" ht="15" customHeight="1">
      <c r="A175" s="1905">
        <v>41129</v>
      </c>
      <c r="B175" s="1944">
        <v>209.5</v>
      </c>
      <c r="C175" s="1944">
        <v>315.5</v>
      </c>
      <c r="D175" s="1947" t="s">
        <v>2804</v>
      </c>
      <c r="E175" s="1938"/>
      <c r="F175" s="1945"/>
      <c r="G175" s="1946"/>
      <c r="H175" s="1941"/>
    </row>
    <row r="176" spans="1:8" ht="15" customHeight="1">
      <c r="A176" s="1905">
        <v>41160</v>
      </c>
      <c r="B176" s="1944">
        <v>163.1</v>
      </c>
      <c r="C176" s="1944">
        <v>243.9</v>
      </c>
      <c r="D176" s="1947">
        <v>-80.8</v>
      </c>
      <c r="E176" s="1938"/>
      <c r="F176" s="1945"/>
      <c r="G176" s="1946"/>
      <c r="H176" s="1941"/>
    </row>
    <row r="177" spans="1:8" ht="15" customHeight="1">
      <c r="A177" s="1905">
        <v>41190</v>
      </c>
      <c r="B177" s="1944">
        <v>216.6</v>
      </c>
      <c r="C177" s="1944">
        <v>236.5</v>
      </c>
      <c r="D177" s="1947">
        <v>-19.899999999999999</v>
      </c>
      <c r="E177" s="1938"/>
      <c r="F177" s="1945"/>
      <c r="G177" s="1946"/>
      <c r="H177" s="1941"/>
    </row>
    <row r="178" spans="1:8" ht="15" customHeight="1">
      <c r="A178" s="1905">
        <v>41221</v>
      </c>
      <c r="B178" s="1948">
        <v>347.4</v>
      </c>
      <c r="C178" s="1948">
        <v>135.5</v>
      </c>
      <c r="D178" s="1949" t="s">
        <v>2805</v>
      </c>
      <c r="E178" s="1938"/>
      <c r="F178" s="1945"/>
      <c r="G178" s="1946"/>
      <c r="H178" s="1941"/>
    </row>
    <row r="179" spans="1:8" ht="15" customHeight="1">
      <c r="A179" s="1905">
        <v>41251</v>
      </c>
      <c r="B179" s="1944">
        <v>313.17</v>
      </c>
      <c r="C179" s="1944">
        <v>120.857</v>
      </c>
      <c r="D179" s="1947" t="s">
        <v>2806</v>
      </c>
      <c r="E179" s="1938"/>
      <c r="F179" s="1945"/>
      <c r="G179" s="1946"/>
      <c r="H179" s="1941"/>
    </row>
    <row r="180" spans="1:8" ht="15" customHeight="1">
      <c r="A180" s="1905">
        <v>41282</v>
      </c>
      <c r="B180" s="1944">
        <v>530.9</v>
      </c>
      <c r="C180" s="1944">
        <v>391.2</v>
      </c>
      <c r="D180" s="1947" t="s">
        <v>2807</v>
      </c>
      <c r="E180" s="1938"/>
      <c r="F180" s="1945"/>
      <c r="G180" s="1946"/>
      <c r="H180" s="1941"/>
    </row>
    <row r="181" spans="1:8" ht="15" customHeight="1" thickBot="1">
      <c r="A181" s="1905">
        <v>41313</v>
      </c>
      <c r="B181" s="1944">
        <v>565.5</v>
      </c>
      <c r="C181" s="1948">
        <v>447.5</v>
      </c>
      <c r="D181" s="1949" t="s">
        <v>2808</v>
      </c>
      <c r="E181" s="1938"/>
      <c r="F181" s="1945"/>
      <c r="G181" s="1946"/>
      <c r="H181" s="1941"/>
    </row>
    <row r="182" spans="1:8" ht="23.25" customHeight="1" thickBot="1">
      <c r="A182" s="1950" t="s">
        <v>319</v>
      </c>
      <c r="B182" s="1951">
        <f>SUM(B169:B181)</f>
        <v>3744.4100000000003</v>
      </c>
      <c r="C182" s="1951">
        <f>SUM(C169:C181)</f>
        <v>3400.8399999999997</v>
      </c>
      <c r="D182" s="1951">
        <f>B182-C182</f>
        <v>343.57000000000062</v>
      </c>
      <c r="E182" s="1938"/>
      <c r="F182" s="1945"/>
      <c r="G182" s="1946"/>
      <c r="H182" s="1941"/>
    </row>
    <row r="183" spans="1:8" ht="14.25" customHeight="1">
      <c r="A183" s="1952"/>
      <c r="B183" s="1953"/>
      <c r="C183" s="1953"/>
      <c r="D183" s="1953"/>
      <c r="E183" s="1953"/>
      <c r="F183" s="1954"/>
    </row>
    <row r="184" spans="1:8" s="650" customFormat="1" ht="12.75" customHeight="1">
      <c r="A184" s="638" t="s">
        <v>2809</v>
      </c>
      <c r="C184" s="1955"/>
      <c r="D184" s="1956"/>
      <c r="E184" s="1957"/>
      <c r="F184" s="1954"/>
    </row>
    <row r="185" spans="1:8" s="650" customFormat="1" ht="12.75" customHeight="1">
      <c r="A185" s="638" t="s">
        <v>2771</v>
      </c>
      <c r="C185" s="1955"/>
      <c r="D185" s="1958"/>
      <c r="E185" s="1954"/>
      <c r="F185" s="1954"/>
      <c r="H185" s="1959"/>
    </row>
    <row r="186" spans="1:8" ht="12.75" customHeight="1">
      <c r="B186" s="1960"/>
      <c r="C186" s="1961"/>
      <c r="D186" s="1962"/>
      <c r="E186" s="1954"/>
      <c r="F186" s="1954"/>
      <c r="G186" s="1959"/>
    </row>
    <row r="187" spans="1:8" ht="12.75" hidden="1" customHeight="1">
      <c r="A187" s="1963"/>
    </row>
    <row r="188" spans="1:8" ht="12.75" hidden="1" customHeight="1">
      <c r="B188" s="1964"/>
      <c r="C188" s="1965"/>
      <c r="D188" s="1965"/>
      <c r="E188" s="1966"/>
      <c r="F188" s="1967"/>
      <c r="G188" s="1968"/>
      <c r="H188" s="1968"/>
    </row>
    <row r="189" spans="1:8" ht="12.75" hidden="1" customHeight="1"/>
    <row r="190" spans="1:8" ht="12.75" hidden="1" customHeight="1"/>
    <row r="191" spans="1:8" ht="12.75" hidden="1" customHeight="1"/>
    <row r="192" spans="1:8" ht="12.75" hidden="1" customHeight="1"/>
    <row r="193" spans="1:7" ht="12.75" hidden="1" customHeight="1"/>
    <row r="194" spans="1:7" ht="12.75" customHeight="1">
      <c r="C194" s="1969"/>
      <c r="D194" s="1962"/>
      <c r="E194" s="1954"/>
      <c r="F194" s="1954"/>
      <c r="G194" s="1941"/>
    </row>
    <row r="195" spans="1:7" ht="12.75" customHeight="1">
      <c r="C195" s="1969"/>
      <c r="D195" s="1970"/>
      <c r="E195" s="1941"/>
      <c r="F195" s="1954"/>
    </row>
    <row r="196" spans="1:7">
      <c r="B196" s="1941"/>
      <c r="C196" s="1958"/>
      <c r="D196" s="1958"/>
      <c r="E196" s="1941"/>
      <c r="F196" s="1941"/>
    </row>
    <row r="197" spans="1:7">
      <c r="B197" s="1941"/>
      <c r="C197" s="1958"/>
      <c r="D197" s="1956"/>
      <c r="E197" s="1941"/>
    </row>
    <row r="198" spans="1:7">
      <c r="A198" s="1870"/>
      <c r="B198" s="1941"/>
      <c r="C198" s="1958"/>
      <c r="D198" s="1969"/>
      <c r="E198" s="1941"/>
      <c r="F198" s="1971"/>
      <c r="G198" s="1972"/>
    </row>
    <row r="199" spans="1:7">
      <c r="B199" s="1973"/>
      <c r="C199" s="1958"/>
      <c r="D199" s="1969"/>
      <c r="E199" s="1941"/>
      <c r="F199" s="1941"/>
    </row>
    <row r="200" spans="1:7">
      <c r="B200" s="1954"/>
      <c r="C200" s="1958"/>
      <c r="D200" s="1974"/>
      <c r="E200" s="1972"/>
    </row>
    <row r="201" spans="1:7">
      <c r="B201" s="1941"/>
      <c r="C201" s="1969"/>
      <c r="D201" s="1969"/>
    </row>
    <row r="202" spans="1:7">
      <c r="B202" s="1941"/>
      <c r="D202" s="1969"/>
      <c r="E202" s="1941"/>
      <c r="F202" s="1941"/>
    </row>
    <row r="203" spans="1:7">
      <c r="B203" s="1941"/>
      <c r="C203" s="1958"/>
      <c r="D203" s="1958"/>
    </row>
    <row r="204" spans="1:7">
      <c r="C204" s="1958"/>
      <c r="D204" s="1969"/>
    </row>
    <row r="205" spans="1:7">
      <c r="C205" s="1969"/>
      <c r="D205" s="1969"/>
    </row>
    <row r="206" spans="1:7">
      <c r="D206" s="1969"/>
    </row>
    <row r="207" spans="1:7">
      <c r="D207" s="1969"/>
    </row>
    <row r="208" spans="1:7">
      <c r="C208" s="1969"/>
      <c r="D208" s="1969"/>
    </row>
    <row r="209" spans="3:10">
      <c r="C209" s="1969"/>
      <c r="D209" s="1969"/>
    </row>
    <row r="210" spans="3:10">
      <c r="C210" s="1969"/>
      <c r="D210" s="1969"/>
    </row>
    <row r="211" spans="3:10">
      <c r="D211" s="1969"/>
    </row>
    <row r="221" spans="3:10">
      <c r="J221" s="1954"/>
    </row>
    <row r="222" spans="3:10">
      <c r="J222" s="1954"/>
    </row>
  </sheetData>
  <mergeCells count="2">
    <mergeCell ref="E4:H4"/>
    <mergeCell ref="A142:D142"/>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topLeftCell="A92" zoomScaleNormal="100" zoomScaleSheetLayoutView="100" workbookViewId="0">
      <selection activeCell="A105" sqref="A105"/>
    </sheetView>
  </sheetViews>
  <sheetFormatPr defaultRowHeight="15"/>
  <cols>
    <col min="1" max="1" width="26.5703125" style="1983" customWidth="1"/>
    <col min="2" max="2" width="9.140625" style="1983" hidden="1" customWidth="1"/>
    <col min="3" max="3" width="9.7109375" style="1983" hidden="1" customWidth="1"/>
    <col min="4" max="4" width="9.140625" style="1983"/>
    <col min="5" max="6" width="10" style="1983" customWidth="1"/>
    <col min="7" max="7" width="9.85546875" style="1983" customWidth="1"/>
    <col min="8" max="8" width="10" style="1983" customWidth="1"/>
    <col min="9" max="11" width="10.42578125" style="1983" customWidth="1"/>
    <col min="12" max="12" width="10.5703125" style="1983" customWidth="1"/>
    <col min="13" max="256" width="9.140625" style="1983"/>
    <col min="257" max="257" width="26.5703125" style="1983" customWidth="1"/>
    <col min="258" max="259" width="0" style="1983" hidden="1" customWidth="1"/>
    <col min="260" max="260" width="9.140625" style="1983"/>
    <col min="261" max="262" width="10" style="1983" customWidth="1"/>
    <col min="263" max="263" width="9.85546875" style="1983" customWidth="1"/>
    <col min="264" max="264" width="10" style="1983" customWidth="1"/>
    <col min="265" max="267" width="10.42578125" style="1983" customWidth="1"/>
    <col min="268" max="268" width="10.5703125" style="1983" customWidth="1"/>
    <col min="269" max="512" width="9.140625" style="1983"/>
    <col min="513" max="513" width="26.5703125" style="1983" customWidth="1"/>
    <col min="514" max="515" width="0" style="1983" hidden="1" customWidth="1"/>
    <col min="516" max="516" width="9.140625" style="1983"/>
    <col min="517" max="518" width="10" style="1983" customWidth="1"/>
    <col min="519" max="519" width="9.85546875" style="1983" customWidth="1"/>
    <col min="520" max="520" width="10" style="1983" customWidth="1"/>
    <col min="521" max="523" width="10.42578125" style="1983" customWidth="1"/>
    <col min="524" max="524" width="10.5703125" style="1983" customWidth="1"/>
    <col min="525" max="768" width="9.140625" style="1983"/>
    <col min="769" max="769" width="26.5703125" style="1983" customWidth="1"/>
    <col min="770" max="771" width="0" style="1983" hidden="1" customWidth="1"/>
    <col min="772" max="772" width="9.140625" style="1983"/>
    <col min="773" max="774" width="10" style="1983" customWidth="1"/>
    <col min="775" max="775" width="9.85546875" style="1983" customWidth="1"/>
    <col min="776" max="776" width="10" style="1983" customWidth="1"/>
    <col min="777" max="779" width="10.42578125" style="1983" customWidth="1"/>
    <col min="780" max="780" width="10.5703125" style="1983" customWidth="1"/>
    <col min="781" max="1024" width="9.140625" style="1983"/>
    <col min="1025" max="1025" width="26.5703125" style="1983" customWidth="1"/>
    <col min="1026" max="1027" width="0" style="1983" hidden="1" customWidth="1"/>
    <col min="1028" max="1028" width="9.140625" style="1983"/>
    <col min="1029" max="1030" width="10" style="1983" customWidth="1"/>
    <col min="1031" max="1031" width="9.85546875" style="1983" customWidth="1"/>
    <col min="1032" max="1032" width="10" style="1983" customWidth="1"/>
    <col min="1033" max="1035" width="10.42578125" style="1983" customWidth="1"/>
    <col min="1036" max="1036" width="10.5703125" style="1983" customWidth="1"/>
    <col min="1037" max="1280" width="9.140625" style="1983"/>
    <col min="1281" max="1281" width="26.5703125" style="1983" customWidth="1"/>
    <col min="1282" max="1283" width="0" style="1983" hidden="1" customWidth="1"/>
    <col min="1284" max="1284" width="9.140625" style="1983"/>
    <col min="1285" max="1286" width="10" style="1983" customWidth="1"/>
    <col min="1287" max="1287" width="9.85546875" style="1983" customWidth="1"/>
    <col min="1288" max="1288" width="10" style="1983" customWidth="1"/>
    <col min="1289" max="1291" width="10.42578125" style="1983" customWidth="1"/>
    <col min="1292" max="1292" width="10.5703125" style="1983" customWidth="1"/>
    <col min="1293" max="1536" width="9.140625" style="1983"/>
    <col min="1537" max="1537" width="26.5703125" style="1983" customWidth="1"/>
    <col min="1538" max="1539" width="0" style="1983" hidden="1" customWidth="1"/>
    <col min="1540" max="1540" width="9.140625" style="1983"/>
    <col min="1541" max="1542" width="10" style="1983" customWidth="1"/>
    <col min="1543" max="1543" width="9.85546875" style="1983" customWidth="1"/>
    <col min="1544" max="1544" width="10" style="1983" customWidth="1"/>
    <col min="1545" max="1547" width="10.42578125" style="1983" customWidth="1"/>
    <col min="1548" max="1548" width="10.5703125" style="1983" customWidth="1"/>
    <col min="1549" max="1792" width="9.140625" style="1983"/>
    <col min="1793" max="1793" width="26.5703125" style="1983" customWidth="1"/>
    <col min="1794" max="1795" width="0" style="1983" hidden="1" customWidth="1"/>
    <col min="1796" max="1796" width="9.140625" style="1983"/>
    <col min="1797" max="1798" width="10" style="1983" customWidth="1"/>
    <col min="1799" max="1799" width="9.85546875" style="1983" customWidth="1"/>
    <col min="1800" max="1800" width="10" style="1983" customWidth="1"/>
    <col min="1801" max="1803" width="10.42578125" style="1983" customWidth="1"/>
    <col min="1804" max="1804" width="10.5703125" style="1983" customWidth="1"/>
    <col min="1805" max="2048" width="9.140625" style="1983"/>
    <col min="2049" max="2049" width="26.5703125" style="1983" customWidth="1"/>
    <col min="2050" max="2051" width="0" style="1983" hidden="1" customWidth="1"/>
    <col min="2052" max="2052" width="9.140625" style="1983"/>
    <col min="2053" max="2054" width="10" style="1983" customWidth="1"/>
    <col min="2055" max="2055" width="9.85546875" style="1983" customWidth="1"/>
    <col min="2056" max="2056" width="10" style="1983" customWidth="1"/>
    <col min="2057" max="2059" width="10.42578125" style="1983" customWidth="1"/>
    <col min="2060" max="2060" width="10.5703125" style="1983" customWidth="1"/>
    <col min="2061" max="2304" width="9.140625" style="1983"/>
    <col min="2305" max="2305" width="26.5703125" style="1983" customWidth="1"/>
    <col min="2306" max="2307" width="0" style="1983" hidden="1" customWidth="1"/>
    <col min="2308" max="2308" width="9.140625" style="1983"/>
    <col min="2309" max="2310" width="10" style="1983" customWidth="1"/>
    <col min="2311" max="2311" width="9.85546875" style="1983" customWidth="1"/>
    <col min="2312" max="2312" width="10" style="1983" customWidth="1"/>
    <col min="2313" max="2315" width="10.42578125" style="1983" customWidth="1"/>
    <col min="2316" max="2316" width="10.5703125" style="1983" customWidth="1"/>
    <col min="2317" max="2560" width="9.140625" style="1983"/>
    <col min="2561" max="2561" width="26.5703125" style="1983" customWidth="1"/>
    <col min="2562" max="2563" width="0" style="1983" hidden="1" customWidth="1"/>
    <col min="2564" max="2564" width="9.140625" style="1983"/>
    <col min="2565" max="2566" width="10" style="1983" customWidth="1"/>
    <col min="2567" max="2567" width="9.85546875" style="1983" customWidth="1"/>
    <col min="2568" max="2568" width="10" style="1983" customWidth="1"/>
    <col min="2569" max="2571" width="10.42578125" style="1983" customWidth="1"/>
    <col min="2572" max="2572" width="10.5703125" style="1983" customWidth="1"/>
    <col min="2573" max="2816" width="9.140625" style="1983"/>
    <col min="2817" max="2817" width="26.5703125" style="1983" customWidth="1"/>
    <col min="2818" max="2819" width="0" style="1983" hidden="1" customWidth="1"/>
    <col min="2820" max="2820" width="9.140625" style="1983"/>
    <col min="2821" max="2822" width="10" style="1983" customWidth="1"/>
    <col min="2823" max="2823" width="9.85546875" style="1983" customWidth="1"/>
    <col min="2824" max="2824" width="10" style="1983" customWidth="1"/>
    <col min="2825" max="2827" width="10.42578125" style="1983" customWidth="1"/>
    <col min="2828" max="2828" width="10.5703125" style="1983" customWidth="1"/>
    <col min="2829" max="3072" width="9.140625" style="1983"/>
    <col min="3073" max="3073" width="26.5703125" style="1983" customWidth="1"/>
    <col min="3074" max="3075" width="0" style="1983" hidden="1" customWidth="1"/>
    <col min="3076" max="3076" width="9.140625" style="1983"/>
    <col min="3077" max="3078" width="10" style="1983" customWidth="1"/>
    <col min="3079" max="3079" width="9.85546875" style="1983" customWidth="1"/>
    <col min="3080" max="3080" width="10" style="1983" customWidth="1"/>
    <col min="3081" max="3083" width="10.42578125" style="1983" customWidth="1"/>
    <col min="3084" max="3084" width="10.5703125" style="1983" customWidth="1"/>
    <col min="3085" max="3328" width="9.140625" style="1983"/>
    <col min="3329" max="3329" width="26.5703125" style="1983" customWidth="1"/>
    <col min="3330" max="3331" width="0" style="1983" hidden="1" customWidth="1"/>
    <col min="3332" max="3332" width="9.140625" style="1983"/>
    <col min="3333" max="3334" width="10" style="1983" customWidth="1"/>
    <col min="3335" max="3335" width="9.85546875" style="1983" customWidth="1"/>
    <col min="3336" max="3336" width="10" style="1983" customWidth="1"/>
    <col min="3337" max="3339" width="10.42578125" style="1983" customWidth="1"/>
    <col min="3340" max="3340" width="10.5703125" style="1983" customWidth="1"/>
    <col min="3341" max="3584" width="9.140625" style="1983"/>
    <col min="3585" max="3585" width="26.5703125" style="1983" customWidth="1"/>
    <col min="3586" max="3587" width="0" style="1983" hidden="1" customWidth="1"/>
    <col min="3588" max="3588" width="9.140625" style="1983"/>
    <col min="3589" max="3590" width="10" style="1983" customWidth="1"/>
    <col min="3591" max="3591" width="9.85546875" style="1983" customWidth="1"/>
    <col min="3592" max="3592" width="10" style="1983" customWidth="1"/>
    <col min="3593" max="3595" width="10.42578125" style="1983" customWidth="1"/>
    <col min="3596" max="3596" width="10.5703125" style="1983" customWidth="1"/>
    <col min="3597" max="3840" width="9.140625" style="1983"/>
    <col min="3841" max="3841" width="26.5703125" style="1983" customWidth="1"/>
    <col min="3842" max="3843" width="0" style="1983" hidden="1" customWidth="1"/>
    <col min="3844" max="3844" width="9.140625" style="1983"/>
    <col min="3845" max="3846" width="10" style="1983" customWidth="1"/>
    <col min="3847" max="3847" width="9.85546875" style="1983" customWidth="1"/>
    <col min="3848" max="3848" width="10" style="1983" customWidth="1"/>
    <col min="3849" max="3851" width="10.42578125" style="1983" customWidth="1"/>
    <col min="3852" max="3852" width="10.5703125" style="1983" customWidth="1"/>
    <col min="3853" max="4096" width="9.140625" style="1983"/>
    <col min="4097" max="4097" width="26.5703125" style="1983" customWidth="1"/>
    <col min="4098" max="4099" width="0" style="1983" hidden="1" customWidth="1"/>
    <col min="4100" max="4100" width="9.140625" style="1983"/>
    <col min="4101" max="4102" width="10" style="1983" customWidth="1"/>
    <col min="4103" max="4103" width="9.85546875" style="1983" customWidth="1"/>
    <col min="4104" max="4104" width="10" style="1983" customWidth="1"/>
    <col min="4105" max="4107" width="10.42578125" style="1983" customWidth="1"/>
    <col min="4108" max="4108" width="10.5703125" style="1983" customWidth="1"/>
    <col min="4109" max="4352" width="9.140625" style="1983"/>
    <col min="4353" max="4353" width="26.5703125" style="1983" customWidth="1"/>
    <col min="4354" max="4355" width="0" style="1983" hidden="1" customWidth="1"/>
    <col min="4356" max="4356" width="9.140625" style="1983"/>
    <col min="4357" max="4358" width="10" style="1983" customWidth="1"/>
    <col min="4359" max="4359" width="9.85546875" style="1983" customWidth="1"/>
    <col min="4360" max="4360" width="10" style="1983" customWidth="1"/>
    <col min="4361" max="4363" width="10.42578125" style="1983" customWidth="1"/>
    <col min="4364" max="4364" width="10.5703125" style="1983" customWidth="1"/>
    <col min="4365" max="4608" width="9.140625" style="1983"/>
    <col min="4609" max="4609" width="26.5703125" style="1983" customWidth="1"/>
    <col min="4610" max="4611" width="0" style="1983" hidden="1" customWidth="1"/>
    <col min="4612" max="4612" width="9.140625" style="1983"/>
    <col min="4613" max="4614" width="10" style="1983" customWidth="1"/>
    <col min="4615" max="4615" width="9.85546875" style="1983" customWidth="1"/>
    <col min="4616" max="4616" width="10" style="1983" customWidth="1"/>
    <col min="4617" max="4619" width="10.42578125" style="1983" customWidth="1"/>
    <col min="4620" max="4620" width="10.5703125" style="1983" customWidth="1"/>
    <col min="4621" max="4864" width="9.140625" style="1983"/>
    <col min="4865" max="4865" width="26.5703125" style="1983" customWidth="1"/>
    <col min="4866" max="4867" width="0" style="1983" hidden="1" customWidth="1"/>
    <col min="4868" max="4868" width="9.140625" style="1983"/>
    <col min="4869" max="4870" width="10" style="1983" customWidth="1"/>
    <col min="4871" max="4871" width="9.85546875" style="1983" customWidth="1"/>
    <col min="4872" max="4872" width="10" style="1983" customWidth="1"/>
    <col min="4873" max="4875" width="10.42578125" style="1983" customWidth="1"/>
    <col min="4876" max="4876" width="10.5703125" style="1983" customWidth="1"/>
    <col min="4877" max="5120" width="9.140625" style="1983"/>
    <col min="5121" max="5121" width="26.5703125" style="1983" customWidth="1"/>
    <col min="5122" max="5123" width="0" style="1983" hidden="1" customWidth="1"/>
    <col min="5124" max="5124" width="9.140625" style="1983"/>
    <col min="5125" max="5126" width="10" style="1983" customWidth="1"/>
    <col min="5127" max="5127" width="9.85546875" style="1983" customWidth="1"/>
    <col min="5128" max="5128" width="10" style="1983" customWidth="1"/>
    <col min="5129" max="5131" width="10.42578125" style="1983" customWidth="1"/>
    <col min="5132" max="5132" width="10.5703125" style="1983" customWidth="1"/>
    <col min="5133" max="5376" width="9.140625" style="1983"/>
    <col min="5377" max="5377" width="26.5703125" style="1983" customWidth="1"/>
    <col min="5378" max="5379" width="0" style="1983" hidden="1" customWidth="1"/>
    <col min="5380" max="5380" width="9.140625" style="1983"/>
    <col min="5381" max="5382" width="10" style="1983" customWidth="1"/>
    <col min="5383" max="5383" width="9.85546875" style="1983" customWidth="1"/>
    <col min="5384" max="5384" width="10" style="1983" customWidth="1"/>
    <col min="5385" max="5387" width="10.42578125" style="1983" customWidth="1"/>
    <col min="5388" max="5388" width="10.5703125" style="1983" customWidth="1"/>
    <col min="5389" max="5632" width="9.140625" style="1983"/>
    <col min="5633" max="5633" width="26.5703125" style="1983" customWidth="1"/>
    <col min="5634" max="5635" width="0" style="1983" hidden="1" customWidth="1"/>
    <col min="5636" max="5636" width="9.140625" style="1983"/>
    <col min="5637" max="5638" width="10" style="1983" customWidth="1"/>
    <col min="5639" max="5639" width="9.85546875" style="1983" customWidth="1"/>
    <col min="5640" max="5640" width="10" style="1983" customWidth="1"/>
    <col min="5641" max="5643" width="10.42578125" style="1983" customWidth="1"/>
    <col min="5644" max="5644" width="10.5703125" style="1983" customWidth="1"/>
    <col min="5645" max="5888" width="9.140625" style="1983"/>
    <col min="5889" max="5889" width="26.5703125" style="1983" customWidth="1"/>
    <col min="5890" max="5891" width="0" style="1983" hidden="1" customWidth="1"/>
    <col min="5892" max="5892" width="9.140625" style="1983"/>
    <col min="5893" max="5894" width="10" style="1983" customWidth="1"/>
    <col min="5895" max="5895" width="9.85546875" style="1983" customWidth="1"/>
    <col min="5896" max="5896" width="10" style="1983" customWidth="1"/>
    <col min="5897" max="5899" width="10.42578125" style="1983" customWidth="1"/>
    <col min="5900" max="5900" width="10.5703125" style="1983" customWidth="1"/>
    <col min="5901" max="6144" width="9.140625" style="1983"/>
    <col min="6145" max="6145" width="26.5703125" style="1983" customWidth="1"/>
    <col min="6146" max="6147" width="0" style="1983" hidden="1" customWidth="1"/>
    <col min="6148" max="6148" width="9.140625" style="1983"/>
    <col min="6149" max="6150" width="10" style="1983" customWidth="1"/>
    <col min="6151" max="6151" width="9.85546875" style="1983" customWidth="1"/>
    <col min="6152" max="6152" width="10" style="1983" customWidth="1"/>
    <col min="6153" max="6155" width="10.42578125" style="1983" customWidth="1"/>
    <col min="6156" max="6156" width="10.5703125" style="1983" customWidth="1"/>
    <col min="6157" max="6400" width="9.140625" style="1983"/>
    <col min="6401" max="6401" width="26.5703125" style="1983" customWidth="1"/>
    <col min="6402" max="6403" width="0" style="1983" hidden="1" customWidth="1"/>
    <col min="6404" max="6404" width="9.140625" style="1983"/>
    <col min="6405" max="6406" width="10" style="1983" customWidth="1"/>
    <col min="6407" max="6407" width="9.85546875" style="1983" customWidth="1"/>
    <col min="6408" max="6408" width="10" style="1983" customWidth="1"/>
    <col min="6409" max="6411" width="10.42578125" style="1983" customWidth="1"/>
    <col min="6412" max="6412" width="10.5703125" style="1983" customWidth="1"/>
    <col min="6413" max="6656" width="9.140625" style="1983"/>
    <col min="6657" max="6657" width="26.5703125" style="1983" customWidth="1"/>
    <col min="6658" max="6659" width="0" style="1983" hidden="1" customWidth="1"/>
    <col min="6660" max="6660" width="9.140625" style="1983"/>
    <col min="6661" max="6662" width="10" style="1983" customWidth="1"/>
    <col min="6663" max="6663" width="9.85546875" style="1983" customWidth="1"/>
    <col min="6664" max="6664" width="10" style="1983" customWidth="1"/>
    <col min="6665" max="6667" width="10.42578125" style="1983" customWidth="1"/>
    <col min="6668" max="6668" width="10.5703125" style="1983" customWidth="1"/>
    <col min="6669" max="6912" width="9.140625" style="1983"/>
    <col min="6913" max="6913" width="26.5703125" style="1983" customWidth="1"/>
    <col min="6914" max="6915" width="0" style="1983" hidden="1" customWidth="1"/>
    <col min="6916" max="6916" width="9.140625" style="1983"/>
    <col min="6917" max="6918" width="10" style="1983" customWidth="1"/>
    <col min="6919" max="6919" width="9.85546875" style="1983" customWidth="1"/>
    <col min="6920" max="6920" width="10" style="1983" customWidth="1"/>
    <col min="6921" max="6923" width="10.42578125" style="1983" customWidth="1"/>
    <col min="6924" max="6924" width="10.5703125" style="1983" customWidth="1"/>
    <col min="6925" max="7168" width="9.140625" style="1983"/>
    <col min="7169" max="7169" width="26.5703125" style="1983" customWidth="1"/>
    <col min="7170" max="7171" width="0" style="1983" hidden="1" customWidth="1"/>
    <col min="7172" max="7172" width="9.140625" style="1983"/>
    <col min="7173" max="7174" width="10" style="1983" customWidth="1"/>
    <col min="7175" max="7175" width="9.85546875" style="1983" customWidth="1"/>
    <col min="7176" max="7176" width="10" style="1983" customWidth="1"/>
    <col min="7177" max="7179" width="10.42578125" style="1983" customWidth="1"/>
    <col min="7180" max="7180" width="10.5703125" style="1983" customWidth="1"/>
    <col min="7181" max="7424" width="9.140625" style="1983"/>
    <col min="7425" max="7425" width="26.5703125" style="1983" customWidth="1"/>
    <col min="7426" max="7427" width="0" style="1983" hidden="1" customWidth="1"/>
    <col min="7428" max="7428" width="9.140625" style="1983"/>
    <col min="7429" max="7430" width="10" style="1983" customWidth="1"/>
    <col min="7431" max="7431" width="9.85546875" style="1983" customWidth="1"/>
    <col min="7432" max="7432" width="10" style="1983" customWidth="1"/>
    <col min="7433" max="7435" width="10.42578125" style="1983" customWidth="1"/>
    <col min="7436" max="7436" width="10.5703125" style="1983" customWidth="1"/>
    <col min="7437" max="7680" width="9.140625" style="1983"/>
    <col min="7681" max="7681" width="26.5703125" style="1983" customWidth="1"/>
    <col min="7682" max="7683" width="0" style="1983" hidden="1" customWidth="1"/>
    <col min="7684" max="7684" width="9.140625" style="1983"/>
    <col min="7685" max="7686" width="10" style="1983" customWidth="1"/>
    <col min="7687" max="7687" width="9.85546875" style="1983" customWidth="1"/>
    <col min="7688" max="7688" width="10" style="1983" customWidth="1"/>
    <col min="7689" max="7691" width="10.42578125" style="1983" customWidth="1"/>
    <col min="7692" max="7692" width="10.5703125" style="1983" customWidth="1"/>
    <col min="7693" max="7936" width="9.140625" style="1983"/>
    <col min="7937" max="7937" width="26.5703125" style="1983" customWidth="1"/>
    <col min="7938" max="7939" width="0" style="1983" hidden="1" customWidth="1"/>
    <col min="7940" max="7940" width="9.140625" style="1983"/>
    <col min="7941" max="7942" width="10" style="1983" customWidth="1"/>
    <col min="7943" max="7943" width="9.85546875" style="1983" customWidth="1"/>
    <col min="7944" max="7944" width="10" style="1983" customWidth="1"/>
    <col min="7945" max="7947" width="10.42578125" style="1983" customWidth="1"/>
    <col min="7948" max="7948" width="10.5703125" style="1983" customWidth="1"/>
    <col min="7949" max="8192" width="9.140625" style="1983"/>
    <col min="8193" max="8193" width="26.5703125" style="1983" customWidth="1"/>
    <col min="8194" max="8195" width="0" style="1983" hidden="1" customWidth="1"/>
    <col min="8196" max="8196" width="9.140625" style="1983"/>
    <col min="8197" max="8198" width="10" style="1983" customWidth="1"/>
    <col min="8199" max="8199" width="9.85546875" style="1983" customWidth="1"/>
    <col min="8200" max="8200" width="10" style="1983" customWidth="1"/>
    <col min="8201" max="8203" width="10.42578125" style="1983" customWidth="1"/>
    <col min="8204" max="8204" width="10.5703125" style="1983" customWidth="1"/>
    <col min="8205" max="8448" width="9.140625" style="1983"/>
    <col min="8449" max="8449" width="26.5703125" style="1983" customWidth="1"/>
    <col min="8450" max="8451" width="0" style="1983" hidden="1" customWidth="1"/>
    <col min="8452" max="8452" width="9.140625" style="1983"/>
    <col min="8453" max="8454" width="10" style="1983" customWidth="1"/>
    <col min="8455" max="8455" width="9.85546875" style="1983" customWidth="1"/>
    <col min="8456" max="8456" width="10" style="1983" customWidth="1"/>
    <col min="8457" max="8459" width="10.42578125" style="1983" customWidth="1"/>
    <col min="8460" max="8460" width="10.5703125" style="1983" customWidth="1"/>
    <col min="8461" max="8704" width="9.140625" style="1983"/>
    <col min="8705" max="8705" width="26.5703125" style="1983" customWidth="1"/>
    <col min="8706" max="8707" width="0" style="1983" hidden="1" customWidth="1"/>
    <col min="8708" max="8708" width="9.140625" style="1983"/>
    <col min="8709" max="8710" width="10" style="1983" customWidth="1"/>
    <col min="8711" max="8711" width="9.85546875" style="1983" customWidth="1"/>
    <col min="8712" max="8712" width="10" style="1983" customWidth="1"/>
    <col min="8713" max="8715" width="10.42578125" style="1983" customWidth="1"/>
    <col min="8716" max="8716" width="10.5703125" style="1983" customWidth="1"/>
    <col min="8717" max="8960" width="9.140625" style="1983"/>
    <col min="8961" max="8961" width="26.5703125" style="1983" customWidth="1"/>
    <col min="8962" max="8963" width="0" style="1983" hidden="1" customWidth="1"/>
    <col min="8964" max="8964" width="9.140625" style="1983"/>
    <col min="8965" max="8966" width="10" style="1983" customWidth="1"/>
    <col min="8967" max="8967" width="9.85546875" style="1983" customWidth="1"/>
    <col min="8968" max="8968" width="10" style="1983" customWidth="1"/>
    <col min="8969" max="8971" width="10.42578125" style="1983" customWidth="1"/>
    <col min="8972" max="8972" width="10.5703125" style="1983" customWidth="1"/>
    <col min="8973" max="9216" width="9.140625" style="1983"/>
    <col min="9217" max="9217" width="26.5703125" style="1983" customWidth="1"/>
    <col min="9218" max="9219" width="0" style="1983" hidden="1" customWidth="1"/>
    <col min="9220" max="9220" width="9.140625" style="1983"/>
    <col min="9221" max="9222" width="10" style="1983" customWidth="1"/>
    <col min="9223" max="9223" width="9.85546875" style="1983" customWidth="1"/>
    <col min="9224" max="9224" width="10" style="1983" customWidth="1"/>
    <col min="9225" max="9227" width="10.42578125" style="1983" customWidth="1"/>
    <col min="9228" max="9228" width="10.5703125" style="1983" customWidth="1"/>
    <col min="9229" max="9472" width="9.140625" style="1983"/>
    <col min="9473" max="9473" width="26.5703125" style="1983" customWidth="1"/>
    <col min="9474" max="9475" width="0" style="1983" hidden="1" customWidth="1"/>
    <col min="9476" max="9476" width="9.140625" style="1983"/>
    <col min="9477" max="9478" width="10" style="1983" customWidth="1"/>
    <col min="9479" max="9479" width="9.85546875" style="1983" customWidth="1"/>
    <col min="9480" max="9480" width="10" style="1983" customWidth="1"/>
    <col min="9481" max="9483" width="10.42578125" style="1983" customWidth="1"/>
    <col min="9484" max="9484" width="10.5703125" style="1983" customWidth="1"/>
    <col min="9485" max="9728" width="9.140625" style="1983"/>
    <col min="9729" max="9729" width="26.5703125" style="1983" customWidth="1"/>
    <col min="9730" max="9731" width="0" style="1983" hidden="1" customWidth="1"/>
    <col min="9732" max="9732" width="9.140625" style="1983"/>
    <col min="9733" max="9734" width="10" style="1983" customWidth="1"/>
    <col min="9735" max="9735" width="9.85546875" style="1983" customWidth="1"/>
    <col min="9736" max="9736" width="10" style="1983" customWidth="1"/>
    <col min="9737" max="9739" width="10.42578125" style="1983" customWidth="1"/>
    <col min="9740" max="9740" width="10.5703125" style="1983" customWidth="1"/>
    <col min="9741" max="9984" width="9.140625" style="1983"/>
    <col min="9985" max="9985" width="26.5703125" style="1983" customWidth="1"/>
    <col min="9986" max="9987" width="0" style="1983" hidden="1" customWidth="1"/>
    <col min="9988" max="9988" width="9.140625" style="1983"/>
    <col min="9989" max="9990" width="10" style="1983" customWidth="1"/>
    <col min="9991" max="9991" width="9.85546875" style="1983" customWidth="1"/>
    <col min="9992" max="9992" width="10" style="1983" customWidth="1"/>
    <col min="9993" max="9995" width="10.42578125" style="1983" customWidth="1"/>
    <col min="9996" max="9996" width="10.5703125" style="1983" customWidth="1"/>
    <col min="9997" max="10240" width="9.140625" style="1983"/>
    <col min="10241" max="10241" width="26.5703125" style="1983" customWidth="1"/>
    <col min="10242" max="10243" width="0" style="1983" hidden="1" customWidth="1"/>
    <col min="10244" max="10244" width="9.140625" style="1983"/>
    <col min="10245" max="10246" width="10" style="1983" customWidth="1"/>
    <col min="10247" max="10247" width="9.85546875" style="1983" customWidth="1"/>
    <col min="10248" max="10248" width="10" style="1983" customWidth="1"/>
    <col min="10249" max="10251" width="10.42578125" style="1983" customWidth="1"/>
    <col min="10252" max="10252" width="10.5703125" style="1983" customWidth="1"/>
    <col min="10253" max="10496" width="9.140625" style="1983"/>
    <col min="10497" max="10497" width="26.5703125" style="1983" customWidth="1"/>
    <col min="10498" max="10499" width="0" style="1983" hidden="1" customWidth="1"/>
    <col min="10500" max="10500" width="9.140625" style="1983"/>
    <col min="10501" max="10502" width="10" style="1983" customWidth="1"/>
    <col min="10503" max="10503" width="9.85546875" style="1983" customWidth="1"/>
    <col min="10504" max="10504" width="10" style="1983" customWidth="1"/>
    <col min="10505" max="10507" width="10.42578125" style="1983" customWidth="1"/>
    <col min="10508" max="10508" width="10.5703125" style="1983" customWidth="1"/>
    <col min="10509" max="10752" width="9.140625" style="1983"/>
    <col min="10753" max="10753" width="26.5703125" style="1983" customWidth="1"/>
    <col min="10754" max="10755" width="0" style="1983" hidden="1" customWidth="1"/>
    <col min="10756" max="10756" width="9.140625" style="1983"/>
    <col min="10757" max="10758" width="10" style="1983" customWidth="1"/>
    <col min="10759" max="10759" width="9.85546875" style="1983" customWidth="1"/>
    <col min="10760" max="10760" width="10" style="1983" customWidth="1"/>
    <col min="10761" max="10763" width="10.42578125" style="1983" customWidth="1"/>
    <col min="10764" max="10764" width="10.5703125" style="1983" customWidth="1"/>
    <col min="10765" max="11008" width="9.140625" style="1983"/>
    <col min="11009" max="11009" width="26.5703125" style="1983" customWidth="1"/>
    <col min="11010" max="11011" width="0" style="1983" hidden="1" customWidth="1"/>
    <col min="11012" max="11012" width="9.140625" style="1983"/>
    <col min="11013" max="11014" width="10" style="1983" customWidth="1"/>
    <col min="11015" max="11015" width="9.85546875" style="1983" customWidth="1"/>
    <col min="11016" max="11016" width="10" style="1983" customWidth="1"/>
    <col min="11017" max="11019" width="10.42578125" style="1983" customWidth="1"/>
    <col min="11020" max="11020" width="10.5703125" style="1983" customWidth="1"/>
    <col min="11021" max="11264" width="9.140625" style="1983"/>
    <col min="11265" max="11265" width="26.5703125" style="1983" customWidth="1"/>
    <col min="11266" max="11267" width="0" style="1983" hidden="1" customWidth="1"/>
    <col min="11268" max="11268" width="9.140625" style="1983"/>
    <col min="11269" max="11270" width="10" style="1983" customWidth="1"/>
    <col min="11271" max="11271" width="9.85546875" style="1983" customWidth="1"/>
    <col min="11272" max="11272" width="10" style="1983" customWidth="1"/>
    <col min="11273" max="11275" width="10.42578125" style="1983" customWidth="1"/>
    <col min="11276" max="11276" width="10.5703125" style="1983" customWidth="1"/>
    <col min="11277" max="11520" width="9.140625" style="1983"/>
    <col min="11521" max="11521" width="26.5703125" style="1983" customWidth="1"/>
    <col min="11522" max="11523" width="0" style="1983" hidden="1" customWidth="1"/>
    <col min="11524" max="11524" width="9.140625" style="1983"/>
    <col min="11525" max="11526" width="10" style="1983" customWidth="1"/>
    <col min="11527" max="11527" width="9.85546875" style="1983" customWidth="1"/>
    <col min="11528" max="11528" width="10" style="1983" customWidth="1"/>
    <col min="11529" max="11531" width="10.42578125" style="1983" customWidth="1"/>
    <col min="11532" max="11532" width="10.5703125" style="1983" customWidth="1"/>
    <col min="11533" max="11776" width="9.140625" style="1983"/>
    <col min="11777" max="11777" width="26.5703125" style="1983" customWidth="1"/>
    <col min="11778" max="11779" width="0" style="1983" hidden="1" customWidth="1"/>
    <col min="11780" max="11780" width="9.140625" style="1983"/>
    <col min="11781" max="11782" width="10" style="1983" customWidth="1"/>
    <col min="11783" max="11783" width="9.85546875" style="1983" customWidth="1"/>
    <col min="11784" max="11784" width="10" style="1983" customWidth="1"/>
    <col min="11785" max="11787" width="10.42578125" style="1983" customWidth="1"/>
    <col min="11788" max="11788" width="10.5703125" style="1983" customWidth="1"/>
    <col min="11789" max="12032" width="9.140625" style="1983"/>
    <col min="12033" max="12033" width="26.5703125" style="1983" customWidth="1"/>
    <col min="12034" max="12035" width="0" style="1983" hidden="1" customWidth="1"/>
    <col min="12036" max="12036" width="9.140625" style="1983"/>
    <col min="12037" max="12038" width="10" style="1983" customWidth="1"/>
    <col min="12039" max="12039" width="9.85546875" style="1983" customWidth="1"/>
    <col min="12040" max="12040" width="10" style="1983" customWidth="1"/>
    <col min="12041" max="12043" width="10.42578125" style="1983" customWidth="1"/>
    <col min="12044" max="12044" width="10.5703125" style="1983" customWidth="1"/>
    <col min="12045" max="12288" width="9.140625" style="1983"/>
    <col min="12289" max="12289" width="26.5703125" style="1983" customWidth="1"/>
    <col min="12290" max="12291" width="0" style="1983" hidden="1" customWidth="1"/>
    <col min="12292" max="12292" width="9.140625" style="1983"/>
    <col min="12293" max="12294" width="10" style="1983" customWidth="1"/>
    <col min="12295" max="12295" width="9.85546875" style="1983" customWidth="1"/>
    <col min="12296" max="12296" width="10" style="1983" customWidth="1"/>
    <col min="12297" max="12299" width="10.42578125" style="1983" customWidth="1"/>
    <col min="12300" max="12300" width="10.5703125" style="1983" customWidth="1"/>
    <col min="12301" max="12544" width="9.140625" style="1983"/>
    <col min="12545" max="12545" width="26.5703125" style="1983" customWidth="1"/>
    <col min="12546" max="12547" width="0" style="1983" hidden="1" customWidth="1"/>
    <col min="12548" max="12548" width="9.140625" style="1983"/>
    <col min="12549" max="12550" width="10" style="1983" customWidth="1"/>
    <col min="12551" max="12551" width="9.85546875" style="1983" customWidth="1"/>
    <col min="12552" max="12552" width="10" style="1983" customWidth="1"/>
    <col min="12553" max="12555" width="10.42578125" style="1983" customWidth="1"/>
    <col min="12556" max="12556" width="10.5703125" style="1983" customWidth="1"/>
    <col min="12557" max="12800" width="9.140625" style="1983"/>
    <col min="12801" max="12801" width="26.5703125" style="1983" customWidth="1"/>
    <col min="12802" max="12803" width="0" style="1983" hidden="1" customWidth="1"/>
    <col min="12804" max="12804" width="9.140625" style="1983"/>
    <col min="12805" max="12806" width="10" style="1983" customWidth="1"/>
    <col min="12807" max="12807" width="9.85546875" style="1983" customWidth="1"/>
    <col min="12808" max="12808" width="10" style="1983" customWidth="1"/>
    <col min="12809" max="12811" width="10.42578125" style="1983" customWidth="1"/>
    <col min="12812" max="12812" width="10.5703125" style="1983" customWidth="1"/>
    <col min="12813" max="13056" width="9.140625" style="1983"/>
    <col min="13057" max="13057" width="26.5703125" style="1983" customWidth="1"/>
    <col min="13058" max="13059" width="0" style="1983" hidden="1" customWidth="1"/>
    <col min="13060" max="13060" width="9.140625" style="1983"/>
    <col min="13061" max="13062" width="10" style="1983" customWidth="1"/>
    <col min="13063" max="13063" width="9.85546875" style="1983" customWidth="1"/>
    <col min="13064" max="13064" width="10" style="1983" customWidth="1"/>
    <col min="13065" max="13067" width="10.42578125" style="1983" customWidth="1"/>
    <col min="13068" max="13068" width="10.5703125" style="1983" customWidth="1"/>
    <col min="13069" max="13312" width="9.140625" style="1983"/>
    <col min="13313" max="13313" width="26.5703125" style="1983" customWidth="1"/>
    <col min="13314" max="13315" width="0" style="1983" hidden="1" customWidth="1"/>
    <col min="13316" max="13316" width="9.140625" style="1983"/>
    <col min="13317" max="13318" width="10" style="1983" customWidth="1"/>
    <col min="13319" max="13319" width="9.85546875" style="1983" customWidth="1"/>
    <col min="13320" max="13320" width="10" style="1983" customWidth="1"/>
    <col min="13321" max="13323" width="10.42578125" style="1983" customWidth="1"/>
    <col min="13324" max="13324" width="10.5703125" style="1983" customWidth="1"/>
    <col min="13325" max="13568" width="9.140625" style="1983"/>
    <col min="13569" max="13569" width="26.5703125" style="1983" customWidth="1"/>
    <col min="13570" max="13571" width="0" style="1983" hidden="1" customWidth="1"/>
    <col min="13572" max="13572" width="9.140625" style="1983"/>
    <col min="13573" max="13574" width="10" style="1983" customWidth="1"/>
    <col min="13575" max="13575" width="9.85546875" style="1983" customWidth="1"/>
    <col min="13576" max="13576" width="10" style="1983" customWidth="1"/>
    <col min="13577" max="13579" width="10.42578125" style="1983" customWidth="1"/>
    <col min="13580" max="13580" width="10.5703125" style="1983" customWidth="1"/>
    <col min="13581" max="13824" width="9.140625" style="1983"/>
    <col min="13825" max="13825" width="26.5703125" style="1983" customWidth="1"/>
    <col min="13826" max="13827" width="0" style="1983" hidden="1" customWidth="1"/>
    <col min="13828" max="13828" width="9.140625" style="1983"/>
    <col min="13829" max="13830" width="10" style="1983" customWidth="1"/>
    <col min="13831" max="13831" width="9.85546875" style="1983" customWidth="1"/>
    <col min="13832" max="13832" width="10" style="1983" customWidth="1"/>
    <col min="13833" max="13835" width="10.42578125" style="1983" customWidth="1"/>
    <col min="13836" max="13836" width="10.5703125" style="1983" customWidth="1"/>
    <col min="13837" max="14080" width="9.140625" style="1983"/>
    <col min="14081" max="14081" width="26.5703125" style="1983" customWidth="1"/>
    <col min="14082" max="14083" width="0" style="1983" hidden="1" customWidth="1"/>
    <col min="14084" max="14084" width="9.140625" style="1983"/>
    <col min="14085" max="14086" width="10" style="1983" customWidth="1"/>
    <col min="14087" max="14087" width="9.85546875" style="1983" customWidth="1"/>
    <col min="14088" max="14088" width="10" style="1983" customWidth="1"/>
    <col min="14089" max="14091" width="10.42578125" style="1983" customWidth="1"/>
    <col min="14092" max="14092" width="10.5703125" style="1983" customWidth="1"/>
    <col min="14093" max="14336" width="9.140625" style="1983"/>
    <col min="14337" max="14337" width="26.5703125" style="1983" customWidth="1"/>
    <col min="14338" max="14339" width="0" style="1983" hidden="1" customWidth="1"/>
    <col min="14340" max="14340" width="9.140625" style="1983"/>
    <col min="14341" max="14342" width="10" style="1983" customWidth="1"/>
    <col min="14343" max="14343" width="9.85546875" style="1983" customWidth="1"/>
    <col min="14344" max="14344" width="10" style="1983" customWidth="1"/>
    <col min="14345" max="14347" width="10.42578125" style="1983" customWidth="1"/>
    <col min="14348" max="14348" width="10.5703125" style="1983" customWidth="1"/>
    <col min="14349" max="14592" width="9.140625" style="1983"/>
    <col min="14593" max="14593" width="26.5703125" style="1983" customWidth="1"/>
    <col min="14594" max="14595" width="0" style="1983" hidden="1" customWidth="1"/>
    <col min="14596" max="14596" width="9.140625" style="1983"/>
    <col min="14597" max="14598" width="10" style="1983" customWidth="1"/>
    <col min="14599" max="14599" width="9.85546875" style="1983" customWidth="1"/>
    <col min="14600" max="14600" width="10" style="1983" customWidth="1"/>
    <col min="14601" max="14603" width="10.42578125" style="1983" customWidth="1"/>
    <col min="14604" max="14604" width="10.5703125" style="1983" customWidth="1"/>
    <col min="14605" max="14848" width="9.140625" style="1983"/>
    <col min="14849" max="14849" width="26.5703125" style="1983" customWidth="1"/>
    <col min="14850" max="14851" width="0" style="1983" hidden="1" customWidth="1"/>
    <col min="14852" max="14852" width="9.140625" style="1983"/>
    <col min="14853" max="14854" width="10" style="1983" customWidth="1"/>
    <col min="14855" max="14855" width="9.85546875" style="1983" customWidth="1"/>
    <col min="14856" max="14856" width="10" style="1983" customWidth="1"/>
    <col min="14857" max="14859" width="10.42578125" style="1983" customWidth="1"/>
    <col min="14860" max="14860" width="10.5703125" style="1983" customWidth="1"/>
    <col min="14861" max="15104" width="9.140625" style="1983"/>
    <col min="15105" max="15105" width="26.5703125" style="1983" customWidth="1"/>
    <col min="15106" max="15107" width="0" style="1983" hidden="1" customWidth="1"/>
    <col min="15108" max="15108" width="9.140625" style="1983"/>
    <col min="15109" max="15110" width="10" style="1983" customWidth="1"/>
    <col min="15111" max="15111" width="9.85546875" style="1983" customWidth="1"/>
    <col min="15112" max="15112" width="10" style="1983" customWidth="1"/>
    <col min="15113" max="15115" width="10.42578125" style="1983" customWidth="1"/>
    <col min="15116" max="15116" width="10.5703125" style="1983" customWidth="1"/>
    <col min="15117" max="15360" width="9.140625" style="1983"/>
    <col min="15361" max="15361" width="26.5703125" style="1983" customWidth="1"/>
    <col min="15362" max="15363" width="0" style="1983" hidden="1" customWidth="1"/>
    <col min="15364" max="15364" width="9.140625" style="1983"/>
    <col min="15365" max="15366" width="10" style="1983" customWidth="1"/>
    <col min="15367" max="15367" width="9.85546875" style="1983" customWidth="1"/>
    <col min="15368" max="15368" width="10" style="1983" customWidth="1"/>
    <col min="15369" max="15371" width="10.42578125" style="1983" customWidth="1"/>
    <col min="15372" max="15372" width="10.5703125" style="1983" customWidth="1"/>
    <col min="15373" max="15616" width="9.140625" style="1983"/>
    <col min="15617" max="15617" width="26.5703125" style="1983" customWidth="1"/>
    <col min="15618" max="15619" width="0" style="1983" hidden="1" customWidth="1"/>
    <col min="15620" max="15620" width="9.140625" style="1983"/>
    <col min="15621" max="15622" width="10" style="1983" customWidth="1"/>
    <col min="15623" max="15623" width="9.85546875" style="1983" customWidth="1"/>
    <col min="15624" max="15624" width="10" style="1983" customWidth="1"/>
    <col min="15625" max="15627" width="10.42578125" style="1983" customWidth="1"/>
    <col min="15628" max="15628" width="10.5703125" style="1983" customWidth="1"/>
    <col min="15629" max="15872" width="9.140625" style="1983"/>
    <col min="15873" max="15873" width="26.5703125" style="1983" customWidth="1"/>
    <col min="15874" max="15875" width="0" style="1983" hidden="1" customWidth="1"/>
    <col min="15876" max="15876" width="9.140625" style="1983"/>
    <col min="15877" max="15878" width="10" style="1983" customWidth="1"/>
    <col min="15879" max="15879" width="9.85546875" style="1983" customWidth="1"/>
    <col min="15880" max="15880" width="10" style="1983" customWidth="1"/>
    <col min="15881" max="15883" width="10.42578125" style="1983" customWidth="1"/>
    <col min="15884" max="15884" width="10.5703125" style="1983" customWidth="1"/>
    <col min="15885" max="16128" width="9.140625" style="1983"/>
    <col min="16129" max="16129" width="26.5703125" style="1983" customWidth="1"/>
    <col min="16130" max="16131" width="0" style="1983" hidden="1" customWidth="1"/>
    <col min="16132" max="16132" width="9.140625" style="1983"/>
    <col min="16133" max="16134" width="10" style="1983" customWidth="1"/>
    <col min="16135" max="16135" width="9.85546875" style="1983" customWidth="1"/>
    <col min="16136" max="16136" width="10" style="1983" customWidth="1"/>
    <col min="16137" max="16139" width="10.42578125" style="1983" customWidth="1"/>
    <col min="16140" max="16140" width="10.5703125" style="1983" customWidth="1"/>
    <col min="16141" max="16384" width="9.140625" style="1983"/>
  </cols>
  <sheetData>
    <row r="1" spans="1:13" s="1979" customFormat="1" ht="17.25">
      <c r="A1" s="1975" t="s">
        <v>2810</v>
      </c>
      <c r="B1" s="1976"/>
      <c r="C1" s="1976"/>
      <c r="D1" s="1976"/>
      <c r="E1" s="1976"/>
      <c r="F1" s="1977"/>
      <c r="G1" s="1977"/>
      <c r="H1" s="1977"/>
      <c r="I1" s="1978"/>
      <c r="J1" s="1978"/>
      <c r="K1" s="1978"/>
    </row>
    <row r="2" spans="1:13" ht="15.75" thickBot="1">
      <c r="A2" s="1980"/>
      <c r="B2" s="1981"/>
      <c r="C2" s="1981"/>
      <c r="D2" s="1981"/>
      <c r="E2" s="1981"/>
      <c r="F2" s="1980"/>
      <c r="G2" s="1980"/>
      <c r="H2" s="1980"/>
      <c r="I2" s="1982"/>
      <c r="J2" s="1982"/>
      <c r="K2" s="1982"/>
    </row>
    <row r="3" spans="1:13" ht="16.5" thickTop="1" thickBot="1">
      <c r="A3" s="1984" t="s">
        <v>720</v>
      </c>
      <c r="B3" s="1985">
        <v>2003</v>
      </c>
      <c r="C3" s="1986">
        <v>2004</v>
      </c>
      <c r="D3" s="1986">
        <v>2005</v>
      </c>
      <c r="E3" s="1986">
        <v>2006</v>
      </c>
      <c r="F3" s="1986">
        <v>2007</v>
      </c>
      <c r="G3" s="1986">
        <v>2008</v>
      </c>
      <c r="H3" s="1986">
        <v>2009</v>
      </c>
      <c r="I3" s="1986">
        <v>2010</v>
      </c>
      <c r="J3" s="1986">
        <v>2011</v>
      </c>
      <c r="K3" s="1986">
        <v>2012</v>
      </c>
      <c r="L3" s="1987">
        <v>2013</v>
      </c>
    </row>
    <row r="4" spans="1:13" ht="19.5" customHeight="1" thickTop="1">
      <c r="A4" s="1988" t="s">
        <v>2811</v>
      </c>
      <c r="B4" s="1989">
        <v>78.580047371478784</v>
      </c>
      <c r="C4" s="1989">
        <v>81.708352574893112</v>
      </c>
      <c r="D4" s="1989">
        <v>86.475293837238738</v>
      </c>
      <c r="E4" s="1989">
        <v>91.689135842929275</v>
      </c>
      <c r="F4" s="1989">
        <v>99.733349223137537</v>
      </c>
      <c r="G4" s="1989">
        <v>109.6</v>
      </c>
      <c r="H4" s="1989">
        <v>115.3</v>
      </c>
      <c r="I4" s="1989">
        <v>118.2</v>
      </c>
      <c r="J4" s="1989">
        <v>125.8</v>
      </c>
      <c r="K4" s="1989">
        <v>131.9</v>
      </c>
      <c r="L4" s="1990">
        <v>135.69999999999999</v>
      </c>
    </row>
    <row r="5" spans="1:13">
      <c r="A5" s="1988" t="s">
        <v>2812</v>
      </c>
      <c r="B5" s="1989">
        <v>78.729014285927093</v>
      </c>
      <c r="C5" s="1989">
        <v>82.006286403789701</v>
      </c>
      <c r="D5" s="1989">
        <v>86.92219458058365</v>
      </c>
      <c r="E5" s="1989">
        <v>91.987069671825878</v>
      </c>
      <c r="F5" s="1989">
        <v>100.47818379537904</v>
      </c>
      <c r="G5" s="1989">
        <v>110.7</v>
      </c>
      <c r="H5" s="1989">
        <v>115.8</v>
      </c>
      <c r="I5" s="1989">
        <v>118.6</v>
      </c>
      <c r="J5" s="1989">
        <v>126.7</v>
      </c>
      <c r="K5" s="1989">
        <v>131.9</v>
      </c>
      <c r="L5" s="1990">
        <v>136.6</v>
      </c>
    </row>
    <row r="6" spans="1:13">
      <c r="A6" s="1988" t="s">
        <v>2813</v>
      </c>
      <c r="B6" s="1989">
        <v>78.654530828702931</v>
      </c>
      <c r="C6" s="1989">
        <v>82.006286403789701</v>
      </c>
      <c r="D6" s="1989">
        <v>87.220128409480239</v>
      </c>
      <c r="E6" s="1989">
        <v>92.508453872394938</v>
      </c>
      <c r="F6" s="1989">
        <v>101.37198528206883</v>
      </c>
      <c r="G6" s="1989">
        <v>110.8</v>
      </c>
      <c r="H6" s="1989">
        <v>116.1</v>
      </c>
      <c r="I6" s="1989">
        <v>118.8</v>
      </c>
      <c r="J6" s="1989">
        <v>127.4</v>
      </c>
      <c r="K6" s="1989">
        <v>132.30000000000001</v>
      </c>
      <c r="L6" s="1990"/>
      <c r="M6" s="1991"/>
    </row>
    <row r="7" spans="1:13">
      <c r="A7" s="1988" t="s">
        <v>2814</v>
      </c>
      <c r="B7" s="1989">
        <v>78.80349774315124</v>
      </c>
      <c r="C7" s="1989">
        <v>82.229736775462172</v>
      </c>
      <c r="D7" s="1989">
        <v>87.220128409480239</v>
      </c>
      <c r="E7" s="1989">
        <v>92.359486957946629</v>
      </c>
      <c r="F7" s="1989">
        <v>102.41475368320695</v>
      </c>
      <c r="G7" s="1989">
        <v>111.9</v>
      </c>
      <c r="H7" s="1989">
        <v>116.2</v>
      </c>
      <c r="I7" s="1989">
        <v>119.3</v>
      </c>
      <c r="J7" s="1989">
        <v>127.6</v>
      </c>
      <c r="K7" s="1989">
        <v>132.5</v>
      </c>
      <c r="L7" s="1990"/>
    </row>
    <row r="8" spans="1:13">
      <c r="A8" s="1988" t="s">
        <v>2815</v>
      </c>
      <c r="B8" s="1989">
        <v>79.3248819437203</v>
      </c>
      <c r="C8" s="1989">
        <v>82.453187147134614</v>
      </c>
      <c r="D8" s="1989">
        <v>87.2946118667044</v>
      </c>
      <c r="E8" s="1989">
        <v>92.582937329619085</v>
      </c>
      <c r="F8" s="1989">
        <v>102.86165442655185</v>
      </c>
      <c r="G8" s="1989">
        <v>113</v>
      </c>
      <c r="H8" s="1989">
        <v>116.2</v>
      </c>
      <c r="I8" s="1989">
        <v>119.1</v>
      </c>
      <c r="J8" s="1989">
        <v>127.6</v>
      </c>
      <c r="K8" s="1989">
        <v>132.5</v>
      </c>
      <c r="L8" s="1990"/>
    </row>
    <row r="9" spans="1:13">
      <c r="A9" s="1988" t="s">
        <v>2816</v>
      </c>
      <c r="B9" s="1989">
        <v>79.622815772616903</v>
      </c>
      <c r="C9" s="1989">
        <v>82.900087890479512</v>
      </c>
      <c r="D9" s="1989">
        <v>87.369095323928548</v>
      </c>
      <c r="E9" s="1989">
        <v>93.99812301687794</v>
      </c>
      <c r="F9" s="1989">
        <v>103.38303862712091</v>
      </c>
      <c r="G9" s="1989">
        <v>113.4</v>
      </c>
      <c r="H9" s="1989">
        <v>117.1</v>
      </c>
      <c r="I9" s="1989">
        <v>119.9</v>
      </c>
      <c r="J9" s="1989">
        <v>127.8</v>
      </c>
      <c r="K9" s="1989">
        <v>132.80000000000001</v>
      </c>
      <c r="L9" s="1990"/>
    </row>
    <row r="10" spans="1:13">
      <c r="A10" s="1988" t="s">
        <v>2817</v>
      </c>
      <c r="B10" s="1989">
        <v>80.069716515961801</v>
      </c>
      <c r="C10" s="1989">
        <v>83.793889377169322</v>
      </c>
      <c r="D10" s="1989">
        <v>87.890479524497607</v>
      </c>
      <c r="E10" s="1989">
        <v>96.754010934171518</v>
      </c>
      <c r="F10" s="1989">
        <v>103.7</v>
      </c>
      <c r="G10" s="1989">
        <v>115.6</v>
      </c>
      <c r="H10" s="1989">
        <v>117.8</v>
      </c>
      <c r="I10" s="1989">
        <v>120.2</v>
      </c>
      <c r="J10" s="1989">
        <v>128.19999999999999</v>
      </c>
      <c r="K10" s="1989">
        <v>133</v>
      </c>
      <c r="L10" s="1990"/>
    </row>
    <row r="11" spans="1:13">
      <c r="A11" s="1988" t="s">
        <v>2818</v>
      </c>
      <c r="B11" s="1989">
        <v>79.995233058737654</v>
      </c>
      <c r="C11" s="1989">
        <v>83.94285629161763</v>
      </c>
      <c r="D11" s="1989">
        <v>87.890479524497607</v>
      </c>
      <c r="E11" s="1989">
        <v>97.498845506413019</v>
      </c>
      <c r="F11" s="1989">
        <v>104.1</v>
      </c>
      <c r="G11" s="1989">
        <v>116.3</v>
      </c>
      <c r="H11" s="1989">
        <v>117.5</v>
      </c>
      <c r="I11" s="1989">
        <v>120.6</v>
      </c>
      <c r="J11" s="1989">
        <v>128.4</v>
      </c>
      <c r="K11" s="1989">
        <v>133.19999999999999</v>
      </c>
      <c r="L11" s="1990"/>
    </row>
    <row r="12" spans="1:13">
      <c r="A12" s="1988" t="s">
        <v>2819</v>
      </c>
      <c r="B12" s="1989">
        <v>80.367650344858404</v>
      </c>
      <c r="C12" s="1989">
        <v>84.24079012051422</v>
      </c>
      <c r="D12" s="1989">
        <v>87.369095323928548</v>
      </c>
      <c r="E12" s="1989">
        <v>98.094713164206212</v>
      </c>
      <c r="F12" s="1989">
        <v>105.3</v>
      </c>
      <c r="G12" s="1989">
        <v>116.7</v>
      </c>
      <c r="H12" s="1989">
        <v>117.8</v>
      </c>
      <c r="I12" s="1989">
        <v>120.7</v>
      </c>
      <c r="J12" s="1989">
        <v>128.30000000000001</v>
      </c>
      <c r="K12" s="1989">
        <v>133.30000000000001</v>
      </c>
      <c r="L12" s="1990"/>
    </row>
    <row r="13" spans="1:13">
      <c r="A13" s="1988" t="s">
        <v>2820</v>
      </c>
      <c r="B13" s="1989">
        <v>80.665584173754993</v>
      </c>
      <c r="C13" s="1989">
        <v>85.358041978876486</v>
      </c>
      <c r="D13" s="1989">
        <v>88.039446438945902</v>
      </c>
      <c r="E13" s="1989">
        <v>98.541613907551138</v>
      </c>
      <c r="F13" s="1989">
        <v>106.8</v>
      </c>
      <c r="G13" s="1989">
        <v>117.2</v>
      </c>
      <c r="H13" s="1989">
        <v>117.3</v>
      </c>
      <c r="I13" s="1989">
        <v>121</v>
      </c>
      <c r="J13" s="1989">
        <v>128.19999999999999</v>
      </c>
      <c r="K13" s="1989">
        <v>133.6</v>
      </c>
      <c r="L13" s="1990"/>
    </row>
    <row r="14" spans="1:13">
      <c r="A14" s="1988" t="s">
        <v>2821</v>
      </c>
      <c r="B14" s="1989">
        <v>80.740067630979155</v>
      </c>
      <c r="C14" s="1989">
        <v>85.432525436100633</v>
      </c>
      <c r="D14" s="1989">
        <v>88.4863471822908</v>
      </c>
      <c r="E14" s="1989">
        <v>99.286448479792639</v>
      </c>
      <c r="F14" s="1989">
        <v>107.6</v>
      </c>
      <c r="G14" s="1989">
        <v>116.5</v>
      </c>
      <c r="H14" s="1989">
        <v>117.3</v>
      </c>
      <c r="I14" s="1989">
        <v>121.9</v>
      </c>
      <c r="J14" s="1989">
        <v>130.4</v>
      </c>
      <c r="K14" s="1989">
        <v>134.4</v>
      </c>
      <c r="L14" s="1990"/>
    </row>
    <row r="15" spans="1:13">
      <c r="A15" s="1988" t="s">
        <v>2822</v>
      </c>
      <c r="B15" s="1989">
        <v>81.112484917099906</v>
      </c>
      <c r="C15" s="1989">
        <v>85.655975807773089</v>
      </c>
      <c r="D15" s="1989">
        <v>89.007731382859859</v>
      </c>
      <c r="E15" s="1989">
        <v>99.584382308689229</v>
      </c>
      <c r="F15" s="1989">
        <v>108.2</v>
      </c>
      <c r="G15" s="1989">
        <v>115.5</v>
      </c>
      <c r="H15" s="1989">
        <v>117.2</v>
      </c>
      <c r="I15" s="1989">
        <v>124.4</v>
      </c>
      <c r="J15" s="1989">
        <v>130.4</v>
      </c>
      <c r="K15" s="1989">
        <v>134.6</v>
      </c>
      <c r="L15" s="1990"/>
      <c r="M15" s="1991"/>
    </row>
    <row r="16" spans="1:13" ht="15.75">
      <c r="A16" s="1988"/>
      <c r="B16" s="1989"/>
      <c r="C16" s="1989"/>
      <c r="D16" s="1989"/>
      <c r="E16" s="1989"/>
      <c r="F16" s="1989"/>
      <c r="G16" s="1992"/>
      <c r="H16" s="1992"/>
      <c r="I16" s="1992"/>
      <c r="J16" s="1992"/>
      <c r="K16" s="1992"/>
      <c r="L16" s="1993"/>
    </row>
    <row r="17" spans="1:12" ht="20.25" customHeight="1">
      <c r="A17" s="1988" t="s">
        <v>1255</v>
      </c>
      <c r="B17" s="1994">
        <f t="shared" ref="B17:G17" si="0">AVERAGE(B4:B15)</f>
        <v>79.722127048915766</v>
      </c>
      <c r="C17" s="1994">
        <f t="shared" si="0"/>
        <v>83.477334683966674</v>
      </c>
      <c r="D17" s="1994">
        <f t="shared" si="0"/>
        <v>87.59875265036969</v>
      </c>
      <c r="E17" s="1994">
        <f t="shared" si="0"/>
        <v>95.407101749368124</v>
      </c>
      <c r="F17" s="1994">
        <f t="shared" si="0"/>
        <v>103.82858041978876</v>
      </c>
      <c r="G17" s="1994">
        <f t="shared" si="0"/>
        <v>113.93333333333334</v>
      </c>
      <c r="H17" s="1994">
        <f>AVERAGE(H4:H15)</f>
        <v>116.8</v>
      </c>
      <c r="I17" s="1994">
        <f>AVERAGE(I4:I15)</f>
        <v>120.22500000000002</v>
      </c>
      <c r="J17" s="1994">
        <f>AVERAGE(J4:J15)</f>
        <v>128.06666666666669</v>
      </c>
      <c r="K17" s="1994">
        <f>AVERAGE(K4:K15)</f>
        <v>133</v>
      </c>
      <c r="L17" s="1995">
        <f>AVERAGE(L4:L15)</f>
        <v>136.14999999999998</v>
      </c>
    </row>
    <row r="18" spans="1:12" ht="5.25" customHeight="1">
      <c r="A18" s="1988"/>
      <c r="B18" s="1994"/>
      <c r="C18" s="1994"/>
      <c r="D18" s="1994"/>
      <c r="E18" s="1994"/>
      <c r="F18" s="1994"/>
      <c r="G18" s="1994"/>
      <c r="H18" s="1994"/>
      <c r="I18" s="1994"/>
      <c r="J18" s="1994"/>
      <c r="K18" s="1994"/>
      <c r="L18" s="1995"/>
    </row>
    <row r="19" spans="1:12" ht="13.5" customHeight="1">
      <c r="A19" s="1996" t="s">
        <v>2823</v>
      </c>
      <c r="B19" s="1994"/>
      <c r="C19" s="1994"/>
      <c r="D19" s="1994"/>
      <c r="E19" s="1994"/>
      <c r="F19" s="1994"/>
      <c r="G19" s="1992"/>
      <c r="H19" s="1992"/>
      <c r="I19" s="1992"/>
      <c r="J19" s="1992"/>
      <c r="K19" s="1992"/>
      <c r="L19" s="1993"/>
    </row>
    <row r="20" spans="1:12" ht="20.25" customHeight="1">
      <c r="A20" s="1988" t="s">
        <v>2824</v>
      </c>
      <c r="B20" s="1997" t="s">
        <v>2825</v>
      </c>
      <c r="C20" s="1997" t="s">
        <v>2826</v>
      </c>
      <c r="D20" s="1997" t="s">
        <v>2827</v>
      </c>
      <c r="E20" s="1997" t="s">
        <v>2828</v>
      </c>
      <c r="F20" s="1997" t="s">
        <v>2829</v>
      </c>
      <c r="G20" s="1997" t="s">
        <v>2830</v>
      </c>
      <c r="H20" s="1997" t="s">
        <v>2831</v>
      </c>
      <c r="I20" s="1997" t="s">
        <v>2832</v>
      </c>
      <c r="J20" s="1997" t="s">
        <v>2833</v>
      </c>
      <c r="K20" s="1997" t="s">
        <v>2834</v>
      </c>
      <c r="L20" s="1998" t="s">
        <v>2835</v>
      </c>
    </row>
    <row r="21" spans="1:12" ht="15.75" thickBot="1">
      <c r="A21" s="1999" t="s">
        <v>2836</v>
      </c>
      <c r="B21" s="2000" t="s">
        <v>2837</v>
      </c>
      <c r="C21" s="2000" t="s">
        <v>2838</v>
      </c>
      <c r="D21" s="2000" t="s">
        <v>2839</v>
      </c>
      <c r="E21" s="2000" t="s">
        <v>2840</v>
      </c>
      <c r="F21" s="2000" t="s">
        <v>2841</v>
      </c>
      <c r="G21" s="2000" t="s">
        <v>2842</v>
      </c>
      <c r="H21" s="2000" t="s">
        <v>2843</v>
      </c>
      <c r="I21" s="2000" t="s">
        <v>2844</v>
      </c>
      <c r="J21" s="2000" t="s">
        <v>2845</v>
      </c>
      <c r="K21" s="2000" t="s">
        <v>2827</v>
      </c>
      <c r="L21" s="2001" t="s">
        <v>2846</v>
      </c>
    </row>
    <row r="22" spans="1:12" s="2006" customFormat="1" ht="16.5" thickTop="1">
      <c r="A22" s="2002" t="s">
        <v>2847</v>
      </c>
      <c r="B22" s="2003"/>
      <c r="C22" s="2004"/>
      <c r="D22" s="2004"/>
      <c r="E22" s="2004"/>
      <c r="F22" s="2004"/>
      <c r="G22" s="2005"/>
      <c r="H22" s="2005"/>
      <c r="I22" s="2005"/>
      <c r="J22" s="2005"/>
      <c r="K22" s="2005"/>
    </row>
    <row r="23" spans="1:12" s="2006" customFormat="1" ht="15.75">
      <c r="A23" s="2002" t="s">
        <v>2848</v>
      </c>
      <c r="B23" s="2003"/>
      <c r="C23" s="2004"/>
      <c r="D23" s="2004"/>
      <c r="E23" s="2004"/>
      <c r="F23" s="2004"/>
      <c r="G23" s="2005"/>
      <c r="H23" s="2005"/>
      <c r="I23" s="2005"/>
      <c r="J23" s="2005"/>
      <c r="K23" s="2005"/>
    </row>
    <row r="24" spans="1:12" s="2006" customFormat="1" ht="15.75">
      <c r="A24" s="2002" t="s">
        <v>2849</v>
      </c>
      <c r="B24" s="2003"/>
      <c r="C24" s="2003"/>
      <c r="D24" s="2004"/>
      <c r="E24" s="2004"/>
      <c r="F24" s="2004"/>
      <c r="G24" s="2005"/>
      <c r="H24" s="2005"/>
      <c r="I24" s="2005"/>
      <c r="J24" s="2005"/>
      <c r="K24" s="2005"/>
    </row>
    <row r="25" spans="1:12" s="2006" customFormat="1" ht="12">
      <c r="A25" s="2007" t="s">
        <v>2850</v>
      </c>
      <c r="B25" s="2007"/>
      <c r="C25" s="2007"/>
      <c r="D25" s="2007"/>
      <c r="E25" s="2007"/>
      <c r="F25" s="2007"/>
      <c r="G25" s="2007"/>
      <c r="H25" s="2007"/>
      <c r="I25" s="2008"/>
      <c r="J25" s="2008"/>
    </row>
    <row r="26" spans="1:12" s="2006" customFormat="1" ht="12">
      <c r="A26" s="2007" t="s">
        <v>2851</v>
      </c>
      <c r="B26" s="2007"/>
      <c r="C26" s="2007"/>
      <c r="D26" s="2007"/>
      <c r="E26" s="2007"/>
      <c r="F26" s="2007"/>
      <c r="G26" s="2007"/>
      <c r="H26" s="2007"/>
      <c r="I26" s="2008"/>
      <c r="J26" s="2008"/>
    </row>
    <row r="27" spans="1:12" s="2006" customFormat="1" ht="12">
      <c r="A27" s="2007" t="s">
        <v>2852</v>
      </c>
      <c r="B27" s="2007"/>
      <c r="C27" s="2007"/>
      <c r="D27" s="2007"/>
      <c r="E27" s="2007"/>
      <c r="F27" s="2007"/>
      <c r="G27" s="2007"/>
      <c r="H27" s="2007"/>
      <c r="I27" s="2008"/>
      <c r="J27" s="2008"/>
    </row>
    <row r="28" spans="1:12" s="2006" customFormat="1" ht="12">
      <c r="A28" s="2007" t="s">
        <v>2853</v>
      </c>
      <c r="B28" s="2007"/>
      <c r="C28" s="2007"/>
      <c r="D28" s="2007"/>
      <c r="E28" s="2007"/>
      <c r="F28" s="2007"/>
      <c r="G28" s="2007"/>
      <c r="H28" s="2007"/>
      <c r="I28" s="2008"/>
      <c r="J28" s="2008"/>
    </row>
    <row r="29" spans="1:12" s="2006" customFormat="1" ht="15.75">
      <c r="A29" s="2009" t="s">
        <v>2854</v>
      </c>
      <c r="B29" s="2004"/>
      <c r="C29" s="2003"/>
      <c r="D29" s="2004"/>
      <c r="E29" s="2004"/>
      <c r="F29" s="2004"/>
      <c r="G29" s="2005"/>
      <c r="H29" s="2005"/>
      <c r="I29" s="2005"/>
      <c r="J29" s="2005"/>
      <c r="K29" s="2005"/>
    </row>
    <row r="30" spans="1:12" s="2006" customFormat="1" ht="13.5">
      <c r="A30" s="2010"/>
      <c r="B30" s="2011"/>
      <c r="C30" s="2011"/>
      <c r="D30" s="2011"/>
      <c r="E30" s="2011"/>
      <c r="F30" s="2012"/>
      <c r="G30" s="2012"/>
      <c r="H30" s="2011"/>
      <c r="I30" s="2012"/>
      <c r="J30" s="2012"/>
      <c r="K30" s="2012"/>
    </row>
    <row r="31" spans="1:12" s="1979" customFormat="1" ht="17.25">
      <c r="A31" s="2013" t="s">
        <v>2855</v>
      </c>
      <c r="B31" s="1976"/>
      <c r="C31" s="1976"/>
      <c r="D31" s="1976"/>
      <c r="E31" s="1976"/>
      <c r="F31" s="1978"/>
      <c r="G31" s="1978"/>
      <c r="H31" s="1978"/>
      <c r="I31" s="1978"/>
      <c r="J31" s="1978"/>
      <c r="K31" s="1978"/>
    </row>
    <row r="32" spans="1:12" s="2005" customFormat="1" ht="3.75" customHeight="1">
      <c r="A32" s="2014"/>
      <c r="B32" s="1981"/>
      <c r="C32" s="1981"/>
      <c r="D32" s="1981"/>
      <c r="E32" s="1981"/>
      <c r="F32" s="2015"/>
      <c r="G32" s="2015"/>
      <c r="H32" s="2015"/>
      <c r="I32" s="2016"/>
      <c r="J32" s="2015"/>
      <c r="K32" s="2015"/>
    </row>
    <row r="33" spans="1:13" ht="16.5" thickBot="1">
      <c r="A33" s="2017"/>
      <c r="B33" s="2018"/>
      <c r="D33" s="2018"/>
      <c r="E33" s="1982"/>
      <c r="G33" s="2019" t="s">
        <v>2856</v>
      </c>
      <c r="H33" s="2020"/>
      <c r="I33" s="2021"/>
      <c r="J33" s="2020"/>
      <c r="K33" s="2020"/>
      <c r="L33" s="2022"/>
    </row>
    <row r="34" spans="1:13" ht="17.25" thickTop="1" thickBot="1">
      <c r="A34" s="2023" t="s">
        <v>720</v>
      </c>
      <c r="B34" s="2024"/>
      <c r="D34" s="2025" t="s">
        <v>2857</v>
      </c>
      <c r="E34" s="2026" t="s">
        <v>2858</v>
      </c>
      <c r="F34" s="2025" t="s">
        <v>2859</v>
      </c>
      <c r="G34" s="2027" t="s">
        <v>2860</v>
      </c>
      <c r="H34" s="2028"/>
      <c r="I34" s="2028"/>
      <c r="J34" s="2029"/>
      <c r="K34" s="2029"/>
      <c r="L34" s="2029"/>
      <c r="M34" s="2030"/>
    </row>
    <row r="35" spans="1:13" ht="16.5" thickTop="1">
      <c r="A35" s="2031">
        <v>39264</v>
      </c>
      <c r="B35" s="2032"/>
      <c r="D35" s="2032">
        <v>10.5</v>
      </c>
      <c r="E35" s="2033">
        <v>7.6</v>
      </c>
      <c r="F35" s="2032">
        <v>6.4</v>
      </c>
      <c r="G35" s="2034">
        <v>7.5</v>
      </c>
      <c r="H35" s="2020"/>
      <c r="I35" s="2020"/>
      <c r="J35" s="1982"/>
      <c r="K35" s="1982"/>
      <c r="L35" s="1982"/>
    </row>
    <row r="36" spans="1:13" ht="15.75" hidden="1">
      <c r="A36" s="2031">
        <v>39295</v>
      </c>
      <c r="B36" s="2032"/>
      <c r="D36" s="2032">
        <v>10.1</v>
      </c>
      <c r="E36" s="2033">
        <v>7</v>
      </c>
      <c r="F36" s="2032">
        <v>6.2</v>
      </c>
      <c r="G36" s="2034">
        <v>7.4</v>
      </c>
      <c r="H36" s="2020"/>
      <c r="I36" s="2020"/>
      <c r="J36" s="1982"/>
      <c r="K36" s="1982"/>
      <c r="L36" s="1982"/>
    </row>
    <row r="37" spans="1:13" ht="15.75" hidden="1">
      <c r="A37" s="2031">
        <v>39326</v>
      </c>
      <c r="B37" s="2032"/>
      <c r="D37" s="2032">
        <v>9.6999999999999993</v>
      </c>
      <c r="E37" s="2033">
        <v>6.4</v>
      </c>
      <c r="F37" s="2032">
        <v>6.2</v>
      </c>
      <c r="G37" s="2034">
        <v>7.2</v>
      </c>
      <c r="H37" s="2020"/>
      <c r="I37" s="2020"/>
      <c r="J37" s="1982"/>
      <c r="K37" s="1982"/>
      <c r="L37" s="1982"/>
    </row>
    <row r="38" spans="1:13" ht="15.75" hidden="1">
      <c r="A38" s="2031">
        <v>39356</v>
      </c>
      <c r="B38" s="2032"/>
      <c r="D38" s="2032">
        <v>9.4</v>
      </c>
      <c r="E38" s="2033">
        <v>5.9</v>
      </c>
      <c r="F38" s="2032">
        <v>6.1</v>
      </c>
      <c r="G38" s="2034">
        <v>7.1</v>
      </c>
      <c r="H38" s="2020"/>
      <c r="I38" s="2020"/>
      <c r="J38" s="1982"/>
      <c r="K38" s="1982"/>
      <c r="L38" s="1982"/>
    </row>
    <row r="39" spans="1:13" ht="15.75" hidden="1">
      <c r="A39" s="2031">
        <v>39387</v>
      </c>
      <c r="B39" s="2032"/>
      <c r="D39" s="2032">
        <v>9.1</v>
      </c>
      <c r="E39" s="2033">
        <v>5.4</v>
      </c>
      <c r="F39" s="2032">
        <v>6</v>
      </c>
      <c r="G39" s="2034">
        <v>7</v>
      </c>
      <c r="H39" s="2020"/>
      <c r="I39" s="2020"/>
      <c r="J39" s="1982"/>
      <c r="K39" s="1982"/>
      <c r="L39" s="1982"/>
    </row>
    <row r="40" spans="1:13" ht="15.75">
      <c r="A40" s="2031">
        <v>39417</v>
      </c>
      <c r="B40" s="2032"/>
      <c r="D40" s="2032">
        <v>8.8000000000000007</v>
      </c>
      <c r="E40" s="2032">
        <v>5</v>
      </c>
      <c r="F40" s="2033">
        <v>5.7</v>
      </c>
      <c r="G40" s="2034">
        <v>7</v>
      </c>
      <c r="H40" s="2020"/>
      <c r="I40" s="2020"/>
      <c r="J40" s="1982"/>
      <c r="K40" s="1982"/>
      <c r="L40" s="1982"/>
    </row>
    <row r="41" spans="1:13" ht="15.75" hidden="1">
      <c r="A41" s="2031">
        <v>39448</v>
      </c>
      <c r="B41" s="2032"/>
      <c r="D41" s="2032">
        <v>8.9</v>
      </c>
      <c r="E41" s="2032">
        <v>5.2</v>
      </c>
      <c r="F41" s="2033">
        <v>5.7</v>
      </c>
      <c r="G41" s="2034">
        <v>7.4</v>
      </c>
      <c r="H41" s="2020"/>
      <c r="I41" s="2020"/>
      <c r="J41" s="1982"/>
      <c r="K41" s="1982"/>
      <c r="L41" s="1982"/>
    </row>
    <row r="42" spans="1:13" ht="15.75" hidden="1">
      <c r="A42" s="2031">
        <v>39479</v>
      </c>
      <c r="B42" s="2032"/>
      <c r="D42" s="2032">
        <v>9</v>
      </c>
      <c r="E42" s="2032">
        <v>5.5</v>
      </c>
      <c r="F42" s="2033">
        <v>5.7</v>
      </c>
      <c r="G42" s="2034">
        <v>7.5</v>
      </c>
      <c r="H42" s="2020"/>
      <c r="I42" s="2020"/>
      <c r="J42" s="1982"/>
      <c r="K42" s="1982"/>
      <c r="L42" s="1982"/>
    </row>
    <row r="43" spans="1:13" ht="15.75" hidden="1">
      <c r="A43" s="2031">
        <v>39508</v>
      </c>
      <c r="B43" s="2032"/>
      <c r="D43" s="2032">
        <v>9</v>
      </c>
      <c r="E43" s="2032">
        <v>5.8</v>
      </c>
      <c r="F43" s="2033">
        <v>5.7</v>
      </c>
      <c r="G43" s="2034">
        <v>7.3</v>
      </c>
      <c r="H43" s="2020"/>
      <c r="I43" s="2020"/>
      <c r="J43" s="1982"/>
      <c r="K43" s="1982"/>
      <c r="L43" s="1982"/>
    </row>
    <row r="44" spans="1:13" ht="15.75" hidden="1">
      <c r="A44" s="2031">
        <v>39539</v>
      </c>
      <c r="B44" s="2032"/>
      <c r="D44" s="2032">
        <v>8.9</v>
      </c>
      <c r="E44" s="2032">
        <v>5.9</v>
      </c>
      <c r="F44" s="2033">
        <v>5.6</v>
      </c>
      <c r="G44" s="2034">
        <v>7</v>
      </c>
      <c r="H44" s="2020"/>
      <c r="I44" s="2020"/>
      <c r="J44" s="1982"/>
      <c r="K44" s="1982"/>
      <c r="L44" s="1982"/>
    </row>
    <row r="45" spans="1:13" ht="15.75" hidden="1">
      <c r="A45" s="2031">
        <v>39569</v>
      </c>
      <c r="B45" s="2032"/>
      <c r="D45" s="2032">
        <v>8.8000000000000007</v>
      </c>
      <c r="E45" s="2032">
        <v>6.2</v>
      </c>
      <c r="F45" s="2033">
        <v>5.6</v>
      </c>
      <c r="G45" s="2034">
        <v>6.7</v>
      </c>
      <c r="H45" s="2020"/>
      <c r="I45" s="2020"/>
      <c r="J45" s="1982"/>
      <c r="K45" s="1982"/>
      <c r="L45" s="1982"/>
    </row>
    <row r="46" spans="1:13" ht="15.75">
      <c r="A46" s="2031">
        <v>39600</v>
      </c>
      <c r="B46" s="2032"/>
      <c r="D46" s="2032">
        <v>8.8000000000000007</v>
      </c>
      <c r="E46" s="2032">
        <v>6.6</v>
      </c>
      <c r="F46" s="2033">
        <v>5.5</v>
      </c>
      <c r="G46" s="2034">
        <v>6.5</v>
      </c>
      <c r="H46" s="2020"/>
      <c r="I46" s="2020"/>
      <c r="J46" s="1982"/>
      <c r="K46" s="1982"/>
      <c r="L46" s="1982"/>
    </row>
    <row r="47" spans="1:13" ht="15.75" hidden="1">
      <c r="A47" s="2031">
        <v>39630</v>
      </c>
      <c r="B47" s="2032"/>
      <c r="D47" s="2032">
        <v>9.1</v>
      </c>
      <c r="E47" s="2032">
        <v>7.2</v>
      </c>
      <c r="F47" s="2033">
        <v>5.7</v>
      </c>
      <c r="G47" s="2034">
        <v>6.2</v>
      </c>
      <c r="H47" s="2020"/>
      <c r="I47" s="2020"/>
      <c r="J47" s="1982"/>
      <c r="K47" s="1982"/>
      <c r="L47" s="1982"/>
    </row>
    <row r="48" spans="1:13" ht="15.75" hidden="1">
      <c r="A48" s="2031">
        <v>39661</v>
      </c>
      <c r="B48" s="2032"/>
      <c r="D48" s="2032">
        <v>9.5</v>
      </c>
      <c r="E48" s="2032">
        <v>7.8</v>
      </c>
      <c r="F48" s="2033">
        <v>5.9</v>
      </c>
      <c r="G48" s="2034">
        <v>5.9</v>
      </c>
      <c r="H48" s="2020"/>
      <c r="I48" s="2020"/>
      <c r="J48" s="1982"/>
      <c r="K48" s="1982"/>
      <c r="L48" s="1982"/>
    </row>
    <row r="49" spans="1:12" ht="15.75" hidden="1">
      <c r="A49" s="2031">
        <v>39692</v>
      </c>
      <c r="B49" s="2032"/>
      <c r="D49" s="2032">
        <v>9.8000000000000007</v>
      </c>
      <c r="E49" s="2032">
        <v>8.3000000000000007</v>
      </c>
      <c r="F49" s="2033">
        <v>6</v>
      </c>
      <c r="G49" s="2034">
        <v>5.5</v>
      </c>
      <c r="H49" s="2020"/>
      <c r="I49" s="2020"/>
      <c r="J49" s="1982"/>
      <c r="K49" s="1982"/>
      <c r="L49" s="1982"/>
    </row>
    <row r="50" spans="1:12" ht="15.75" hidden="1">
      <c r="A50" s="2031">
        <v>39722</v>
      </c>
      <c r="B50" s="2032"/>
      <c r="D50" s="2032">
        <v>9.9</v>
      </c>
      <c r="E50" s="2032">
        <v>8.5</v>
      </c>
      <c r="F50" s="2033">
        <v>6.1</v>
      </c>
      <c r="G50" s="2034">
        <v>5.0999999999999996</v>
      </c>
      <c r="H50" s="2020"/>
      <c r="I50" s="2020"/>
      <c r="J50" s="1982"/>
      <c r="K50" s="1982"/>
      <c r="L50" s="1982"/>
    </row>
    <row r="51" spans="1:12" ht="15.75" hidden="1">
      <c r="A51" s="2031">
        <v>39753</v>
      </c>
      <c r="B51" s="2032"/>
      <c r="D51" s="2032">
        <v>9.9</v>
      </c>
      <c r="E51" s="2032">
        <v>8.6999999999999993</v>
      </c>
      <c r="F51" s="2033">
        <v>6.1</v>
      </c>
      <c r="G51" s="2034">
        <v>4.5999999999999996</v>
      </c>
      <c r="H51" s="2020"/>
      <c r="I51" s="2020"/>
      <c r="J51" s="1982"/>
      <c r="K51" s="1982"/>
      <c r="L51" s="1982"/>
    </row>
    <row r="52" spans="1:12" ht="15.75">
      <c r="A52" s="2031">
        <v>39783</v>
      </c>
      <c r="B52" s="2032"/>
      <c r="D52" s="2032">
        <v>9.6999999999999993</v>
      </c>
      <c r="E52" s="2032">
        <v>8.6999999999999993</v>
      </c>
      <c r="F52" s="2033">
        <v>6.1</v>
      </c>
      <c r="G52" s="2034">
        <v>3.5</v>
      </c>
      <c r="H52" s="2020"/>
      <c r="I52" s="2020"/>
      <c r="J52" s="1982"/>
      <c r="K52" s="1982"/>
      <c r="L52" s="1982"/>
    </row>
    <row r="53" spans="1:12" ht="15.75" hidden="1">
      <c r="A53" s="2031">
        <v>39814</v>
      </c>
      <c r="B53" s="2032"/>
      <c r="D53" s="2032">
        <v>9.3000000000000007</v>
      </c>
      <c r="E53" s="2032">
        <v>8.4</v>
      </c>
      <c r="F53" s="2033">
        <v>6</v>
      </c>
      <c r="G53" s="2034">
        <v>2.2999999999999998</v>
      </c>
      <c r="H53" s="2020"/>
      <c r="I53" s="2020"/>
      <c r="J53" s="1982"/>
      <c r="K53" s="1982"/>
      <c r="L53" s="1982"/>
    </row>
    <row r="54" spans="1:12" ht="15.75" hidden="1">
      <c r="A54" s="2031">
        <v>39845</v>
      </c>
      <c r="B54" s="2032"/>
      <c r="D54" s="2032">
        <v>8.8000000000000007</v>
      </c>
      <c r="E54" s="2032">
        <v>8</v>
      </c>
      <c r="F54" s="2033">
        <v>5.9</v>
      </c>
      <c r="G54" s="2034">
        <v>2.4</v>
      </c>
      <c r="H54" s="2020"/>
      <c r="I54" s="2020"/>
      <c r="J54" s="1982"/>
      <c r="K54" s="1982"/>
      <c r="L54" s="1982"/>
    </row>
    <row r="55" spans="1:12" ht="15.75" hidden="1">
      <c r="A55" s="2031">
        <v>39873</v>
      </c>
      <c r="B55" s="2032"/>
      <c r="D55" s="2032">
        <v>8.5</v>
      </c>
      <c r="E55" s="2032">
        <v>7.6</v>
      </c>
      <c r="F55" s="2033">
        <v>5.8</v>
      </c>
      <c r="G55" s="2034">
        <v>2.5</v>
      </c>
      <c r="H55" s="2020"/>
      <c r="I55" s="2020"/>
      <c r="J55" s="1982"/>
      <c r="K55" s="1982"/>
      <c r="L55" s="1982"/>
    </row>
    <row r="56" spans="1:12" ht="15.75" hidden="1">
      <c r="A56" s="2031">
        <v>39904</v>
      </c>
      <c r="B56" s="2032"/>
      <c r="D56" s="2032">
        <v>8</v>
      </c>
      <c r="E56" s="2032">
        <v>7.1</v>
      </c>
      <c r="F56" s="2033">
        <v>5.7</v>
      </c>
      <c r="G56" s="2034">
        <v>2.6</v>
      </c>
      <c r="H56" s="2020"/>
      <c r="I56" s="2020"/>
      <c r="J56" s="1982"/>
      <c r="K56" s="1982"/>
      <c r="L56" s="1982"/>
    </row>
    <row r="57" spans="1:12" ht="15.75" hidden="1">
      <c r="A57" s="2031">
        <v>39934</v>
      </c>
      <c r="B57" s="2032"/>
      <c r="D57" s="2032">
        <v>7.4</v>
      </c>
      <c r="E57" s="2032">
        <v>6.5</v>
      </c>
      <c r="F57" s="2033">
        <v>5.6</v>
      </c>
      <c r="G57" s="2034">
        <v>2.7</v>
      </c>
      <c r="H57" s="2020"/>
      <c r="I57" s="2020"/>
      <c r="J57" s="1982"/>
      <c r="K57" s="1982"/>
      <c r="L57" s="1982"/>
    </row>
    <row r="58" spans="1:12" ht="15.75">
      <c r="A58" s="2031">
        <v>39965</v>
      </c>
      <c r="B58" s="2032"/>
      <c r="D58" s="2032">
        <v>6.9</v>
      </c>
      <c r="E58" s="2032">
        <v>6.1</v>
      </c>
      <c r="F58" s="2033">
        <v>5.5</v>
      </c>
      <c r="G58" s="2034">
        <v>2.8</v>
      </c>
      <c r="H58" s="2020"/>
      <c r="I58" s="2020"/>
      <c r="J58" s="1982"/>
      <c r="K58" s="1982"/>
      <c r="L58" s="1982"/>
    </row>
    <row r="59" spans="1:12" ht="15.75" hidden="1">
      <c r="A59" s="2031">
        <v>39995</v>
      </c>
      <c r="B59" s="2032"/>
      <c r="D59" s="2032">
        <v>6.1</v>
      </c>
      <c r="E59" s="2032">
        <v>5.5</v>
      </c>
      <c r="F59" s="2033">
        <v>5.4</v>
      </c>
      <c r="G59" s="2034">
        <v>2.8</v>
      </c>
      <c r="H59" s="2020"/>
      <c r="I59" s="2020"/>
      <c r="J59" s="1982"/>
      <c r="K59" s="1982"/>
      <c r="L59" s="1982"/>
    </row>
    <row r="60" spans="1:12" ht="15.75" hidden="1">
      <c r="A60" s="2031">
        <v>40026</v>
      </c>
      <c r="B60" s="2032"/>
      <c r="D60" s="2032">
        <v>5.2</v>
      </c>
      <c r="E60" s="2032">
        <v>4.5999999999999996</v>
      </c>
      <c r="F60" s="2033">
        <v>5.0999999999999996</v>
      </c>
      <c r="G60" s="2034">
        <v>2.7</v>
      </c>
      <c r="H60" s="2020"/>
      <c r="I60" s="2020"/>
      <c r="J60" s="1982"/>
      <c r="K60" s="1982"/>
      <c r="L60" s="1982"/>
    </row>
    <row r="61" spans="1:12" ht="15.75" hidden="1">
      <c r="A61" s="2031">
        <v>40057</v>
      </c>
      <c r="B61" s="2032"/>
      <c r="D61" s="2032">
        <v>4.4000000000000004</v>
      </c>
      <c r="E61" s="2032">
        <v>3.9</v>
      </c>
      <c r="F61" s="2033">
        <v>4.8</v>
      </c>
      <c r="G61" s="2034">
        <v>2.7</v>
      </c>
      <c r="H61" s="2020"/>
      <c r="I61" s="2020"/>
      <c r="J61" s="1982"/>
      <c r="K61" s="1982"/>
      <c r="L61" s="1982"/>
    </row>
    <row r="62" spans="1:12" ht="15.75" hidden="1">
      <c r="A62" s="2031">
        <v>40087</v>
      </c>
      <c r="B62" s="2032"/>
      <c r="D62" s="2032">
        <v>3.6</v>
      </c>
      <c r="E62" s="2032">
        <v>3.2</v>
      </c>
      <c r="F62" s="2033">
        <v>4.5</v>
      </c>
      <c r="G62" s="2034">
        <v>2.7</v>
      </c>
      <c r="H62" s="2020"/>
      <c r="I62" s="2020"/>
      <c r="J62" s="1982"/>
      <c r="K62" s="1982"/>
      <c r="L62" s="1982"/>
    </row>
    <row r="63" spans="1:12" ht="15.75" hidden="1">
      <c r="A63" s="2031">
        <v>40118</v>
      </c>
      <c r="B63" s="2032"/>
      <c r="D63" s="2032">
        <v>2.9</v>
      </c>
      <c r="E63" s="2032">
        <v>2.7</v>
      </c>
      <c r="F63" s="2033">
        <v>4.0999999999999996</v>
      </c>
      <c r="G63" s="2034">
        <v>2.7</v>
      </c>
      <c r="H63" s="2020"/>
      <c r="I63" s="2020"/>
      <c r="J63" s="1982"/>
      <c r="K63" s="1982"/>
      <c r="L63" s="1982"/>
    </row>
    <row r="64" spans="1:12" ht="15.75">
      <c r="A64" s="2031">
        <v>40148</v>
      </c>
      <c r="B64" s="2032"/>
      <c r="D64" s="2032">
        <v>2.5</v>
      </c>
      <c r="E64" s="2032">
        <v>2.4</v>
      </c>
      <c r="F64" s="2033">
        <v>3.8</v>
      </c>
      <c r="G64" s="2034">
        <v>2.4</v>
      </c>
      <c r="H64" s="2020"/>
      <c r="I64" s="2020"/>
      <c r="J64" s="1982"/>
      <c r="K64" s="1982"/>
      <c r="L64" s="1982"/>
    </row>
    <row r="65" spans="1:12" ht="15.75" hidden="1">
      <c r="A65" s="2031">
        <v>40179</v>
      </c>
      <c r="B65" s="2032"/>
      <c r="D65" s="2032">
        <v>2.2999999999999998</v>
      </c>
      <c r="E65" s="2032">
        <v>2.4</v>
      </c>
      <c r="F65" s="2033">
        <v>3.6</v>
      </c>
      <c r="G65" s="2034">
        <v>2.6</v>
      </c>
      <c r="H65" s="2020"/>
      <c r="I65" s="2020"/>
      <c r="J65" s="1982"/>
      <c r="K65" s="1982"/>
      <c r="L65" s="1982"/>
    </row>
    <row r="66" spans="1:12" ht="15.75" hidden="1">
      <c r="A66" s="2031">
        <v>40210</v>
      </c>
      <c r="B66" s="2032"/>
      <c r="D66" s="2032">
        <v>2.1</v>
      </c>
      <c r="E66" s="2032">
        <v>2.2999999999999998</v>
      </c>
      <c r="F66" s="2033">
        <v>3.4</v>
      </c>
      <c r="G66" s="2034">
        <v>2.5</v>
      </c>
      <c r="H66" s="2020"/>
      <c r="I66" s="2020"/>
      <c r="J66" s="1982"/>
      <c r="K66" s="1982"/>
      <c r="L66" s="1982"/>
    </row>
    <row r="67" spans="1:12" ht="15.75" hidden="1">
      <c r="A67" s="2031">
        <v>40238</v>
      </c>
      <c r="B67" s="2032"/>
      <c r="D67" s="2032">
        <v>1.9</v>
      </c>
      <c r="E67" s="2032">
        <v>2.2000000000000002</v>
      </c>
      <c r="F67" s="2033">
        <v>3.2</v>
      </c>
      <c r="G67" s="2034">
        <v>2.2999999999999998</v>
      </c>
      <c r="H67" s="2020"/>
      <c r="I67" s="2020"/>
      <c r="J67" s="1982"/>
      <c r="K67" s="1982"/>
      <c r="L67" s="1982"/>
    </row>
    <row r="68" spans="1:12" ht="15.75" hidden="1">
      <c r="A68" s="2031">
        <v>40269</v>
      </c>
      <c r="B68" s="2032"/>
      <c r="D68" s="2032">
        <v>1.8</v>
      </c>
      <c r="E68" s="2032">
        <v>2.2000000000000002</v>
      </c>
      <c r="F68" s="2033">
        <v>3</v>
      </c>
      <c r="G68" s="2034">
        <v>2.2000000000000002</v>
      </c>
      <c r="H68" s="2020"/>
      <c r="I68" s="2020"/>
      <c r="J68" s="1982"/>
      <c r="K68" s="1982"/>
      <c r="L68" s="1982"/>
    </row>
    <row r="69" spans="1:12" ht="15.75" hidden="1">
      <c r="A69" s="2031">
        <v>40299</v>
      </c>
      <c r="B69" s="2032"/>
      <c r="D69" s="2032">
        <v>1.8</v>
      </c>
      <c r="E69" s="2032">
        <v>2.2000000000000002</v>
      </c>
      <c r="F69" s="2033">
        <v>2.8</v>
      </c>
      <c r="G69" s="2034">
        <v>2.2000000000000002</v>
      </c>
      <c r="H69" s="2020"/>
      <c r="I69" s="2020"/>
      <c r="J69" s="1982"/>
      <c r="K69" s="1982"/>
      <c r="L69" s="1982"/>
    </row>
    <row r="70" spans="1:12" ht="15.75">
      <c r="A70" s="2031">
        <v>40330</v>
      </c>
      <c r="B70" s="2032"/>
      <c r="D70" s="2032">
        <v>1.7</v>
      </c>
      <c r="E70" s="2032">
        <v>2.2000000000000002</v>
      </c>
      <c r="F70" s="2033">
        <v>2.6</v>
      </c>
      <c r="G70" s="2034">
        <v>2.1</v>
      </c>
      <c r="H70" s="2020"/>
      <c r="I70" s="2020"/>
      <c r="J70" s="1982"/>
      <c r="K70" s="1982"/>
      <c r="L70" s="1982"/>
    </row>
    <row r="71" spans="1:12" ht="15.75" hidden="1">
      <c r="A71" s="2031">
        <v>40360</v>
      </c>
      <c r="B71" s="2032"/>
      <c r="D71" s="2032">
        <v>1.8</v>
      </c>
      <c r="E71" s="2032">
        <v>2.2000000000000002</v>
      </c>
      <c r="F71" s="2033">
        <v>2.5</v>
      </c>
      <c r="G71" s="2034">
        <v>2.1</v>
      </c>
      <c r="H71" s="2020"/>
      <c r="I71" s="2020"/>
      <c r="J71" s="1982"/>
      <c r="K71" s="1982"/>
      <c r="L71" s="1982"/>
    </row>
    <row r="72" spans="1:12" ht="15.75" hidden="1">
      <c r="A72" s="2031">
        <v>40391</v>
      </c>
      <c r="B72" s="2032"/>
      <c r="D72" s="2032">
        <v>1.9</v>
      </c>
      <c r="E72" s="2032">
        <v>2.4</v>
      </c>
      <c r="F72" s="2033">
        <v>2.5</v>
      </c>
      <c r="G72" s="2034">
        <v>2.1</v>
      </c>
      <c r="H72" s="2020"/>
      <c r="I72" s="2020"/>
      <c r="J72" s="1982"/>
      <c r="K72" s="1982"/>
      <c r="L72" s="1982"/>
    </row>
    <row r="73" spans="1:12" ht="15.75" hidden="1">
      <c r="A73" s="2031">
        <v>40422</v>
      </c>
      <c r="B73" s="2032"/>
      <c r="D73" s="2032">
        <v>2</v>
      </c>
      <c r="E73" s="2032">
        <v>2.4</v>
      </c>
      <c r="F73" s="2033">
        <v>2.5</v>
      </c>
      <c r="G73" s="2034">
        <v>2.2000000000000002</v>
      </c>
      <c r="H73" s="2020"/>
      <c r="I73" s="2020"/>
      <c r="J73" s="1982"/>
      <c r="K73" s="1982"/>
      <c r="L73" s="1982"/>
    </row>
    <row r="74" spans="1:12" ht="15.75" hidden="1">
      <c r="A74" s="2031">
        <v>40452</v>
      </c>
      <c r="B74" s="2032"/>
      <c r="D74" s="2032">
        <v>2.2999999999999998</v>
      </c>
      <c r="E74" s="2032">
        <v>2.7</v>
      </c>
      <c r="F74" s="2033">
        <v>2.5</v>
      </c>
      <c r="G74" s="2034">
        <v>2.4</v>
      </c>
      <c r="H74" s="2020"/>
      <c r="I74" s="2020"/>
      <c r="J74" s="1982"/>
      <c r="K74" s="1982"/>
      <c r="L74" s="1982"/>
    </row>
    <row r="75" spans="1:12" ht="15.75" hidden="1">
      <c r="A75" s="2031">
        <v>40483</v>
      </c>
      <c r="B75" s="2032"/>
      <c r="D75" s="2032">
        <v>2.5</v>
      </c>
      <c r="E75" s="2032">
        <v>2.9</v>
      </c>
      <c r="F75" s="2033">
        <v>2.6</v>
      </c>
      <c r="G75" s="2034">
        <v>2.6</v>
      </c>
      <c r="H75" s="2020"/>
      <c r="I75" s="2020"/>
      <c r="J75" s="1982"/>
      <c r="K75" s="1982"/>
      <c r="L75" s="1982"/>
    </row>
    <row r="76" spans="1:12" ht="15.75">
      <c r="A76" s="2031">
        <v>40513</v>
      </c>
      <c r="B76" s="2032"/>
      <c r="D76" s="2032">
        <v>2.9</v>
      </c>
      <c r="E76" s="2032">
        <v>3.2</v>
      </c>
      <c r="F76" s="2033">
        <v>2.8</v>
      </c>
      <c r="G76" s="2034">
        <v>2.9</v>
      </c>
      <c r="H76" s="2020"/>
      <c r="I76" s="2020"/>
      <c r="J76" s="1982"/>
      <c r="K76" s="1982"/>
      <c r="L76" s="1982"/>
    </row>
    <row r="77" spans="1:12" ht="15.75">
      <c r="A77" s="2031">
        <v>40544</v>
      </c>
      <c r="B77" s="2032"/>
      <c r="D77" s="2032">
        <v>3.3</v>
      </c>
      <c r="E77" s="2032">
        <v>3.4</v>
      </c>
      <c r="F77" s="2033">
        <v>3</v>
      </c>
      <c r="G77" s="2034">
        <v>3.1</v>
      </c>
      <c r="H77" s="2020"/>
      <c r="I77" s="2020"/>
      <c r="J77" s="1982"/>
      <c r="K77" s="1982"/>
      <c r="L77" s="1982"/>
    </row>
    <row r="78" spans="1:12" ht="15.75">
      <c r="A78" s="2031">
        <v>40575</v>
      </c>
      <c r="B78" s="2032"/>
      <c r="D78" s="2032">
        <v>3.6</v>
      </c>
      <c r="E78" s="2032">
        <v>3.7</v>
      </c>
      <c r="F78" s="2033">
        <v>3.2</v>
      </c>
      <c r="G78" s="2034">
        <v>3.5</v>
      </c>
      <c r="H78" s="2020"/>
      <c r="I78" s="2020"/>
      <c r="J78" s="1982"/>
      <c r="K78" s="1982"/>
      <c r="L78" s="1982"/>
    </row>
    <row r="79" spans="1:12" ht="15.75">
      <c r="A79" s="2031">
        <v>40603</v>
      </c>
      <c r="B79" s="2032"/>
      <c r="D79" s="2032">
        <v>4</v>
      </c>
      <c r="E79" s="2032">
        <v>4</v>
      </c>
      <c r="F79" s="2033">
        <v>3.5</v>
      </c>
      <c r="G79" s="2034">
        <v>3.8</v>
      </c>
      <c r="H79" s="2020"/>
      <c r="I79" s="2020"/>
      <c r="J79" s="1982"/>
      <c r="K79" s="1982"/>
      <c r="L79" s="1982"/>
    </row>
    <row r="80" spans="1:12" ht="15.75">
      <c r="A80" s="2031">
        <v>40634</v>
      </c>
      <c r="B80" s="2032"/>
      <c r="D80" s="2032">
        <v>4.4000000000000004</v>
      </c>
      <c r="E80" s="2032">
        <v>4.3</v>
      </c>
      <c r="F80" s="2033">
        <v>3.8</v>
      </c>
      <c r="G80" s="2034">
        <v>4.0999999999999996</v>
      </c>
      <c r="H80" s="2020"/>
      <c r="I80" s="2020"/>
      <c r="J80" s="1982"/>
      <c r="K80" s="1982"/>
      <c r="L80" s="1982"/>
    </row>
    <row r="81" spans="1:12" ht="15.75">
      <c r="A81" s="2031">
        <v>40664</v>
      </c>
      <c r="B81" s="2032"/>
      <c r="D81" s="2032">
        <v>4.8</v>
      </c>
      <c r="E81" s="2032">
        <v>4.5999999999999996</v>
      </c>
      <c r="F81" s="2033">
        <v>4.0999999999999996</v>
      </c>
      <c r="G81" s="2034">
        <v>4.4000000000000004</v>
      </c>
      <c r="H81" s="2020"/>
      <c r="I81" s="2020"/>
      <c r="J81" s="1982"/>
      <c r="K81" s="1982"/>
      <c r="L81" s="1982"/>
    </row>
    <row r="82" spans="1:12" ht="15.75">
      <c r="A82" s="2031">
        <v>40695</v>
      </c>
      <c r="B82" s="2035"/>
      <c r="D82" s="2032">
        <v>5.0999999999999996</v>
      </c>
      <c r="E82" s="2032">
        <v>4.8</v>
      </c>
      <c r="F82" s="2033">
        <v>4.3</v>
      </c>
      <c r="G82" s="2034">
        <v>4.7</v>
      </c>
      <c r="H82" s="2020"/>
      <c r="I82" s="2020"/>
      <c r="J82" s="1982"/>
      <c r="K82" s="1982"/>
      <c r="L82" s="1982"/>
    </row>
    <row r="83" spans="1:12" ht="15.75">
      <c r="A83" s="2031">
        <v>40725</v>
      </c>
      <c r="B83" s="2035"/>
      <c r="D83" s="2032">
        <v>5.5</v>
      </c>
      <c r="E83" s="2032">
        <v>5.2</v>
      </c>
      <c r="F83" s="2033">
        <v>4.5</v>
      </c>
      <c r="G83" s="2034">
        <v>5</v>
      </c>
      <c r="H83" s="2020"/>
      <c r="I83" s="2020"/>
      <c r="J83" s="1982"/>
      <c r="K83" s="1982"/>
      <c r="L83" s="1982"/>
    </row>
    <row r="84" spans="1:12" ht="15.75">
      <c r="A84" s="2031">
        <v>40756</v>
      </c>
      <c r="B84" s="2035"/>
      <c r="D84" s="2032">
        <v>5.8</v>
      </c>
      <c r="E84" s="2032">
        <v>5.5</v>
      </c>
      <c r="F84" s="2033">
        <v>4.7</v>
      </c>
      <c r="G84" s="2034">
        <v>5.0999999999999996</v>
      </c>
      <c r="H84" s="2020"/>
      <c r="I84" s="2020"/>
      <c r="J84" s="1982"/>
      <c r="K84" s="1982"/>
      <c r="L84" s="1982"/>
    </row>
    <row r="85" spans="1:12" ht="15.75">
      <c r="A85" s="2031">
        <v>40787</v>
      </c>
      <c r="B85" s="2035"/>
      <c r="D85" s="2032">
        <v>6.2</v>
      </c>
      <c r="E85" s="2032">
        <v>5.8</v>
      </c>
      <c r="F85" s="2033">
        <v>4.8</v>
      </c>
      <c r="G85" s="2034">
        <v>5.3</v>
      </c>
      <c r="H85" s="2020"/>
      <c r="I85" s="2020"/>
      <c r="J85" s="1982"/>
      <c r="K85" s="1982"/>
      <c r="L85" s="1982"/>
    </row>
    <row r="86" spans="1:12" ht="15.75">
      <c r="A86" s="2031">
        <v>40817</v>
      </c>
      <c r="B86" s="2035"/>
      <c r="D86" s="2032">
        <v>6.4</v>
      </c>
      <c r="E86" s="2032">
        <v>5.9</v>
      </c>
      <c r="F86" s="2033">
        <v>4.8</v>
      </c>
      <c r="G86" s="2034">
        <v>5.4</v>
      </c>
      <c r="H86" s="2020"/>
      <c r="I86" s="2020"/>
      <c r="J86" s="1982"/>
      <c r="K86" s="1982"/>
      <c r="L86" s="1982"/>
    </row>
    <row r="87" spans="1:12" ht="15.75">
      <c r="A87" s="2031">
        <v>40848</v>
      </c>
      <c r="B87" s="2035"/>
      <c r="D87" s="2032">
        <v>6.6</v>
      </c>
      <c r="E87" s="2032">
        <v>6.1</v>
      </c>
      <c r="F87" s="2033">
        <v>4.9000000000000004</v>
      </c>
      <c r="G87" s="2034">
        <v>5.5</v>
      </c>
      <c r="H87" s="2020"/>
      <c r="I87" s="2020"/>
      <c r="J87" s="1982"/>
      <c r="K87" s="1982"/>
      <c r="L87" s="1982"/>
    </row>
    <row r="88" spans="1:12" ht="15.75">
      <c r="A88" s="2031">
        <v>40878</v>
      </c>
      <c r="B88" s="2035"/>
      <c r="D88" s="2032">
        <v>6.5</v>
      </c>
      <c r="E88" s="2032">
        <v>6</v>
      </c>
      <c r="F88" s="2033">
        <v>4.8</v>
      </c>
      <c r="G88" s="2034">
        <v>5.3</v>
      </c>
      <c r="H88" s="2020"/>
      <c r="I88" s="2020"/>
      <c r="J88" s="1982"/>
      <c r="K88" s="1982"/>
      <c r="L88" s="1982"/>
    </row>
    <row r="89" spans="1:12" ht="15.75">
      <c r="A89" s="2031">
        <v>40909</v>
      </c>
      <c r="B89" s="2035"/>
      <c r="D89" s="2032">
        <v>6.4</v>
      </c>
      <c r="E89" s="2032">
        <v>5.8</v>
      </c>
      <c r="F89" s="2033">
        <v>4.5999999999999996</v>
      </c>
      <c r="G89" s="2034">
        <v>5</v>
      </c>
      <c r="H89" s="2020"/>
      <c r="I89" s="2020"/>
      <c r="J89" s="1982"/>
      <c r="K89" s="1982"/>
      <c r="L89" s="1982"/>
    </row>
    <row r="90" spans="1:12" ht="15.75">
      <c r="A90" s="2031">
        <v>40940</v>
      </c>
      <c r="B90" s="2035"/>
      <c r="D90" s="2032">
        <v>6.2</v>
      </c>
      <c r="E90" s="2032">
        <v>5.6</v>
      </c>
      <c r="F90" s="2033">
        <v>4.5</v>
      </c>
      <c r="G90" s="2034">
        <v>4.7</v>
      </c>
      <c r="H90" s="2020"/>
      <c r="I90" s="2020"/>
      <c r="J90" s="1982"/>
      <c r="K90" s="1982"/>
      <c r="L90" s="1982"/>
    </row>
    <row r="91" spans="1:12" ht="15.75">
      <c r="A91" s="2031">
        <v>40969</v>
      </c>
      <c r="B91" s="2035"/>
      <c r="D91" s="2032">
        <v>5.9</v>
      </c>
      <c r="E91" s="2032">
        <v>5.3</v>
      </c>
      <c r="F91" s="2033">
        <v>4.3</v>
      </c>
      <c r="G91" s="2034">
        <v>4.4000000000000004</v>
      </c>
      <c r="H91" s="2020"/>
      <c r="I91" s="2020"/>
      <c r="J91" s="1982"/>
      <c r="K91" s="1982"/>
      <c r="L91" s="1982"/>
    </row>
    <row r="92" spans="1:12" ht="15.75">
      <c r="A92" s="2031">
        <v>41000</v>
      </c>
      <c r="B92" s="2035"/>
      <c r="D92" s="2032">
        <v>5.6</v>
      </c>
      <c r="E92" s="2032">
        <v>5</v>
      </c>
      <c r="F92" s="2033">
        <v>4.0999999999999996</v>
      </c>
      <c r="G92" s="2034">
        <v>4.0999999999999996</v>
      </c>
      <c r="H92" s="2020"/>
      <c r="I92" s="2020"/>
      <c r="J92" s="1982"/>
      <c r="K92" s="1982"/>
      <c r="L92" s="1982"/>
    </row>
    <row r="93" spans="1:12" ht="15.75">
      <c r="A93" s="2031">
        <v>41030</v>
      </c>
      <c r="B93" s="2035"/>
      <c r="D93" s="2032">
        <v>5.3</v>
      </c>
      <c r="E93" s="2032">
        <v>4.5999999999999996</v>
      </c>
      <c r="F93" s="2033">
        <v>3.8</v>
      </c>
      <c r="G93" s="2034">
        <v>3.8</v>
      </c>
      <c r="H93" s="2020"/>
      <c r="I93" s="2020"/>
      <c r="J93" s="1982"/>
      <c r="K93" s="1982"/>
      <c r="L93" s="1982"/>
    </row>
    <row r="94" spans="1:12" ht="15.75">
      <c r="A94" s="2031">
        <v>41061</v>
      </c>
      <c r="B94" s="2035"/>
      <c r="D94" s="2032">
        <v>5.0999999999999996</v>
      </c>
      <c r="E94" s="2032">
        <v>4.4000000000000004</v>
      </c>
      <c r="F94" s="2033">
        <v>3.6</v>
      </c>
      <c r="G94" s="2034">
        <v>3.6</v>
      </c>
      <c r="H94" s="2020"/>
      <c r="I94" s="2020"/>
      <c r="J94" s="1982"/>
      <c r="K94" s="1982"/>
      <c r="L94" s="1982"/>
    </row>
    <row r="95" spans="1:12" ht="15.75">
      <c r="A95" s="2031">
        <v>41091</v>
      </c>
      <c r="B95" s="2035"/>
      <c r="D95" s="2032">
        <v>4.9000000000000004</v>
      </c>
      <c r="E95" s="2032">
        <v>4.0999999999999996</v>
      </c>
      <c r="F95" s="2033">
        <v>3.4</v>
      </c>
      <c r="G95" s="2034">
        <v>3.3</v>
      </c>
      <c r="H95" s="2020"/>
      <c r="I95" s="2020"/>
      <c r="J95" s="1982"/>
      <c r="K95" s="1982"/>
      <c r="L95" s="1982"/>
    </row>
    <row r="96" spans="1:12" ht="15.75">
      <c r="A96" s="2031">
        <v>41122</v>
      </c>
      <c r="B96" s="2035"/>
      <c r="D96" s="2032">
        <v>4.5999999999999996</v>
      </c>
      <c r="E96" s="2032">
        <v>3.9</v>
      </c>
      <c r="F96" s="2033">
        <v>3.2</v>
      </c>
      <c r="G96" s="2034">
        <v>3.1</v>
      </c>
      <c r="H96" s="2020"/>
      <c r="I96" s="2020"/>
      <c r="J96" s="1982"/>
      <c r="K96" s="1982"/>
      <c r="L96" s="1982"/>
    </row>
    <row r="97" spans="1:12" ht="15.75">
      <c r="A97" s="2031">
        <v>41153</v>
      </c>
      <c r="B97" s="2035"/>
      <c r="D97" s="2032">
        <v>4.4000000000000004</v>
      </c>
      <c r="E97" s="2032">
        <v>3.7</v>
      </c>
      <c r="F97" s="2033">
        <v>3.2</v>
      </c>
      <c r="G97" s="2034">
        <v>2.9</v>
      </c>
      <c r="H97" s="2020"/>
      <c r="I97" s="2020"/>
      <c r="J97" s="1982"/>
      <c r="K97" s="1982"/>
      <c r="L97" s="1982"/>
    </row>
    <row r="98" spans="1:12" ht="15.75">
      <c r="A98" s="2031">
        <v>41183</v>
      </c>
      <c r="B98" s="2035"/>
      <c r="D98" s="2032">
        <v>4.3</v>
      </c>
      <c r="E98" s="2032">
        <v>3.6</v>
      </c>
      <c r="F98" s="2033">
        <v>3.1</v>
      </c>
      <c r="G98" s="2034">
        <v>2.8</v>
      </c>
      <c r="H98" s="2020"/>
      <c r="I98" s="2020"/>
      <c r="J98" s="1982"/>
      <c r="K98" s="1982"/>
      <c r="L98" s="1982"/>
    </row>
    <row r="99" spans="1:12" ht="15.75">
      <c r="A99" s="2031">
        <v>41214</v>
      </c>
      <c r="B99" s="2035"/>
      <c r="D99" s="2032">
        <v>4</v>
      </c>
      <c r="E99" s="2032">
        <v>3.4</v>
      </c>
      <c r="F99" s="2033">
        <v>3.1</v>
      </c>
      <c r="G99" s="2034">
        <v>2.6</v>
      </c>
      <c r="H99" s="2020"/>
      <c r="I99" s="2020"/>
      <c r="J99" s="1982"/>
      <c r="K99" s="1982"/>
      <c r="L99" s="1982"/>
    </row>
    <row r="100" spans="1:12" ht="15.75">
      <c r="A100" s="2031">
        <v>41244</v>
      </c>
      <c r="B100" s="2035"/>
      <c r="D100" s="2032">
        <v>3.9</v>
      </c>
      <c r="E100" s="2032">
        <v>3.3</v>
      </c>
      <c r="F100" s="2033">
        <v>3</v>
      </c>
      <c r="G100" s="2034">
        <v>2.5</v>
      </c>
      <c r="H100" s="2020"/>
      <c r="I100" s="2020"/>
      <c r="J100" s="1982"/>
      <c r="K100" s="1982"/>
      <c r="L100" s="1982"/>
    </row>
    <row r="101" spans="1:12" ht="15.75">
      <c r="A101" s="2031">
        <v>41275</v>
      </c>
      <c r="B101" s="2035"/>
      <c r="D101" s="2032">
        <v>3.7</v>
      </c>
      <c r="E101" s="2032">
        <v>3.2</v>
      </c>
      <c r="F101" s="2033">
        <v>3</v>
      </c>
      <c r="G101" s="2034">
        <v>2.4</v>
      </c>
      <c r="H101" s="2020"/>
      <c r="I101" s="2020"/>
      <c r="J101" s="1982"/>
      <c r="K101" s="1982"/>
      <c r="L101" s="1982"/>
    </row>
    <row r="102" spans="1:12" ht="15.75">
      <c r="A102" s="2031">
        <v>41306</v>
      </c>
      <c r="B102" s="2035"/>
      <c r="D102" s="2032">
        <v>3.6</v>
      </c>
      <c r="E102" s="2032">
        <v>3</v>
      </c>
      <c r="F102" s="2033">
        <v>2.9</v>
      </c>
      <c r="G102" s="2034">
        <v>2.4</v>
      </c>
      <c r="H102" s="2020"/>
      <c r="I102" s="2020"/>
      <c r="J102" s="1982"/>
      <c r="K102" s="1982"/>
      <c r="L102" s="1982"/>
    </row>
    <row r="103" spans="1:12" ht="3.75" customHeight="1" thickBot="1">
      <c r="A103" s="2036"/>
      <c r="B103" s="2037"/>
      <c r="D103" s="2038"/>
      <c r="E103" s="2038"/>
      <c r="F103" s="2039"/>
      <c r="G103" s="2040"/>
      <c r="H103" s="2020"/>
      <c r="I103" s="2020"/>
      <c r="J103" s="1982"/>
      <c r="K103" s="1982"/>
      <c r="L103" s="1982"/>
    </row>
    <row r="104" spans="1:12" ht="3.75" customHeight="1" thickTop="1">
      <c r="A104" s="2041"/>
      <c r="B104" s="2042"/>
      <c r="C104" s="2042"/>
      <c r="D104" s="2042"/>
      <c r="E104" s="2042"/>
      <c r="F104" s="2042"/>
      <c r="G104" s="2042"/>
      <c r="H104" s="2020"/>
      <c r="I104" s="2020"/>
      <c r="J104" s="1982"/>
      <c r="K104" s="1982"/>
      <c r="L104" s="1982"/>
    </row>
    <row r="105" spans="1:12">
      <c r="A105" s="2007" t="s">
        <v>2861</v>
      </c>
      <c r="B105" s="2007"/>
      <c r="C105" s="2007"/>
      <c r="D105" s="2007"/>
      <c r="E105" s="2007"/>
      <c r="F105" s="2007"/>
      <c r="G105" s="2007"/>
      <c r="H105" s="2007"/>
      <c r="I105" s="2007"/>
      <c r="J105" s="2007"/>
      <c r="K105" s="2006"/>
      <c r="L105" s="2006"/>
    </row>
    <row r="106" spans="1:12">
      <c r="A106" s="2007" t="s">
        <v>2862</v>
      </c>
      <c r="B106" s="2007"/>
      <c r="C106" s="2007"/>
      <c r="D106" s="2007"/>
      <c r="E106" s="2007"/>
      <c r="F106" s="2007"/>
      <c r="G106" s="2007"/>
      <c r="H106" s="2007"/>
      <c r="I106" s="2007"/>
      <c r="J106" s="2007"/>
      <c r="K106" s="2006"/>
      <c r="L106" s="2006"/>
    </row>
    <row r="107" spans="1:12" s="2046" customFormat="1">
      <c r="A107" s="2043" t="s">
        <v>2863</v>
      </c>
      <c r="B107" s="2044"/>
      <c r="C107" s="2044"/>
      <c r="D107" s="2044"/>
      <c r="E107" s="2044"/>
      <c r="F107" s="2043"/>
      <c r="G107" s="2043"/>
      <c r="H107" s="2043"/>
      <c r="I107" s="2045"/>
      <c r="J107" s="2045"/>
    </row>
    <row r="108" spans="1:12" s="2046" customFormat="1">
      <c r="A108" s="2043" t="s">
        <v>2864</v>
      </c>
      <c r="B108" s="2044"/>
      <c r="C108" s="2044"/>
      <c r="D108" s="2044"/>
      <c r="E108" s="2044"/>
      <c r="F108" s="2043"/>
      <c r="G108" s="2043"/>
      <c r="H108" s="2043"/>
      <c r="I108" s="2045"/>
      <c r="J108" s="2045"/>
    </row>
    <row r="109" spans="1:12">
      <c r="A109" s="2007" t="s">
        <v>2865</v>
      </c>
      <c r="B109" s="2047"/>
      <c r="C109" s="2047"/>
      <c r="D109" s="2047"/>
      <c r="E109" s="2047"/>
      <c r="F109" s="2007"/>
      <c r="G109" s="2007"/>
      <c r="H109" s="2007"/>
      <c r="I109" s="2006"/>
      <c r="J109" s="2006"/>
    </row>
    <row r="110" spans="1:12">
      <c r="A110" s="2048" t="s">
        <v>2866</v>
      </c>
      <c r="B110" s="2049"/>
      <c r="C110" s="2049"/>
      <c r="D110" s="2049"/>
      <c r="E110" s="2049"/>
      <c r="F110" s="2049"/>
      <c r="G110" s="2049"/>
      <c r="H110" s="2049"/>
      <c r="I110" s="2006"/>
      <c r="J110" s="2006"/>
    </row>
    <row r="111" spans="1:12">
      <c r="A111" s="2007" t="s">
        <v>2867</v>
      </c>
      <c r="B111" s="2006"/>
    </row>
    <row r="112" spans="1:12">
      <c r="A112" s="2007" t="s">
        <v>303</v>
      </c>
      <c r="B112" s="2006"/>
    </row>
    <row r="113" spans="1:10" ht="15.75">
      <c r="A113" s="2022"/>
      <c r="B113" s="2022"/>
      <c r="C113" s="2022"/>
      <c r="D113" s="2022"/>
      <c r="E113" s="2022"/>
      <c r="F113" s="2022"/>
      <c r="G113" s="2022"/>
      <c r="H113" s="2022"/>
      <c r="I113" s="2022"/>
      <c r="J113" s="2022"/>
    </row>
  </sheetData>
  <printOptions horizontalCentered="1"/>
  <pageMargins left="0.5" right="0" top="0.5" bottom="0" header="0" footer="0"/>
  <pageSetup paperSize="9" scale="6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6"/>
  <sheetViews>
    <sheetView zoomScaleNormal="100" zoomScaleSheetLayoutView="100" workbookViewId="0">
      <pane xSplit="1" ySplit="3" topLeftCell="B92" activePane="bottomRight" state="frozen"/>
      <selection pane="topRight" activeCell="B1" sqref="B1"/>
      <selection pane="bottomLeft" activeCell="A4" sqref="A4"/>
      <selection pane="bottomRight" activeCell="L75" sqref="L75"/>
    </sheetView>
  </sheetViews>
  <sheetFormatPr defaultRowHeight="15"/>
  <cols>
    <col min="1" max="1" width="11.28515625" style="1983" customWidth="1"/>
    <col min="2" max="3" width="9.140625" style="1983"/>
    <col min="4" max="4" width="9.85546875" style="1983" customWidth="1"/>
    <col min="5" max="5" width="8" style="1983" customWidth="1"/>
    <col min="6" max="6" width="8.5703125" style="1983" customWidth="1"/>
    <col min="7" max="7" width="8.85546875" style="1983" customWidth="1"/>
    <col min="8" max="8" width="8.5703125" style="1983" customWidth="1"/>
    <col min="9" max="9" width="8" style="1983" customWidth="1"/>
    <col min="10" max="10" width="8.7109375" style="1983" customWidth="1"/>
    <col min="11" max="11" width="13.42578125" style="1983" customWidth="1"/>
    <col min="12" max="12" width="10.42578125" style="1983" customWidth="1"/>
    <col min="13" max="13" width="9.140625" style="1983"/>
    <col min="14" max="14" width="14.5703125" style="1983" bestFit="1" customWidth="1"/>
    <col min="15" max="15" width="9.140625" style="1983"/>
    <col min="16" max="16" width="14.5703125" style="1983" bestFit="1" customWidth="1"/>
    <col min="17" max="256" width="9.140625" style="1983"/>
    <col min="257" max="257" width="11.28515625" style="1983" customWidth="1"/>
    <col min="258" max="259" width="9.140625" style="1983"/>
    <col min="260" max="260" width="9.85546875" style="1983" customWidth="1"/>
    <col min="261" max="261" width="8" style="1983" customWidth="1"/>
    <col min="262" max="262" width="8.5703125" style="1983" customWidth="1"/>
    <col min="263" max="263" width="8.85546875" style="1983" customWidth="1"/>
    <col min="264" max="264" width="8.5703125" style="1983" customWidth="1"/>
    <col min="265" max="265" width="8" style="1983" customWidth="1"/>
    <col min="266" max="266" width="8.7109375" style="1983" customWidth="1"/>
    <col min="267" max="267" width="13.42578125" style="1983" customWidth="1"/>
    <col min="268" max="268" width="10.42578125" style="1983" customWidth="1"/>
    <col min="269" max="269" width="9.140625" style="1983"/>
    <col min="270" max="270" width="14.5703125" style="1983" bestFit="1" customWidth="1"/>
    <col min="271" max="271" width="9.140625" style="1983"/>
    <col min="272" max="272" width="14.5703125" style="1983" bestFit="1" customWidth="1"/>
    <col min="273" max="512" width="9.140625" style="1983"/>
    <col min="513" max="513" width="11.28515625" style="1983" customWidth="1"/>
    <col min="514" max="515" width="9.140625" style="1983"/>
    <col min="516" max="516" width="9.85546875" style="1983" customWidth="1"/>
    <col min="517" max="517" width="8" style="1983" customWidth="1"/>
    <col min="518" max="518" width="8.5703125" style="1983" customWidth="1"/>
    <col min="519" max="519" width="8.85546875" style="1983" customWidth="1"/>
    <col min="520" max="520" width="8.5703125" style="1983" customWidth="1"/>
    <col min="521" max="521" width="8" style="1983" customWidth="1"/>
    <col min="522" max="522" width="8.7109375" style="1983" customWidth="1"/>
    <col min="523" max="523" width="13.42578125" style="1983" customWidth="1"/>
    <col min="524" max="524" width="10.42578125" style="1983" customWidth="1"/>
    <col min="525" max="525" width="9.140625" style="1983"/>
    <col min="526" max="526" width="14.5703125" style="1983" bestFit="1" customWidth="1"/>
    <col min="527" max="527" width="9.140625" style="1983"/>
    <col min="528" max="528" width="14.5703125" style="1983" bestFit="1" customWidth="1"/>
    <col min="529" max="768" width="9.140625" style="1983"/>
    <col min="769" max="769" width="11.28515625" style="1983" customWidth="1"/>
    <col min="770" max="771" width="9.140625" style="1983"/>
    <col min="772" max="772" width="9.85546875" style="1983" customWidth="1"/>
    <col min="773" max="773" width="8" style="1983" customWidth="1"/>
    <col min="774" max="774" width="8.5703125" style="1983" customWidth="1"/>
    <col min="775" max="775" width="8.85546875" style="1983" customWidth="1"/>
    <col min="776" max="776" width="8.5703125" style="1983" customWidth="1"/>
    <col min="777" max="777" width="8" style="1983" customWidth="1"/>
    <col min="778" max="778" width="8.7109375" style="1983" customWidth="1"/>
    <col min="779" max="779" width="13.42578125" style="1983" customWidth="1"/>
    <col min="780" max="780" width="10.42578125" style="1983" customWidth="1"/>
    <col min="781" max="781" width="9.140625" style="1983"/>
    <col min="782" max="782" width="14.5703125" style="1983" bestFit="1" customWidth="1"/>
    <col min="783" max="783" width="9.140625" style="1983"/>
    <col min="784" max="784" width="14.5703125" style="1983" bestFit="1" customWidth="1"/>
    <col min="785" max="1024" width="9.140625" style="1983"/>
    <col min="1025" max="1025" width="11.28515625" style="1983" customWidth="1"/>
    <col min="1026" max="1027" width="9.140625" style="1983"/>
    <col min="1028" max="1028" width="9.85546875" style="1983" customWidth="1"/>
    <col min="1029" max="1029" width="8" style="1983" customWidth="1"/>
    <col min="1030" max="1030" width="8.5703125" style="1983" customWidth="1"/>
    <col min="1031" max="1031" width="8.85546875" style="1983" customWidth="1"/>
    <col min="1032" max="1032" width="8.5703125" style="1983" customWidth="1"/>
    <col min="1033" max="1033" width="8" style="1983" customWidth="1"/>
    <col min="1034" max="1034" width="8.7109375" style="1983" customWidth="1"/>
    <col min="1035" max="1035" width="13.42578125" style="1983" customWidth="1"/>
    <col min="1036" max="1036" width="10.42578125" style="1983" customWidth="1"/>
    <col min="1037" max="1037" width="9.140625" style="1983"/>
    <col min="1038" max="1038" width="14.5703125" style="1983" bestFit="1" customWidth="1"/>
    <col min="1039" max="1039" width="9.140625" style="1983"/>
    <col min="1040" max="1040" width="14.5703125" style="1983" bestFit="1" customWidth="1"/>
    <col min="1041" max="1280" width="9.140625" style="1983"/>
    <col min="1281" max="1281" width="11.28515625" style="1983" customWidth="1"/>
    <col min="1282" max="1283" width="9.140625" style="1983"/>
    <col min="1284" max="1284" width="9.85546875" style="1983" customWidth="1"/>
    <col min="1285" max="1285" width="8" style="1983" customWidth="1"/>
    <col min="1286" max="1286" width="8.5703125" style="1983" customWidth="1"/>
    <col min="1287" max="1287" width="8.85546875" style="1983" customWidth="1"/>
    <col min="1288" max="1288" width="8.5703125" style="1983" customWidth="1"/>
    <col min="1289" max="1289" width="8" style="1983" customWidth="1"/>
    <col min="1290" max="1290" width="8.7109375" style="1983" customWidth="1"/>
    <col min="1291" max="1291" width="13.42578125" style="1983" customWidth="1"/>
    <col min="1292" max="1292" width="10.42578125" style="1983" customWidth="1"/>
    <col min="1293" max="1293" width="9.140625" style="1983"/>
    <col min="1294" max="1294" width="14.5703125" style="1983" bestFit="1" customWidth="1"/>
    <col min="1295" max="1295" width="9.140625" style="1983"/>
    <col min="1296" max="1296" width="14.5703125" style="1983" bestFit="1" customWidth="1"/>
    <col min="1297" max="1536" width="9.140625" style="1983"/>
    <col min="1537" max="1537" width="11.28515625" style="1983" customWidth="1"/>
    <col min="1538" max="1539" width="9.140625" style="1983"/>
    <col min="1540" max="1540" width="9.85546875" style="1983" customWidth="1"/>
    <col min="1541" max="1541" width="8" style="1983" customWidth="1"/>
    <col min="1542" max="1542" width="8.5703125" style="1983" customWidth="1"/>
    <col min="1543" max="1543" width="8.85546875" style="1983" customWidth="1"/>
    <col min="1544" max="1544" width="8.5703125" style="1983" customWidth="1"/>
    <col min="1545" max="1545" width="8" style="1983" customWidth="1"/>
    <col min="1546" max="1546" width="8.7109375" style="1983" customWidth="1"/>
    <col min="1547" max="1547" width="13.42578125" style="1983" customWidth="1"/>
    <col min="1548" max="1548" width="10.42578125" style="1983" customWidth="1"/>
    <col min="1549" max="1549" width="9.140625" style="1983"/>
    <col min="1550" max="1550" width="14.5703125" style="1983" bestFit="1" customWidth="1"/>
    <col min="1551" max="1551" width="9.140625" style="1983"/>
    <col min="1552" max="1552" width="14.5703125" style="1983" bestFit="1" customWidth="1"/>
    <col min="1553" max="1792" width="9.140625" style="1983"/>
    <col min="1793" max="1793" width="11.28515625" style="1983" customWidth="1"/>
    <col min="1794" max="1795" width="9.140625" style="1983"/>
    <col min="1796" max="1796" width="9.85546875" style="1983" customWidth="1"/>
    <col min="1797" max="1797" width="8" style="1983" customWidth="1"/>
    <col min="1798" max="1798" width="8.5703125" style="1983" customWidth="1"/>
    <col min="1799" max="1799" width="8.85546875" style="1983" customWidth="1"/>
    <col min="1800" max="1800" width="8.5703125" style="1983" customWidth="1"/>
    <col min="1801" max="1801" width="8" style="1983" customWidth="1"/>
    <col min="1802" max="1802" width="8.7109375" style="1983" customWidth="1"/>
    <col min="1803" max="1803" width="13.42578125" style="1983" customWidth="1"/>
    <col min="1804" max="1804" width="10.42578125" style="1983" customWidth="1"/>
    <col min="1805" max="1805" width="9.140625" style="1983"/>
    <col min="1806" max="1806" width="14.5703125" style="1983" bestFit="1" customWidth="1"/>
    <col min="1807" max="1807" width="9.140625" style="1983"/>
    <col min="1808" max="1808" width="14.5703125" style="1983" bestFit="1" customWidth="1"/>
    <col min="1809" max="2048" width="9.140625" style="1983"/>
    <col min="2049" max="2049" width="11.28515625" style="1983" customWidth="1"/>
    <col min="2050" max="2051" width="9.140625" style="1983"/>
    <col min="2052" max="2052" width="9.85546875" style="1983" customWidth="1"/>
    <col min="2053" max="2053" width="8" style="1983" customWidth="1"/>
    <col min="2054" max="2054" width="8.5703125" style="1983" customWidth="1"/>
    <col min="2055" max="2055" width="8.85546875" style="1983" customWidth="1"/>
    <col min="2056" max="2056" width="8.5703125" style="1983" customWidth="1"/>
    <col min="2057" max="2057" width="8" style="1983" customWidth="1"/>
    <col min="2058" max="2058" width="8.7109375" style="1983" customWidth="1"/>
    <col min="2059" max="2059" width="13.42578125" style="1983" customWidth="1"/>
    <col min="2060" max="2060" width="10.42578125" style="1983" customWidth="1"/>
    <col min="2061" max="2061" width="9.140625" style="1983"/>
    <col min="2062" max="2062" width="14.5703125" style="1983" bestFit="1" customWidth="1"/>
    <col min="2063" max="2063" width="9.140625" style="1983"/>
    <col min="2064" max="2064" width="14.5703125" style="1983" bestFit="1" customWidth="1"/>
    <col min="2065" max="2304" width="9.140625" style="1983"/>
    <col min="2305" max="2305" width="11.28515625" style="1983" customWidth="1"/>
    <col min="2306" max="2307" width="9.140625" style="1983"/>
    <col min="2308" max="2308" width="9.85546875" style="1983" customWidth="1"/>
    <col min="2309" max="2309" width="8" style="1983" customWidth="1"/>
    <col min="2310" max="2310" width="8.5703125" style="1983" customWidth="1"/>
    <col min="2311" max="2311" width="8.85546875" style="1983" customWidth="1"/>
    <col min="2312" max="2312" width="8.5703125" style="1983" customWidth="1"/>
    <col min="2313" max="2313" width="8" style="1983" customWidth="1"/>
    <col min="2314" max="2314" width="8.7109375" style="1983" customWidth="1"/>
    <col min="2315" max="2315" width="13.42578125" style="1983" customWidth="1"/>
    <col min="2316" max="2316" width="10.42578125" style="1983" customWidth="1"/>
    <col min="2317" max="2317" width="9.140625" style="1983"/>
    <col min="2318" max="2318" width="14.5703125" style="1983" bestFit="1" customWidth="1"/>
    <col min="2319" max="2319" width="9.140625" style="1983"/>
    <col min="2320" max="2320" width="14.5703125" style="1983" bestFit="1" customWidth="1"/>
    <col min="2321" max="2560" width="9.140625" style="1983"/>
    <col min="2561" max="2561" width="11.28515625" style="1983" customWidth="1"/>
    <col min="2562" max="2563" width="9.140625" style="1983"/>
    <col min="2564" max="2564" width="9.85546875" style="1983" customWidth="1"/>
    <col min="2565" max="2565" width="8" style="1983" customWidth="1"/>
    <col min="2566" max="2566" width="8.5703125" style="1983" customWidth="1"/>
    <col min="2567" max="2567" width="8.85546875" style="1983" customWidth="1"/>
    <col min="2568" max="2568" width="8.5703125" style="1983" customWidth="1"/>
    <col min="2569" max="2569" width="8" style="1983" customWidth="1"/>
    <col min="2570" max="2570" width="8.7109375" style="1983" customWidth="1"/>
    <col min="2571" max="2571" width="13.42578125" style="1983" customWidth="1"/>
    <col min="2572" max="2572" width="10.42578125" style="1983" customWidth="1"/>
    <col min="2573" max="2573" width="9.140625" style="1983"/>
    <col min="2574" max="2574" width="14.5703125" style="1983" bestFit="1" customWidth="1"/>
    <col min="2575" max="2575" width="9.140625" style="1983"/>
    <col min="2576" max="2576" width="14.5703125" style="1983" bestFit="1" customWidth="1"/>
    <col min="2577" max="2816" width="9.140625" style="1983"/>
    <col min="2817" max="2817" width="11.28515625" style="1983" customWidth="1"/>
    <col min="2818" max="2819" width="9.140625" style="1983"/>
    <col min="2820" max="2820" width="9.85546875" style="1983" customWidth="1"/>
    <col min="2821" max="2821" width="8" style="1983" customWidth="1"/>
    <col min="2822" max="2822" width="8.5703125" style="1983" customWidth="1"/>
    <col min="2823" max="2823" width="8.85546875" style="1983" customWidth="1"/>
    <col min="2824" max="2824" width="8.5703125" style="1983" customWidth="1"/>
    <col min="2825" max="2825" width="8" style="1983" customWidth="1"/>
    <col min="2826" max="2826" width="8.7109375" style="1983" customWidth="1"/>
    <col min="2827" max="2827" width="13.42578125" style="1983" customWidth="1"/>
    <col min="2828" max="2828" width="10.42578125" style="1983" customWidth="1"/>
    <col min="2829" max="2829" width="9.140625" style="1983"/>
    <col min="2830" max="2830" width="14.5703125" style="1983" bestFit="1" customWidth="1"/>
    <col min="2831" max="2831" width="9.140625" style="1983"/>
    <col min="2832" max="2832" width="14.5703125" style="1983" bestFit="1" customWidth="1"/>
    <col min="2833" max="3072" width="9.140625" style="1983"/>
    <col min="3073" max="3073" width="11.28515625" style="1983" customWidth="1"/>
    <col min="3074" max="3075" width="9.140625" style="1983"/>
    <col min="3076" max="3076" width="9.85546875" style="1983" customWidth="1"/>
    <col min="3077" max="3077" width="8" style="1983" customWidth="1"/>
    <col min="3078" max="3078" width="8.5703125" style="1983" customWidth="1"/>
    <col min="3079" max="3079" width="8.85546875" style="1983" customWidth="1"/>
    <col min="3080" max="3080" width="8.5703125" style="1983" customWidth="1"/>
    <col min="3081" max="3081" width="8" style="1983" customWidth="1"/>
    <col min="3082" max="3082" width="8.7109375" style="1983" customWidth="1"/>
    <col min="3083" max="3083" width="13.42578125" style="1983" customWidth="1"/>
    <col min="3084" max="3084" width="10.42578125" style="1983" customWidth="1"/>
    <col min="3085" max="3085" width="9.140625" style="1983"/>
    <col min="3086" max="3086" width="14.5703125" style="1983" bestFit="1" customWidth="1"/>
    <col min="3087" max="3087" width="9.140625" style="1983"/>
    <col min="3088" max="3088" width="14.5703125" style="1983" bestFit="1" customWidth="1"/>
    <col min="3089" max="3328" width="9.140625" style="1983"/>
    <col min="3329" max="3329" width="11.28515625" style="1983" customWidth="1"/>
    <col min="3330" max="3331" width="9.140625" style="1983"/>
    <col min="3332" max="3332" width="9.85546875" style="1983" customWidth="1"/>
    <col min="3333" max="3333" width="8" style="1983" customWidth="1"/>
    <col min="3334" max="3334" width="8.5703125" style="1983" customWidth="1"/>
    <col min="3335" max="3335" width="8.85546875" style="1983" customWidth="1"/>
    <col min="3336" max="3336" width="8.5703125" style="1983" customWidth="1"/>
    <col min="3337" max="3337" width="8" style="1983" customWidth="1"/>
    <col min="3338" max="3338" width="8.7109375" style="1983" customWidth="1"/>
    <col min="3339" max="3339" width="13.42578125" style="1983" customWidth="1"/>
    <col min="3340" max="3340" width="10.42578125" style="1983" customWidth="1"/>
    <col min="3341" max="3341" width="9.140625" style="1983"/>
    <col min="3342" max="3342" width="14.5703125" style="1983" bestFit="1" customWidth="1"/>
    <col min="3343" max="3343" width="9.140625" style="1983"/>
    <col min="3344" max="3344" width="14.5703125" style="1983" bestFit="1" customWidth="1"/>
    <col min="3345" max="3584" width="9.140625" style="1983"/>
    <col min="3585" max="3585" width="11.28515625" style="1983" customWidth="1"/>
    <col min="3586" max="3587" width="9.140625" style="1983"/>
    <col min="3588" max="3588" width="9.85546875" style="1983" customWidth="1"/>
    <col min="3589" max="3589" width="8" style="1983" customWidth="1"/>
    <col min="3590" max="3590" width="8.5703125" style="1983" customWidth="1"/>
    <col min="3591" max="3591" width="8.85546875" style="1983" customWidth="1"/>
    <col min="3592" max="3592" width="8.5703125" style="1983" customWidth="1"/>
    <col min="3593" max="3593" width="8" style="1983" customWidth="1"/>
    <col min="3594" max="3594" width="8.7109375" style="1983" customWidth="1"/>
    <col min="3595" max="3595" width="13.42578125" style="1983" customWidth="1"/>
    <col min="3596" max="3596" width="10.42578125" style="1983" customWidth="1"/>
    <col min="3597" max="3597" width="9.140625" style="1983"/>
    <col min="3598" max="3598" width="14.5703125" style="1983" bestFit="1" customWidth="1"/>
    <col min="3599" max="3599" width="9.140625" style="1983"/>
    <col min="3600" max="3600" width="14.5703125" style="1983" bestFit="1" customWidth="1"/>
    <col min="3601" max="3840" width="9.140625" style="1983"/>
    <col min="3841" max="3841" width="11.28515625" style="1983" customWidth="1"/>
    <col min="3842" max="3843" width="9.140625" style="1983"/>
    <col min="3844" max="3844" width="9.85546875" style="1983" customWidth="1"/>
    <col min="3845" max="3845" width="8" style="1983" customWidth="1"/>
    <col min="3846" max="3846" width="8.5703125" style="1983" customWidth="1"/>
    <col min="3847" max="3847" width="8.85546875" style="1983" customWidth="1"/>
    <col min="3848" max="3848" width="8.5703125" style="1983" customWidth="1"/>
    <col min="3849" max="3849" width="8" style="1983" customWidth="1"/>
    <col min="3850" max="3850" width="8.7109375" style="1983" customWidth="1"/>
    <col min="3851" max="3851" width="13.42578125" style="1983" customWidth="1"/>
    <col min="3852" max="3852" width="10.42578125" style="1983" customWidth="1"/>
    <col min="3853" max="3853" width="9.140625" style="1983"/>
    <col min="3854" max="3854" width="14.5703125" style="1983" bestFit="1" customWidth="1"/>
    <col min="3855" max="3855" width="9.140625" style="1983"/>
    <col min="3856" max="3856" width="14.5703125" style="1983" bestFit="1" customWidth="1"/>
    <col min="3857" max="4096" width="9.140625" style="1983"/>
    <col min="4097" max="4097" width="11.28515625" style="1983" customWidth="1"/>
    <col min="4098" max="4099" width="9.140625" style="1983"/>
    <col min="4100" max="4100" width="9.85546875" style="1983" customWidth="1"/>
    <col min="4101" max="4101" width="8" style="1983" customWidth="1"/>
    <col min="4102" max="4102" width="8.5703125" style="1983" customWidth="1"/>
    <col min="4103" max="4103" width="8.85546875" style="1983" customWidth="1"/>
    <col min="4104" max="4104" width="8.5703125" style="1983" customWidth="1"/>
    <col min="4105" max="4105" width="8" style="1983" customWidth="1"/>
    <col min="4106" max="4106" width="8.7109375" style="1983" customWidth="1"/>
    <col min="4107" max="4107" width="13.42578125" style="1983" customWidth="1"/>
    <col min="4108" max="4108" width="10.42578125" style="1983" customWidth="1"/>
    <col min="4109" max="4109" width="9.140625" style="1983"/>
    <col min="4110" max="4110" width="14.5703125" style="1983" bestFit="1" customWidth="1"/>
    <col min="4111" max="4111" width="9.140625" style="1983"/>
    <col min="4112" max="4112" width="14.5703125" style="1983" bestFit="1" customWidth="1"/>
    <col min="4113" max="4352" width="9.140625" style="1983"/>
    <col min="4353" max="4353" width="11.28515625" style="1983" customWidth="1"/>
    <col min="4354" max="4355" width="9.140625" style="1983"/>
    <col min="4356" max="4356" width="9.85546875" style="1983" customWidth="1"/>
    <col min="4357" max="4357" width="8" style="1983" customWidth="1"/>
    <col min="4358" max="4358" width="8.5703125" style="1983" customWidth="1"/>
    <col min="4359" max="4359" width="8.85546875" style="1983" customWidth="1"/>
    <col min="4360" max="4360" width="8.5703125" style="1983" customWidth="1"/>
    <col min="4361" max="4361" width="8" style="1983" customWidth="1"/>
    <col min="4362" max="4362" width="8.7109375" style="1983" customWidth="1"/>
    <col min="4363" max="4363" width="13.42578125" style="1983" customWidth="1"/>
    <col min="4364" max="4364" width="10.42578125" style="1983" customWidth="1"/>
    <col min="4365" max="4365" width="9.140625" style="1983"/>
    <col min="4366" max="4366" width="14.5703125" style="1983" bestFit="1" customWidth="1"/>
    <col min="4367" max="4367" width="9.140625" style="1983"/>
    <col min="4368" max="4368" width="14.5703125" style="1983" bestFit="1" customWidth="1"/>
    <col min="4369" max="4608" width="9.140625" style="1983"/>
    <col min="4609" max="4609" width="11.28515625" style="1983" customWidth="1"/>
    <col min="4610" max="4611" width="9.140625" style="1983"/>
    <col min="4612" max="4612" width="9.85546875" style="1983" customWidth="1"/>
    <col min="4613" max="4613" width="8" style="1983" customWidth="1"/>
    <col min="4614" max="4614" width="8.5703125" style="1983" customWidth="1"/>
    <col min="4615" max="4615" width="8.85546875" style="1983" customWidth="1"/>
    <col min="4616" max="4616" width="8.5703125" style="1983" customWidth="1"/>
    <col min="4617" max="4617" width="8" style="1983" customWidth="1"/>
    <col min="4618" max="4618" width="8.7109375" style="1983" customWidth="1"/>
    <col min="4619" max="4619" width="13.42578125" style="1983" customWidth="1"/>
    <col min="4620" max="4620" width="10.42578125" style="1983" customWidth="1"/>
    <col min="4621" max="4621" width="9.140625" style="1983"/>
    <col min="4622" max="4622" width="14.5703125" style="1983" bestFit="1" customWidth="1"/>
    <col min="4623" max="4623" width="9.140625" style="1983"/>
    <col min="4624" max="4624" width="14.5703125" style="1983" bestFit="1" customWidth="1"/>
    <col min="4625" max="4864" width="9.140625" style="1983"/>
    <col min="4865" max="4865" width="11.28515625" style="1983" customWidth="1"/>
    <col min="4866" max="4867" width="9.140625" style="1983"/>
    <col min="4868" max="4868" width="9.85546875" style="1983" customWidth="1"/>
    <col min="4869" max="4869" width="8" style="1983" customWidth="1"/>
    <col min="4870" max="4870" width="8.5703125" style="1983" customWidth="1"/>
    <col min="4871" max="4871" width="8.85546875" style="1983" customWidth="1"/>
    <col min="4872" max="4872" width="8.5703125" style="1983" customWidth="1"/>
    <col min="4873" max="4873" width="8" style="1983" customWidth="1"/>
    <col min="4874" max="4874" width="8.7109375" style="1983" customWidth="1"/>
    <col min="4875" max="4875" width="13.42578125" style="1983" customWidth="1"/>
    <col min="4876" max="4876" width="10.42578125" style="1983" customWidth="1"/>
    <col min="4877" max="4877" width="9.140625" style="1983"/>
    <col min="4878" max="4878" width="14.5703125" style="1983" bestFit="1" customWidth="1"/>
    <col min="4879" max="4879" width="9.140625" style="1983"/>
    <col min="4880" max="4880" width="14.5703125" style="1983" bestFit="1" customWidth="1"/>
    <col min="4881" max="5120" width="9.140625" style="1983"/>
    <col min="5121" max="5121" width="11.28515625" style="1983" customWidth="1"/>
    <col min="5122" max="5123" width="9.140625" style="1983"/>
    <col min="5124" max="5124" width="9.85546875" style="1983" customWidth="1"/>
    <col min="5125" max="5125" width="8" style="1983" customWidth="1"/>
    <col min="5126" max="5126" width="8.5703125" style="1983" customWidth="1"/>
    <col min="5127" max="5127" width="8.85546875" style="1983" customWidth="1"/>
    <col min="5128" max="5128" width="8.5703125" style="1983" customWidth="1"/>
    <col min="5129" max="5129" width="8" style="1983" customWidth="1"/>
    <col min="5130" max="5130" width="8.7109375" style="1983" customWidth="1"/>
    <col min="5131" max="5131" width="13.42578125" style="1983" customWidth="1"/>
    <col min="5132" max="5132" width="10.42578125" style="1983" customWidth="1"/>
    <col min="5133" max="5133" width="9.140625" style="1983"/>
    <col min="5134" max="5134" width="14.5703125" style="1983" bestFit="1" customWidth="1"/>
    <col min="5135" max="5135" width="9.140625" style="1983"/>
    <col min="5136" max="5136" width="14.5703125" style="1983" bestFit="1" customWidth="1"/>
    <col min="5137" max="5376" width="9.140625" style="1983"/>
    <col min="5377" max="5377" width="11.28515625" style="1983" customWidth="1"/>
    <col min="5378" max="5379" width="9.140625" style="1983"/>
    <col min="5380" max="5380" width="9.85546875" style="1983" customWidth="1"/>
    <col min="5381" max="5381" width="8" style="1983" customWidth="1"/>
    <col min="5382" max="5382" width="8.5703125" style="1983" customWidth="1"/>
    <col min="5383" max="5383" width="8.85546875" style="1983" customWidth="1"/>
    <col min="5384" max="5384" width="8.5703125" style="1983" customWidth="1"/>
    <col min="5385" max="5385" width="8" style="1983" customWidth="1"/>
    <col min="5386" max="5386" width="8.7109375" style="1983" customWidth="1"/>
    <col min="5387" max="5387" width="13.42578125" style="1983" customWidth="1"/>
    <col min="5388" max="5388" width="10.42578125" style="1983" customWidth="1"/>
    <col min="5389" max="5389" width="9.140625" style="1983"/>
    <col min="5390" max="5390" width="14.5703125" style="1983" bestFit="1" customWidth="1"/>
    <col min="5391" max="5391" width="9.140625" style="1983"/>
    <col min="5392" max="5392" width="14.5703125" style="1983" bestFit="1" customWidth="1"/>
    <col min="5393" max="5632" width="9.140625" style="1983"/>
    <col min="5633" max="5633" width="11.28515625" style="1983" customWidth="1"/>
    <col min="5634" max="5635" width="9.140625" style="1983"/>
    <col min="5636" max="5636" width="9.85546875" style="1983" customWidth="1"/>
    <col min="5637" max="5637" width="8" style="1983" customWidth="1"/>
    <col min="5638" max="5638" width="8.5703125" style="1983" customWidth="1"/>
    <col min="5639" max="5639" width="8.85546875" style="1983" customWidth="1"/>
    <col min="5640" max="5640" width="8.5703125" style="1983" customWidth="1"/>
    <col min="5641" max="5641" width="8" style="1983" customWidth="1"/>
    <col min="5642" max="5642" width="8.7109375" style="1983" customWidth="1"/>
    <col min="5643" max="5643" width="13.42578125" style="1983" customWidth="1"/>
    <col min="5644" max="5644" width="10.42578125" style="1983" customWidth="1"/>
    <col min="5645" max="5645" width="9.140625" style="1983"/>
    <col min="5646" max="5646" width="14.5703125" style="1983" bestFit="1" customWidth="1"/>
    <col min="5647" max="5647" width="9.140625" style="1983"/>
    <col min="5648" max="5648" width="14.5703125" style="1983" bestFit="1" customWidth="1"/>
    <col min="5649" max="5888" width="9.140625" style="1983"/>
    <col min="5889" max="5889" width="11.28515625" style="1983" customWidth="1"/>
    <col min="5890" max="5891" width="9.140625" style="1983"/>
    <col min="5892" max="5892" width="9.85546875" style="1983" customWidth="1"/>
    <col min="5893" max="5893" width="8" style="1983" customWidth="1"/>
    <col min="5894" max="5894" width="8.5703125" style="1983" customWidth="1"/>
    <col min="5895" max="5895" width="8.85546875" style="1983" customWidth="1"/>
    <col min="5896" max="5896" width="8.5703125" style="1983" customWidth="1"/>
    <col min="5897" max="5897" width="8" style="1983" customWidth="1"/>
    <col min="5898" max="5898" width="8.7109375" style="1983" customWidth="1"/>
    <col min="5899" max="5899" width="13.42578125" style="1983" customWidth="1"/>
    <col min="5900" max="5900" width="10.42578125" style="1983" customWidth="1"/>
    <col min="5901" max="5901" width="9.140625" style="1983"/>
    <col min="5902" max="5902" width="14.5703125" style="1983" bestFit="1" customWidth="1"/>
    <col min="5903" max="5903" width="9.140625" style="1983"/>
    <col min="5904" max="5904" width="14.5703125" style="1983" bestFit="1" customWidth="1"/>
    <col min="5905" max="6144" width="9.140625" style="1983"/>
    <col min="6145" max="6145" width="11.28515625" style="1983" customWidth="1"/>
    <col min="6146" max="6147" width="9.140625" style="1983"/>
    <col min="6148" max="6148" width="9.85546875" style="1983" customWidth="1"/>
    <col min="6149" max="6149" width="8" style="1983" customWidth="1"/>
    <col min="6150" max="6150" width="8.5703125" style="1983" customWidth="1"/>
    <col min="6151" max="6151" width="8.85546875" style="1983" customWidth="1"/>
    <col min="6152" max="6152" width="8.5703125" style="1983" customWidth="1"/>
    <col min="6153" max="6153" width="8" style="1983" customWidth="1"/>
    <col min="6154" max="6154" width="8.7109375" style="1983" customWidth="1"/>
    <col min="6155" max="6155" width="13.42578125" style="1983" customWidth="1"/>
    <col min="6156" max="6156" width="10.42578125" style="1983" customWidth="1"/>
    <col min="6157" max="6157" width="9.140625" style="1983"/>
    <col min="6158" max="6158" width="14.5703125" style="1983" bestFit="1" customWidth="1"/>
    <col min="6159" max="6159" width="9.140625" style="1983"/>
    <col min="6160" max="6160" width="14.5703125" style="1983" bestFit="1" customWidth="1"/>
    <col min="6161" max="6400" width="9.140625" style="1983"/>
    <col min="6401" max="6401" width="11.28515625" style="1983" customWidth="1"/>
    <col min="6402" max="6403" width="9.140625" style="1983"/>
    <col min="6404" max="6404" width="9.85546875" style="1983" customWidth="1"/>
    <col min="6405" max="6405" width="8" style="1983" customWidth="1"/>
    <col min="6406" max="6406" width="8.5703125" style="1983" customWidth="1"/>
    <col min="6407" max="6407" width="8.85546875" style="1983" customWidth="1"/>
    <col min="6408" max="6408" width="8.5703125" style="1983" customWidth="1"/>
    <col min="6409" max="6409" width="8" style="1983" customWidth="1"/>
    <col min="6410" max="6410" width="8.7109375" style="1983" customWidth="1"/>
    <col min="6411" max="6411" width="13.42578125" style="1983" customWidth="1"/>
    <col min="6412" max="6412" width="10.42578125" style="1983" customWidth="1"/>
    <col min="6413" max="6413" width="9.140625" style="1983"/>
    <col min="6414" max="6414" width="14.5703125" style="1983" bestFit="1" customWidth="1"/>
    <col min="6415" max="6415" width="9.140625" style="1983"/>
    <col min="6416" max="6416" width="14.5703125" style="1983" bestFit="1" customWidth="1"/>
    <col min="6417" max="6656" width="9.140625" style="1983"/>
    <col min="6657" max="6657" width="11.28515625" style="1983" customWidth="1"/>
    <col min="6658" max="6659" width="9.140625" style="1983"/>
    <col min="6660" max="6660" width="9.85546875" style="1983" customWidth="1"/>
    <col min="6661" max="6661" width="8" style="1983" customWidth="1"/>
    <col min="6662" max="6662" width="8.5703125" style="1983" customWidth="1"/>
    <col min="6663" max="6663" width="8.85546875" style="1983" customWidth="1"/>
    <col min="6664" max="6664" width="8.5703125" style="1983" customWidth="1"/>
    <col min="6665" max="6665" width="8" style="1983" customWidth="1"/>
    <col min="6666" max="6666" width="8.7109375" style="1983" customWidth="1"/>
    <col min="6667" max="6667" width="13.42578125" style="1983" customWidth="1"/>
    <col min="6668" max="6668" width="10.42578125" style="1983" customWidth="1"/>
    <col min="6669" max="6669" width="9.140625" style="1983"/>
    <col min="6670" max="6670" width="14.5703125" style="1983" bestFit="1" customWidth="1"/>
    <col min="6671" max="6671" width="9.140625" style="1983"/>
    <col min="6672" max="6672" width="14.5703125" style="1983" bestFit="1" customWidth="1"/>
    <col min="6673" max="6912" width="9.140625" style="1983"/>
    <col min="6913" max="6913" width="11.28515625" style="1983" customWidth="1"/>
    <col min="6914" max="6915" width="9.140625" style="1983"/>
    <col min="6916" max="6916" width="9.85546875" style="1983" customWidth="1"/>
    <col min="6917" max="6917" width="8" style="1983" customWidth="1"/>
    <col min="6918" max="6918" width="8.5703125" style="1983" customWidth="1"/>
    <col min="6919" max="6919" width="8.85546875" style="1983" customWidth="1"/>
    <col min="6920" max="6920" width="8.5703125" style="1983" customWidth="1"/>
    <col min="6921" max="6921" width="8" style="1983" customWidth="1"/>
    <col min="6922" max="6922" width="8.7109375" style="1983" customWidth="1"/>
    <col min="6923" max="6923" width="13.42578125" style="1983" customWidth="1"/>
    <col min="6924" max="6924" width="10.42578125" style="1983" customWidth="1"/>
    <col min="6925" max="6925" width="9.140625" style="1983"/>
    <col min="6926" max="6926" width="14.5703125" style="1983" bestFit="1" customWidth="1"/>
    <col min="6927" max="6927" width="9.140625" style="1983"/>
    <col min="6928" max="6928" width="14.5703125" style="1983" bestFit="1" customWidth="1"/>
    <col min="6929" max="7168" width="9.140625" style="1983"/>
    <col min="7169" max="7169" width="11.28515625" style="1983" customWidth="1"/>
    <col min="7170" max="7171" width="9.140625" style="1983"/>
    <col min="7172" max="7172" width="9.85546875" style="1983" customWidth="1"/>
    <col min="7173" max="7173" width="8" style="1983" customWidth="1"/>
    <col min="7174" max="7174" width="8.5703125" style="1983" customWidth="1"/>
    <col min="7175" max="7175" width="8.85546875" style="1983" customWidth="1"/>
    <col min="7176" max="7176" width="8.5703125" style="1983" customWidth="1"/>
    <col min="7177" max="7177" width="8" style="1983" customWidth="1"/>
    <col min="7178" max="7178" width="8.7109375" style="1983" customWidth="1"/>
    <col min="7179" max="7179" width="13.42578125" style="1983" customWidth="1"/>
    <col min="7180" max="7180" width="10.42578125" style="1983" customWidth="1"/>
    <col min="7181" max="7181" width="9.140625" style="1983"/>
    <col min="7182" max="7182" width="14.5703125" style="1983" bestFit="1" customWidth="1"/>
    <col min="7183" max="7183" width="9.140625" style="1983"/>
    <col min="7184" max="7184" width="14.5703125" style="1983" bestFit="1" customWidth="1"/>
    <col min="7185" max="7424" width="9.140625" style="1983"/>
    <col min="7425" max="7425" width="11.28515625" style="1983" customWidth="1"/>
    <col min="7426" max="7427" width="9.140625" style="1983"/>
    <col min="7428" max="7428" width="9.85546875" style="1983" customWidth="1"/>
    <col min="7429" max="7429" width="8" style="1983" customWidth="1"/>
    <col min="7430" max="7430" width="8.5703125" style="1983" customWidth="1"/>
    <col min="7431" max="7431" width="8.85546875" style="1983" customWidth="1"/>
    <col min="7432" max="7432" width="8.5703125" style="1983" customWidth="1"/>
    <col min="7433" max="7433" width="8" style="1983" customWidth="1"/>
    <col min="7434" max="7434" width="8.7109375" style="1983" customWidth="1"/>
    <col min="7435" max="7435" width="13.42578125" style="1983" customWidth="1"/>
    <col min="7436" max="7436" width="10.42578125" style="1983" customWidth="1"/>
    <col min="7437" max="7437" width="9.140625" style="1983"/>
    <col min="7438" max="7438" width="14.5703125" style="1983" bestFit="1" customWidth="1"/>
    <col min="7439" max="7439" width="9.140625" style="1983"/>
    <col min="7440" max="7440" width="14.5703125" style="1983" bestFit="1" customWidth="1"/>
    <col min="7441" max="7680" width="9.140625" style="1983"/>
    <col min="7681" max="7681" width="11.28515625" style="1983" customWidth="1"/>
    <col min="7682" max="7683" width="9.140625" style="1983"/>
    <col min="7684" max="7684" width="9.85546875" style="1983" customWidth="1"/>
    <col min="7685" max="7685" width="8" style="1983" customWidth="1"/>
    <col min="7686" max="7686" width="8.5703125" style="1983" customWidth="1"/>
    <col min="7687" max="7687" width="8.85546875" style="1983" customWidth="1"/>
    <col min="7688" max="7688" width="8.5703125" style="1983" customWidth="1"/>
    <col min="7689" max="7689" width="8" style="1983" customWidth="1"/>
    <col min="7690" max="7690" width="8.7109375" style="1983" customWidth="1"/>
    <col min="7691" max="7691" width="13.42578125" style="1983" customWidth="1"/>
    <col min="7692" max="7692" width="10.42578125" style="1983" customWidth="1"/>
    <col min="7693" max="7693" width="9.140625" style="1983"/>
    <col min="7694" max="7694" width="14.5703125" style="1983" bestFit="1" customWidth="1"/>
    <col min="7695" max="7695" width="9.140625" style="1983"/>
    <col min="7696" max="7696" width="14.5703125" style="1983" bestFit="1" customWidth="1"/>
    <col min="7697" max="7936" width="9.140625" style="1983"/>
    <col min="7937" max="7937" width="11.28515625" style="1983" customWidth="1"/>
    <col min="7938" max="7939" width="9.140625" style="1983"/>
    <col min="7940" max="7940" width="9.85546875" style="1983" customWidth="1"/>
    <col min="7941" max="7941" width="8" style="1983" customWidth="1"/>
    <col min="7942" max="7942" width="8.5703125" style="1983" customWidth="1"/>
    <col min="7943" max="7943" width="8.85546875" style="1983" customWidth="1"/>
    <col min="7944" max="7944" width="8.5703125" style="1983" customWidth="1"/>
    <col min="7945" max="7945" width="8" style="1983" customWidth="1"/>
    <col min="7946" max="7946" width="8.7109375" style="1983" customWidth="1"/>
    <col min="7947" max="7947" width="13.42578125" style="1983" customWidth="1"/>
    <col min="7948" max="7948" width="10.42578125" style="1983" customWidth="1"/>
    <col min="7949" max="7949" width="9.140625" style="1983"/>
    <col min="7950" max="7950" width="14.5703125" style="1983" bestFit="1" customWidth="1"/>
    <col min="7951" max="7951" width="9.140625" style="1983"/>
    <col min="7952" max="7952" width="14.5703125" style="1983" bestFit="1" customWidth="1"/>
    <col min="7953" max="8192" width="9.140625" style="1983"/>
    <col min="8193" max="8193" width="11.28515625" style="1983" customWidth="1"/>
    <col min="8194" max="8195" width="9.140625" style="1983"/>
    <col min="8196" max="8196" width="9.85546875" style="1983" customWidth="1"/>
    <col min="8197" max="8197" width="8" style="1983" customWidth="1"/>
    <col min="8198" max="8198" width="8.5703125" style="1983" customWidth="1"/>
    <col min="8199" max="8199" width="8.85546875" style="1983" customWidth="1"/>
    <col min="8200" max="8200" width="8.5703125" style="1983" customWidth="1"/>
    <col min="8201" max="8201" width="8" style="1983" customWidth="1"/>
    <col min="8202" max="8202" width="8.7109375" style="1983" customWidth="1"/>
    <col min="8203" max="8203" width="13.42578125" style="1983" customWidth="1"/>
    <col min="8204" max="8204" width="10.42578125" style="1983" customWidth="1"/>
    <col min="8205" max="8205" width="9.140625" style="1983"/>
    <col min="8206" max="8206" width="14.5703125" style="1983" bestFit="1" customWidth="1"/>
    <col min="8207" max="8207" width="9.140625" style="1983"/>
    <col min="8208" max="8208" width="14.5703125" style="1983" bestFit="1" customWidth="1"/>
    <col min="8209" max="8448" width="9.140625" style="1983"/>
    <col min="8449" max="8449" width="11.28515625" style="1983" customWidth="1"/>
    <col min="8450" max="8451" width="9.140625" style="1983"/>
    <col min="8452" max="8452" width="9.85546875" style="1983" customWidth="1"/>
    <col min="8453" max="8453" width="8" style="1983" customWidth="1"/>
    <col min="8454" max="8454" width="8.5703125" style="1983" customWidth="1"/>
    <col min="8455" max="8455" width="8.85546875" style="1983" customWidth="1"/>
    <col min="8456" max="8456" width="8.5703125" style="1983" customWidth="1"/>
    <col min="8457" max="8457" width="8" style="1983" customWidth="1"/>
    <col min="8458" max="8458" width="8.7109375" style="1983" customWidth="1"/>
    <col min="8459" max="8459" width="13.42578125" style="1983" customWidth="1"/>
    <col min="8460" max="8460" width="10.42578125" style="1983" customWidth="1"/>
    <col min="8461" max="8461" width="9.140625" style="1983"/>
    <col min="8462" max="8462" width="14.5703125" style="1983" bestFit="1" customWidth="1"/>
    <col min="8463" max="8463" width="9.140625" style="1983"/>
    <col min="8464" max="8464" width="14.5703125" style="1983" bestFit="1" customWidth="1"/>
    <col min="8465" max="8704" width="9.140625" style="1983"/>
    <col min="8705" max="8705" width="11.28515625" style="1983" customWidth="1"/>
    <col min="8706" max="8707" width="9.140625" style="1983"/>
    <col min="8708" max="8708" width="9.85546875" style="1983" customWidth="1"/>
    <col min="8709" max="8709" width="8" style="1983" customWidth="1"/>
    <col min="8710" max="8710" width="8.5703125" style="1983" customWidth="1"/>
    <col min="8711" max="8711" width="8.85546875" style="1983" customWidth="1"/>
    <col min="8712" max="8712" width="8.5703125" style="1983" customWidth="1"/>
    <col min="8713" max="8713" width="8" style="1983" customWidth="1"/>
    <col min="8714" max="8714" width="8.7109375" style="1983" customWidth="1"/>
    <col min="8715" max="8715" width="13.42578125" style="1983" customWidth="1"/>
    <col min="8716" max="8716" width="10.42578125" style="1983" customWidth="1"/>
    <col min="8717" max="8717" width="9.140625" style="1983"/>
    <col min="8718" max="8718" width="14.5703125" style="1983" bestFit="1" customWidth="1"/>
    <col min="8719" max="8719" width="9.140625" style="1983"/>
    <col min="8720" max="8720" width="14.5703125" style="1983" bestFit="1" customWidth="1"/>
    <col min="8721" max="8960" width="9.140625" style="1983"/>
    <col min="8961" max="8961" width="11.28515625" style="1983" customWidth="1"/>
    <col min="8962" max="8963" width="9.140625" style="1983"/>
    <col min="8964" max="8964" width="9.85546875" style="1983" customWidth="1"/>
    <col min="8965" max="8965" width="8" style="1983" customWidth="1"/>
    <col min="8966" max="8966" width="8.5703125" style="1983" customWidth="1"/>
    <col min="8967" max="8967" width="8.85546875" style="1983" customWidth="1"/>
    <col min="8968" max="8968" width="8.5703125" style="1983" customWidth="1"/>
    <col min="8969" max="8969" width="8" style="1983" customWidth="1"/>
    <col min="8970" max="8970" width="8.7109375" style="1983" customWidth="1"/>
    <col min="8971" max="8971" width="13.42578125" style="1983" customWidth="1"/>
    <col min="8972" max="8972" width="10.42578125" style="1983" customWidth="1"/>
    <col min="8973" max="8973" width="9.140625" style="1983"/>
    <col min="8974" max="8974" width="14.5703125" style="1983" bestFit="1" customWidth="1"/>
    <col min="8975" max="8975" width="9.140625" style="1983"/>
    <col min="8976" max="8976" width="14.5703125" style="1983" bestFit="1" customWidth="1"/>
    <col min="8977" max="9216" width="9.140625" style="1983"/>
    <col min="9217" max="9217" width="11.28515625" style="1983" customWidth="1"/>
    <col min="9218" max="9219" width="9.140625" style="1983"/>
    <col min="9220" max="9220" width="9.85546875" style="1983" customWidth="1"/>
    <col min="9221" max="9221" width="8" style="1983" customWidth="1"/>
    <col min="9222" max="9222" width="8.5703125" style="1983" customWidth="1"/>
    <col min="9223" max="9223" width="8.85546875" style="1983" customWidth="1"/>
    <col min="9224" max="9224" width="8.5703125" style="1983" customWidth="1"/>
    <col min="9225" max="9225" width="8" style="1983" customWidth="1"/>
    <col min="9226" max="9226" width="8.7109375" style="1983" customWidth="1"/>
    <col min="9227" max="9227" width="13.42578125" style="1983" customWidth="1"/>
    <col min="9228" max="9228" width="10.42578125" style="1983" customWidth="1"/>
    <col min="9229" max="9229" width="9.140625" style="1983"/>
    <col min="9230" max="9230" width="14.5703125" style="1983" bestFit="1" customWidth="1"/>
    <col min="9231" max="9231" width="9.140625" style="1983"/>
    <col min="9232" max="9232" width="14.5703125" style="1983" bestFit="1" customWidth="1"/>
    <col min="9233" max="9472" width="9.140625" style="1983"/>
    <col min="9473" max="9473" width="11.28515625" style="1983" customWidth="1"/>
    <col min="9474" max="9475" width="9.140625" style="1983"/>
    <col min="9476" max="9476" width="9.85546875" style="1983" customWidth="1"/>
    <col min="9477" max="9477" width="8" style="1983" customWidth="1"/>
    <col min="9478" max="9478" width="8.5703125" style="1983" customWidth="1"/>
    <col min="9479" max="9479" width="8.85546875" style="1983" customWidth="1"/>
    <col min="9480" max="9480" width="8.5703125" style="1983" customWidth="1"/>
    <col min="9481" max="9481" width="8" style="1983" customWidth="1"/>
    <col min="9482" max="9482" width="8.7109375" style="1983" customWidth="1"/>
    <col min="9483" max="9483" width="13.42578125" style="1983" customWidth="1"/>
    <col min="9484" max="9484" width="10.42578125" style="1983" customWidth="1"/>
    <col min="9485" max="9485" width="9.140625" style="1983"/>
    <col min="9486" max="9486" width="14.5703125" style="1983" bestFit="1" customWidth="1"/>
    <col min="9487" max="9487" width="9.140625" style="1983"/>
    <col min="9488" max="9488" width="14.5703125" style="1983" bestFit="1" customWidth="1"/>
    <col min="9489" max="9728" width="9.140625" style="1983"/>
    <col min="9729" max="9729" width="11.28515625" style="1983" customWidth="1"/>
    <col min="9730" max="9731" width="9.140625" style="1983"/>
    <col min="9732" max="9732" width="9.85546875" style="1983" customWidth="1"/>
    <col min="9733" max="9733" width="8" style="1983" customWidth="1"/>
    <col min="9734" max="9734" width="8.5703125" style="1983" customWidth="1"/>
    <col min="9735" max="9735" width="8.85546875" style="1983" customWidth="1"/>
    <col min="9736" max="9736" width="8.5703125" style="1983" customWidth="1"/>
    <col min="9737" max="9737" width="8" style="1983" customWidth="1"/>
    <col min="9738" max="9738" width="8.7109375" style="1983" customWidth="1"/>
    <col min="9739" max="9739" width="13.42578125" style="1983" customWidth="1"/>
    <col min="9740" max="9740" width="10.42578125" style="1983" customWidth="1"/>
    <col min="9741" max="9741" width="9.140625" style="1983"/>
    <col min="9742" max="9742" width="14.5703125" style="1983" bestFit="1" customWidth="1"/>
    <col min="9743" max="9743" width="9.140625" style="1983"/>
    <col min="9744" max="9744" width="14.5703125" style="1983" bestFit="1" customWidth="1"/>
    <col min="9745" max="9984" width="9.140625" style="1983"/>
    <col min="9985" max="9985" width="11.28515625" style="1983" customWidth="1"/>
    <col min="9986" max="9987" width="9.140625" style="1983"/>
    <col min="9988" max="9988" width="9.85546875" style="1983" customWidth="1"/>
    <col min="9989" max="9989" width="8" style="1983" customWidth="1"/>
    <col min="9990" max="9990" width="8.5703125" style="1983" customWidth="1"/>
    <col min="9991" max="9991" width="8.85546875" style="1983" customWidth="1"/>
    <col min="9992" max="9992" width="8.5703125" style="1983" customWidth="1"/>
    <col min="9993" max="9993" width="8" style="1983" customWidth="1"/>
    <col min="9994" max="9994" width="8.7109375" style="1983" customWidth="1"/>
    <col min="9995" max="9995" width="13.42578125" style="1983" customWidth="1"/>
    <col min="9996" max="9996" width="10.42578125" style="1983" customWidth="1"/>
    <col min="9997" max="9997" width="9.140625" style="1983"/>
    <col min="9998" max="9998" width="14.5703125" style="1983" bestFit="1" customWidth="1"/>
    <col min="9999" max="9999" width="9.140625" style="1983"/>
    <col min="10000" max="10000" width="14.5703125" style="1983" bestFit="1" customWidth="1"/>
    <col min="10001" max="10240" width="9.140625" style="1983"/>
    <col min="10241" max="10241" width="11.28515625" style="1983" customWidth="1"/>
    <col min="10242" max="10243" width="9.140625" style="1983"/>
    <col min="10244" max="10244" width="9.85546875" style="1983" customWidth="1"/>
    <col min="10245" max="10245" width="8" style="1983" customWidth="1"/>
    <col min="10246" max="10246" width="8.5703125" style="1983" customWidth="1"/>
    <col min="10247" max="10247" width="8.85546875" style="1983" customWidth="1"/>
    <col min="10248" max="10248" width="8.5703125" style="1983" customWidth="1"/>
    <col min="10249" max="10249" width="8" style="1983" customWidth="1"/>
    <col min="10250" max="10250" width="8.7109375" style="1983" customWidth="1"/>
    <col min="10251" max="10251" width="13.42578125" style="1983" customWidth="1"/>
    <col min="10252" max="10252" width="10.42578125" style="1983" customWidth="1"/>
    <col min="10253" max="10253" width="9.140625" style="1983"/>
    <col min="10254" max="10254" width="14.5703125" style="1983" bestFit="1" customWidth="1"/>
    <col min="10255" max="10255" width="9.140625" style="1983"/>
    <col min="10256" max="10256" width="14.5703125" style="1983" bestFit="1" customWidth="1"/>
    <col min="10257" max="10496" width="9.140625" style="1983"/>
    <col min="10497" max="10497" width="11.28515625" style="1983" customWidth="1"/>
    <col min="10498" max="10499" width="9.140625" style="1983"/>
    <col min="10500" max="10500" width="9.85546875" style="1983" customWidth="1"/>
    <col min="10501" max="10501" width="8" style="1983" customWidth="1"/>
    <col min="10502" max="10502" width="8.5703125" style="1983" customWidth="1"/>
    <col min="10503" max="10503" width="8.85546875" style="1983" customWidth="1"/>
    <col min="10504" max="10504" width="8.5703125" style="1983" customWidth="1"/>
    <col min="10505" max="10505" width="8" style="1983" customWidth="1"/>
    <col min="10506" max="10506" width="8.7109375" style="1983" customWidth="1"/>
    <col min="10507" max="10507" width="13.42578125" style="1983" customWidth="1"/>
    <col min="10508" max="10508" width="10.42578125" style="1983" customWidth="1"/>
    <col min="10509" max="10509" width="9.140625" style="1983"/>
    <col min="10510" max="10510" width="14.5703125" style="1983" bestFit="1" customWidth="1"/>
    <col min="10511" max="10511" width="9.140625" style="1983"/>
    <col min="10512" max="10512" width="14.5703125" style="1983" bestFit="1" customWidth="1"/>
    <col min="10513" max="10752" width="9.140625" style="1983"/>
    <col min="10753" max="10753" width="11.28515625" style="1983" customWidth="1"/>
    <col min="10754" max="10755" width="9.140625" style="1983"/>
    <col min="10756" max="10756" width="9.85546875" style="1983" customWidth="1"/>
    <col min="10757" max="10757" width="8" style="1983" customWidth="1"/>
    <col min="10758" max="10758" width="8.5703125" style="1983" customWidth="1"/>
    <col min="10759" max="10759" width="8.85546875" style="1983" customWidth="1"/>
    <col min="10760" max="10760" width="8.5703125" style="1983" customWidth="1"/>
    <col min="10761" max="10761" width="8" style="1983" customWidth="1"/>
    <col min="10762" max="10762" width="8.7109375" style="1983" customWidth="1"/>
    <col min="10763" max="10763" width="13.42578125" style="1983" customWidth="1"/>
    <col min="10764" max="10764" width="10.42578125" style="1983" customWidth="1"/>
    <col min="10765" max="10765" width="9.140625" style="1983"/>
    <col min="10766" max="10766" width="14.5703125" style="1983" bestFit="1" customWidth="1"/>
    <col min="10767" max="10767" width="9.140625" style="1983"/>
    <col min="10768" max="10768" width="14.5703125" style="1983" bestFit="1" customWidth="1"/>
    <col min="10769" max="11008" width="9.140625" style="1983"/>
    <col min="11009" max="11009" width="11.28515625" style="1983" customWidth="1"/>
    <col min="11010" max="11011" width="9.140625" style="1983"/>
    <col min="11012" max="11012" width="9.85546875" style="1983" customWidth="1"/>
    <col min="11013" max="11013" width="8" style="1983" customWidth="1"/>
    <col min="11014" max="11014" width="8.5703125" style="1983" customWidth="1"/>
    <col min="11015" max="11015" width="8.85546875" style="1983" customWidth="1"/>
    <col min="11016" max="11016" width="8.5703125" style="1983" customWidth="1"/>
    <col min="11017" max="11017" width="8" style="1983" customWidth="1"/>
    <col min="11018" max="11018" width="8.7109375" style="1983" customWidth="1"/>
    <col min="11019" max="11019" width="13.42578125" style="1983" customWidth="1"/>
    <col min="11020" max="11020" width="10.42578125" style="1983" customWidth="1"/>
    <col min="11021" max="11021" width="9.140625" style="1983"/>
    <col min="11022" max="11022" width="14.5703125" style="1983" bestFit="1" customWidth="1"/>
    <col min="11023" max="11023" width="9.140625" style="1983"/>
    <col min="11024" max="11024" width="14.5703125" style="1983" bestFit="1" customWidth="1"/>
    <col min="11025" max="11264" width="9.140625" style="1983"/>
    <col min="11265" max="11265" width="11.28515625" style="1983" customWidth="1"/>
    <col min="11266" max="11267" width="9.140625" style="1983"/>
    <col min="11268" max="11268" width="9.85546875" style="1983" customWidth="1"/>
    <col min="11269" max="11269" width="8" style="1983" customWidth="1"/>
    <col min="11270" max="11270" width="8.5703125" style="1983" customWidth="1"/>
    <col min="11271" max="11271" width="8.85546875" style="1983" customWidth="1"/>
    <col min="11272" max="11272" width="8.5703125" style="1983" customWidth="1"/>
    <col min="11273" max="11273" width="8" style="1983" customWidth="1"/>
    <col min="11274" max="11274" width="8.7109375" style="1983" customWidth="1"/>
    <col min="11275" max="11275" width="13.42578125" style="1983" customWidth="1"/>
    <col min="11276" max="11276" width="10.42578125" style="1983" customWidth="1"/>
    <col min="11277" max="11277" width="9.140625" style="1983"/>
    <col min="11278" max="11278" width="14.5703125" style="1983" bestFit="1" customWidth="1"/>
    <col min="11279" max="11279" width="9.140625" style="1983"/>
    <col min="11280" max="11280" width="14.5703125" style="1983" bestFit="1" customWidth="1"/>
    <col min="11281" max="11520" width="9.140625" style="1983"/>
    <col min="11521" max="11521" width="11.28515625" style="1983" customWidth="1"/>
    <col min="11522" max="11523" width="9.140625" style="1983"/>
    <col min="11524" max="11524" width="9.85546875" style="1983" customWidth="1"/>
    <col min="11525" max="11525" width="8" style="1983" customWidth="1"/>
    <col min="11526" max="11526" width="8.5703125" style="1983" customWidth="1"/>
    <col min="11527" max="11527" width="8.85546875" style="1983" customWidth="1"/>
    <col min="11528" max="11528" width="8.5703125" style="1983" customWidth="1"/>
    <col min="11529" max="11529" width="8" style="1983" customWidth="1"/>
    <col min="11530" max="11530" width="8.7109375" style="1983" customWidth="1"/>
    <col min="11531" max="11531" width="13.42578125" style="1983" customWidth="1"/>
    <col min="11532" max="11532" width="10.42578125" style="1983" customWidth="1"/>
    <col min="11533" max="11533" width="9.140625" style="1983"/>
    <col min="11534" max="11534" width="14.5703125" style="1983" bestFit="1" customWidth="1"/>
    <col min="11535" max="11535" width="9.140625" style="1983"/>
    <col min="11536" max="11536" width="14.5703125" style="1983" bestFit="1" customWidth="1"/>
    <col min="11537" max="11776" width="9.140625" style="1983"/>
    <col min="11777" max="11777" width="11.28515625" style="1983" customWidth="1"/>
    <col min="11778" max="11779" width="9.140625" style="1983"/>
    <col min="11780" max="11780" width="9.85546875" style="1983" customWidth="1"/>
    <col min="11781" max="11781" width="8" style="1983" customWidth="1"/>
    <col min="11782" max="11782" width="8.5703125" style="1983" customWidth="1"/>
    <col min="11783" max="11783" width="8.85546875" style="1983" customWidth="1"/>
    <col min="11784" max="11784" width="8.5703125" style="1983" customWidth="1"/>
    <col min="11785" max="11785" width="8" style="1983" customWidth="1"/>
    <col min="11786" max="11786" width="8.7109375" style="1983" customWidth="1"/>
    <col min="11787" max="11787" width="13.42578125" style="1983" customWidth="1"/>
    <col min="11788" max="11788" width="10.42578125" style="1983" customWidth="1"/>
    <col min="11789" max="11789" width="9.140625" style="1983"/>
    <col min="11790" max="11790" width="14.5703125" style="1983" bestFit="1" customWidth="1"/>
    <col min="11791" max="11791" width="9.140625" style="1983"/>
    <col min="11792" max="11792" width="14.5703125" style="1983" bestFit="1" customWidth="1"/>
    <col min="11793" max="12032" width="9.140625" style="1983"/>
    <col min="12033" max="12033" width="11.28515625" style="1983" customWidth="1"/>
    <col min="12034" max="12035" width="9.140625" style="1983"/>
    <col min="12036" max="12036" width="9.85546875" style="1983" customWidth="1"/>
    <col min="12037" max="12037" width="8" style="1983" customWidth="1"/>
    <col min="12038" max="12038" width="8.5703125" style="1983" customWidth="1"/>
    <col min="12039" max="12039" width="8.85546875" style="1983" customWidth="1"/>
    <col min="12040" max="12040" width="8.5703125" style="1983" customWidth="1"/>
    <col min="12041" max="12041" width="8" style="1983" customWidth="1"/>
    <col min="12042" max="12042" width="8.7109375" style="1983" customWidth="1"/>
    <col min="12043" max="12043" width="13.42578125" style="1983" customWidth="1"/>
    <col min="12044" max="12044" width="10.42578125" style="1983" customWidth="1"/>
    <col min="12045" max="12045" width="9.140625" style="1983"/>
    <col min="12046" max="12046" width="14.5703125" style="1983" bestFit="1" customWidth="1"/>
    <col min="12047" max="12047" width="9.140625" style="1983"/>
    <col min="12048" max="12048" width="14.5703125" style="1983" bestFit="1" customWidth="1"/>
    <col min="12049" max="12288" width="9.140625" style="1983"/>
    <col min="12289" max="12289" width="11.28515625" style="1983" customWidth="1"/>
    <col min="12290" max="12291" width="9.140625" style="1983"/>
    <col min="12292" max="12292" width="9.85546875" style="1983" customWidth="1"/>
    <col min="12293" max="12293" width="8" style="1983" customWidth="1"/>
    <col min="12294" max="12294" width="8.5703125" style="1983" customWidth="1"/>
    <col min="12295" max="12295" width="8.85546875" style="1983" customWidth="1"/>
    <col min="12296" max="12296" width="8.5703125" style="1983" customWidth="1"/>
    <col min="12297" max="12297" width="8" style="1983" customWidth="1"/>
    <col min="12298" max="12298" width="8.7109375" style="1983" customWidth="1"/>
    <col min="12299" max="12299" width="13.42578125" style="1983" customWidth="1"/>
    <col min="12300" max="12300" width="10.42578125" style="1983" customWidth="1"/>
    <col min="12301" max="12301" width="9.140625" style="1983"/>
    <col min="12302" max="12302" width="14.5703125" style="1983" bestFit="1" customWidth="1"/>
    <col min="12303" max="12303" width="9.140625" style="1983"/>
    <col min="12304" max="12304" width="14.5703125" style="1983" bestFit="1" customWidth="1"/>
    <col min="12305" max="12544" width="9.140625" style="1983"/>
    <col min="12545" max="12545" width="11.28515625" style="1983" customWidth="1"/>
    <col min="12546" max="12547" width="9.140625" style="1983"/>
    <col min="12548" max="12548" width="9.85546875" style="1983" customWidth="1"/>
    <col min="12549" max="12549" width="8" style="1983" customWidth="1"/>
    <col min="12550" max="12550" width="8.5703125" style="1983" customWidth="1"/>
    <col min="12551" max="12551" width="8.85546875" style="1983" customWidth="1"/>
    <col min="12552" max="12552" width="8.5703125" style="1983" customWidth="1"/>
    <col min="12553" max="12553" width="8" style="1983" customWidth="1"/>
    <col min="12554" max="12554" width="8.7109375" style="1983" customWidth="1"/>
    <col min="12555" max="12555" width="13.42578125" style="1983" customWidth="1"/>
    <col min="12556" max="12556" width="10.42578125" style="1983" customWidth="1"/>
    <col min="12557" max="12557" width="9.140625" style="1983"/>
    <col min="12558" max="12558" width="14.5703125" style="1983" bestFit="1" customWidth="1"/>
    <col min="12559" max="12559" width="9.140625" style="1983"/>
    <col min="12560" max="12560" width="14.5703125" style="1983" bestFit="1" customWidth="1"/>
    <col min="12561" max="12800" width="9.140625" style="1983"/>
    <col min="12801" max="12801" width="11.28515625" style="1983" customWidth="1"/>
    <col min="12802" max="12803" width="9.140625" style="1983"/>
    <col min="12804" max="12804" width="9.85546875" style="1983" customWidth="1"/>
    <col min="12805" max="12805" width="8" style="1983" customWidth="1"/>
    <col min="12806" max="12806" width="8.5703125" style="1983" customWidth="1"/>
    <col min="12807" max="12807" width="8.85546875" style="1983" customWidth="1"/>
    <col min="12808" max="12808" width="8.5703125" style="1983" customWidth="1"/>
    <col min="12809" max="12809" width="8" style="1983" customWidth="1"/>
    <col min="12810" max="12810" width="8.7109375" style="1983" customWidth="1"/>
    <col min="12811" max="12811" width="13.42578125" style="1983" customWidth="1"/>
    <col min="12812" max="12812" width="10.42578125" style="1983" customWidth="1"/>
    <col min="12813" max="12813" width="9.140625" style="1983"/>
    <col min="12814" max="12814" width="14.5703125" style="1983" bestFit="1" customWidth="1"/>
    <col min="12815" max="12815" width="9.140625" style="1983"/>
    <col min="12816" max="12816" width="14.5703125" style="1983" bestFit="1" customWidth="1"/>
    <col min="12817" max="13056" width="9.140625" style="1983"/>
    <col min="13057" max="13057" width="11.28515625" style="1983" customWidth="1"/>
    <col min="13058" max="13059" width="9.140625" style="1983"/>
    <col min="13060" max="13060" width="9.85546875" style="1983" customWidth="1"/>
    <col min="13061" max="13061" width="8" style="1983" customWidth="1"/>
    <col min="13062" max="13062" width="8.5703125" style="1983" customWidth="1"/>
    <col min="13063" max="13063" width="8.85546875" style="1983" customWidth="1"/>
    <col min="13064" max="13064" width="8.5703125" style="1983" customWidth="1"/>
    <col min="13065" max="13065" width="8" style="1983" customWidth="1"/>
    <col min="13066" max="13066" width="8.7109375" style="1983" customWidth="1"/>
    <col min="13067" max="13067" width="13.42578125" style="1983" customWidth="1"/>
    <col min="13068" max="13068" width="10.42578125" style="1983" customWidth="1"/>
    <col min="13069" max="13069" width="9.140625" style="1983"/>
    <col min="13070" max="13070" width="14.5703125" style="1983" bestFit="1" customWidth="1"/>
    <col min="13071" max="13071" width="9.140625" style="1983"/>
    <col min="13072" max="13072" width="14.5703125" style="1983" bestFit="1" customWidth="1"/>
    <col min="13073" max="13312" width="9.140625" style="1983"/>
    <col min="13313" max="13313" width="11.28515625" style="1983" customWidth="1"/>
    <col min="13314" max="13315" width="9.140625" style="1983"/>
    <col min="13316" max="13316" width="9.85546875" style="1983" customWidth="1"/>
    <col min="13317" max="13317" width="8" style="1983" customWidth="1"/>
    <col min="13318" max="13318" width="8.5703125" style="1983" customWidth="1"/>
    <col min="13319" max="13319" width="8.85546875" style="1983" customWidth="1"/>
    <col min="13320" max="13320" width="8.5703125" style="1983" customWidth="1"/>
    <col min="13321" max="13321" width="8" style="1983" customWidth="1"/>
    <col min="13322" max="13322" width="8.7109375" style="1983" customWidth="1"/>
    <col min="13323" max="13323" width="13.42578125" style="1983" customWidth="1"/>
    <col min="13324" max="13324" width="10.42578125" style="1983" customWidth="1"/>
    <col min="13325" max="13325" width="9.140625" style="1983"/>
    <col min="13326" max="13326" width="14.5703125" style="1983" bestFit="1" customWidth="1"/>
    <col min="13327" max="13327" width="9.140625" style="1983"/>
    <col min="13328" max="13328" width="14.5703125" style="1983" bestFit="1" customWidth="1"/>
    <col min="13329" max="13568" width="9.140625" style="1983"/>
    <col min="13569" max="13569" width="11.28515625" style="1983" customWidth="1"/>
    <col min="13570" max="13571" width="9.140625" style="1983"/>
    <col min="13572" max="13572" width="9.85546875" style="1983" customWidth="1"/>
    <col min="13573" max="13573" width="8" style="1983" customWidth="1"/>
    <col min="13574" max="13574" width="8.5703125" style="1983" customWidth="1"/>
    <col min="13575" max="13575" width="8.85546875" style="1983" customWidth="1"/>
    <col min="13576" max="13576" width="8.5703125" style="1983" customWidth="1"/>
    <col min="13577" max="13577" width="8" style="1983" customWidth="1"/>
    <col min="13578" max="13578" width="8.7109375" style="1983" customWidth="1"/>
    <col min="13579" max="13579" width="13.42578125" style="1983" customWidth="1"/>
    <col min="13580" max="13580" width="10.42578125" style="1983" customWidth="1"/>
    <col min="13581" max="13581" width="9.140625" style="1983"/>
    <col min="13582" max="13582" width="14.5703125" style="1983" bestFit="1" customWidth="1"/>
    <col min="13583" max="13583" width="9.140625" style="1983"/>
    <col min="13584" max="13584" width="14.5703125" style="1983" bestFit="1" customWidth="1"/>
    <col min="13585" max="13824" width="9.140625" style="1983"/>
    <col min="13825" max="13825" width="11.28515625" style="1983" customWidth="1"/>
    <col min="13826" max="13827" width="9.140625" style="1983"/>
    <col min="13828" max="13828" width="9.85546875" style="1983" customWidth="1"/>
    <col min="13829" max="13829" width="8" style="1983" customWidth="1"/>
    <col min="13830" max="13830" width="8.5703125" style="1983" customWidth="1"/>
    <col min="13831" max="13831" width="8.85546875" style="1983" customWidth="1"/>
    <col min="13832" max="13832" width="8.5703125" style="1983" customWidth="1"/>
    <col min="13833" max="13833" width="8" style="1983" customWidth="1"/>
    <col min="13834" max="13834" width="8.7109375" style="1983" customWidth="1"/>
    <col min="13835" max="13835" width="13.42578125" style="1983" customWidth="1"/>
    <col min="13836" max="13836" width="10.42578125" style="1983" customWidth="1"/>
    <col min="13837" max="13837" width="9.140625" style="1983"/>
    <col min="13838" max="13838" width="14.5703125" style="1983" bestFit="1" customWidth="1"/>
    <col min="13839" max="13839" width="9.140625" style="1983"/>
    <col min="13840" max="13840" width="14.5703125" style="1983" bestFit="1" customWidth="1"/>
    <col min="13841" max="14080" width="9.140625" style="1983"/>
    <col min="14081" max="14081" width="11.28515625" style="1983" customWidth="1"/>
    <col min="14082" max="14083" width="9.140625" style="1983"/>
    <col min="14084" max="14084" width="9.85546875" style="1983" customWidth="1"/>
    <col min="14085" max="14085" width="8" style="1983" customWidth="1"/>
    <col min="14086" max="14086" width="8.5703125" style="1983" customWidth="1"/>
    <col min="14087" max="14087" width="8.85546875" style="1983" customWidth="1"/>
    <col min="14088" max="14088" width="8.5703125" style="1983" customWidth="1"/>
    <col min="14089" max="14089" width="8" style="1983" customWidth="1"/>
    <col min="14090" max="14090" width="8.7109375" style="1983" customWidth="1"/>
    <col min="14091" max="14091" width="13.42578125" style="1983" customWidth="1"/>
    <col min="14092" max="14092" width="10.42578125" style="1983" customWidth="1"/>
    <col min="14093" max="14093" width="9.140625" style="1983"/>
    <col min="14094" max="14094" width="14.5703125" style="1983" bestFit="1" customWidth="1"/>
    <col min="14095" max="14095" width="9.140625" style="1983"/>
    <col min="14096" max="14096" width="14.5703125" style="1983" bestFit="1" customWidth="1"/>
    <col min="14097" max="14336" width="9.140625" style="1983"/>
    <col min="14337" max="14337" width="11.28515625" style="1983" customWidth="1"/>
    <col min="14338" max="14339" width="9.140625" style="1983"/>
    <col min="14340" max="14340" width="9.85546875" style="1983" customWidth="1"/>
    <col min="14341" max="14341" width="8" style="1983" customWidth="1"/>
    <col min="14342" max="14342" width="8.5703125" style="1983" customWidth="1"/>
    <col min="14343" max="14343" width="8.85546875" style="1983" customWidth="1"/>
    <col min="14344" max="14344" width="8.5703125" style="1983" customWidth="1"/>
    <col min="14345" max="14345" width="8" style="1983" customWidth="1"/>
    <col min="14346" max="14346" width="8.7109375" style="1983" customWidth="1"/>
    <col min="14347" max="14347" width="13.42578125" style="1983" customWidth="1"/>
    <col min="14348" max="14348" width="10.42578125" style="1983" customWidth="1"/>
    <col min="14349" max="14349" width="9.140625" style="1983"/>
    <col min="14350" max="14350" width="14.5703125" style="1983" bestFit="1" customWidth="1"/>
    <col min="14351" max="14351" width="9.140625" style="1983"/>
    <col min="14352" max="14352" width="14.5703125" style="1983" bestFit="1" customWidth="1"/>
    <col min="14353" max="14592" width="9.140625" style="1983"/>
    <col min="14593" max="14593" width="11.28515625" style="1983" customWidth="1"/>
    <col min="14594" max="14595" width="9.140625" style="1983"/>
    <col min="14596" max="14596" width="9.85546875" style="1983" customWidth="1"/>
    <col min="14597" max="14597" width="8" style="1983" customWidth="1"/>
    <col min="14598" max="14598" width="8.5703125" style="1983" customWidth="1"/>
    <col min="14599" max="14599" width="8.85546875" style="1983" customWidth="1"/>
    <col min="14600" max="14600" width="8.5703125" style="1983" customWidth="1"/>
    <col min="14601" max="14601" width="8" style="1983" customWidth="1"/>
    <col min="14602" max="14602" width="8.7109375" style="1983" customWidth="1"/>
    <col min="14603" max="14603" width="13.42578125" style="1983" customWidth="1"/>
    <col min="14604" max="14604" width="10.42578125" style="1983" customWidth="1"/>
    <col min="14605" max="14605" width="9.140625" style="1983"/>
    <col min="14606" max="14606" width="14.5703125" style="1983" bestFit="1" customWidth="1"/>
    <col min="14607" max="14607" width="9.140625" style="1983"/>
    <col min="14608" max="14608" width="14.5703125" style="1983" bestFit="1" customWidth="1"/>
    <col min="14609" max="14848" width="9.140625" style="1983"/>
    <col min="14849" max="14849" width="11.28515625" style="1983" customWidth="1"/>
    <col min="14850" max="14851" width="9.140625" style="1983"/>
    <col min="14852" max="14852" width="9.85546875" style="1983" customWidth="1"/>
    <col min="14853" max="14853" width="8" style="1983" customWidth="1"/>
    <col min="14854" max="14854" width="8.5703125" style="1983" customWidth="1"/>
    <col min="14855" max="14855" width="8.85546875" style="1983" customWidth="1"/>
    <col min="14856" max="14856" width="8.5703125" style="1983" customWidth="1"/>
    <col min="14857" max="14857" width="8" style="1983" customWidth="1"/>
    <col min="14858" max="14858" width="8.7109375" style="1983" customWidth="1"/>
    <col min="14859" max="14859" width="13.42578125" style="1983" customWidth="1"/>
    <col min="14860" max="14860" width="10.42578125" style="1983" customWidth="1"/>
    <col min="14861" max="14861" width="9.140625" style="1983"/>
    <col min="14862" max="14862" width="14.5703125" style="1983" bestFit="1" customWidth="1"/>
    <col min="14863" max="14863" width="9.140625" style="1983"/>
    <col min="14864" max="14864" width="14.5703125" style="1983" bestFit="1" customWidth="1"/>
    <col min="14865" max="15104" width="9.140625" style="1983"/>
    <col min="15105" max="15105" width="11.28515625" style="1983" customWidth="1"/>
    <col min="15106" max="15107" width="9.140625" style="1983"/>
    <col min="15108" max="15108" width="9.85546875" style="1983" customWidth="1"/>
    <col min="15109" max="15109" width="8" style="1983" customWidth="1"/>
    <col min="15110" max="15110" width="8.5703125" style="1983" customWidth="1"/>
    <col min="15111" max="15111" width="8.85546875" style="1983" customWidth="1"/>
    <col min="15112" max="15112" width="8.5703125" style="1983" customWidth="1"/>
    <col min="15113" max="15113" width="8" style="1983" customWidth="1"/>
    <col min="15114" max="15114" width="8.7109375" style="1983" customWidth="1"/>
    <col min="15115" max="15115" width="13.42578125" style="1983" customWidth="1"/>
    <col min="15116" max="15116" width="10.42578125" style="1983" customWidth="1"/>
    <col min="15117" max="15117" width="9.140625" style="1983"/>
    <col min="15118" max="15118" width="14.5703125" style="1983" bestFit="1" customWidth="1"/>
    <col min="15119" max="15119" width="9.140625" style="1983"/>
    <col min="15120" max="15120" width="14.5703125" style="1983" bestFit="1" customWidth="1"/>
    <col min="15121" max="15360" width="9.140625" style="1983"/>
    <col min="15361" max="15361" width="11.28515625" style="1983" customWidth="1"/>
    <col min="15362" max="15363" width="9.140625" style="1983"/>
    <col min="15364" max="15364" width="9.85546875" style="1983" customWidth="1"/>
    <col min="15365" max="15365" width="8" style="1983" customWidth="1"/>
    <col min="15366" max="15366" width="8.5703125" style="1983" customWidth="1"/>
    <col min="15367" max="15367" width="8.85546875" style="1983" customWidth="1"/>
    <col min="15368" max="15368" width="8.5703125" style="1983" customWidth="1"/>
    <col min="15369" max="15369" width="8" style="1983" customWidth="1"/>
    <col min="15370" max="15370" width="8.7109375" style="1983" customWidth="1"/>
    <col min="15371" max="15371" width="13.42578125" style="1983" customWidth="1"/>
    <col min="15372" max="15372" width="10.42578125" style="1983" customWidth="1"/>
    <col min="15373" max="15373" width="9.140625" style="1983"/>
    <col min="15374" max="15374" width="14.5703125" style="1983" bestFit="1" customWidth="1"/>
    <col min="15375" max="15375" width="9.140625" style="1983"/>
    <col min="15376" max="15376" width="14.5703125" style="1983" bestFit="1" customWidth="1"/>
    <col min="15377" max="15616" width="9.140625" style="1983"/>
    <col min="15617" max="15617" width="11.28515625" style="1983" customWidth="1"/>
    <col min="15618" max="15619" width="9.140625" style="1983"/>
    <col min="15620" max="15620" width="9.85546875" style="1983" customWidth="1"/>
    <col min="15621" max="15621" width="8" style="1983" customWidth="1"/>
    <col min="15622" max="15622" width="8.5703125" style="1983" customWidth="1"/>
    <col min="15623" max="15623" width="8.85546875" style="1983" customWidth="1"/>
    <col min="15624" max="15624" width="8.5703125" style="1983" customWidth="1"/>
    <col min="15625" max="15625" width="8" style="1983" customWidth="1"/>
    <col min="15626" max="15626" width="8.7109375" style="1983" customWidth="1"/>
    <col min="15627" max="15627" width="13.42578125" style="1983" customWidth="1"/>
    <col min="15628" max="15628" width="10.42578125" style="1983" customWidth="1"/>
    <col min="15629" max="15629" width="9.140625" style="1983"/>
    <col min="15630" max="15630" width="14.5703125" style="1983" bestFit="1" customWidth="1"/>
    <col min="15631" max="15631" width="9.140625" style="1983"/>
    <col min="15632" max="15632" width="14.5703125" style="1983" bestFit="1" customWidth="1"/>
    <col min="15633" max="15872" width="9.140625" style="1983"/>
    <col min="15873" max="15873" width="11.28515625" style="1983" customWidth="1"/>
    <col min="15874" max="15875" width="9.140625" style="1983"/>
    <col min="15876" max="15876" width="9.85546875" style="1983" customWidth="1"/>
    <col min="15877" max="15877" width="8" style="1983" customWidth="1"/>
    <col min="15878" max="15878" width="8.5703125" style="1983" customWidth="1"/>
    <col min="15879" max="15879" width="8.85546875" style="1983" customWidth="1"/>
    <col min="15880" max="15880" width="8.5703125" style="1983" customWidth="1"/>
    <col min="15881" max="15881" width="8" style="1983" customWidth="1"/>
    <col min="15882" max="15882" width="8.7109375" style="1983" customWidth="1"/>
    <col min="15883" max="15883" width="13.42578125" style="1983" customWidth="1"/>
    <col min="15884" max="15884" width="10.42578125" style="1983" customWidth="1"/>
    <col min="15885" max="15885" width="9.140625" style="1983"/>
    <col min="15886" max="15886" width="14.5703125" style="1983" bestFit="1" customWidth="1"/>
    <col min="15887" max="15887" width="9.140625" style="1983"/>
    <col min="15888" max="15888" width="14.5703125" style="1983" bestFit="1" customWidth="1"/>
    <col min="15889" max="16128" width="9.140625" style="1983"/>
    <col min="16129" max="16129" width="11.28515625" style="1983" customWidth="1"/>
    <col min="16130" max="16131" width="9.140625" style="1983"/>
    <col min="16132" max="16132" width="9.85546875" style="1983" customWidth="1"/>
    <col min="16133" max="16133" width="8" style="1983" customWidth="1"/>
    <col min="16134" max="16134" width="8.5703125" style="1983" customWidth="1"/>
    <col min="16135" max="16135" width="8.85546875" style="1983" customWidth="1"/>
    <col min="16136" max="16136" width="8.5703125" style="1983" customWidth="1"/>
    <col min="16137" max="16137" width="8" style="1983" customWidth="1"/>
    <col min="16138" max="16138" width="8.7109375" style="1983" customWidth="1"/>
    <col min="16139" max="16139" width="13.42578125" style="1983" customWidth="1"/>
    <col min="16140" max="16140" width="10.42578125" style="1983" customWidth="1"/>
    <col min="16141" max="16141" width="9.140625" style="1983"/>
    <col min="16142" max="16142" width="14.5703125" style="1983" bestFit="1" customWidth="1"/>
    <col min="16143" max="16143" width="9.140625" style="1983"/>
    <col min="16144" max="16144" width="14.5703125" style="1983" bestFit="1" customWidth="1"/>
    <col min="16145" max="16384" width="9.140625" style="1983"/>
  </cols>
  <sheetData>
    <row r="1" spans="1:10" ht="17.25">
      <c r="A1" s="2013" t="s">
        <v>2868</v>
      </c>
      <c r="B1" s="2018"/>
      <c r="C1" s="2018"/>
      <c r="D1" s="2018"/>
      <c r="E1" s="2018"/>
      <c r="F1" s="2020"/>
      <c r="G1" s="2020"/>
      <c r="H1" s="2020"/>
      <c r="I1" s="1982"/>
      <c r="J1" s="1982"/>
    </row>
    <row r="2" spans="1:10" s="2054" customFormat="1" ht="13.5" thickBot="1">
      <c r="A2" s="2050"/>
      <c r="B2" s="2051"/>
      <c r="C2" s="2051"/>
      <c r="D2" s="2052"/>
      <c r="E2" s="2051"/>
      <c r="F2" s="2051"/>
      <c r="G2" s="2052" t="s">
        <v>16</v>
      </c>
      <c r="H2" s="2051"/>
      <c r="I2" s="2053"/>
      <c r="J2" s="2051"/>
    </row>
    <row r="3" spans="1:10" s="2054" customFormat="1" ht="27.75" customHeight="1" thickBot="1">
      <c r="A3" s="2055" t="s">
        <v>720</v>
      </c>
      <c r="B3" s="3412" t="s">
        <v>2869</v>
      </c>
      <c r="C3" s="3413"/>
      <c r="D3" s="3412" t="s">
        <v>2870</v>
      </c>
      <c r="E3" s="3413"/>
      <c r="F3" s="3412" t="s">
        <v>2871</v>
      </c>
      <c r="G3" s="3413"/>
      <c r="H3" s="2056"/>
      <c r="I3" s="2056"/>
      <c r="J3" s="2056"/>
    </row>
    <row r="4" spans="1:10" s="2054" customFormat="1" ht="14.1" customHeight="1">
      <c r="A4" s="2057">
        <v>39264</v>
      </c>
      <c r="B4" s="3411">
        <v>7.1</v>
      </c>
      <c r="C4" s="3411"/>
      <c r="D4" s="3411">
        <v>5.0447389893233385</v>
      </c>
      <c r="E4" s="3411"/>
      <c r="F4" s="3411">
        <v>5.3791497041713932</v>
      </c>
      <c r="G4" s="3411"/>
      <c r="H4" s="2051"/>
      <c r="I4" s="2058"/>
      <c r="J4" s="2058"/>
    </row>
    <row r="5" spans="1:10" s="2054" customFormat="1" ht="12.75" hidden="1">
      <c r="A5" s="2057">
        <v>39295</v>
      </c>
      <c r="B5" s="3411">
        <v>6.8</v>
      </c>
      <c r="C5" s="3411"/>
      <c r="D5" s="3411">
        <v>3.660396223215745</v>
      </c>
      <c r="E5" s="3411"/>
      <c r="F5" s="3411">
        <v>4.6578413383237649</v>
      </c>
      <c r="G5" s="3411"/>
      <c r="H5" s="2051"/>
      <c r="I5" s="2058"/>
      <c r="J5" s="2058"/>
    </row>
    <row r="6" spans="1:10" s="2054" customFormat="1" ht="14.1" hidden="1" customHeight="1">
      <c r="A6" s="2057">
        <v>39326</v>
      </c>
      <c r="B6" s="3411">
        <v>7.3</v>
      </c>
      <c r="C6" s="3411"/>
      <c r="D6" s="3411">
        <v>4.7259123460996921</v>
      </c>
      <c r="E6" s="3411"/>
      <c r="F6" s="3411">
        <v>5.0512072292763222</v>
      </c>
      <c r="G6" s="3411"/>
      <c r="H6" s="2051"/>
      <c r="I6" s="2058"/>
      <c r="J6" s="2058"/>
    </row>
    <row r="7" spans="1:10" s="2054" customFormat="1" ht="12.75" hidden="1">
      <c r="A7" s="2057">
        <v>39356</v>
      </c>
      <c r="B7" s="3411">
        <v>8.4</v>
      </c>
      <c r="C7" s="3411"/>
      <c r="D7" s="3411">
        <v>5.0358509954642861</v>
      </c>
      <c r="E7" s="3411"/>
      <c r="F7" s="3411">
        <v>5.5418515387933631</v>
      </c>
      <c r="G7" s="3411"/>
      <c r="H7" s="2051"/>
      <c r="I7" s="2058"/>
      <c r="J7" s="2058"/>
    </row>
    <row r="8" spans="1:10" s="2054" customFormat="1" ht="12.75" hidden="1">
      <c r="A8" s="2057">
        <v>39387</v>
      </c>
      <c r="B8" s="3411">
        <v>8.4</v>
      </c>
      <c r="C8" s="3411"/>
      <c r="D8" s="3411">
        <v>5.1075033046994012</v>
      </c>
      <c r="E8" s="3411"/>
      <c r="F8" s="3411">
        <v>5.6431344967298624</v>
      </c>
      <c r="G8" s="3411"/>
      <c r="H8" s="2051"/>
      <c r="I8" s="2058"/>
      <c r="J8" s="2058"/>
    </row>
    <row r="9" spans="1:10" s="2054" customFormat="1" ht="14.1" customHeight="1">
      <c r="A9" s="2057">
        <v>39417</v>
      </c>
      <c r="B9" s="3411">
        <v>8.6</v>
      </c>
      <c r="C9" s="3411"/>
      <c r="D9" s="3411">
        <v>5.0604430819486623</v>
      </c>
      <c r="E9" s="3411"/>
      <c r="F9" s="3411">
        <v>5.591690193063914</v>
      </c>
      <c r="G9" s="3411"/>
      <c r="H9" s="2051"/>
      <c r="I9" s="2058"/>
      <c r="J9" s="2058"/>
    </row>
    <row r="10" spans="1:10" s="2054" customFormat="1" ht="12.75" hidden="1">
      <c r="A10" s="2057">
        <v>39448</v>
      </c>
      <c r="B10" s="3411">
        <v>9.9</v>
      </c>
      <c r="C10" s="3411"/>
      <c r="D10" s="3411">
        <v>8.0833099952848819</v>
      </c>
      <c r="E10" s="3411"/>
      <c r="F10" s="3411">
        <v>5.8939130096091974</v>
      </c>
      <c r="G10" s="3411"/>
      <c r="H10" s="2051"/>
      <c r="I10" s="2058"/>
      <c r="J10" s="2058"/>
    </row>
    <row r="11" spans="1:10" s="2054" customFormat="1" ht="12.75" hidden="1">
      <c r="A11" s="2057">
        <v>39479</v>
      </c>
      <c r="B11" s="3411">
        <v>10.1</v>
      </c>
      <c r="C11" s="3411"/>
      <c r="D11" s="3411">
        <v>8.1201457581817635</v>
      </c>
      <c r="E11" s="3411"/>
      <c r="F11" s="3411">
        <v>5.8769776464297818</v>
      </c>
      <c r="G11" s="3411"/>
      <c r="H11" s="2051"/>
      <c r="I11" s="2058"/>
      <c r="J11" s="2058"/>
    </row>
    <row r="12" spans="1:10" s="2054" customFormat="1" ht="14.1" hidden="1" customHeight="1">
      <c r="A12" s="2057">
        <v>39509</v>
      </c>
      <c r="B12" s="3411">
        <v>9.3000000000000007</v>
      </c>
      <c r="C12" s="3411"/>
      <c r="D12" s="3411">
        <v>8.040251592514668</v>
      </c>
      <c r="E12" s="3411"/>
      <c r="F12" s="3411">
        <v>5.7638673007165631</v>
      </c>
      <c r="G12" s="3411"/>
      <c r="H12" s="2051"/>
      <c r="I12" s="2058"/>
      <c r="J12" s="2058"/>
    </row>
    <row r="13" spans="1:10" s="2054" customFormat="1" ht="12.75" hidden="1">
      <c r="A13" s="2057">
        <v>39539</v>
      </c>
      <c r="B13" s="3411">
        <v>9.3000000000000007</v>
      </c>
      <c r="C13" s="3411"/>
      <c r="D13" s="3411">
        <v>8.9361330582487177</v>
      </c>
      <c r="E13" s="3411"/>
      <c r="F13" s="3411">
        <v>5.4932220195048842</v>
      </c>
      <c r="G13" s="3411"/>
      <c r="H13" s="2051"/>
      <c r="I13" s="2058"/>
      <c r="J13" s="2058"/>
    </row>
    <row r="14" spans="1:10" s="2054" customFormat="1" ht="12.75" hidden="1">
      <c r="A14" s="2057">
        <v>39570</v>
      </c>
      <c r="B14" s="3411">
        <v>9.8000000000000007</v>
      </c>
      <c r="C14" s="3411"/>
      <c r="D14" s="3411">
        <v>9.6577736742990083</v>
      </c>
      <c r="E14" s="3411"/>
      <c r="F14" s="3411">
        <v>5.794506306308933</v>
      </c>
      <c r="G14" s="3411"/>
      <c r="H14" s="2051"/>
      <c r="I14" s="2058"/>
      <c r="J14" s="2058"/>
    </row>
    <row r="15" spans="1:10" s="2054" customFormat="1" ht="14.1" customHeight="1">
      <c r="A15" s="2057">
        <v>39601</v>
      </c>
      <c r="B15" s="3411">
        <v>9.6999999999999993</v>
      </c>
      <c r="C15" s="3411"/>
      <c r="D15" s="3411">
        <v>9.5081961476281673</v>
      </c>
      <c r="E15" s="3411"/>
      <c r="F15" s="3411">
        <v>5.6213344566487633</v>
      </c>
      <c r="G15" s="3411"/>
      <c r="H15" s="2051"/>
      <c r="I15" s="2058"/>
      <c r="J15" s="2058"/>
    </row>
    <row r="16" spans="1:10" s="2054" customFormat="1" ht="12.75" hidden="1">
      <c r="A16" s="2057">
        <v>39632</v>
      </c>
      <c r="B16" s="3411">
        <v>11.5</v>
      </c>
      <c r="C16" s="3411"/>
      <c r="D16" s="3411">
        <v>9.7841687888659443</v>
      </c>
      <c r="E16" s="3411"/>
      <c r="F16" s="3411">
        <v>6.5123230240075047</v>
      </c>
      <c r="G16" s="3411"/>
      <c r="H16" s="2051"/>
      <c r="I16" s="2058"/>
      <c r="J16" s="2058"/>
    </row>
    <row r="17" spans="1:10" s="2054" customFormat="1" ht="12.75" hidden="1">
      <c r="A17" s="2057">
        <v>39663</v>
      </c>
      <c r="B17" s="3411">
        <v>11.7</v>
      </c>
      <c r="C17" s="3411"/>
      <c r="D17" s="3411">
        <v>10.993643685765676</v>
      </c>
      <c r="E17" s="3411"/>
      <c r="F17" s="3411">
        <v>6.8536562588299876</v>
      </c>
      <c r="G17" s="3411"/>
      <c r="H17" s="2051"/>
      <c r="I17" s="2058"/>
      <c r="J17" s="2058"/>
    </row>
    <row r="18" spans="1:10" s="2054" customFormat="1" ht="14.1" hidden="1" customHeight="1">
      <c r="A18" s="2057">
        <v>39694</v>
      </c>
      <c r="B18" s="3411">
        <v>10.8</v>
      </c>
      <c r="C18" s="3411"/>
      <c r="D18" s="3411">
        <v>9.8195982173374219</v>
      </c>
      <c r="E18" s="3411"/>
      <c r="F18" s="3411">
        <v>6.4433775822698935</v>
      </c>
      <c r="G18" s="3411"/>
      <c r="H18" s="2051"/>
      <c r="I18" s="2058"/>
      <c r="J18" s="2058"/>
    </row>
    <row r="19" spans="1:10" s="2054" customFormat="1" ht="12.75" hidden="1">
      <c r="A19" s="2057">
        <v>39725</v>
      </c>
      <c r="B19" s="3411">
        <v>9.6999999999999993</v>
      </c>
      <c r="C19" s="3411"/>
      <c r="D19" s="3411">
        <v>8.9465899755739819</v>
      </c>
      <c r="E19" s="3411"/>
      <c r="F19" s="3411">
        <v>6.4005280366357997</v>
      </c>
      <c r="G19" s="3411"/>
      <c r="H19" s="2051"/>
      <c r="I19" s="2058"/>
      <c r="J19" s="2058"/>
    </row>
    <row r="20" spans="1:10" s="2054" customFormat="1" ht="12.75" hidden="1">
      <c r="A20" s="2057">
        <v>39757</v>
      </c>
      <c r="B20" s="3411">
        <v>8.2713754646840165</v>
      </c>
      <c r="C20" s="3411"/>
      <c r="D20" s="3411">
        <v>6.8990683520289142</v>
      </c>
      <c r="E20" s="3411"/>
      <c r="F20" s="3411">
        <v>6.3701621367625583</v>
      </c>
      <c r="G20" s="3411"/>
      <c r="H20" s="2051"/>
      <c r="I20" s="2058"/>
      <c r="J20" s="2058"/>
    </row>
    <row r="21" spans="1:10" s="2054" customFormat="1" ht="14.1" customHeight="1">
      <c r="A21" s="2057">
        <v>39788</v>
      </c>
      <c r="B21" s="3411">
        <v>6.7467652495379005</v>
      </c>
      <c r="C21" s="3411"/>
      <c r="D21" s="3411">
        <v>5.9330079144542136</v>
      </c>
      <c r="E21" s="3411"/>
      <c r="F21" s="3411">
        <v>6.1671895591780546</v>
      </c>
      <c r="G21" s="3411"/>
      <c r="H21" s="2051"/>
      <c r="I21" s="2058"/>
      <c r="J21" s="2058"/>
    </row>
    <row r="22" spans="1:10" s="2054" customFormat="1" ht="14.1" hidden="1" customHeight="1">
      <c r="A22" s="2057">
        <v>39819</v>
      </c>
      <c r="B22" s="3411">
        <v>5.2007299270073082</v>
      </c>
      <c r="C22" s="3411"/>
      <c r="D22" s="3411">
        <v>3.9884438505438213</v>
      </c>
      <c r="E22" s="3411"/>
      <c r="F22" s="3411">
        <v>5.0258446525900391</v>
      </c>
      <c r="G22" s="3411"/>
      <c r="H22" s="2051"/>
      <c r="I22" s="2058"/>
      <c r="J22" s="2058"/>
    </row>
    <row r="23" spans="1:10" s="2054" customFormat="1" ht="14.1" hidden="1" customHeight="1">
      <c r="A23" s="2057">
        <v>39851</v>
      </c>
      <c r="B23" s="3411">
        <v>4.6070460704606964</v>
      </c>
      <c r="C23" s="3411"/>
      <c r="D23" s="3411">
        <v>4.2105221514626034</v>
      </c>
      <c r="E23" s="3411"/>
      <c r="F23" s="3411">
        <v>4.7818791575772623</v>
      </c>
      <c r="G23" s="3411"/>
      <c r="H23" s="2051"/>
      <c r="I23" s="2058"/>
      <c r="J23" s="2058"/>
    </row>
    <row r="24" spans="1:10" s="2054" customFormat="1" ht="14.1" hidden="1" customHeight="1">
      <c r="A24" s="2057">
        <v>39880</v>
      </c>
      <c r="B24" s="3411">
        <v>4.8</v>
      </c>
      <c r="C24" s="3411"/>
      <c r="D24" s="3411">
        <v>4.0999999999999996</v>
      </c>
      <c r="E24" s="3411"/>
      <c r="F24" s="3411">
        <v>4.8</v>
      </c>
      <c r="G24" s="3411"/>
      <c r="H24" s="2051"/>
      <c r="I24" s="2058"/>
      <c r="J24" s="2058"/>
    </row>
    <row r="25" spans="1:10" s="2054" customFormat="1" ht="14.1" hidden="1" customHeight="1">
      <c r="A25" s="2057">
        <v>39912</v>
      </c>
      <c r="B25" s="3414">
        <v>3.8</v>
      </c>
      <c r="C25" s="3414"/>
      <c r="D25" s="3414">
        <v>3.7</v>
      </c>
      <c r="E25" s="3414"/>
      <c r="F25" s="3414">
        <v>4.7</v>
      </c>
      <c r="G25" s="3414"/>
      <c r="H25" s="2051"/>
      <c r="I25" s="2058"/>
      <c r="J25" s="2058"/>
    </row>
    <row r="26" spans="1:10" s="2054" customFormat="1" ht="14.1" hidden="1" customHeight="1">
      <c r="A26" s="2057">
        <v>39944</v>
      </c>
      <c r="B26" s="3414">
        <v>2.8</v>
      </c>
      <c r="C26" s="3414"/>
      <c r="D26" s="3414">
        <v>2.7</v>
      </c>
      <c r="E26" s="3414"/>
      <c r="F26" s="3414">
        <v>4.0999999999999996</v>
      </c>
      <c r="G26" s="3414"/>
      <c r="H26" s="2051"/>
      <c r="I26" s="2058"/>
      <c r="J26" s="2058"/>
    </row>
    <row r="27" spans="1:10" s="2054" customFormat="1" ht="14.1" customHeight="1">
      <c r="A27" s="2057">
        <v>39976</v>
      </c>
      <c r="B27" s="3414">
        <v>3.3</v>
      </c>
      <c r="C27" s="3414"/>
      <c r="D27" s="3414">
        <v>3.6</v>
      </c>
      <c r="E27" s="3414"/>
      <c r="F27" s="3414">
        <v>4.5</v>
      </c>
      <c r="G27" s="3414"/>
      <c r="H27" s="2051"/>
      <c r="I27" s="2058"/>
      <c r="J27" s="2058"/>
    </row>
    <row r="28" spans="1:10" s="2054" customFormat="1" ht="14.1" hidden="1" customHeight="1">
      <c r="A28" s="2057">
        <v>40006</v>
      </c>
      <c r="B28" s="3414">
        <v>1.9</v>
      </c>
      <c r="C28" s="3414"/>
      <c r="D28" s="3414">
        <v>1.6</v>
      </c>
      <c r="E28" s="3414"/>
      <c r="F28" s="3414">
        <v>3.9</v>
      </c>
      <c r="G28" s="3414"/>
      <c r="H28" s="2051"/>
      <c r="I28" s="2058"/>
      <c r="J28" s="2058"/>
    </row>
    <row r="29" spans="1:10" s="2054" customFormat="1" ht="14.1" hidden="1" customHeight="1">
      <c r="A29" s="2057">
        <v>40038</v>
      </c>
      <c r="B29" s="3414">
        <v>1</v>
      </c>
      <c r="C29" s="3414"/>
      <c r="D29" s="3414">
        <v>0.7</v>
      </c>
      <c r="E29" s="3414"/>
      <c r="F29" s="3414">
        <v>3.5</v>
      </c>
      <c r="G29" s="3414"/>
      <c r="H29" s="2051"/>
      <c r="I29" s="2058"/>
      <c r="J29" s="2058"/>
    </row>
    <row r="30" spans="1:10" s="2054" customFormat="1" ht="14.1" hidden="1" customHeight="1">
      <c r="A30" s="2057">
        <v>40070</v>
      </c>
      <c r="B30" s="3414">
        <v>0.9</v>
      </c>
      <c r="C30" s="3414"/>
      <c r="D30" s="3414">
        <v>1</v>
      </c>
      <c r="E30" s="3414"/>
      <c r="F30" s="3414">
        <v>3.3</v>
      </c>
      <c r="G30" s="3414"/>
      <c r="H30" s="2051"/>
      <c r="I30" s="2058"/>
      <c r="J30" s="2058"/>
    </row>
    <row r="31" spans="1:10" s="2054" customFormat="1" ht="14.1" hidden="1" customHeight="1">
      <c r="A31" s="2057">
        <v>40102</v>
      </c>
      <c r="B31" s="3414">
        <v>0.1</v>
      </c>
      <c r="C31" s="3414"/>
      <c r="D31" s="3414">
        <v>0.2</v>
      </c>
      <c r="E31" s="3414"/>
      <c r="F31" s="3414">
        <v>2.7</v>
      </c>
      <c r="G31" s="3414"/>
      <c r="H31" s="2051"/>
      <c r="I31" s="2058"/>
      <c r="J31" s="2058"/>
    </row>
    <row r="32" spans="1:10" s="2054" customFormat="1" ht="14.1" hidden="1" customHeight="1">
      <c r="A32" s="2057">
        <v>40134</v>
      </c>
      <c r="B32" s="3414">
        <v>0.7</v>
      </c>
      <c r="C32" s="3414"/>
      <c r="D32" s="3414">
        <v>1.2</v>
      </c>
      <c r="E32" s="3414"/>
      <c r="F32" s="3414">
        <v>2.2999999999999998</v>
      </c>
      <c r="G32" s="3414"/>
      <c r="H32" s="2051"/>
      <c r="I32" s="2058"/>
      <c r="J32" s="2058"/>
    </row>
    <row r="33" spans="1:10" s="2054" customFormat="1" ht="14.1" customHeight="1">
      <c r="A33" s="2057">
        <v>40165</v>
      </c>
      <c r="B33" s="3411">
        <v>1.5</v>
      </c>
      <c r="C33" s="3411"/>
      <c r="D33" s="3411">
        <v>2.4</v>
      </c>
      <c r="E33" s="3411"/>
      <c r="F33" s="3411">
        <v>2.2000000000000002</v>
      </c>
      <c r="G33" s="3411"/>
      <c r="H33" s="2051"/>
      <c r="I33" s="2058"/>
      <c r="J33" s="2058"/>
    </row>
    <row r="34" spans="1:10" s="2054" customFormat="1" ht="14.1" hidden="1" customHeight="1">
      <c r="A34" s="2057">
        <v>40197</v>
      </c>
      <c r="B34" s="3411">
        <v>2.5</v>
      </c>
      <c r="C34" s="3411"/>
      <c r="D34" s="3411">
        <v>3.3</v>
      </c>
      <c r="E34" s="3411"/>
      <c r="F34" s="3411">
        <v>2.6</v>
      </c>
      <c r="G34" s="3411"/>
      <c r="H34" s="2051"/>
      <c r="I34" s="2058"/>
      <c r="J34" s="2058"/>
    </row>
    <row r="35" spans="1:10" s="2054" customFormat="1" ht="14.1" hidden="1" customHeight="1">
      <c r="A35" s="2057">
        <v>40229</v>
      </c>
      <c r="B35" s="3411">
        <v>2.4</v>
      </c>
      <c r="C35" s="3411"/>
      <c r="D35" s="3411">
        <v>3.2</v>
      </c>
      <c r="E35" s="3411"/>
      <c r="F35" s="3411">
        <v>2.2999999999999998</v>
      </c>
      <c r="G35" s="3411"/>
      <c r="H35" s="2051"/>
      <c r="I35" s="2058"/>
      <c r="J35" s="2058"/>
    </row>
    <row r="36" spans="1:10" s="2054" customFormat="1" ht="14.1" hidden="1" customHeight="1">
      <c r="A36" s="2057">
        <v>40257</v>
      </c>
      <c r="B36" s="3411">
        <v>2.2999999999999998</v>
      </c>
      <c r="C36" s="3411"/>
      <c r="D36" s="3411">
        <v>3.3</v>
      </c>
      <c r="E36" s="3411"/>
      <c r="F36" s="3411">
        <v>2.2000000000000002</v>
      </c>
      <c r="G36" s="3411"/>
      <c r="H36" s="2051"/>
      <c r="I36" s="2058"/>
      <c r="J36" s="2058"/>
    </row>
    <row r="37" spans="1:10" s="2054" customFormat="1" ht="14.1" hidden="1" customHeight="1">
      <c r="A37" s="2057">
        <v>40288</v>
      </c>
      <c r="B37" s="3414">
        <v>2.7</v>
      </c>
      <c r="C37" s="3414"/>
      <c r="D37" s="3414">
        <v>3.2</v>
      </c>
      <c r="E37" s="3414"/>
      <c r="F37" s="3414">
        <v>2.1</v>
      </c>
      <c r="G37" s="3414"/>
      <c r="H37" s="2051"/>
      <c r="I37" s="2058"/>
      <c r="J37" s="2058"/>
    </row>
    <row r="38" spans="1:10" s="2054" customFormat="1" ht="14.1" hidden="1" customHeight="1">
      <c r="A38" s="2057">
        <v>40318</v>
      </c>
      <c r="B38" s="3414">
        <v>2.5</v>
      </c>
      <c r="C38" s="3414"/>
      <c r="D38" s="3414">
        <v>2.8</v>
      </c>
      <c r="E38" s="3414"/>
      <c r="F38" s="3414">
        <v>2.2000000000000002</v>
      </c>
      <c r="G38" s="3414"/>
      <c r="H38" s="2051"/>
      <c r="I38" s="2058"/>
      <c r="J38" s="2058"/>
    </row>
    <row r="39" spans="1:10" s="2054" customFormat="1" ht="14.1" customHeight="1">
      <c r="A39" s="2057">
        <v>40349</v>
      </c>
      <c r="B39" s="3414">
        <v>2.4</v>
      </c>
      <c r="C39" s="3414"/>
      <c r="D39" s="3414">
        <v>3</v>
      </c>
      <c r="E39" s="3414"/>
      <c r="F39" s="3414">
        <v>2.4</v>
      </c>
      <c r="G39" s="3414"/>
      <c r="H39" s="2051"/>
      <c r="I39" s="2058"/>
      <c r="J39" s="2058"/>
    </row>
    <row r="40" spans="1:10" s="2054" customFormat="1" ht="14.1" hidden="1" customHeight="1">
      <c r="A40" s="2057">
        <v>40379</v>
      </c>
      <c r="B40" s="3414">
        <v>2</v>
      </c>
      <c r="C40" s="3414"/>
      <c r="D40" s="3414">
        <v>1.7</v>
      </c>
      <c r="E40" s="3414"/>
      <c r="F40" s="3414">
        <v>2.7</v>
      </c>
      <c r="G40" s="3414"/>
      <c r="H40" s="2051"/>
      <c r="I40" s="2058"/>
      <c r="J40" s="2058"/>
    </row>
    <row r="41" spans="1:10" s="2054" customFormat="1" ht="14.1" hidden="1" customHeight="1">
      <c r="A41" s="2057">
        <v>40410</v>
      </c>
      <c r="B41" s="3414">
        <v>2.6</v>
      </c>
      <c r="C41" s="3414"/>
      <c r="D41" s="3414">
        <v>3.2</v>
      </c>
      <c r="E41" s="3414"/>
      <c r="F41" s="3414">
        <v>3</v>
      </c>
      <c r="G41" s="3414"/>
      <c r="H41" s="2051"/>
      <c r="I41" s="2058"/>
      <c r="J41" s="2058"/>
    </row>
    <row r="42" spans="1:10" s="2054" customFormat="1" ht="14.1" hidden="1" customHeight="1">
      <c r="A42" s="2057">
        <v>40441</v>
      </c>
      <c r="B42" s="3414">
        <v>2.5</v>
      </c>
      <c r="C42" s="3414"/>
      <c r="D42" s="3414">
        <v>1.9</v>
      </c>
      <c r="E42" s="3414"/>
      <c r="F42" s="3414">
        <v>3</v>
      </c>
      <c r="G42" s="3414"/>
      <c r="H42" s="2051"/>
      <c r="I42" s="2058"/>
      <c r="J42" s="2058"/>
    </row>
    <row r="43" spans="1:10" s="2054" customFormat="1" ht="14.1" hidden="1" customHeight="1">
      <c r="A43" s="2057">
        <v>40471</v>
      </c>
      <c r="B43" s="3414">
        <v>3.2</v>
      </c>
      <c r="C43" s="3414"/>
      <c r="D43" s="3414">
        <v>3.3</v>
      </c>
      <c r="E43" s="3414"/>
      <c r="F43" s="3414">
        <v>3.3</v>
      </c>
      <c r="G43" s="3414"/>
      <c r="H43" s="2051"/>
      <c r="I43" s="2058"/>
      <c r="J43" s="2058"/>
    </row>
    <row r="44" spans="1:10" s="2061" customFormat="1" ht="14.1" hidden="1" customHeight="1">
      <c r="A44" s="2057">
        <v>40502</v>
      </c>
      <c r="B44" s="3414">
        <v>3.9</v>
      </c>
      <c r="C44" s="3414"/>
      <c r="D44" s="3414">
        <v>3.7</v>
      </c>
      <c r="E44" s="3414"/>
      <c r="F44" s="3414">
        <v>3.1</v>
      </c>
      <c r="G44" s="3414"/>
      <c r="H44" s="2059"/>
      <c r="I44" s="2060"/>
      <c r="J44" s="2060"/>
    </row>
    <row r="45" spans="1:10" s="2061" customFormat="1" ht="14.1" customHeight="1">
      <c r="A45" s="2057">
        <v>40532</v>
      </c>
      <c r="B45" s="3414">
        <v>6.1</v>
      </c>
      <c r="C45" s="3414"/>
      <c r="D45" s="3414">
        <v>5.0999999999999996</v>
      </c>
      <c r="E45" s="3414"/>
      <c r="F45" s="3414">
        <v>4.4000000000000004</v>
      </c>
      <c r="G45" s="3414"/>
      <c r="H45" s="2059"/>
      <c r="I45" s="2060"/>
      <c r="J45" s="2060"/>
    </row>
    <row r="46" spans="1:10" s="2061" customFormat="1" ht="14.1" customHeight="1">
      <c r="A46" s="2057">
        <v>40563</v>
      </c>
      <c r="B46" s="3414">
        <v>6.4</v>
      </c>
      <c r="C46" s="3414"/>
      <c r="D46" s="3414">
        <v>6.2</v>
      </c>
      <c r="E46" s="3414"/>
      <c r="F46" s="3414">
        <v>4.8</v>
      </c>
      <c r="G46" s="3414"/>
      <c r="H46" s="2059"/>
      <c r="I46" s="2060"/>
      <c r="J46" s="2060"/>
    </row>
    <row r="47" spans="1:10" s="2061" customFormat="1" ht="14.1" customHeight="1">
      <c r="A47" s="2057">
        <v>40594</v>
      </c>
      <c r="B47" s="3414">
        <v>6.8</v>
      </c>
      <c r="C47" s="3414"/>
      <c r="D47" s="3414">
        <v>6.4</v>
      </c>
      <c r="E47" s="3414"/>
      <c r="F47" s="3414">
        <v>5.0999999999999996</v>
      </c>
      <c r="G47" s="3414"/>
      <c r="H47" s="2059"/>
      <c r="I47" s="2060"/>
      <c r="J47" s="2060"/>
    </row>
    <row r="48" spans="1:10" s="2061" customFormat="1" ht="14.1" customHeight="1">
      <c r="A48" s="2057">
        <v>40622</v>
      </c>
      <c r="B48" s="3414">
        <v>7.2</v>
      </c>
      <c r="C48" s="3414"/>
      <c r="D48" s="3414">
        <v>7</v>
      </c>
      <c r="E48" s="3414"/>
      <c r="F48" s="3414">
        <v>5.4</v>
      </c>
      <c r="G48" s="3414"/>
      <c r="H48" s="2059"/>
      <c r="I48" s="2060"/>
      <c r="J48" s="2060"/>
    </row>
    <row r="49" spans="1:10" s="2061" customFormat="1" ht="14.1" customHeight="1">
      <c r="A49" s="2057">
        <v>40653</v>
      </c>
      <c r="B49" s="3414">
        <v>7</v>
      </c>
      <c r="C49" s="3414"/>
      <c r="D49" s="3414">
        <v>6.6</v>
      </c>
      <c r="E49" s="3414"/>
      <c r="F49" s="3414">
        <v>6</v>
      </c>
      <c r="G49" s="3414"/>
      <c r="H49" s="2059"/>
      <c r="I49" s="2060"/>
      <c r="J49" s="2060"/>
    </row>
    <row r="50" spans="1:10" s="2061" customFormat="1" ht="14.1" customHeight="1">
      <c r="A50" s="2057">
        <v>40683</v>
      </c>
      <c r="B50" s="3414">
        <v>7.1</v>
      </c>
      <c r="C50" s="3414"/>
      <c r="D50" s="3414">
        <v>7</v>
      </c>
      <c r="E50" s="3414"/>
      <c r="F50" s="3414">
        <v>5.8</v>
      </c>
      <c r="G50" s="3414"/>
      <c r="H50" s="2059"/>
      <c r="I50" s="2060"/>
      <c r="J50" s="2060"/>
    </row>
    <row r="51" spans="1:10" s="2061" customFormat="1" ht="14.1" customHeight="1">
      <c r="A51" s="2057">
        <v>40714</v>
      </c>
      <c r="B51" s="3414">
        <v>6.6</v>
      </c>
      <c r="C51" s="3414"/>
      <c r="D51" s="3414">
        <v>5.9</v>
      </c>
      <c r="E51" s="3414"/>
      <c r="F51" s="3414">
        <v>5.3</v>
      </c>
      <c r="G51" s="3414"/>
      <c r="H51" s="2059"/>
      <c r="I51" s="2060"/>
      <c r="J51" s="2060"/>
    </row>
    <row r="52" spans="1:10" s="2061" customFormat="1" ht="14.1" customHeight="1">
      <c r="A52" s="2057">
        <v>40744</v>
      </c>
      <c r="B52" s="3414">
        <v>6.7</v>
      </c>
      <c r="C52" s="3414"/>
      <c r="D52" s="3414">
        <v>6.4</v>
      </c>
      <c r="E52" s="3414"/>
      <c r="F52" s="3414">
        <v>4.9000000000000004</v>
      </c>
      <c r="G52" s="3414"/>
      <c r="H52" s="2059"/>
      <c r="I52" s="2060"/>
      <c r="J52" s="2060"/>
    </row>
    <row r="53" spans="1:10" s="2061" customFormat="1" ht="14.1" customHeight="1">
      <c r="A53" s="2057">
        <v>40775</v>
      </c>
      <c r="B53" s="3414">
        <v>6.5</v>
      </c>
      <c r="C53" s="3414"/>
      <c r="D53" s="3414">
        <v>5.7</v>
      </c>
      <c r="E53" s="3414"/>
      <c r="F53" s="3414">
        <v>4.8</v>
      </c>
      <c r="G53" s="3414"/>
      <c r="H53" s="2059"/>
      <c r="I53" s="2060"/>
      <c r="J53" s="2060"/>
    </row>
    <row r="54" spans="1:10" s="2061" customFormat="1" ht="14.1" customHeight="1">
      <c r="A54" s="2057">
        <v>40806</v>
      </c>
      <c r="B54" s="3414">
        <v>6.3</v>
      </c>
      <c r="C54" s="3414"/>
      <c r="D54" s="3414">
        <v>5.9</v>
      </c>
      <c r="E54" s="3414"/>
      <c r="F54" s="3414">
        <v>4.0999999999999996</v>
      </c>
      <c r="G54" s="3414"/>
      <c r="H54" s="2059"/>
      <c r="I54" s="2060"/>
      <c r="J54" s="2060"/>
    </row>
    <row r="55" spans="1:10" s="2061" customFormat="1" ht="14.1" customHeight="1">
      <c r="A55" s="2057">
        <v>40836</v>
      </c>
      <c r="B55" s="3414">
        <v>6</v>
      </c>
      <c r="C55" s="3414"/>
      <c r="D55" s="3414">
        <v>5.3</v>
      </c>
      <c r="E55" s="3414"/>
      <c r="F55" s="3414">
        <v>3.9</v>
      </c>
      <c r="G55" s="3414"/>
      <c r="H55" s="2059"/>
      <c r="I55" s="2060"/>
      <c r="J55" s="2060"/>
    </row>
    <row r="56" spans="1:10" s="2061" customFormat="1" ht="14.1" customHeight="1">
      <c r="A56" s="2057">
        <v>40867</v>
      </c>
      <c r="B56" s="3414">
        <v>7</v>
      </c>
      <c r="C56" s="3414"/>
      <c r="D56" s="3414">
        <v>5.5</v>
      </c>
      <c r="E56" s="3414"/>
      <c r="F56" s="3414">
        <v>4.0999999999999996</v>
      </c>
      <c r="G56" s="3414"/>
      <c r="H56" s="2059"/>
      <c r="I56" s="2060"/>
      <c r="J56" s="2060"/>
    </row>
    <row r="57" spans="1:10" s="2061" customFormat="1" ht="14.1" customHeight="1">
      <c r="A57" s="2057">
        <v>40897</v>
      </c>
      <c r="B57" s="3414">
        <v>4.8</v>
      </c>
      <c r="C57" s="3414"/>
      <c r="D57" s="3414">
        <v>3.8</v>
      </c>
      <c r="E57" s="3414"/>
      <c r="F57" s="3414">
        <v>3</v>
      </c>
      <c r="G57" s="3414"/>
      <c r="H57" s="2059"/>
      <c r="I57" s="2060"/>
      <c r="J57" s="2060"/>
    </row>
    <row r="58" spans="1:10" s="2061" customFormat="1" ht="14.1" customHeight="1">
      <c r="A58" s="2057">
        <v>40928</v>
      </c>
      <c r="B58" s="3414">
        <v>4.8</v>
      </c>
      <c r="C58" s="3414"/>
      <c r="D58" s="3414">
        <v>4.2</v>
      </c>
      <c r="E58" s="3414"/>
      <c r="F58" s="3414">
        <v>3.4</v>
      </c>
      <c r="G58" s="3414"/>
      <c r="H58" s="2059"/>
      <c r="I58" s="2060"/>
      <c r="J58" s="2060"/>
    </row>
    <row r="59" spans="1:10" s="2061" customFormat="1" ht="14.1" customHeight="1">
      <c r="A59" s="2057">
        <v>40959</v>
      </c>
      <c r="B59" s="3414">
        <v>4.0999999999999996</v>
      </c>
      <c r="C59" s="3414"/>
      <c r="D59" s="3414">
        <v>3.6</v>
      </c>
      <c r="E59" s="3414"/>
      <c r="F59" s="3414">
        <v>3.4</v>
      </c>
      <c r="G59" s="3414"/>
      <c r="H59" s="2059"/>
      <c r="I59" s="2060"/>
      <c r="J59" s="2060"/>
    </row>
    <row r="60" spans="1:10" s="2061" customFormat="1" ht="14.1" customHeight="1">
      <c r="A60" s="2057">
        <v>40988</v>
      </c>
      <c r="B60" s="3414">
        <v>3.8</v>
      </c>
      <c r="C60" s="3414"/>
      <c r="D60" s="3414">
        <v>3.4</v>
      </c>
      <c r="E60" s="3414"/>
      <c r="F60" s="3414">
        <v>3.3</v>
      </c>
      <c r="G60" s="3414"/>
      <c r="H60" s="2059"/>
      <c r="I60" s="2060"/>
      <c r="J60" s="2060"/>
    </row>
    <row r="61" spans="1:10" s="2061" customFormat="1" ht="14.1" customHeight="1">
      <c r="A61" s="2057">
        <v>41019</v>
      </c>
      <c r="B61" s="3414">
        <v>3.8</v>
      </c>
      <c r="C61" s="3414"/>
      <c r="D61" s="3414">
        <v>3.1</v>
      </c>
      <c r="E61" s="3414"/>
      <c r="F61" s="3414">
        <v>2.8</v>
      </c>
      <c r="G61" s="3414"/>
      <c r="H61" s="2059"/>
      <c r="I61" s="2060"/>
      <c r="J61" s="2060"/>
    </row>
    <row r="62" spans="1:10" s="2061" customFormat="1" ht="14.1" customHeight="1">
      <c r="A62" s="2057">
        <v>41049</v>
      </c>
      <c r="B62" s="3414">
        <v>3.8</v>
      </c>
      <c r="C62" s="3414"/>
      <c r="D62" s="3414">
        <v>3.1</v>
      </c>
      <c r="E62" s="3414"/>
      <c r="F62" s="3414">
        <v>2.8</v>
      </c>
      <c r="G62" s="3414"/>
      <c r="H62" s="2059"/>
      <c r="I62" s="2060"/>
      <c r="J62" s="2060"/>
    </row>
    <row r="63" spans="1:10" s="2061" customFormat="1" ht="14.1" customHeight="1">
      <c r="A63" s="2057">
        <v>41080</v>
      </c>
      <c r="B63" s="3414">
        <v>3.9</v>
      </c>
      <c r="C63" s="3414"/>
      <c r="D63" s="3414">
        <v>3.1</v>
      </c>
      <c r="E63" s="3414"/>
      <c r="F63" s="3414">
        <v>2.7</v>
      </c>
      <c r="G63" s="3414"/>
      <c r="H63" s="2059"/>
      <c r="I63" s="2060"/>
      <c r="J63" s="2060"/>
    </row>
    <row r="64" spans="1:10" s="2061" customFormat="1" ht="14.1" customHeight="1">
      <c r="A64" s="2057">
        <v>41110</v>
      </c>
      <c r="B64" s="3414">
        <v>3.7</v>
      </c>
      <c r="C64" s="3414"/>
      <c r="D64" s="3414">
        <v>3</v>
      </c>
      <c r="E64" s="3414"/>
      <c r="F64" s="3414">
        <v>2.8</v>
      </c>
      <c r="G64" s="3414"/>
      <c r="H64" s="2059"/>
      <c r="I64" s="2060"/>
      <c r="J64" s="2060"/>
    </row>
    <row r="65" spans="1:11" s="2061" customFormat="1" ht="14.1" customHeight="1">
      <c r="A65" s="2057">
        <v>41141</v>
      </c>
      <c r="B65" s="3414">
        <v>3.7</v>
      </c>
      <c r="C65" s="3414"/>
      <c r="D65" s="3414">
        <v>3</v>
      </c>
      <c r="E65" s="3414"/>
      <c r="F65" s="3414">
        <v>2.7</v>
      </c>
      <c r="G65" s="3414"/>
      <c r="H65" s="2059"/>
      <c r="I65" s="2060"/>
      <c r="J65" s="2060"/>
      <c r="K65" s="2062"/>
    </row>
    <row r="66" spans="1:11" s="2061" customFormat="1" ht="14.1" customHeight="1">
      <c r="A66" s="2057">
        <v>41172</v>
      </c>
      <c r="B66" s="3414">
        <v>3.9</v>
      </c>
      <c r="C66" s="3414"/>
      <c r="D66" s="3414">
        <v>3.4</v>
      </c>
      <c r="E66" s="3414"/>
      <c r="F66" s="3414">
        <v>3.3</v>
      </c>
      <c r="G66" s="3414"/>
      <c r="H66" s="2059"/>
      <c r="I66" s="2060"/>
      <c r="J66" s="2060"/>
      <c r="K66" s="2062"/>
    </row>
    <row r="67" spans="1:11" s="2061" customFormat="1" ht="14.1" customHeight="1">
      <c r="A67" s="2057">
        <v>41202</v>
      </c>
      <c r="B67" s="3414">
        <v>4.2</v>
      </c>
      <c r="C67" s="3414"/>
      <c r="D67" s="3414">
        <v>3.6</v>
      </c>
      <c r="E67" s="3414"/>
      <c r="F67" s="3414">
        <v>3.5</v>
      </c>
      <c r="G67" s="3414"/>
      <c r="H67" s="2059"/>
      <c r="I67" s="2060"/>
      <c r="J67" s="2060"/>
      <c r="K67" s="2062"/>
    </row>
    <row r="68" spans="1:11" s="2061" customFormat="1" ht="14.1" customHeight="1">
      <c r="A68" s="2057">
        <v>41233</v>
      </c>
      <c r="B68" s="3414">
        <v>3.1</v>
      </c>
      <c r="C68" s="3414"/>
      <c r="D68" s="3414">
        <v>3.2</v>
      </c>
      <c r="E68" s="3414"/>
      <c r="F68" s="3414">
        <v>3</v>
      </c>
      <c r="G68" s="3414"/>
      <c r="H68" s="2059"/>
      <c r="I68" s="2060"/>
      <c r="J68" s="2060"/>
      <c r="K68" s="2062"/>
    </row>
    <row r="69" spans="1:11" s="2061" customFormat="1" ht="14.1" customHeight="1">
      <c r="A69" s="2057">
        <v>41263</v>
      </c>
      <c r="B69" s="3414">
        <v>3.2</v>
      </c>
      <c r="C69" s="3414"/>
      <c r="D69" s="3414">
        <v>3.2</v>
      </c>
      <c r="E69" s="3414"/>
      <c r="F69" s="3414">
        <v>3</v>
      </c>
      <c r="G69" s="3414"/>
      <c r="H69" s="2059"/>
      <c r="I69" s="2060"/>
      <c r="J69" s="2060"/>
      <c r="K69" s="2062"/>
    </row>
    <row r="70" spans="1:11" s="2061" customFormat="1" ht="14.1" customHeight="1">
      <c r="A70" s="2057">
        <v>41294</v>
      </c>
      <c r="B70" s="3414">
        <v>2.9</v>
      </c>
      <c r="C70" s="3414"/>
      <c r="D70" s="3414">
        <v>2.2000000000000002</v>
      </c>
      <c r="E70" s="3414"/>
      <c r="F70" s="3414">
        <v>2.6</v>
      </c>
      <c r="G70" s="3414"/>
      <c r="H70" s="2059"/>
      <c r="I70" s="2060"/>
      <c r="J70" s="2060"/>
      <c r="K70" s="2062"/>
    </row>
    <row r="71" spans="1:11" s="2061" customFormat="1" ht="14.1" customHeight="1" thickBot="1">
      <c r="A71" s="2063">
        <v>41325</v>
      </c>
      <c r="B71" s="3415">
        <v>3.6</v>
      </c>
      <c r="C71" s="3415"/>
      <c r="D71" s="3415">
        <v>2.2000000000000002</v>
      </c>
      <c r="E71" s="3415"/>
      <c r="F71" s="3415">
        <v>2.6</v>
      </c>
      <c r="G71" s="3415"/>
      <c r="H71" s="2059"/>
      <c r="I71" s="2060"/>
      <c r="J71" s="2060"/>
      <c r="K71" s="2062"/>
    </row>
    <row r="72" spans="1:11">
      <c r="A72" s="2048" t="s">
        <v>2872</v>
      </c>
      <c r="B72" s="2049"/>
      <c r="C72" s="2049"/>
      <c r="D72" s="2049"/>
      <c r="E72" s="2049"/>
      <c r="F72" s="2049"/>
      <c r="G72" s="2064"/>
      <c r="H72" s="2064"/>
      <c r="I72" s="2049"/>
      <c r="J72" s="1982"/>
    </row>
    <row r="73" spans="1:11">
      <c r="A73" s="2007" t="s">
        <v>2873</v>
      </c>
      <c r="B73" s="2049"/>
      <c r="C73" s="2049"/>
      <c r="D73" s="2049"/>
      <c r="E73" s="2049"/>
      <c r="F73" s="2049"/>
      <c r="G73" s="2007"/>
      <c r="H73" s="2007"/>
      <c r="I73" s="2007"/>
      <c r="J73" s="2007"/>
    </row>
    <row r="74" spans="1:11">
      <c r="A74" s="2007" t="s">
        <v>2874</v>
      </c>
      <c r="B74" s="2049"/>
      <c r="C74" s="2049"/>
      <c r="D74" s="2049"/>
      <c r="E74" s="2049"/>
      <c r="F74" s="2049"/>
      <c r="G74" s="2007"/>
      <c r="H74" s="2007"/>
      <c r="I74" s="2007"/>
      <c r="J74" s="2007"/>
    </row>
    <row r="75" spans="1:11">
      <c r="A75" s="2007" t="s">
        <v>2875</v>
      </c>
      <c r="B75" s="2006"/>
      <c r="C75" s="2049"/>
      <c r="D75" s="2049"/>
      <c r="E75" s="2049"/>
      <c r="F75" s="2049"/>
      <c r="G75" s="2007"/>
      <c r="H75" s="2007"/>
      <c r="I75" s="2007"/>
      <c r="J75" s="2007"/>
    </row>
    <row r="76" spans="1:11">
      <c r="A76" s="2007" t="s">
        <v>2876</v>
      </c>
      <c r="B76" s="2006"/>
      <c r="C76" s="2049"/>
      <c r="D76" s="2049"/>
      <c r="E76" s="2049"/>
      <c r="F76" s="2049"/>
      <c r="G76" s="2007"/>
      <c r="H76" s="2007"/>
      <c r="I76" s="2007"/>
      <c r="J76" s="2007"/>
    </row>
    <row r="77" spans="1:11">
      <c r="A77" s="2007" t="s">
        <v>2877</v>
      </c>
      <c r="B77" s="2006"/>
      <c r="C77" s="2049"/>
      <c r="D77" s="2049"/>
      <c r="E77" s="2049"/>
      <c r="F77" s="2049"/>
      <c r="G77" s="2007"/>
      <c r="H77" s="2007"/>
      <c r="I77" s="2007"/>
      <c r="J77" s="2007"/>
    </row>
    <row r="78" spans="1:11">
      <c r="A78" s="2007" t="s">
        <v>2878</v>
      </c>
      <c r="B78" s="2006"/>
      <c r="C78" s="2049"/>
      <c r="D78" s="2049"/>
      <c r="E78" s="2049"/>
      <c r="F78" s="2049"/>
      <c r="G78" s="2007"/>
      <c r="H78" s="2007"/>
      <c r="I78" s="2007"/>
      <c r="J78" s="2007"/>
    </row>
    <row r="79" spans="1:11">
      <c r="A79" s="2007" t="s">
        <v>2879</v>
      </c>
      <c r="B79" s="2049"/>
      <c r="C79" s="2049"/>
      <c r="D79" s="2049"/>
      <c r="E79" s="2049"/>
      <c r="F79" s="2049"/>
      <c r="G79" s="2007"/>
      <c r="H79" s="2007"/>
      <c r="I79" s="2007"/>
      <c r="J79" s="2007"/>
    </row>
    <row r="80" spans="1:11">
      <c r="A80" s="2007" t="s">
        <v>303</v>
      </c>
      <c r="B80" s="2006"/>
    </row>
    <row r="81" spans="1:12" ht="9.75" customHeight="1"/>
    <row r="82" spans="1:12" ht="15.75">
      <c r="A82" s="2065" t="s">
        <v>2880</v>
      </c>
      <c r="B82" s="2066"/>
      <c r="C82" s="2066"/>
      <c r="D82" s="2066"/>
      <c r="E82" s="2066"/>
      <c r="F82" s="2066"/>
      <c r="G82" s="2066"/>
      <c r="H82" s="2066"/>
      <c r="I82" s="2066"/>
      <c r="J82" s="2066"/>
      <c r="K82" s="2066"/>
      <c r="L82" s="2066"/>
    </row>
    <row r="83" spans="1:12" ht="5.25" customHeight="1">
      <c r="A83" s="3416"/>
      <c r="B83" s="3416"/>
      <c r="C83" s="3416"/>
      <c r="D83" s="3416"/>
      <c r="E83" s="3416"/>
      <c r="F83" s="3416"/>
      <c r="G83" s="3416"/>
      <c r="H83" s="3416"/>
      <c r="I83" s="3416"/>
      <c r="J83" s="3416"/>
      <c r="K83" s="3416"/>
    </row>
    <row r="84" spans="1:12" ht="7.5" customHeight="1" thickBot="1">
      <c r="A84" s="2067"/>
      <c r="B84" s="2068"/>
      <c r="C84" s="2068"/>
      <c r="D84" s="2068"/>
      <c r="E84" s="2068"/>
      <c r="F84" s="2068"/>
      <c r="G84" s="3417"/>
      <c r="H84" s="3417"/>
      <c r="I84" s="1982"/>
      <c r="J84" s="1982"/>
      <c r="K84" s="1982"/>
      <c r="L84" s="1982"/>
    </row>
    <row r="85" spans="1:12" s="2054" customFormat="1" ht="18.75" customHeight="1" thickTop="1" thickBot="1">
      <c r="A85" s="3418" t="s">
        <v>2881</v>
      </c>
      <c r="B85" s="3420" t="s">
        <v>2882</v>
      </c>
      <c r="C85" s="3421"/>
      <c r="D85" s="3421"/>
      <c r="E85" s="3422" t="s">
        <v>2883</v>
      </c>
      <c r="F85" s="3421"/>
      <c r="G85" s="3423"/>
      <c r="H85" s="3421" t="s">
        <v>2884</v>
      </c>
      <c r="I85" s="3421"/>
      <c r="J85" s="3424"/>
    </row>
    <row r="86" spans="1:12" s="2054" customFormat="1" ht="18" customHeight="1" thickBot="1">
      <c r="A86" s="3419"/>
      <c r="B86" s="2069" t="s">
        <v>2885</v>
      </c>
      <c r="C86" s="2070" t="s">
        <v>2886</v>
      </c>
      <c r="D86" s="2071" t="s">
        <v>889</v>
      </c>
      <c r="E86" s="2069" t="s">
        <v>2885</v>
      </c>
      <c r="F86" s="2070" t="s">
        <v>2886</v>
      </c>
      <c r="G86" s="2069" t="s">
        <v>889</v>
      </c>
      <c r="H86" s="2070" t="s">
        <v>2885</v>
      </c>
      <c r="I86" s="2069" t="s">
        <v>2886</v>
      </c>
      <c r="J86" s="2072" t="s">
        <v>889</v>
      </c>
    </row>
    <row r="87" spans="1:12" s="2054" customFormat="1" ht="1.5" customHeight="1" thickTop="1">
      <c r="A87" s="2073"/>
      <c r="B87" s="2074"/>
      <c r="C87" s="2075"/>
      <c r="D87" s="2076"/>
      <c r="E87" s="2077"/>
      <c r="F87" s="2077"/>
      <c r="G87" s="2078"/>
      <c r="H87" s="2079"/>
      <c r="I87" s="2074"/>
      <c r="J87" s="2080"/>
    </row>
    <row r="88" spans="1:12" s="2054" customFormat="1" ht="12.75">
      <c r="A88" s="2081" t="s">
        <v>2817</v>
      </c>
      <c r="B88" s="2082">
        <v>75.356363636363639</v>
      </c>
      <c r="C88" s="2083">
        <v>116.8</v>
      </c>
      <c r="D88" s="2083">
        <v>102.7</v>
      </c>
      <c r="E88" s="2084">
        <v>76.382857142857134</v>
      </c>
      <c r="F88" s="2084">
        <v>97.4</v>
      </c>
      <c r="G88" s="2083">
        <v>87.9</v>
      </c>
      <c r="H88" s="2085">
        <v>1192.014285714286</v>
      </c>
      <c r="I88" s="2085">
        <v>1577.1</v>
      </c>
      <c r="J88" s="2086">
        <v>1593.1</v>
      </c>
    </row>
    <row r="89" spans="1:12" s="2054" customFormat="1" ht="12.75">
      <c r="A89" s="2081" t="s">
        <v>2818</v>
      </c>
      <c r="B89" s="2082">
        <v>77.114999999999995</v>
      </c>
      <c r="C89" s="2083">
        <v>109.9</v>
      </c>
      <c r="D89" s="2083">
        <v>112.51590909090913</v>
      </c>
      <c r="E89" s="2087">
        <v>76.666818181818186</v>
      </c>
      <c r="F89" s="2087">
        <v>86.3</v>
      </c>
      <c r="G89" s="2088">
        <v>94.285454545454556</v>
      </c>
      <c r="H89" s="2085">
        <v>1219.6954545454546</v>
      </c>
      <c r="I89" s="2085">
        <v>1761.4</v>
      </c>
      <c r="J89" s="2086">
        <v>1634.4181818181821</v>
      </c>
    </row>
    <row r="90" spans="1:12" s="2054" customFormat="1" ht="12.75">
      <c r="A90" s="2081" t="s">
        <v>2819</v>
      </c>
      <c r="B90" s="2082">
        <v>78.417272727272731</v>
      </c>
      <c r="C90" s="2083">
        <v>109.91</v>
      </c>
      <c r="D90" s="2083">
        <v>113.04849999999999</v>
      </c>
      <c r="E90" s="2087">
        <v>75.548571428571421</v>
      </c>
      <c r="F90" s="2084">
        <v>85.610000000000014</v>
      </c>
      <c r="G90" s="2088">
        <v>94.558421052631587</v>
      </c>
      <c r="H90" s="2085">
        <v>1274.9523809523805</v>
      </c>
      <c r="I90" s="2085">
        <v>1764.8809523809527</v>
      </c>
      <c r="J90" s="2089">
        <v>1751.6842105263158</v>
      </c>
    </row>
    <row r="91" spans="1:12" s="2054" customFormat="1" ht="12.75">
      <c r="A91" s="2081" t="s">
        <v>2820</v>
      </c>
      <c r="B91" s="2082">
        <v>83.53619047619047</v>
      </c>
      <c r="C91" s="2083">
        <v>108.78666666666669</v>
      </c>
      <c r="D91" s="2083">
        <v>111.52</v>
      </c>
      <c r="E91" s="2087">
        <v>81.974761904761905</v>
      </c>
      <c r="F91" s="2087">
        <v>86.446190476190466</v>
      </c>
      <c r="G91" s="2088">
        <v>89.570869565217379</v>
      </c>
      <c r="H91" s="2085">
        <v>1344.1571428571426</v>
      </c>
      <c r="I91" s="2085">
        <v>1671.042857142857</v>
      </c>
      <c r="J91" s="2089">
        <v>1746.0782608695649</v>
      </c>
    </row>
    <row r="92" spans="1:12" s="2054" customFormat="1" ht="12.75">
      <c r="A92" s="2081" t="s">
        <v>2821</v>
      </c>
      <c r="B92" s="2082">
        <v>86.159545454545437</v>
      </c>
      <c r="C92" s="2083">
        <v>110.48772727272727</v>
      </c>
      <c r="D92" s="2083">
        <v>109.52727272727275</v>
      </c>
      <c r="E92" s="2087">
        <v>84.314761904761895</v>
      </c>
      <c r="F92" s="2087">
        <v>97.162857142857135</v>
      </c>
      <c r="G92" s="2088">
        <v>86.732380952380964</v>
      </c>
      <c r="H92" s="2085">
        <v>1370.4428571428571</v>
      </c>
      <c r="I92" s="2085">
        <v>1743.2380952380956</v>
      </c>
      <c r="J92" s="2089">
        <v>1722.0238095238092</v>
      </c>
      <c r="L92" s="2090"/>
    </row>
    <row r="93" spans="1:12" s="2054" customFormat="1" ht="12.75">
      <c r="A93" s="2081" t="s">
        <v>2822</v>
      </c>
      <c r="B93" s="2082">
        <v>92.3</v>
      </c>
      <c r="C93" s="2083">
        <v>107.72285714285715</v>
      </c>
      <c r="D93" s="2083">
        <v>109.19649999999999</v>
      </c>
      <c r="E93" s="2087">
        <v>89.2</v>
      </c>
      <c r="F93" s="2087">
        <v>98.575714285714298</v>
      </c>
      <c r="G93" s="2088">
        <v>88.245499999999993</v>
      </c>
      <c r="H93" s="2085">
        <v>1394.6</v>
      </c>
      <c r="I93" s="2085">
        <v>1644.6428571428571</v>
      </c>
      <c r="J93" s="2089">
        <v>1685.595</v>
      </c>
    </row>
    <row r="94" spans="1:12" s="2054" customFormat="1" ht="12.75">
      <c r="A94" s="2081" t="s">
        <v>2811</v>
      </c>
      <c r="B94" s="2082">
        <v>96.9</v>
      </c>
      <c r="C94" s="2083">
        <v>111.44380952380951</v>
      </c>
      <c r="D94" s="2083">
        <v>112.32318181818182</v>
      </c>
      <c r="E94" s="2084">
        <v>89.6</v>
      </c>
      <c r="F94" s="2084">
        <v>100.31850000000001</v>
      </c>
      <c r="G94" s="2083">
        <v>94.837142857142851</v>
      </c>
      <c r="H94" s="2085">
        <v>1361.9</v>
      </c>
      <c r="I94" s="2085">
        <v>1659.4199999999996</v>
      </c>
      <c r="J94" s="2089">
        <v>1670.9428571428573</v>
      </c>
      <c r="K94" s="2091"/>
    </row>
    <row r="95" spans="1:12" s="2054" customFormat="1" ht="12.75">
      <c r="A95" s="2081" t="s">
        <v>2812</v>
      </c>
      <c r="B95" s="2082">
        <v>104</v>
      </c>
      <c r="C95" s="2083">
        <v>119.06000000000002</v>
      </c>
      <c r="D95" s="2083">
        <v>116.07249999999999</v>
      </c>
      <c r="E95" s="2092">
        <v>89.7</v>
      </c>
      <c r="F95" s="2084">
        <v>102.26249999999997</v>
      </c>
      <c r="G95" s="2083">
        <v>95.336499999999972</v>
      </c>
      <c r="H95" s="2085">
        <v>1374.4</v>
      </c>
      <c r="I95" s="2085">
        <v>1745.6150000000002</v>
      </c>
      <c r="J95" s="2089">
        <v>1627.2199999999998</v>
      </c>
    </row>
    <row r="96" spans="1:12" s="2054" customFormat="1" ht="12.75">
      <c r="A96" s="2081" t="s">
        <v>2813</v>
      </c>
      <c r="B96" s="2082">
        <v>114.66086956521742</v>
      </c>
      <c r="C96" s="2083">
        <v>124.54590909090911</v>
      </c>
      <c r="D96" s="2083"/>
      <c r="E96" s="2084">
        <v>102.96565217391303</v>
      </c>
      <c r="F96" s="2087">
        <v>106.20499999999998</v>
      </c>
      <c r="G96" s="2088"/>
      <c r="H96" s="2085">
        <v>1422.8913043478262</v>
      </c>
      <c r="I96" s="2085">
        <v>1676.4</v>
      </c>
      <c r="J96" s="2089"/>
      <c r="L96" s="2091"/>
    </row>
    <row r="97" spans="1:16" s="2054" customFormat="1" ht="12.75">
      <c r="A97" s="2081" t="s">
        <v>2814</v>
      </c>
      <c r="B97" s="2082">
        <v>123.09049999999999</v>
      </c>
      <c r="C97" s="2083">
        <v>120.48599999999999</v>
      </c>
      <c r="D97" s="2083"/>
      <c r="E97" s="2087">
        <v>110.04049999999999</v>
      </c>
      <c r="F97" s="2087">
        <v>103.346</v>
      </c>
      <c r="G97" s="2088"/>
      <c r="H97" s="2085">
        <v>1482.59</v>
      </c>
      <c r="I97" s="2085">
        <v>1651.6999999999996</v>
      </c>
      <c r="J97" s="2089"/>
      <c r="K97" s="2091"/>
    </row>
    <row r="98" spans="1:16" s="2054" customFormat="1" ht="12.75">
      <c r="A98" s="2081" t="s">
        <v>2815</v>
      </c>
      <c r="B98" s="2082">
        <v>114.8</v>
      </c>
      <c r="C98" s="2083">
        <v>110.4</v>
      </c>
      <c r="D98" s="2083"/>
      <c r="E98" s="2087">
        <v>101.7</v>
      </c>
      <c r="F98" s="2087">
        <v>94.7</v>
      </c>
      <c r="G98" s="2088"/>
      <c r="H98" s="2085">
        <v>1512.1</v>
      </c>
      <c r="I98" s="2085">
        <v>1587.9</v>
      </c>
      <c r="J98" s="2089"/>
      <c r="N98" s="2091"/>
    </row>
    <row r="99" spans="1:16" s="2054" customFormat="1" ht="12.75">
      <c r="A99" s="2081" t="s">
        <v>2816</v>
      </c>
      <c r="B99" s="2082">
        <v>113.9</v>
      </c>
      <c r="C99" s="2083">
        <v>95.927142857142854</v>
      </c>
      <c r="D99" s="2083"/>
      <c r="E99" s="2087">
        <v>96.3</v>
      </c>
      <c r="F99" s="2087">
        <v>82.403809523809528</v>
      </c>
      <c r="G99" s="2088"/>
      <c r="H99" s="2085">
        <v>1528.6</v>
      </c>
      <c r="I99" s="2085">
        <v>1601.9238095238095</v>
      </c>
      <c r="J99" s="2089"/>
    </row>
    <row r="100" spans="1:16" s="2054" customFormat="1" ht="5.25" customHeight="1">
      <c r="A100" s="2081"/>
      <c r="B100" s="2082"/>
      <c r="C100" s="2083"/>
      <c r="D100" s="2093"/>
      <c r="E100" s="2092"/>
      <c r="F100" s="2092"/>
      <c r="G100" s="2094"/>
      <c r="H100" s="2092"/>
      <c r="I100" s="2092"/>
      <c r="J100" s="2095"/>
    </row>
    <row r="101" spans="1:16" s="2054" customFormat="1" ht="13.5" thickBot="1">
      <c r="A101" s="2096" t="s">
        <v>1255</v>
      </c>
      <c r="B101" s="2097">
        <f t="shared" ref="B101:J101" si="0">AVERAGE(B88:B99)</f>
        <v>96.686311821632486</v>
      </c>
      <c r="C101" s="2097">
        <f t="shared" si="0"/>
        <v>112.1225093795094</v>
      </c>
      <c r="D101" s="2097">
        <f t="shared" si="0"/>
        <v>110.86298295454546</v>
      </c>
      <c r="E101" s="2097">
        <f t="shared" si="0"/>
        <v>89.532826894723641</v>
      </c>
      <c r="F101" s="2097">
        <f t="shared" si="0"/>
        <v>95.060880952380941</v>
      </c>
      <c r="G101" s="2097">
        <f t="shared" si="0"/>
        <v>91.433283621603422</v>
      </c>
      <c r="H101" s="2098">
        <f t="shared" si="0"/>
        <v>1373.1952854633289</v>
      </c>
      <c r="I101" s="2098">
        <f t="shared" si="0"/>
        <v>1673.7719642857144</v>
      </c>
      <c r="J101" s="2099">
        <f t="shared" si="0"/>
        <v>1678.882789985091</v>
      </c>
    </row>
    <row r="102" spans="1:16" ht="15.75" thickTop="1">
      <c r="A102" s="2100" t="s">
        <v>2887</v>
      </c>
      <c r="B102" s="2049"/>
      <c r="C102" s="2049"/>
      <c r="D102" s="2049"/>
      <c r="E102" s="2049"/>
      <c r="F102" s="2049"/>
      <c r="G102" s="2049"/>
      <c r="H102" s="2049"/>
      <c r="I102" s="2049"/>
      <c r="J102" s="2049"/>
      <c r="K102" s="2049"/>
      <c r="L102" s="2049"/>
    </row>
    <row r="103" spans="1:16">
      <c r="A103" s="2101" t="s">
        <v>2888</v>
      </c>
      <c r="B103" s="2049"/>
      <c r="C103" s="2049"/>
      <c r="D103" s="2049"/>
      <c r="E103" s="2049"/>
      <c r="F103" s="2049"/>
      <c r="G103" s="2049"/>
      <c r="H103" s="2049"/>
      <c r="I103" s="2049"/>
      <c r="J103" s="2049"/>
      <c r="K103" s="2049"/>
      <c r="L103" s="2049"/>
      <c r="N103" s="2102"/>
    </row>
    <row r="104" spans="1:16">
      <c r="A104" s="2101" t="s">
        <v>2889</v>
      </c>
      <c r="B104" s="2049"/>
      <c r="C104" s="2049"/>
      <c r="D104" s="2049"/>
      <c r="E104" s="2049"/>
      <c r="F104" s="2049"/>
      <c r="G104" s="2049"/>
      <c r="H104" s="2049"/>
      <c r="I104" s="2049"/>
      <c r="J104" s="2049"/>
      <c r="K104" s="2049"/>
      <c r="L104" s="2049"/>
      <c r="N104" s="2102"/>
    </row>
    <row r="105" spans="1:16">
      <c r="A105" s="2007" t="s">
        <v>2890</v>
      </c>
    </row>
    <row r="106" spans="1:16">
      <c r="N106" s="2102"/>
      <c r="P106" s="2102"/>
    </row>
    <row r="107" spans="1:16">
      <c r="A107" s="2065" t="s">
        <v>2891</v>
      </c>
    </row>
    <row r="108" spans="1:16" ht="15.75" thickBot="1">
      <c r="G108" s="2052" t="s">
        <v>2892</v>
      </c>
    </row>
    <row r="109" spans="1:16" ht="16.5" thickTop="1" thickBot="1">
      <c r="A109" s="2103" t="s">
        <v>720</v>
      </c>
      <c r="B109" s="2104" t="s">
        <v>2893</v>
      </c>
      <c r="C109" s="2105" t="s">
        <v>2894</v>
      </c>
      <c r="D109" s="2105" t="s">
        <v>2895</v>
      </c>
      <c r="E109" s="2105" t="s">
        <v>2896</v>
      </c>
      <c r="F109" s="2105" t="s">
        <v>2897</v>
      </c>
      <c r="G109" s="2106" t="s">
        <v>2898</v>
      </c>
    </row>
    <row r="110" spans="1:16" ht="15.75" thickTop="1">
      <c r="A110" s="2107">
        <v>40940</v>
      </c>
      <c r="B110" s="2108">
        <v>215.62898507068039</v>
      </c>
      <c r="C110" s="2109">
        <v>178.1191016344184</v>
      </c>
      <c r="D110" s="2109">
        <v>202.0472689932003</v>
      </c>
      <c r="E110" s="2109">
        <v>226.30042988939749</v>
      </c>
      <c r="F110" s="2109">
        <v>238.73788979576904</v>
      </c>
      <c r="G110" s="2110">
        <v>342.29163393405935</v>
      </c>
    </row>
    <row r="111" spans="1:16">
      <c r="A111" s="2107">
        <v>40969</v>
      </c>
      <c r="B111" s="2108">
        <v>215.98711526790046</v>
      </c>
      <c r="C111" s="2109">
        <v>177.99623670651022</v>
      </c>
      <c r="D111" s="2109">
        <v>196.98757715520296</v>
      </c>
      <c r="E111" s="2109">
        <v>227.76432730525752</v>
      </c>
      <c r="F111" s="2109">
        <v>244.93006775562597</v>
      </c>
      <c r="G111" s="2110">
        <v>341.94455382319757</v>
      </c>
    </row>
    <row r="112" spans="1:16">
      <c r="A112" s="2107">
        <v>41000</v>
      </c>
      <c r="B112" s="2108">
        <v>212.98358695556476</v>
      </c>
      <c r="C112" s="2109">
        <v>179.59416292080732</v>
      </c>
      <c r="D112" s="2109">
        <v>185.6412927638693</v>
      </c>
      <c r="E112" s="2109">
        <v>223.29749534672345</v>
      </c>
      <c r="F112" s="2109">
        <v>250.95109136275337</v>
      </c>
      <c r="G112" s="2110">
        <v>323.96580408055684</v>
      </c>
    </row>
    <row r="113" spans="1:10">
      <c r="A113" s="2107">
        <v>41030</v>
      </c>
      <c r="B113" s="2108">
        <v>204.69276344161401</v>
      </c>
      <c r="C113" s="2109">
        <v>175.0030610794702</v>
      </c>
      <c r="D113" s="2109">
        <v>176.07945102915292</v>
      </c>
      <c r="E113" s="2109">
        <v>221.26176737451044</v>
      </c>
      <c r="F113" s="2109">
        <v>233.84392205135507</v>
      </c>
      <c r="G113" s="2110">
        <v>294.58501197029545</v>
      </c>
    </row>
    <row r="114" spans="1:10">
      <c r="A114" s="2107">
        <v>41061</v>
      </c>
      <c r="B114" s="2108">
        <v>200.41653107667142</v>
      </c>
      <c r="C114" s="2109">
        <v>169.51437418998171</v>
      </c>
      <c r="D114" s="2109">
        <v>173.39096388219804</v>
      </c>
      <c r="E114" s="2109">
        <v>222.14266077656777</v>
      </c>
      <c r="F114" s="2109">
        <v>220.71201243311057</v>
      </c>
      <c r="G114" s="2110">
        <v>290.43602246806444</v>
      </c>
    </row>
    <row r="115" spans="1:10">
      <c r="A115" s="2107">
        <v>41091</v>
      </c>
      <c r="B115" s="2108">
        <v>212.92501163125024</v>
      </c>
      <c r="C115" s="2109">
        <v>166.82698096593472</v>
      </c>
      <c r="D115" s="2109">
        <v>172.92083044711322</v>
      </c>
      <c r="E115" s="2109">
        <v>260.16301595459674</v>
      </c>
      <c r="F115" s="2109">
        <v>226.08022604191817</v>
      </c>
      <c r="G115" s="2110">
        <v>324.29927742247065</v>
      </c>
    </row>
    <row r="116" spans="1:10">
      <c r="A116" s="2107">
        <v>41122</v>
      </c>
      <c r="B116" s="2108">
        <v>212.54785754864949</v>
      </c>
      <c r="C116" s="2109">
        <v>170.49625237932742</v>
      </c>
      <c r="D116" s="2109">
        <v>175.63497665422611</v>
      </c>
      <c r="E116" s="2109">
        <v>259.93777332212142</v>
      </c>
      <c r="F116" s="2109">
        <v>225.96756327850537</v>
      </c>
      <c r="G116" s="2110">
        <v>296.15887804899899</v>
      </c>
    </row>
    <row r="117" spans="1:10">
      <c r="A117" s="2107">
        <v>41153</v>
      </c>
      <c r="B117" s="2108">
        <v>215.73779935772805</v>
      </c>
      <c r="C117" s="2109">
        <v>174.90655980872501</v>
      </c>
      <c r="D117" s="2109">
        <v>187.70300633182845</v>
      </c>
      <c r="E117" s="2109">
        <v>262.55977230883963</v>
      </c>
      <c r="F117" s="2109">
        <v>224.71435582404604</v>
      </c>
      <c r="G117" s="2110">
        <v>283.69357666134431</v>
      </c>
    </row>
    <row r="118" spans="1:10">
      <c r="A118" s="2107">
        <v>41183</v>
      </c>
      <c r="B118" s="2108">
        <v>214.50136362741875</v>
      </c>
      <c r="C118" s="2109">
        <v>177.20815811678315</v>
      </c>
      <c r="D118" s="2109">
        <v>194.04852227643946</v>
      </c>
      <c r="E118" s="2109">
        <v>259.47191434225141</v>
      </c>
      <c r="F118" s="2109">
        <v>206.43577949912105</v>
      </c>
      <c r="G118" s="2110">
        <v>288.22461870207565</v>
      </c>
    </row>
    <row r="119" spans="1:10">
      <c r="A119" s="2107">
        <v>41214</v>
      </c>
      <c r="B119" s="2108">
        <v>211.97440229163465</v>
      </c>
      <c r="C119" s="2109">
        <v>177.82734062895111</v>
      </c>
      <c r="D119" s="2109">
        <v>195.00532169836649</v>
      </c>
      <c r="E119" s="2109">
        <v>255.58818902056103</v>
      </c>
      <c r="F119" s="2109">
        <v>200.39164408698716</v>
      </c>
      <c r="G119" s="2110">
        <v>274.46081570166393</v>
      </c>
    </row>
    <row r="120" spans="1:10">
      <c r="A120" s="2107">
        <v>41244</v>
      </c>
      <c r="B120" s="2108">
        <v>210.77527436940179</v>
      </c>
      <c r="C120" s="2109">
        <v>179.49592388827728</v>
      </c>
      <c r="D120" s="2109">
        <v>196.77967015814124</v>
      </c>
      <c r="E120" s="2109">
        <v>250.06585533387448</v>
      </c>
      <c r="F120" s="2109">
        <v>196.54133273080728</v>
      </c>
      <c r="G120" s="2110">
        <v>274.01575456835525</v>
      </c>
    </row>
    <row r="121" spans="1:10">
      <c r="A121" s="2107">
        <v>41275</v>
      </c>
      <c r="B121" s="2108">
        <v>210.43086273991477</v>
      </c>
      <c r="C121" s="2109">
        <v>177.73799147544642</v>
      </c>
      <c r="D121" s="2109">
        <v>198.16678317608154</v>
      </c>
      <c r="E121" s="2109">
        <v>247.29196847216625</v>
      </c>
      <c r="F121" s="2109">
        <v>205.24440885911548</v>
      </c>
      <c r="G121" s="2110">
        <v>267.83004983150084</v>
      </c>
    </row>
    <row r="122" spans="1:10" ht="15.75" thickBot="1">
      <c r="A122" s="2111">
        <v>41306</v>
      </c>
      <c r="B122" s="2112">
        <v>210.18181810341588</v>
      </c>
      <c r="C122" s="2113">
        <v>177.66482703061004</v>
      </c>
      <c r="D122" s="2113">
        <v>203.00412267477256</v>
      </c>
      <c r="E122" s="2113">
        <v>245.316568352806</v>
      </c>
      <c r="F122" s="2113">
        <v>206.12905303053927</v>
      </c>
      <c r="G122" s="2114">
        <v>259.17973844193307</v>
      </c>
    </row>
    <row r="123" spans="1:10" ht="15.75" thickTop="1">
      <c r="A123" s="2100" t="s">
        <v>2899</v>
      </c>
      <c r="B123" s="2049"/>
      <c r="C123" s="2049"/>
      <c r="D123" s="2049"/>
      <c r="E123" s="2049"/>
      <c r="F123" s="2049"/>
      <c r="G123" s="2049"/>
      <c r="H123" s="2049"/>
      <c r="I123" s="2049"/>
      <c r="J123" s="2049"/>
    </row>
    <row r="124" spans="1:10">
      <c r="A124" s="2101" t="s">
        <v>2900</v>
      </c>
      <c r="B124" s="2049"/>
      <c r="C124" s="2049"/>
      <c r="D124" s="2049"/>
      <c r="E124" s="2049"/>
      <c r="F124" s="2049"/>
      <c r="G124" s="2049"/>
      <c r="H124" s="2049"/>
      <c r="I124" s="2049"/>
      <c r="J124" s="2049"/>
    </row>
    <row r="125" spans="1:10">
      <c r="A125" s="2101" t="s">
        <v>2901</v>
      </c>
      <c r="B125" s="2049"/>
      <c r="C125" s="2049"/>
      <c r="D125" s="2049"/>
      <c r="E125" s="2049"/>
      <c r="F125" s="2049"/>
      <c r="G125" s="2049"/>
      <c r="H125" s="2049"/>
      <c r="I125" s="2049"/>
      <c r="J125" s="2049"/>
    </row>
    <row r="126" spans="1:10">
      <c r="A126" s="2007" t="s">
        <v>2902</v>
      </c>
    </row>
  </sheetData>
  <mergeCells count="213">
    <mergeCell ref="B71:C71"/>
    <mergeCell ref="D71:E71"/>
    <mergeCell ref="F71:G71"/>
    <mergeCell ref="A83:K83"/>
    <mergeCell ref="G84:H84"/>
    <mergeCell ref="A85:A86"/>
    <mergeCell ref="B85:D85"/>
    <mergeCell ref="E85:G85"/>
    <mergeCell ref="H85:J85"/>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11811023622047245" right="0" top="0.31496062992125984" bottom="0" header="0" footer="0"/>
  <pageSetup paperSize="9" scale="6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90" zoomScaleNormal="90" workbookViewId="0">
      <selection activeCell="B7" sqref="B7:H7"/>
    </sheetView>
  </sheetViews>
  <sheetFormatPr defaultRowHeight="12.75"/>
  <cols>
    <col min="1" max="1" width="13.28515625" style="2231" customWidth="1"/>
    <col min="2" max="2" width="10.5703125" style="2231" customWidth="1"/>
    <col min="3" max="3" width="12.140625" style="2231" customWidth="1"/>
    <col min="4" max="4" width="8.140625" style="2231" bestFit="1" customWidth="1"/>
    <col min="5" max="5" width="11.5703125" style="2231" bestFit="1" customWidth="1"/>
    <col min="6" max="6" width="11.140625" style="2231" customWidth="1"/>
    <col min="7" max="7" width="12.5703125" style="2231" customWidth="1"/>
    <col min="8" max="8" width="13.85546875" style="2231" customWidth="1"/>
    <col min="9" max="9" width="13.42578125" style="2231" customWidth="1"/>
    <col min="10" max="10" width="15.7109375" style="2231" customWidth="1"/>
    <col min="11" max="11" width="17.7109375" style="2231" bestFit="1" customWidth="1"/>
    <col min="12" max="12" width="21" style="2231" customWidth="1"/>
    <col min="13" max="13" width="18.85546875" style="2231" customWidth="1"/>
    <col min="14" max="14" width="15.7109375" style="2231" customWidth="1"/>
    <col min="15" max="252" width="9.140625" style="2231"/>
    <col min="253" max="253" width="13.28515625" style="2231" customWidth="1"/>
    <col min="254" max="254" width="10.5703125" style="2231" customWidth="1"/>
    <col min="255" max="255" width="12.140625" style="2231" customWidth="1"/>
    <col min="256" max="256" width="8.140625" style="2231" bestFit="1" customWidth="1"/>
    <col min="257" max="257" width="11.5703125" style="2231" bestFit="1" customWidth="1"/>
    <col min="258" max="258" width="11.140625" style="2231" customWidth="1"/>
    <col min="259" max="259" width="12.5703125" style="2231" customWidth="1"/>
    <col min="260" max="260" width="13.85546875" style="2231" customWidth="1"/>
    <col min="261" max="261" width="13.42578125" style="2231" customWidth="1"/>
    <col min="262" max="262" width="11" style="2231" customWidth="1"/>
    <col min="263" max="263" width="17.7109375" style="2231" bestFit="1" customWidth="1"/>
    <col min="264" max="265" width="9.140625" style="2231"/>
    <col min="266" max="266" width="10.140625" style="2231" customWidth="1"/>
    <col min="267" max="508" width="9.140625" style="2231"/>
    <col min="509" max="509" width="13.28515625" style="2231" customWidth="1"/>
    <col min="510" max="510" width="10.5703125" style="2231" customWidth="1"/>
    <col min="511" max="511" width="12.140625" style="2231" customWidth="1"/>
    <col min="512" max="512" width="8.140625" style="2231" bestFit="1" customWidth="1"/>
    <col min="513" max="513" width="11.5703125" style="2231" bestFit="1" customWidth="1"/>
    <col min="514" max="514" width="11.140625" style="2231" customWidth="1"/>
    <col min="515" max="515" width="12.5703125" style="2231" customWidth="1"/>
    <col min="516" max="516" width="13.85546875" style="2231" customWidth="1"/>
    <col min="517" max="517" width="13.42578125" style="2231" customWidth="1"/>
    <col min="518" max="518" width="11" style="2231" customWidth="1"/>
    <col min="519" max="519" width="17.7109375" style="2231" bestFit="1" customWidth="1"/>
    <col min="520" max="521" width="9.140625" style="2231"/>
    <col min="522" max="522" width="10.140625" style="2231" customWidth="1"/>
    <col min="523" max="764" width="9.140625" style="2231"/>
    <col min="765" max="765" width="13.28515625" style="2231" customWidth="1"/>
    <col min="766" max="766" width="10.5703125" style="2231" customWidth="1"/>
    <col min="767" max="767" width="12.140625" style="2231" customWidth="1"/>
    <col min="768" max="768" width="8.140625" style="2231" bestFit="1" customWidth="1"/>
    <col min="769" max="769" width="11.5703125" style="2231" bestFit="1" customWidth="1"/>
    <col min="770" max="770" width="11.140625" style="2231" customWidth="1"/>
    <col min="771" max="771" width="12.5703125" style="2231" customWidth="1"/>
    <col min="772" max="772" width="13.85546875" style="2231" customWidth="1"/>
    <col min="773" max="773" width="13.42578125" style="2231" customWidth="1"/>
    <col min="774" max="774" width="11" style="2231" customWidth="1"/>
    <col min="775" max="775" width="17.7109375" style="2231" bestFit="1" customWidth="1"/>
    <col min="776" max="777" width="9.140625" style="2231"/>
    <col min="778" max="778" width="10.140625" style="2231" customWidth="1"/>
    <col min="779" max="1020" width="9.140625" style="2231"/>
    <col min="1021" max="1021" width="13.28515625" style="2231" customWidth="1"/>
    <col min="1022" max="1022" width="10.5703125" style="2231" customWidth="1"/>
    <col min="1023" max="1023" width="12.140625" style="2231" customWidth="1"/>
    <col min="1024" max="1024" width="8.140625" style="2231" bestFit="1" customWidth="1"/>
    <col min="1025" max="1025" width="11.5703125" style="2231" bestFit="1" customWidth="1"/>
    <col min="1026" max="1026" width="11.140625" style="2231" customWidth="1"/>
    <col min="1027" max="1027" width="12.5703125" style="2231" customWidth="1"/>
    <col min="1028" max="1028" width="13.85546875" style="2231" customWidth="1"/>
    <col min="1029" max="1029" width="13.42578125" style="2231" customWidth="1"/>
    <col min="1030" max="1030" width="11" style="2231" customWidth="1"/>
    <col min="1031" max="1031" width="17.7109375" style="2231" bestFit="1" customWidth="1"/>
    <col min="1032" max="1033" width="9.140625" style="2231"/>
    <col min="1034" max="1034" width="10.140625" style="2231" customWidth="1"/>
    <col min="1035" max="1276" width="9.140625" style="2231"/>
    <col min="1277" max="1277" width="13.28515625" style="2231" customWidth="1"/>
    <col min="1278" max="1278" width="10.5703125" style="2231" customWidth="1"/>
    <col min="1279" max="1279" width="12.140625" style="2231" customWidth="1"/>
    <col min="1280" max="1280" width="8.140625" style="2231" bestFit="1" customWidth="1"/>
    <col min="1281" max="1281" width="11.5703125" style="2231" bestFit="1" customWidth="1"/>
    <col min="1282" max="1282" width="11.140625" style="2231" customWidth="1"/>
    <col min="1283" max="1283" width="12.5703125" style="2231" customWidth="1"/>
    <col min="1284" max="1284" width="13.85546875" style="2231" customWidth="1"/>
    <col min="1285" max="1285" width="13.42578125" style="2231" customWidth="1"/>
    <col min="1286" max="1286" width="11" style="2231" customWidth="1"/>
    <col min="1287" max="1287" width="17.7109375" style="2231" bestFit="1" customWidth="1"/>
    <col min="1288" max="1289" width="9.140625" style="2231"/>
    <col min="1290" max="1290" width="10.140625" style="2231" customWidth="1"/>
    <col min="1291" max="1532" width="9.140625" style="2231"/>
    <col min="1533" max="1533" width="13.28515625" style="2231" customWidth="1"/>
    <col min="1534" max="1534" width="10.5703125" style="2231" customWidth="1"/>
    <col min="1535" max="1535" width="12.140625" style="2231" customWidth="1"/>
    <col min="1536" max="1536" width="8.140625" style="2231" bestFit="1" customWidth="1"/>
    <col min="1537" max="1537" width="11.5703125" style="2231" bestFit="1" customWidth="1"/>
    <col min="1538" max="1538" width="11.140625" style="2231" customWidth="1"/>
    <col min="1539" max="1539" width="12.5703125" style="2231" customWidth="1"/>
    <col min="1540" max="1540" width="13.85546875" style="2231" customWidth="1"/>
    <col min="1541" max="1541" width="13.42578125" style="2231" customWidth="1"/>
    <col min="1542" max="1542" width="11" style="2231" customWidth="1"/>
    <col min="1543" max="1543" width="17.7109375" style="2231" bestFit="1" customWidth="1"/>
    <col min="1544" max="1545" width="9.140625" style="2231"/>
    <col min="1546" max="1546" width="10.140625" style="2231" customWidth="1"/>
    <col min="1547" max="1788" width="9.140625" style="2231"/>
    <col min="1789" max="1789" width="13.28515625" style="2231" customWidth="1"/>
    <col min="1790" max="1790" width="10.5703125" style="2231" customWidth="1"/>
    <col min="1791" max="1791" width="12.140625" style="2231" customWidth="1"/>
    <col min="1792" max="1792" width="8.140625" style="2231" bestFit="1" customWidth="1"/>
    <col min="1793" max="1793" width="11.5703125" style="2231" bestFit="1" customWidth="1"/>
    <col min="1794" max="1794" width="11.140625" style="2231" customWidth="1"/>
    <col min="1795" max="1795" width="12.5703125" style="2231" customWidth="1"/>
    <col min="1796" max="1796" width="13.85546875" style="2231" customWidth="1"/>
    <col min="1797" max="1797" width="13.42578125" style="2231" customWidth="1"/>
    <col min="1798" max="1798" width="11" style="2231" customWidth="1"/>
    <col min="1799" max="1799" width="17.7109375" style="2231" bestFit="1" customWidth="1"/>
    <col min="1800" max="1801" width="9.140625" style="2231"/>
    <col min="1802" max="1802" width="10.140625" style="2231" customWidth="1"/>
    <col min="1803" max="2044" width="9.140625" style="2231"/>
    <col min="2045" max="2045" width="13.28515625" style="2231" customWidth="1"/>
    <col min="2046" max="2046" width="10.5703125" style="2231" customWidth="1"/>
    <col min="2047" max="2047" width="12.140625" style="2231" customWidth="1"/>
    <col min="2048" max="2048" width="8.140625" style="2231" bestFit="1" customWidth="1"/>
    <col min="2049" max="2049" width="11.5703125" style="2231" bestFit="1" customWidth="1"/>
    <col min="2050" max="2050" width="11.140625" style="2231" customWidth="1"/>
    <col min="2051" max="2051" width="12.5703125" style="2231" customWidth="1"/>
    <col min="2052" max="2052" width="13.85546875" style="2231" customWidth="1"/>
    <col min="2053" max="2053" width="13.42578125" style="2231" customWidth="1"/>
    <col min="2054" max="2054" width="11" style="2231" customWidth="1"/>
    <col min="2055" max="2055" width="17.7109375" style="2231" bestFit="1" customWidth="1"/>
    <col min="2056" max="2057" width="9.140625" style="2231"/>
    <col min="2058" max="2058" width="10.140625" style="2231" customWidth="1"/>
    <col min="2059" max="2300" width="9.140625" style="2231"/>
    <col min="2301" max="2301" width="13.28515625" style="2231" customWidth="1"/>
    <col min="2302" max="2302" width="10.5703125" style="2231" customWidth="1"/>
    <col min="2303" max="2303" width="12.140625" style="2231" customWidth="1"/>
    <col min="2304" max="2304" width="8.140625" style="2231" bestFit="1" customWidth="1"/>
    <col min="2305" max="2305" width="11.5703125" style="2231" bestFit="1" customWidth="1"/>
    <col min="2306" max="2306" width="11.140625" style="2231" customWidth="1"/>
    <col min="2307" max="2307" width="12.5703125" style="2231" customWidth="1"/>
    <col min="2308" max="2308" width="13.85546875" style="2231" customWidth="1"/>
    <col min="2309" max="2309" width="13.42578125" style="2231" customWidth="1"/>
    <col min="2310" max="2310" width="11" style="2231" customWidth="1"/>
    <col min="2311" max="2311" width="17.7109375" style="2231" bestFit="1" customWidth="1"/>
    <col min="2312" max="2313" width="9.140625" style="2231"/>
    <col min="2314" max="2314" width="10.140625" style="2231" customWidth="1"/>
    <col min="2315" max="2556" width="9.140625" style="2231"/>
    <col min="2557" max="2557" width="13.28515625" style="2231" customWidth="1"/>
    <col min="2558" max="2558" width="10.5703125" style="2231" customWidth="1"/>
    <col min="2559" max="2559" width="12.140625" style="2231" customWidth="1"/>
    <col min="2560" max="2560" width="8.140625" style="2231" bestFit="1" customWidth="1"/>
    <col min="2561" max="2561" width="11.5703125" style="2231" bestFit="1" customWidth="1"/>
    <col min="2562" max="2562" width="11.140625" style="2231" customWidth="1"/>
    <col min="2563" max="2563" width="12.5703125" style="2231" customWidth="1"/>
    <col min="2564" max="2564" width="13.85546875" style="2231" customWidth="1"/>
    <col min="2565" max="2565" width="13.42578125" style="2231" customWidth="1"/>
    <col min="2566" max="2566" width="11" style="2231" customWidth="1"/>
    <col min="2567" max="2567" width="17.7109375" style="2231" bestFit="1" customWidth="1"/>
    <col min="2568" max="2569" width="9.140625" style="2231"/>
    <col min="2570" max="2570" width="10.140625" style="2231" customWidth="1"/>
    <col min="2571" max="2812" width="9.140625" style="2231"/>
    <col min="2813" max="2813" width="13.28515625" style="2231" customWidth="1"/>
    <col min="2814" max="2814" width="10.5703125" style="2231" customWidth="1"/>
    <col min="2815" max="2815" width="12.140625" style="2231" customWidth="1"/>
    <col min="2816" max="2816" width="8.140625" style="2231" bestFit="1" customWidth="1"/>
    <col min="2817" max="2817" width="11.5703125" style="2231" bestFit="1" customWidth="1"/>
    <col min="2818" max="2818" width="11.140625" style="2231" customWidth="1"/>
    <col min="2819" max="2819" width="12.5703125" style="2231" customWidth="1"/>
    <col min="2820" max="2820" width="13.85546875" style="2231" customWidth="1"/>
    <col min="2821" max="2821" width="13.42578125" style="2231" customWidth="1"/>
    <col min="2822" max="2822" width="11" style="2231" customWidth="1"/>
    <col min="2823" max="2823" width="17.7109375" style="2231" bestFit="1" customWidth="1"/>
    <col min="2824" max="2825" width="9.140625" style="2231"/>
    <col min="2826" max="2826" width="10.140625" style="2231" customWidth="1"/>
    <col min="2827" max="3068" width="9.140625" style="2231"/>
    <col min="3069" max="3069" width="13.28515625" style="2231" customWidth="1"/>
    <col min="3070" max="3070" width="10.5703125" style="2231" customWidth="1"/>
    <col min="3071" max="3071" width="12.140625" style="2231" customWidth="1"/>
    <col min="3072" max="3072" width="8.140625" style="2231" bestFit="1" customWidth="1"/>
    <col min="3073" max="3073" width="11.5703125" style="2231" bestFit="1" customWidth="1"/>
    <col min="3074" max="3074" width="11.140625" style="2231" customWidth="1"/>
    <col min="3075" max="3075" width="12.5703125" style="2231" customWidth="1"/>
    <col min="3076" max="3076" width="13.85546875" style="2231" customWidth="1"/>
    <col min="3077" max="3077" width="13.42578125" style="2231" customWidth="1"/>
    <col min="3078" max="3078" width="11" style="2231" customWidth="1"/>
    <col min="3079" max="3079" width="17.7109375" style="2231" bestFit="1" customWidth="1"/>
    <col min="3080" max="3081" width="9.140625" style="2231"/>
    <col min="3082" max="3082" width="10.140625" style="2231" customWidth="1"/>
    <col min="3083" max="3324" width="9.140625" style="2231"/>
    <col min="3325" max="3325" width="13.28515625" style="2231" customWidth="1"/>
    <col min="3326" max="3326" width="10.5703125" style="2231" customWidth="1"/>
    <col min="3327" max="3327" width="12.140625" style="2231" customWidth="1"/>
    <col min="3328" max="3328" width="8.140625" style="2231" bestFit="1" customWidth="1"/>
    <col min="3329" max="3329" width="11.5703125" style="2231" bestFit="1" customWidth="1"/>
    <col min="3330" max="3330" width="11.140625" style="2231" customWidth="1"/>
    <col min="3331" max="3331" width="12.5703125" style="2231" customWidth="1"/>
    <col min="3332" max="3332" width="13.85546875" style="2231" customWidth="1"/>
    <col min="3333" max="3333" width="13.42578125" style="2231" customWidth="1"/>
    <col min="3334" max="3334" width="11" style="2231" customWidth="1"/>
    <col min="3335" max="3335" width="17.7109375" style="2231" bestFit="1" customWidth="1"/>
    <col min="3336" max="3337" width="9.140625" style="2231"/>
    <col min="3338" max="3338" width="10.140625" style="2231" customWidth="1"/>
    <col min="3339" max="3580" width="9.140625" style="2231"/>
    <col min="3581" max="3581" width="13.28515625" style="2231" customWidth="1"/>
    <col min="3582" max="3582" width="10.5703125" style="2231" customWidth="1"/>
    <col min="3583" max="3583" width="12.140625" style="2231" customWidth="1"/>
    <col min="3584" max="3584" width="8.140625" style="2231" bestFit="1" customWidth="1"/>
    <col min="3585" max="3585" width="11.5703125" style="2231" bestFit="1" customWidth="1"/>
    <col min="3586" max="3586" width="11.140625" style="2231" customWidth="1"/>
    <col min="3587" max="3587" width="12.5703125" style="2231" customWidth="1"/>
    <col min="3588" max="3588" width="13.85546875" style="2231" customWidth="1"/>
    <col min="3589" max="3589" width="13.42578125" style="2231" customWidth="1"/>
    <col min="3590" max="3590" width="11" style="2231" customWidth="1"/>
    <col min="3591" max="3591" width="17.7109375" style="2231" bestFit="1" customWidth="1"/>
    <col min="3592" max="3593" width="9.140625" style="2231"/>
    <col min="3594" max="3594" width="10.140625" style="2231" customWidth="1"/>
    <col min="3595" max="3836" width="9.140625" style="2231"/>
    <col min="3837" max="3837" width="13.28515625" style="2231" customWidth="1"/>
    <col min="3838" max="3838" width="10.5703125" style="2231" customWidth="1"/>
    <col min="3839" max="3839" width="12.140625" style="2231" customWidth="1"/>
    <col min="3840" max="3840" width="8.140625" style="2231" bestFit="1" customWidth="1"/>
    <col min="3841" max="3841" width="11.5703125" style="2231" bestFit="1" customWidth="1"/>
    <col min="3842" max="3842" width="11.140625" style="2231" customWidth="1"/>
    <col min="3843" max="3843" width="12.5703125" style="2231" customWidth="1"/>
    <col min="3844" max="3844" width="13.85546875" style="2231" customWidth="1"/>
    <col min="3845" max="3845" width="13.42578125" style="2231" customWidth="1"/>
    <col min="3846" max="3846" width="11" style="2231" customWidth="1"/>
    <col min="3847" max="3847" width="17.7109375" style="2231" bestFit="1" customWidth="1"/>
    <col min="3848" max="3849" width="9.140625" style="2231"/>
    <col min="3850" max="3850" width="10.140625" style="2231" customWidth="1"/>
    <col min="3851" max="4092" width="9.140625" style="2231"/>
    <col min="4093" max="4093" width="13.28515625" style="2231" customWidth="1"/>
    <col min="4094" max="4094" width="10.5703125" style="2231" customWidth="1"/>
    <col min="4095" max="4095" width="12.140625" style="2231" customWidth="1"/>
    <col min="4096" max="4096" width="8.140625" style="2231" bestFit="1" customWidth="1"/>
    <col min="4097" max="4097" width="11.5703125" style="2231" bestFit="1" customWidth="1"/>
    <col min="4098" max="4098" width="11.140625" style="2231" customWidth="1"/>
    <col min="4099" max="4099" width="12.5703125" style="2231" customWidth="1"/>
    <col min="4100" max="4100" width="13.85546875" style="2231" customWidth="1"/>
    <col min="4101" max="4101" width="13.42578125" style="2231" customWidth="1"/>
    <col min="4102" max="4102" width="11" style="2231" customWidth="1"/>
    <col min="4103" max="4103" width="17.7109375" style="2231" bestFit="1" customWidth="1"/>
    <col min="4104" max="4105" width="9.140625" style="2231"/>
    <col min="4106" max="4106" width="10.140625" style="2231" customWidth="1"/>
    <col min="4107" max="4348" width="9.140625" style="2231"/>
    <col min="4349" max="4349" width="13.28515625" style="2231" customWidth="1"/>
    <col min="4350" max="4350" width="10.5703125" style="2231" customWidth="1"/>
    <col min="4351" max="4351" width="12.140625" style="2231" customWidth="1"/>
    <col min="4352" max="4352" width="8.140625" style="2231" bestFit="1" customWidth="1"/>
    <col min="4353" max="4353" width="11.5703125" style="2231" bestFit="1" customWidth="1"/>
    <col min="4354" max="4354" width="11.140625" style="2231" customWidth="1"/>
    <col min="4355" max="4355" width="12.5703125" style="2231" customWidth="1"/>
    <col min="4356" max="4356" width="13.85546875" style="2231" customWidth="1"/>
    <col min="4357" max="4357" width="13.42578125" style="2231" customWidth="1"/>
    <col min="4358" max="4358" width="11" style="2231" customWidth="1"/>
    <col min="4359" max="4359" width="17.7109375" style="2231" bestFit="1" customWidth="1"/>
    <col min="4360" max="4361" width="9.140625" style="2231"/>
    <col min="4362" max="4362" width="10.140625" style="2231" customWidth="1"/>
    <col min="4363" max="4604" width="9.140625" style="2231"/>
    <col min="4605" max="4605" width="13.28515625" style="2231" customWidth="1"/>
    <col min="4606" max="4606" width="10.5703125" style="2231" customWidth="1"/>
    <col min="4607" max="4607" width="12.140625" style="2231" customWidth="1"/>
    <col min="4608" max="4608" width="8.140625" style="2231" bestFit="1" customWidth="1"/>
    <col min="4609" max="4609" width="11.5703125" style="2231" bestFit="1" customWidth="1"/>
    <col min="4610" max="4610" width="11.140625" style="2231" customWidth="1"/>
    <col min="4611" max="4611" width="12.5703125" style="2231" customWidth="1"/>
    <col min="4612" max="4612" width="13.85546875" style="2231" customWidth="1"/>
    <col min="4613" max="4613" width="13.42578125" style="2231" customWidth="1"/>
    <col min="4614" max="4614" width="11" style="2231" customWidth="1"/>
    <col min="4615" max="4615" width="17.7109375" style="2231" bestFit="1" customWidth="1"/>
    <col min="4616" max="4617" width="9.140625" style="2231"/>
    <col min="4618" max="4618" width="10.140625" style="2231" customWidth="1"/>
    <col min="4619" max="4860" width="9.140625" style="2231"/>
    <col min="4861" max="4861" width="13.28515625" style="2231" customWidth="1"/>
    <col min="4862" max="4862" width="10.5703125" style="2231" customWidth="1"/>
    <col min="4863" max="4863" width="12.140625" style="2231" customWidth="1"/>
    <col min="4864" max="4864" width="8.140625" style="2231" bestFit="1" customWidth="1"/>
    <col min="4865" max="4865" width="11.5703125" style="2231" bestFit="1" customWidth="1"/>
    <col min="4866" max="4866" width="11.140625" style="2231" customWidth="1"/>
    <col min="4867" max="4867" width="12.5703125" style="2231" customWidth="1"/>
    <col min="4868" max="4868" width="13.85546875" style="2231" customWidth="1"/>
    <col min="4869" max="4869" width="13.42578125" style="2231" customWidth="1"/>
    <col min="4870" max="4870" width="11" style="2231" customWidth="1"/>
    <col min="4871" max="4871" width="17.7109375" style="2231" bestFit="1" customWidth="1"/>
    <col min="4872" max="4873" width="9.140625" style="2231"/>
    <col min="4874" max="4874" width="10.140625" style="2231" customWidth="1"/>
    <col min="4875" max="5116" width="9.140625" style="2231"/>
    <col min="5117" max="5117" width="13.28515625" style="2231" customWidth="1"/>
    <col min="5118" max="5118" width="10.5703125" style="2231" customWidth="1"/>
    <col min="5119" max="5119" width="12.140625" style="2231" customWidth="1"/>
    <col min="5120" max="5120" width="8.140625" style="2231" bestFit="1" customWidth="1"/>
    <col min="5121" max="5121" width="11.5703125" style="2231" bestFit="1" customWidth="1"/>
    <col min="5122" max="5122" width="11.140625" style="2231" customWidth="1"/>
    <col min="5123" max="5123" width="12.5703125" style="2231" customWidth="1"/>
    <col min="5124" max="5124" width="13.85546875" style="2231" customWidth="1"/>
    <col min="5125" max="5125" width="13.42578125" style="2231" customWidth="1"/>
    <col min="5126" max="5126" width="11" style="2231" customWidth="1"/>
    <col min="5127" max="5127" width="17.7109375" style="2231" bestFit="1" customWidth="1"/>
    <col min="5128" max="5129" width="9.140625" style="2231"/>
    <col min="5130" max="5130" width="10.140625" style="2231" customWidth="1"/>
    <col min="5131" max="5372" width="9.140625" style="2231"/>
    <col min="5373" max="5373" width="13.28515625" style="2231" customWidth="1"/>
    <col min="5374" max="5374" width="10.5703125" style="2231" customWidth="1"/>
    <col min="5375" max="5375" width="12.140625" style="2231" customWidth="1"/>
    <col min="5376" max="5376" width="8.140625" style="2231" bestFit="1" customWidth="1"/>
    <col min="5377" max="5377" width="11.5703125" style="2231" bestFit="1" customWidth="1"/>
    <col min="5378" max="5378" width="11.140625" style="2231" customWidth="1"/>
    <col min="5379" max="5379" width="12.5703125" style="2231" customWidth="1"/>
    <col min="5380" max="5380" width="13.85546875" style="2231" customWidth="1"/>
    <col min="5381" max="5381" width="13.42578125" style="2231" customWidth="1"/>
    <col min="5382" max="5382" width="11" style="2231" customWidth="1"/>
    <col min="5383" max="5383" width="17.7109375" style="2231" bestFit="1" customWidth="1"/>
    <col min="5384" max="5385" width="9.140625" style="2231"/>
    <col min="5386" max="5386" width="10.140625" style="2231" customWidth="1"/>
    <col min="5387" max="5628" width="9.140625" style="2231"/>
    <col min="5629" max="5629" width="13.28515625" style="2231" customWidth="1"/>
    <col min="5630" max="5630" width="10.5703125" style="2231" customWidth="1"/>
    <col min="5631" max="5631" width="12.140625" style="2231" customWidth="1"/>
    <col min="5632" max="5632" width="8.140625" style="2231" bestFit="1" customWidth="1"/>
    <col min="5633" max="5633" width="11.5703125" style="2231" bestFit="1" customWidth="1"/>
    <col min="5634" max="5634" width="11.140625" style="2231" customWidth="1"/>
    <col min="5635" max="5635" width="12.5703125" style="2231" customWidth="1"/>
    <col min="5636" max="5636" width="13.85546875" style="2231" customWidth="1"/>
    <col min="5637" max="5637" width="13.42578125" style="2231" customWidth="1"/>
    <col min="5638" max="5638" width="11" style="2231" customWidth="1"/>
    <col min="5639" max="5639" width="17.7109375" style="2231" bestFit="1" customWidth="1"/>
    <col min="5640" max="5641" width="9.140625" style="2231"/>
    <col min="5642" max="5642" width="10.140625" style="2231" customWidth="1"/>
    <col min="5643" max="5884" width="9.140625" style="2231"/>
    <col min="5885" max="5885" width="13.28515625" style="2231" customWidth="1"/>
    <col min="5886" max="5886" width="10.5703125" style="2231" customWidth="1"/>
    <col min="5887" max="5887" width="12.140625" style="2231" customWidth="1"/>
    <col min="5888" max="5888" width="8.140625" style="2231" bestFit="1" customWidth="1"/>
    <col min="5889" max="5889" width="11.5703125" style="2231" bestFit="1" customWidth="1"/>
    <col min="5890" max="5890" width="11.140625" style="2231" customWidth="1"/>
    <col min="5891" max="5891" width="12.5703125" style="2231" customWidth="1"/>
    <col min="5892" max="5892" width="13.85546875" style="2231" customWidth="1"/>
    <col min="5893" max="5893" width="13.42578125" style="2231" customWidth="1"/>
    <col min="5894" max="5894" width="11" style="2231" customWidth="1"/>
    <col min="5895" max="5895" width="17.7109375" style="2231" bestFit="1" customWidth="1"/>
    <col min="5896" max="5897" width="9.140625" style="2231"/>
    <col min="5898" max="5898" width="10.140625" style="2231" customWidth="1"/>
    <col min="5899" max="6140" width="9.140625" style="2231"/>
    <col min="6141" max="6141" width="13.28515625" style="2231" customWidth="1"/>
    <col min="6142" max="6142" width="10.5703125" style="2231" customWidth="1"/>
    <col min="6143" max="6143" width="12.140625" style="2231" customWidth="1"/>
    <col min="6144" max="6144" width="8.140625" style="2231" bestFit="1" customWidth="1"/>
    <col min="6145" max="6145" width="11.5703125" style="2231" bestFit="1" customWidth="1"/>
    <col min="6146" max="6146" width="11.140625" style="2231" customWidth="1"/>
    <col min="6147" max="6147" width="12.5703125" style="2231" customWidth="1"/>
    <col min="6148" max="6148" width="13.85546875" style="2231" customWidth="1"/>
    <col min="6149" max="6149" width="13.42578125" style="2231" customWidth="1"/>
    <col min="6150" max="6150" width="11" style="2231" customWidth="1"/>
    <col min="6151" max="6151" width="17.7109375" style="2231" bestFit="1" customWidth="1"/>
    <col min="6152" max="6153" width="9.140625" style="2231"/>
    <col min="6154" max="6154" width="10.140625" style="2231" customWidth="1"/>
    <col min="6155" max="6396" width="9.140625" style="2231"/>
    <col min="6397" max="6397" width="13.28515625" style="2231" customWidth="1"/>
    <col min="6398" max="6398" width="10.5703125" style="2231" customWidth="1"/>
    <col min="6399" max="6399" width="12.140625" style="2231" customWidth="1"/>
    <col min="6400" max="6400" width="8.140625" style="2231" bestFit="1" customWidth="1"/>
    <col min="6401" max="6401" width="11.5703125" style="2231" bestFit="1" customWidth="1"/>
    <col min="6402" max="6402" width="11.140625" style="2231" customWidth="1"/>
    <col min="6403" max="6403" width="12.5703125" style="2231" customWidth="1"/>
    <col min="6404" max="6404" width="13.85546875" style="2231" customWidth="1"/>
    <col min="6405" max="6405" width="13.42578125" style="2231" customWidth="1"/>
    <col min="6406" max="6406" width="11" style="2231" customWidth="1"/>
    <col min="6407" max="6407" width="17.7109375" style="2231" bestFit="1" customWidth="1"/>
    <col min="6408" max="6409" width="9.140625" style="2231"/>
    <col min="6410" max="6410" width="10.140625" style="2231" customWidth="1"/>
    <col min="6411" max="6652" width="9.140625" style="2231"/>
    <col min="6653" max="6653" width="13.28515625" style="2231" customWidth="1"/>
    <col min="6654" max="6654" width="10.5703125" style="2231" customWidth="1"/>
    <col min="6655" max="6655" width="12.140625" style="2231" customWidth="1"/>
    <col min="6656" max="6656" width="8.140625" style="2231" bestFit="1" customWidth="1"/>
    <col min="6657" max="6657" width="11.5703125" style="2231" bestFit="1" customWidth="1"/>
    <col min="6658" max="6658" width="11.140625" style="2231" customWidth="1"/>
    <col min="6659" max="6659" width="12.5703125" style="2231" customWidth="1"/>
    <col min="6660" max="6660" width="13.85546875" style="2231" customWidth="1"/>
    <col min="6661" max="6661" width="13.42578125" style="2231" customWidth="1"/>
    <col min="6662" max="6662" width="11" style="2231" customWidth="1"/>
    <col min="6663" max="6663" width="17.7109375" style="2231" bestFit="1" customWidth="1"/>
    <col min="6664" max="6665" width="9.140625" style="2231"/>
    <col min="6666" max="6666" width="10.140625" style="2231" customWidth="1"/>
    <col min="6667" max="6908" width="9.140625" style="2231"/>
    <col min="6909" max="6909" width="13.28515625" style="2231" customWidth="1"/>
    <col min="6910" max="6910" width="10.5703125" style="2231" customWidth="1"/>
    <col min="6911" max="6911" width="12.140625" style="2231" customWidth="1"/>
    <col min="6912" max="6912" width="8.140625" style="2231" bestFit="1" customWidth="1"/>
    <col min="6913" max="6913" width="11.5703125" style="2231" bestFit="1" customWidth="1"/>
    <col min="6914" max="6914" width="11.140625" style="2231" customWidth="1"/>
    <col min="6915" max="6915" width="12.5703125" style="2231" customWidth="1"/>
    <col min="6916" max="6916" width="13.85546875" style="2231" customWidth="1"/>
    <col min="6917" max="6917" width="13.42578125" style="2231" customWidth="1"/>
    <col min="6918" max="6918" width="11" style="2231" customWidth="1"/>
    <col min="6919" max="6919" width="17.7109375" style="2231" bestFit="1" customWidth="1"/>
    <col min="6920" max="6921" width="9.140625" style="2231"/>
    <col min="6922" max="6922" width="10.140625" style="2231" customWidth="1"/>
    <col min="6923" max="7164" width="9.140625" style="2231"/>
    <col min="7165" max="7165" width="13.28515625" style="2231" customWidth="1"/>
    <col min="7166" max="7166" width="10.5703125" style="2231" customWidth="1"/>
    <col min="7167" max="7167" width="12.140625" style="2231" customWidth="1"/>
    <col min="7168" max="7168" width="8.140625" style="2231" bestFit="1" customWidth="1"/>
    <col min="7169" max="7169" width="11.5703125" style="2231" bestFit="1" customWidth="1"/>
    <col min="7170" max="7170" width="11.140625" style="2231" customWidth="1"/>
    <col min="7171" max="7171" width="12.5703125" style="2231" customWidth="1"/>
    <col min="7172" max="7172" width="13.85546875" style="2231" customWidth="1"/>
    <col min="7173" max="7173" width="13.42578125" style="2231" customWidth="1"/>
    <col min="7174" max="7174" width="11" style="2231" customWidth="1"/>
    <col min="7175" max="7175" width="17.7109375" style="2231" bestFit="1" customWidth="1"/>
    <col min="7176" max="7177" width="9.140625" style="2231"/>
    <col min="7178" max="7178" width="10.140625" style="2231" customWidth="1"/>
    <col min="7179" max="7420" width="9.140625" style="2231"/>
    <col min="7421" max="7421" width="13.28515625" style="2231" customWidth="1"/>
    <col min="7422" max="7422" width="10.5703125" style="2231" customWidth="1"/>
    <col min="7423" max="7423" width="12.140625" style="2231" customWidth="1"/>
    <col min="7424" max="7424" width="8.140625" style="2231" bestFit="1" customWidth="1"/>
    <col min="7425" max="7425" width="11.5703125" style="2231" bestFit="1" customWidth="1"/>
    <col min="7426" max="7426" width="11.140625" style="2231" customWidth="1"/>
    <col min="7427" max="7427" width="12.5703125" style="2231" customWidth="1"/>
    <col min="7428" max="7428" width="13.85546875" style="2231" customWidth="1"/>
    <col min="7429" max="7429" width="13.42578125" style="2231" customWidth="1"/>
    <col min="7430" max="7430" width="11" style="2231" customWidth="1"/>
    <col min="7431" max="7431" width="17.7109375" style="2231" bestFit="1" customWidth="1"/>
    <col min="7432" max="7433" width="9.140625" style="2231"/>
    <col min="7434" max="7434" width="10.140625" style="2231" customWidth="1"/>
    <col min="7435" max="7676" width="9.140625" style="2231"/>
    <col min="7677" max="7677" width="13.28515625" style="2231" customWidth="1"/>
    <col min="7678" max="7678" width="10.5703125" style="2231" customWidth="1"/>
    <col min="7679" max="7679" width="12.140625" style="2231" customWidth="1"/>
    <col min="7680" max="7680" width="8.140625" style="2231" bestFit="1" customWidth="1"/>
    <col min="7681" max="7681" width="11.5703125" style="2231" bestFit="1" customWidth="1"/>
    <col min="7682" max="7682" width="11.140625" style="2231" customWidth="1"/>
    <col min="7683" max="7683" width="12.5703125" style="2231" customWidth="1"/>
    <col min="7684" max="7684" width="13.85546875" style="2231" customWidth="1"/>
    <col min="7685" max="7685" width="13.42578125" style="2231" customWidth="1"/>
    <col min="7686" max="7686" width="11" style="2231" customWidth="1"/>
    <col min="7687" max="7687" width="17.7109375" style="2231" bestFit="1" customWidth="1"/>
    <col min="7688" max="7689" width="9.140625" style="2231"/>
    <col min="7690" max="7690" width="10.140625" style="2231" customWidth="1"/>
    <col min="7691" max="7932" width="9.140625" style="2231"/>
    <col min="7933" max="7933" width="13.28515625" style="2231" customWidth="1"/>
    <col min="7934" max="7934" width="10.5703125" style="2231" customWidth="1"/>
    <col min="7935" max="7935" width="12.140625" style="2231" customWidth="1"/>
    <col min="7936" max="7936" width="8.140625" style="2231" bestFit="1" customWidth="1"/>
    <col min="7937" max="7937" width="11.5703125" style="2231" bestFit="1" customWidth="1"/>
    <col min="7938" max="7938" width="11.140625" style="2231" customWidth="1"/>
    <col min="7939" max="7939" width="12.5703125" style="2231" customWidth="1"/>
    <col min="7940" max="7940" width="13.85546875" style="2231" customWidth="1"/>
    <col min="7941" max="7941" width="13.42578125" style="2231" customWidth="1"/>
    <col min="7942" max="7942" width="11" style="2231" customWidth="1"/>
    <col min="7943" max="7943" width="17.7109375" style="2231" bestFit="1" customWidth="1"/>
    <col min="7944" max="7945" width="9.140625" style="2231"/>
    <col min="7946" max="7946" width="10.140625" style="2231" customWidth="1"/>
    <col min="7947" max="8188" width="9.140625" style="2231"/>
    <col min="8189" max="8189" width="13.28515625" style="2231" customWidth="1"/>
    <col min="8190" max="8190" width="10.5703125" style="2231" customWidth="1"/>
    <col min="8191" max="8191" width="12.140625" style="2231" customWidth="1"/>
    <col min="8192" max="8192" width="8.140625" style="2231" bestFit="1" customWidth="1"/>
    <col min="8193" max="8193" width="11.5703125" style="2231" bestFit="1" customWidth="1"/>
    <col min="8194" max="8194" width="11.140625" style="2231" customWidth="1"/>
    <col min="8195" max="8195" width="12.5703125" style="2231" customWidth="1"/>
    <col min="8196" max="8196" width="13.85546875" style="2231" customWidth="1"/>
    <col min="8197" max="8197" width="13.42578125" style="2231" customWidth="1"/>
    <col min="8198" max="8198" width="11" style="2231" customWidth="1"/>
    <col min="8199" max="8199" width="17.7109375" style="2231" bestFit="1" customWidth="1"/>
    <col min="8200" max="8201" width="9.140625" style="2231"/>
    <col min="8202" max="8202" width="10.140625" style="2231" customWidth="1"/>
    <col min="8203" max="8444" width="9.140625" style="2231"/>
    <col min="8445" max="8445" width="13.28515625" style="2231" customWidth="1"/>
    <col min="8446" max="8446" width="10.5703125" style="2231" customWidth="1"/>
    <col min="8447" max="8447" width="12.140625" style="2231" customWidth="1"/>
    <col min="8448" max="8448" width="8.140625" style="2231" bestFit="1" customWidth="1"/>
    <col min="8449" max="8449" width="11.5703125" style="2231" bestFit="1" customWidth="1"/>
    <col min="8450" max="8450" width="11.140625" style="2231" customWidth="1"/>
    <col min="8451" max="8451" width="12.5703125" style="2231" customWidth="1"/>
    <col min="8452" max="8452" width="13.85546875" style="2231" customWidth="1"/>
    <col min="8453" max="8453" width="13.42578125" style="2231" customWidth="1"/>
    <col min="8454" max="8454" width="11" style="2231" customWidth="1"/>
    <col min="8455" max="8455" width="17.7109375" style="2231" bestFit="1" customWidth="1"/>
    <col min="8456" max="8457" width="9.140625" style="2231"/>
    <col min="8458" max="8458" width="10.140625" style="2231" customWidth="1"/>
    <col min="8459" max="8700" width="9.140625" style="2231"/>
    <col min="8701" max="8701" width="13.28515625" style="2231" customWidth="1"/>
    <col min="8702" max="8702" width="10.5703125" style="2231" customWidth="1"/>
    <col min="8703" max="8703" width="12.140625" style="2231" customWidth="1"/>
    <col min="8704" max="8704" width="8.140625" style="2231" bestFit="1" customWidth="1"/>
    <col min="8705" max="8705" width="11.5703125" style="2231" bestFit="1" customWidth="1"/>
    <col min="8706" max="8706" width="11.140625" style="2231" customWidth="1"/>
    <col min="8707" max="8707" width="12.5703125" style="2231" customWidth="1"/>
    <col min="8708" max="8708" width="13.85546875" style="2231" customWidth="1"/>
    <col min="8709" max="8709" width="13.42578125" style="2231" customWidth="1"/>
    <col min="8710" max="8710" width="11" style="2231" customWidth="1"/>
    <col min="8711" max="8711" width="17.7109375" style="2231" bestFit="1" customWidth="1"/>
    <col min="8712" max="8713" width="9.140625" style="2231"/>
    <col min="8714" max="8714" width="10.140625" style="2231" customWidth="1"/>
    <col min="8715" max="8956" width="9.140625" style="2231"/>
    <col min="8957" max="8957" width="13.28515625" style="2231" customWidth="1"/>
    <col min="8958" max="8958" width="10.5703125" style="2231" customWidth="1"/>
    <col min="8959" max="8959" width="12.140625" style="2231" customWidth="1"/>
    <col min="8960" max="8960" width="8.140625" style="2231" bestFit="1" customWidth="1"/>
    <col min="8961" max="8961" width="11.5703125" style="2231" bestFit="1" customWidth="1"/>
    <col min="8962" max="8962" width="11.140625" style="2231" customWidth="1"/>
    <col min="8963" max="8963" width="12.5703125" style="2231" customWidth="1"/>
    <col min="8964" max="8964" width="13.85546875" style="2231" customWidth="1"/>
    <col min="8965" max="8965" width="13.42578125" style="2231" customWidth="1"/>
    <col min="8966" max="8966" width="11" style="2231" customWidth="1"/>
    <col min="8967" max="8967" width="17.7109375" style="2231" bestFit="1" customWidth="1"/>
    <col min="8968" max="8969" width="9.140625" style="2231"/>
    <col min="8970" max="8970" width="10.140625" style="2231" customWidth="1"/>
    <col min="8971" max="9212" width="9.140625" style="2231"/>
    <col min="9213" max="9213" width="13.28515625" style="2231" customWidth="1"/>
    <col min="9214" max="9214" width="10.5703125" style="2231" customWidth="1"/>
    <col min="9215" max="9215" width="12.140625" style="2231" customWidth="1"/>
    <col min="9216" max="9216" width="8.140625" style="2231" bestFit="1" customWidth="1"/>
    <col min="9217" max="9217" width="11.5703125" style="2231" bestFit="1" customWidth="1"/>
    <col min="9218" max="9218" width="11.140625" style="2231" customWidth="1"/>
    <col min="9219" max="9219" width="12.5703125" style="2231" customWidth="1"/>
    <col min="9220" max="9220" width="13.85546875" style="2231" customWidth="1"/>
    <col min="9221" max="9221" width="13.42578125" style="2231" customWidth="1"/>
    <col min="9222" max="9222" width="11" style="2231" customWidth="1"/>
    <col min="9223" max="9223" width="17.7109375" style="2231" bestFit="1" customWidth="1"/>
    <col min="9224" max="9225" width="9.140625" style="2231"/>
    <col min="9226" max="9226" width="10.140625" style="2231" customWidth="1"/>
    <col min="9227" max="9468" width="9.140625" style="2231"/>
    <col min="9469" max="9469" width="13.28515625" style="2231" customWidth="1"/>
    <col min="9470" max="9470" width="10.5703125" style="2231" customWidth="1"/>
    <col min="9471" max="9471" width="12.140625" style="2231" customWidth="1"/>
    <col min="9472" max="9472" width="8.140625" style="2231" bestFit="1" customWidth="1"/>
    <col min="9473" max="9473" width="11.5703125" style="2231" bestFit="1" customWidth="1"/>
    <col min="9474" max="9474" width="11.140625" style="2231" customWidth="1"/>
    <col min="9475" max="9475" width="12.5703125" style="2231" customWidth="1"/>
    <col min="9476" max="9476" width="13.85546875" style="2231" customWidth="1"/>
    <col min="9477" max="9477" width="13.42578125" style="2231" customWidth="1"/>
    <col min="9478" max="9478" width="11" style="2231" customWidth="1"/>
    <col min="9479" max="9479" width="17.7109375" style="2231" bestFit="1" customWidth="1"/>
    <col min="9480" max="9481" width="9.140625" style="2231"/>
    <col min="9482" max="9482" width="10.140625" style="2231" customWidth="1"/>
    <col min="9483" max="9724" width="9.140625" style="2231"/>
    <col min="9725" max="9725" width="13.28515625" style="2231" customWidth="1"/>
    <col min="9726" max="9726" width="10.5703125" style="2231" customWidth="1"/>
    <col min="9727" max="9727" width="12.140625" style="2231" customWidth="1"/>
    <col min="9728" max="9728" width="8.140625" style="2231" bestFit="1" customWidth="1"/>
    <col min="9729" max="9729" width="11.5703125" style="2231" bestFit="1" customWidth="1"/>
    <col min="9730" max="9730" width="11.140625" style="2231" customWidth="1"/>
    <col min="9731" max="9731" width="12.5703125" style="2231" customWidth="1"/>
    <col min="9732" max="9732" width="13.85546875" style="2231" customWidth="1"/>
    <col min="9733" max="9733" width="13.42578125" style="2231" customWidth="1"/>
    <col min="9734" max="9734" width="11" style="2231" customWidth="1"/>
    <col min="9735" max="9735" width="17.7109375" style="2231" bestFit="1" customWidth="1"/>
    <col min="9736" max="9737" width="9.140625" style="2231"/>
    <col min="9738" max="9738" width="10.140625" style="2231" customWidth="1"/>
    <col min="9739" max="9980" width="9.140625" style="2231"/>
    <col min="9981" max="9981" width="13.28515625" style="2231" customWidth="1"/>
    <col min="9982" max="9982" width="10.5703125" style="2231" customWidth="1"/>
    <col min="9983" max="9983" width="12.140625" style="2231" customWidth="1"/>
    <col min="9984" max="9984" width="8.140625" style="2231" bestFit="1" customWidth="1"/>
    <col min="9985" max="9985" width="11.5703125" style="2231" bestFit="1" customWidth="1"/>
    <col min="9986" max="9986" width="11.140625" style="2231" customWidth="1"/>
    <col min="9987" max="9987" width="12.5703125" style="2231" customWidth="1"/>
    <col min="9988" max="9988" width="13.85546875" style="2231" customWidth="1"/>
    <col min="9989" max="9989" width="13.42578125" style="2231" customWidth="1"/>
    <col min="9990" max="9990" width="11" style="2231" customWidth="1"/>
    <col min="9991" max="9991" width="17.7109375" style="2231" bestFit="1" customWidth="1"/>
    <col min="9992" max="9993" width="9.140625" style="2231"/>
    <col min="9994" max="9994" width="10.140625" style="2231" customWidth="1"/>
    <col min="9995" max="10236" width="9.140625" style="2231"/>
    <col min="10237" max="10237" width="13.28515625" style="2231" customWidth="1"/>
    <col min="10238" max="10238" width="10.5703125" style="2231" customWidth="1"/>
    <col min="10239" max="10239" width="12.140625" style="2231" customWidth="1"/>
    <col min="10240" max="10240" width="8.140625" style="2231" bestFit="1" customWidth="1"/>
    <col min="10241" max="10241" width="11.5703125" style="2231" bestFit="1" customWidth="1"/>
    <col min="10242" max="10242" width="11.140625" style="2231" customWidth="1"/>
    <col min="10243" max="10243" width="12.5703125" style="2231" customWidth="1"/>
    <col min="10244" max="10244" width="13.85546875" style="2231" customWidth="1"/>
    <col min="10245" max="10245" width="13.42578125" style="2231" customWidth="1"/>
    <col min="10246" max="10246" width="11" style="2231" customWidth="1"/>
    <col min="10247" max="10247" width="17.7109375" style="2231" bestFit="1" customWidth="1"/>
    <col min="10248" max="10249" width="9.140625" style="2231"/>
    <col min="10250" max="10250" width="10.140625" style="2231" customWidth="1"/>
    <col min="10251" max="10492" width="9.140625" style="2231"/>
    <col min="10493" max="10493" width="13.28515625" style="2231" customWidth="1"/>
    <col min="10494" max="10494" width="10.5703125" style="2231" customWidth="1"/>
    <col min="10495" max="10495" width="12.140625" style="2231" customWidth="1"/>
    <col min="10496" max="10496" width="8.140625" style="2231" bestFit="1" customWidth="1"/>
    <col min="10497" max="10497" width="11.5703125" style="2231" bestFit="1" customWidth="1"/>
    <col min="10498" max="10498" width="11.140625" style="2231" customWidth="1"/>
    <col min="10499" max="10499" width="12.5703125" style="2231" customWidth="1"/>
    <col min="10500" max="10500" width="13.85546875" style="2231" customWidth="1"/>
    <col min="10501" max="10501" width="13.42578125" style="2231" customWidth="1"/>
    <col min="10502" max="10502" width="11" style="2231" customWidth="1"/>
    <col min="10503" max="10503" width="17.7109375" style="2231" bestFit="1" customWidth="1"/>
    <col min="10504" max="10505" width="9.140625" style="2231"/>
    <col min="10506" max="10506" width="10.140625" style="2231" customWidth="1"/>
    <col min="10507" max="10748" width="9.140625" style="2231"/>
    <col min="10749" max="10749" width="13.28515625" style="2231" customWidth="1"/>
    <col min="10750" max="10750" width="10.5703125" style="2231" customWidth="1"/>
    <col min="10751" max="10751" width="12.140625" style="2231" customWidth="1"/>
    <col min="10752" max="10752" width="8.140625" style="2231" bestFit="1" customWidth="1"/>
    <col min="10753" max="10753" width="11.5703125" style="2231" bestFit="1" customWidth="1"/>
    <col min="10754" max="10754" width="11.140625" style="2231" customWidth="1"/>
    <col min="10755" max="10755" width="12.5703125" style="2231" customWidth="1"/>
    <col min="10756" max="10756" width="13.85546875" style="2231" customWidth="1"/>
    <col min="10757" max="10757" width="13.42578125" style="2231" customWidth="1"/>
    <col min="10758" max="10758" width="11" style="2231" customWidth="1"/>
    <col min="10759" max="10759" width="17.7109375" style="2231" bestFit="1" customWidth="1"/>
    <col min="10760" max="10761" width="9.140625" style="2231"/>
    <col min="10762" max="10762" width="10.140625" style="2231" customWidth="1"/>
    <col min="10763" max="11004" width="9.140625" style="2231"/>
    <col min="11005" max="11005" width="13.28515625" style="2231" customWidth="1"/>
    <col min="11006" max="11006" width="10.5703125" style="2231" customWidth="1"/>
    <col min="11007" max="11007" width="12.140625" style="2231" customWidth="1"/>
    <col min="11008" max="11008" width="8.140625" style="2231" bestFit="1" customWidth="1"/>
    <col min="11009" max="11009" width="11.5703125" style="2231" bestFit="1" customWidth="1"/>
    <col min="11010" max="11010" width="11.140625" style="2231" customWidth="1"/>
    <col min="11011" max="11011" width="12.5703125" style="2231" customWidth="1"/>
    <col min="11012" max="11012" width="13.85546875" style="2231" customWidth="1"/>
    <col min="11013" max="11013" width="13.42578125" style="2231" customWidth="1"/>
    <col min="11014" max="11014" width="11" style="2231" customWidth="1"/>
    <col min="11015" max="11015" width="17.7109375" style="2231" bestFit="1" customWidth="1"/>
    <col min="11016" max="11017" width="9.140625" style="2231"/>
    <col min="11018" max="11018" width="10.140625" style="2231" customWidth="1"/>
    <col min="11019" max="11260" width="9.140625" style="2231"/>
    <col min="11261" max="11261" width="13.28515625" style="2231" customWidth="1"/>
    <col min="11262" max="11262" width="10.5703125" style="2231" customWidth="1"/>
    <col min="11263" max="11263" width="12.140625" style="2231" customWidth="1"/>
    <col min="11264" max="11264" width="8.140625" style="2231" bestFit="1" customWidth="1"/>
    <col min="11265" max="11265" width="11.5703125" style="2231" bestFit="1" customWidth="1"/>
    <col min="11266" max="11266" width="11.140625" style="2231" customWidth="1"/>
    <col min="11267" max="11267" width="12.5703125" style="2231" customWidth="1"/>
    <col min="11268" max="11268" width="13.85546875" style="2231" customWidth="1"/>
    <col min="11269" max="11269" width="13.42578125" style="2231" customWidth="1"/>
    <col min="11270" max="11270" width="11" style="2231" customWidth="1"/>
    <col min="11271" max="11271" width="17.7109375" style="2231" bestFit="1" customWidth="1"/>
    <col min="11272" max="11273" width="9.140625" style="2231"/>
    <col min="11274" max="11274" width="10.140625" style="2231" customWidth="1"/>
    <col min="11275" max="11516" width="9.140625" style="2231"/>
    <col min="11517" max="11517" width="13.28515625" style="2231" customWidth="1"/>
    <col min="11518" max="11518" width="10.5703125" style="2231" customWidth="1"/>
    <col min="11519" max="11519" width="12.140625" style="2231" customWidth="1"/>
    <col min="11520" max="11520" width="8.140625" style="2231" bestFit="1" customWidth="1"/>
    <col min="11521" max="11521" width="11.5703125" style="2231" bestFit="1" customWidth="1"/>
    <col min="11522" max="11522" width="11.140625" style="2231" customWidth="1"/>
    <col min="11523" max="11523" width="12.5703125" style="2231" customWidth="1"/>
    <col min="11524" max="11524" width="13.85546875" style="2231" customWidth="1"/>
    <col min="11525" max="11525" width="13.42578125" style="2231" customWidth="1"/>
    <col min="11526" max="11526" width="11" style="2231" customWidth="1"/>
    <col min="11527" max="11527" width="17.7109375" style="2231" bestFit="1" customWidth="1"/>
    <col min="11528" max="11529" width="9.140625" style="2231"/>
    <col min="11530" max="11530" width="10.140625" style="2231" customWidth="1"/>
    <col min="11531" max="11772" width="9.140625" style="2231"/>
    <col min="11773" max="11773" width="13.28515625" style="2231" customWidth="1"/>
    <col min="11774" max="11774" width="10.5703125" style="2231" customWidth="1"/>
    <col min="11775" max="11775" width="12.140625" style="2231" customWidth="1"/>
    <col min="11776" max="11776" width="8.140625" style="2231" bestFit="1" customWidth="1"/>
    <col min="11777" max="11777" width="11.5703125" style="2231" bestFit="1" customWidth="1"/>
    <col min="11778" max="11778" width="11.140625" style="2231" customWidth="1"/>
    <col min="11779" max="11779" width="12.5703125" style="2231" customWidth="1"/>
    <col min="11780" max="11780" width="13.85546875" style="2231" customWidth="1"/>
    <col min="11781" max="11781" width="13.42578125" style="2231" customWidth="1"/>
    <col min="11782" max="11782" width="11" style="2231" customWidth="1"/>
    <col min="11783" max="11783" width="17.7109375" style="2231" bestFit="1" customWidth="1"/>
    <col min="11784" max="11785" width="9.140625" style="2231"/>
    <col min="11786" max="11786" width="10.140625" style="2231" customWidth="1"/>
    <col min="11787" max="12028" width="9.140625" style="2231"/>
    <col min="12029" max="12029" width="13.28515625" style="2231" customWidth="1"/>
    <col min="12030" max="12030" width="10.5703125" style="2231" customWidth="1"/>
    <col min="12031" max="12031" width="12.140625" style="2231" customWidth="1"/>
    <col min="12032" max="12032" width="8.140625" style="2231" bestFit="1" customWidth="1"/>
    <col min="12033" max="12033" width="11.5703125" style="2231" bestFit="1" customWidth="1"/>
    <col min="12034" max="12034" width="11.140625" style="2231" customWidth="1"/>
    <col min="12035" max="12035" width="12.5703125" style="2231" customWidth="1"/>
    <col min="12036" max="12036" width="13.85546875" style="2231" customWidth="1"/>
    <col min="12037" max="12037" width="13.42578125" style="2231" customWidth="1"/>
    <col min="12038" max="12038" width="11" style="2231" customWidth="1"/>
    <col min="12039" max="12039" width="17.7109375" style="2231" bestFit="1" customWidth="1"/>
    <col min="12040" max="12041" width="9.140625" style="2231"/>
    <col min="12042" max="12042" width="10.140625" style="2231" customWidth="1"/>
    <col min="12043" max="12284" width="9.140625" style="2231"/>
    <col min="12285" max="12285" width="13.28515625" style="2231" customWidth="1"/>
    <col min="12286" max="12286" width="10.5703125" style="2231" customWidth="1"/>
    <col min="12287" max="12287" width="12.140625" style="2231" customWidth="1"/>
    <col min="12288" max="12288" width="8.140625" style="2231" bestFit="1" customWidth="1"/>
    <col min="12289" max="12289" width="11.5703125" style="2231" bestFit="1" customWidth="1"/>
    <col min="12290" max="12290" width="11.140625" style="2231" customWidth="1"/>
    <col min="12291" max="12291" width="12.5703125" style="2231" customWidth="1"/>
    <col min="12292" max="12292" width="13.85546875" style="2231" customWidth="1"/>
    <col min="12293" max="12293" width="13.42578125" style="2231" customWidth="1"/>
    <col min="12294" max="12294" width="11" style="2231" customWidth="1"/>
    <col min="12295" max="12295" width="17.7109375" style="2231" bestFit="1" customWidth="1"/>
    <col min="12296" max="12297" width="9.140625" style="2231"/>
    <col min="12298" max="12298" width="10.140625" style="2231" customWidth="1"/>
    <col min="12299" max="12540" width="9.140625" style="2231"/>
    <col min="12541" max="12541" width="13.28515625" style="2231" customWidth="1"/>
    <col min="12542" max="12542" width="10.5703125" style="2231" customWidth="1"/>
    <col min="12543" max="12543" width="12.140625" style="2231" customWidth="1"/>
    <col min="12544" max="12544" width="8.140625" style="2231" bestFit="1" customWidth="1"/>
    <col min="12545" max="12545" width="11.5703125" style="2231" bestFit="1" customWidth="1"/>
    <col min="12546" max="12546" width="11.140625" style="2231" customWidth="1"/>
    <col min="12547" max="12547" width="12.5703125" style="2231" customWidth="1"/>
    <col min="12548" max="12548" width="13.85546875" style="2231" customWidth="1"/>
    <col min="12549" max="12549" width="13.42578125" style="2231" customWidth="1"/>
    <col min="12550" max="12550" width="11" style="2231" customWidth="1"/>
    <col min="12551" max="12551" width="17.7109375" style="2231" bestFit="1" customWidth="1"/>
    <col min="12552" max="12553" width="9.140625" style="2231"/>
    <col min="12554" max="12554" width="10.140625" style="2231" customWidth="1"/>
    <col min="12555" max="12796" width="9.140625" style="2231"/>
    <col min="12797" max="12797" width="13.28515625" style="2231" customWidth="1"/>
    <col min="12798" max="12798" width="10.5703125" style="2231" customWidth="1"/>
    <col min="12799" max="12799" width="12.140625" style="2231" customWidth="1"/>
    <col min="12800" max="12800" width="8.140625" style="2231" bestFit="1" customWidth="1"/>
    <col min="12801" max="12801" width="11.5703125" style="2231" bestFit="1" customWidth="1"/>
    <col min="12802" max="12802" width="11.140625" style="2231" customWidth="1"/>
    <col min="12803" max="12803" width="12.5703125" style="2231" customWidth="1"/>
    <col min="12804" max="12804" width="13.85546875" style="2231" customWidth="1"/>
    <col min="12805" max="12805" width="13.42578125" style="2231" customWidth="1"/>
    <col min="12806" max="12806" width="11" style="2231" customWidth="1"/>
    <col min="12807" max="12807" width="17.7109375" style="2231" bestFit="1" customWidth="1"/>
    <col min="12808" max="12809" width="9.140625" style="2231"/>
    <col min="12810" max="12810" width="10.140625" style="2231" customWidth="1"/>
    <col min="12811" max="13052" width="9.140625" style="2231"/>
    <col min="13053" max="13053" width="13.28515625" style="2231" customWidth="1"/>
    <col min="13054" max="13054" width="10.5703125" style="2231" customWidth="1"/>
    <col min="13055" max="13055" width="12.140625" style="2231" customWidth="1"/>
    <col min="13056" max="13056" width="8.140625" style="2231" bestFit="1" customWidth="1"/>
    <col min="13057" max="13057" width="11.5703125" style="2231" bestFit="1" customWidth="1"/>
    <col min="13058" max="13058" width="11.140625" style="2231" customWidth="1"/>
    <col min="13059" max="13059" width="12.5703125" style="2231" customWidth="1"/>
    <col min="13060" max="13060" width="13.85546875" style="2231" customWidth="1"/>
    <col min="13061" max="13061" width="13.42578125" style="2231" customWidth="1"/>
    <col min="13062" max="13062" width="11" style="2231" customWidth="1"/>
    <col min="13063" max="13063" width="17.7109375" style="2231" bestFit="1" customWidth="1"/>
    <col min="13064" max="13065" width="9.140625" style="2231"/>
    <col min="13066" max="13066" width="10.140625" style="2231" customWidth="1"/>
    <col min="13067" max="13308" width="9.140625" style="2231"/>
    <col min="13309" max="13309" width="13.28515625" style="2231" customWidth="1"/>
    <col min="13310" max="13310" width="10.5703125" style="2231" customWidth="1"/>
    <col min="13311" max="13311" width="12.140625" style="2231" customWidth="1"/>
    <col min="13312" max="13312" width="8.140625" style="2231" bestFit="1" customWidth="1"/>
    <col min="13313" max="13313" width="11.5703125" style="2231" bestFit="1" customWidth="1"/>
    <col min="13314" max="13314" width="11.140625" style="2231" customWidth="1"/>
    <col min="13315" max="13315" width="12.5703125" style="2231" customWidth="1"/>
    <col min="13316" max="13316" width="13.85546875" style="2231" customWidth="1"/>
    <col min="13317" max="13317" width="13.42578125" style="2231" customWidth="1"/>
    <col min="13318" max="13318" width="11" style="2231" customWidth="1"/>
    <col min="13319" max="13319" width="17.7109375" style="2231" bestFit="1" customWidth="1"/>
    <col min="13320" max="13321" width="9.140625" style="2231"/>
    <col min="13322" max="13322" width="10.140625" style="2231" customWidth="1"/>
    <col min="13323" max="13564" width="9.140625" style="2231"/>
    <col min="13565" max="13565" width="13.28515625" style="2231" customWidth="1"/>
    <col min="13566" max="13566" width="10.5703125" style="2231" customWidth="1"/>
    <col min="13567" max="13567" width="12.140625" style="2231" customWidth="1"/>
    <col min="13568" max="13568" width="8.140625" style="2231" bestFit="1" customWidth="1"/>
    <col min="13569" max="13569" width="11.5703125" style="2231" bestFit="1" customWidth="1"/>
    <col min="13570" max="13570" width="11.140625" style="2231" customWidth="1"/>
    <col min="13571" max="13571" width="12.5703125" style="2231" customWidth="1"/>
    <col min="13572" max="13572" width="13.85546875" style="2231" customWidth="1"/>
    <col min="13573" max="13573" width="13.42578125" style="2231" customWidth="1"/>
    <col min="13574" max="13574" width="11" style="2231" customWidth="1"/>
    <col min="13575" max="13575" width="17.7109375" style="2231" bestFit="1" customWidth="1"/>
    <col min="13576" max="13577" width="9.140625" style="2231"/>
    <col min="13578" max="13578" width="10.140625" style="2231" customWidth="1"/>
    <col min="13579" max="13820" width="9.140625" style="2231"/>
    <col min="13821" max="13821" width="13.28515625" style="2231" customWidth="1"/>
    <col min="13822" max="13822" width="10.5703125" style="2231" customWidth="1"/>
    <col min="13823" max="13823" width="12.140625" style="2231" customWidth="1"/>
    <col min="13824" max="13824" width="8.140625" style="2231" bestFit="1" customWidth="1"/>
    <col min="13825" max="13825" width="11.5703125" style="2231" bestFit="1" customWidth="1"/>
    <col min="13826" max="13826" width="11.140625" style="2231" customWidth="1"/>
    <col min="13827" max="13827" width="12.5703125" style="2231" customWidth="1"/>
    <col min="13828" max="13828" width="13.85546875" style="2231" customWidth="1"/>
    <col min="13829" max="13829" width="13.42578125" style="2231" customWidth="1"/>
    <col min="13830" max="13830" width="11" style="2231" customWidth="1"/>
    <col min="13831" max="13831" width="17.7109375" style="2231" bestFit="1" customWidth="1"/>
    <col min="13832" max="13833" width="9.140625" style="2231"/>
    <col min="13834" max="13834" width="10.140625" style="2231" customWidth="1"/>
    <col min="13835" max="14076" width="9.140625" style="2231"/>
    <col min="14077" max="14077" width="13.28515625" style="2231" customWidth="1"/>
    <col min="14078" max="14078" width="10.5703125" style="2231" customWidth="1"/>
    <col min="14079" max="14079" width="12.140625" style="2231" customWidth="1"/>
    <col min="14080" max="14080" width="8.140625" style="2231" bestFit="1" customWidth="1"/>
    <col min="14081" max="14081" width="11.5703125" style="2231" bestFit="1" customWidth="1"/>
    <col min="14082" max="14082" width="11.140625" style="2231" customWidth="1"/>
    <col min="14083" max="14083" width="12.5703125" style="2231" customWidth="1"/>
    <col min="14084" max="14084" width="13.85546875" style="2231" customWidth="1"/>
    <col min="14085" max="14085" width="13.42578125" style="2231" customWidth="1"/>
    <col min="14086" max="14086" width="11" style="2231" customWidth="1"/>
    <col min="14087" max="14087" width="17.7109375" style="2231" bestFit="1" customWidth="1"/>
    <col min="14088" max="14089" width="9.140625" style="2231"/>
    <col min="14090" max="14090" width="10.140625" style="2231" customWidth="1"/>
    <col min="14091" max="14332" width="9.140625" style="2231"/>
    <col min="14333" max="14333" width="13.28515625" style="2231" customWidth="1"/>
    <col min="14334" max="14334" width="10.5703125" style="2231" customWidth="1"/>
    <col min="14335" max="14335" width="12.140625" style="2231" customWidth="1"/>
    <col min="14336" max="14336" width="8.140625" style="2231" bestFit="1" customWidth="1"/>
    <col min="14337" max="14337" width="11.5703125" style="2231" bestFit="1" customWidth="1"/>
    <col min="14338" max="14338" width="11.140625" style="2231" customWidth="1"/>
    <col min="14339" max="14339" width="12.5703125" style="2231" customWidth="1"/>
    <col min="14340" max="14340" width="13.85546875" style="2231" customWidth="1"/>
    <col min="14341" max="14341" width="13.42578125" style="2231" customWidth="1"/>
    <col min="14342" max="14342" width="11" style="2231" customWidth="1"/>
    <col min="14343" max="14343" width="17.7109375" style="2231" bestFit="1" customWidth="1"/>
    <col min="14344" max="14345" width="9.140625" style="2231"/>
    <col min="14346" max="14346" width="10.140625" style="2231" customWidth="1"/>
    <col min="14347" max="14588" width="9.140625" style="2231"/>
    <col min="14589" max="14589" width="13.28515625" style="2231" customWidth="1"/>
    <col min="14590" max="14590" width="10.5703125" style="2231" customWidth="1"/>
    <col min="14591" max="14591" width="12.140625" style="2231" customWidth="1"/>
    <col min="14592" max="14592" width="8.140625" style="2231" bestFit="1" customWidth="1"/>
    <col min="14593" max="14593" width="11.5703125" style="2231" bestFit="1" customWidth="1"/>
    <col min="14594" max="14594" width="11.140625" style="2231" customWidth="1"/>
    <col min="14595" max="14595" width="12.5703125" style="2231" customWidth="1"/>
    <col min="14596" max="14596" width="13.85546875" style="2231" customWidth="1"/>
    <col min="14597" max="14597" width="13.42578125" style="2231" customWidth="1"/>
    <col min="14598" max="14598" width="11" style="2231" customWidth="1"/>
    <col min="14599" max="14599" width="17.7109375" style="2231" bestFit="1" customWidth="1"/>
    <col min="14600" max="14601" width="9.140625" style="2231"/>
    <col min="14602" max="14602" width="10.140625" style="2231" customWidth="1"/>
    <col min="14603" max="14844" width="9.140625" style="2231"/>
    <col min="14845" max="14845" width="13.28515625" style="2231" customWidth="1"/>
    <col min="14846" max="14846" width="10.5703125" style="2231" customWidth="1"/>
    <col min="14847" max="14847" width="12.140625" style="2231" customWidth="1"/>
    <col min="14848" max="14848" width="8.140625" style="2231" bestFit="1" customWidth="1"/>
    <col min="14849" max="14849" width="11.5703125" style="2231" bestFit="1" customWidth="1"/>
    <col min="14850" max="14850" width="11.140625" style="2231" customWidth="1"/>
    <col min="14851" max="14851" width="12.5703125" style="2231" customWidth="1"/>
    <col min="14852" max="14852" width="13.85546875" style="2231" customWidth="1"/>
    <col min="14853" max="14853" width="13.42578125" style="2231" customWidth="1"/>
    <col min="14854" max="14854" width="11" style="2231" customWidth="1"/>
    <col min="14855" max="14855" width="17.7109375" style="2231" bestFit="1" customWidth="1"/>
    <col min="14856" max="14857" width="9.140625" style="2231"/>
    <col min="14858" max="14858" width="10.140625" style="2231" customWidth="1"/>
    <col min="14859" max="15100" width="9.140625" style="2231"/>
    <col min="15101" max="15101" width="13.28515625" style="2231" customWidth="1"/>
    <col min="15102" max="15102" width="10.5703125" style="2231" customWidth="1"/>
    <col min="15103" max="15103" width="12.140625" style="2231" customWidth="1"/>
    <col min="15104" max="15104" width="8.140625" style="2231" bestFit="1" customWidth="1"/>
    <col min="15105" max="15105" width="11.5703125" style="2231" bestFit="1" customWidth="1"/>
    <col min="15106" max="15106" width="11.140625" style="2231" customWidth="1"/>
    <col min="15107" max="15107" width="12.5703125" style="2231" customWidth="1"/>
    <col min="15108" max="15108" width="13.85546875" style="2231" customWidth="1"/>
    <col min="15109" max="15109" width="13.42578125" style="2231" customWidth="1"/>
    <col min="15110" max="15110" width="11" style="2231" customWidth="1"/>
    <col min="15111" max="15111" width="17.7109375" style="2231" bestFit="1" customWidth="1"/>
    <col min="15112" max="15113" width="9.140625" style="2231"/>
    <col min="15114" max="15114" width="10.140625" style="2231" customWidth="1"/>
    <col min="15115" max="15356" width="9.140625" style="2231"/>
    <col min="15357" max="15357" width="13.28515625" style="2231" customWidth="1"/>
    <col min="15358" max="15358" width="10.5703125" style="2231" customWidth="1"/>
    <col min="15359" max="15359" width="12.140625" style="2231" customWidth="1"/>
    <col min="15360" max="15360" width="8.140625" style="2231" bestFit="1" customWidth="1"/>
    <col min="15361" max="15361" width="11.5703125" style="2231" bestFit="1" customWidth="1"/>
    <col min="15362" max="15362" width="11.140625" style="2231" customWidth="1"/>
    <col min="15363" max="15363" width="12.5703125" style="2231" customWidth="1"/>
    <col min="15364" max="15364" width="13.85546875" style="2231" customWidth="1"/>
    <col min="15365" max="15365" width="13.42578125" style="2231" customWidth="1"/>
    <col min="15366" max="15366" width="11" style="2231" customWidth="1"/>
    <col min="15367" max="15367" width="17.7109375" style="2231" bestFit="1" customWidth="1"/>
    <col min="15368" max="15369" width="9.140625" style="2231"/>
    <col min="15370" max="15370" width="10.140625" style="2231" customWidth="1"/>
    <col min="15371" max="15612" width="9.140625" style="2231"/>
    <col min="15613" max="15613" width="13.28515625" style="2231" customWidth="1"/>
    <col min="15614" max="15614" width="10.5703125" style="2231" customWidth="1"/>
    <col min="15615" max="15615" width="12.140625" style="2231" customWidth="1"/>
    <col min="15616" max="15616" width="8.140625" style="2231" bestFit="1" customWidth="1"/>
    <col min="15617" max="15617" width="11.5703125" style="2231" bestFit="1" customWidth="1"/>
    <col min="15618" max="15618" width="11.140625" style="2231" customWidth="1"/>
    <col min="15619" max="15619" width="12.5703125" style="2231" customWidth="1"/>
    <col min="15620" max="15620" width="13.85546875" style="2231" customWidth="1"/>
    <col min="15621" max="15621" width="13.42578125" style="2231" customWidth="1"/>
    <col min="15622" max="15622" width="11" style="2231" customWidth="1"/>
    <col min="15623" max="15623" width="17.7109375" style="2231" bestFit="1" customWidth="1"/>
    <col min="15624" max="15625" width="9.140625" style="2231"/>
    <col min="15626" max="15626" width="10.140625" style="2231" customWidth="1"/>
    <col min="15627" max="15868" width="9.140625" style="2231"/>
    <col min="15869" max="15869" width="13.28515625" style="2231" customWidth="1"/>
    <col min="15870" max="15870" width="10.5703125" style="2231" customWidth="1"/>
    <col min="15871" max="15871" width="12.140625" style="2231" customWidth="1"/>
    <col min="15872" max="15872" width="8.140625" style="2231" bestFit="1" customWidth="1"/>
    <col min="15873" max="15873" width="11.5703125" style="2231" bestFit="1" customWidth="1"/>
    <col min="15874" max="15874" width="11.140625" style="2231" customWidth="1"/>
    <col min="15875" max="15875" width="12.5703125" style="2231" customWidth="1"/>
    <col min="15876" max="15876" width="13.85546875" style="2231" customWidth="1"/>
    <col min="15877" max="15877" width="13.42578125" style="2231" customWidth="1"/>
    <col min="15878" max="15878" width="11" style="2231" customWidth="1"/>
    <col min="15879" max="15879" width="17.7109375" style="2231" bestFit="1" customWidth="1"/>
    <col min="15880" max="15881" width="9.140625" style="2231"/>
    <col min="15882" max="15882" width="10.140625" style="2231" customWidth="1"/>
    <col min="15883" max="16124" width="9.140625" style="2231"/>
    <col min="16125" max="16125" width="13.28515625" style="2231" customWidth="1"/>
    <col min="16126" max="16126" width="10.5703125" style="2231" customWidth="1"/>
    <col min="16127" max="16127" width="12.140625" style="2231" customWidth="1"/>
    <col min="16128" max="16128" width="8.140625" style="2231" bestFit="1" customWidth="1"/>
    <col min="16129" max="16129" width="11.5703125" style="2231" bestFit="1" customWidth="1"/>
    <col min="16130" max="16130" width="11.140625" style="2231" customWidth="1"/>
    <col min="16131" max="16131" width="12.5703125" style="2231" customWidth="1"/>
    <col min="16132" max="16132" width="13.85546875" style="2231" customWidth="1"/>
    <col min="16133" max="16133" width="13.42578125" style="2231" customWidth="1"/>
    <col min="16134" max="16134" width="11" style="2231" customWidth="1"/>
    <col min="16135" max="16135" width="17.7109375" style="2231" bestFit="1" customWidth="1"/>
    <col min="16136" max="16137" width="9.140625" style="2231"/>
    <col min="16138" max="16138" width="10.140625" style="2231" customWidth="1"/>
    <col min="16139" max="16384" width="9.140625" style="2231"/>
  </cols>
  <sheetData>
    <row r="1" spans="1:11" ht="18.75" customHeight="1">
      <c r="A1" s="2230" t="s">
        <v>3236</v>
      </c>
    </row>
    <row r="2" spans="1:11" ht="12.75" customHeight="1" thickBot="1"/>
    <row r="3" spans="1:11" ht="13.5" customHeight="1" thickTop="1">
      <c r="A3" s="2232"/>
      <c r="B3" s="3432" t="s">
        <v>3237</v>
      </c>
      <c r="C3" s="3433"/>
      <c r="D3" s="3433"/>
      <c r="E3" s="3434"/>
      <c r="F3" s="3435" t="s">
        <v>3238</v>
      </c>
      <c r="G3" s="3435" t="s">
        <v>3239</v>
      </c>
      <c r="H3" s="3435" t="s">
        <v>3240</v>
      </c>
      <c r="I3" s="3435" t="s">
        <v>3241</v>
      </c>
      <c r="J3" s="3438" t="s">
        <v>3242</v>
      </c>
    </row>
    <row r="4" spans="1:11" ht="13.5" customHeight="1">
      <c r="A4" s="2233"/>
      <c r="B4" s="3441" t="s">
        <v>3243</v>
      </c>
      <c r="C4" s="3442"/>
      <c r="D4" s="3442"/>
      <c r="E4" s="3443"/>
      <c r="F4" s="3436"/>
      <c r="G4" s="3436"/>
      <c r="H4" s="3436"/>
      <c r="I4" s="3436"/>
      <c r="J4" s="3439"/>
    </row>
    <row r="5" spans="1:11" ht="16.5" customHeight="1" thickBot="1">
      <c r="A5" s="2233"/>
      <c r="B5" s="3444" t="s">
        <v>3244</v>
      </c>
      <c r="C5" s="3445"/>
      <c r="D5" s="3445"/>
      <c r="E5" s="3446"/>
      <c r="F5" s="3436"/>
      <c r="G5" s="3436"/>
      <c r="H5" s="3436"/>
      <c r="I5" s="3436"/>
      <c r="J5" s="3439"/>
    </row>
    <row r="6" spans="1:11" ht="38.25" customHeight="1" thickTop="1" thickBot="1">
      <c r="A6" s="2234"/>
      <c r="B6" s="2235" t="s">
        <v>3245</v>
      </c>
      <c r="C6" s="2236" t="s">
        <v>3246</v>
      </c>
      <c r="D6" s="2236" t="s">
        <v>368</v>
      </c>
      <c r="E6" s="2237" t="s">
        <v>369</v>
      </c>
      <c r="F6" s="3437"/>
      <c r="G6" s="3437"/>
      <c r="H6" s="3437"/>
      <c r="I6" s="3437"/>
      <c r="J6" s="3440"/>
    </row>
    <row r="7" spans="1:11" ht="25.5" customHeight="1" thickTop="1" thickBot="1">
      <c r="A7" s="2238"/>
      <c r="B7" s="3425" t="s">
        <v>12</v>
      </c>
      <c r="C7" s="3426"/>
      <c r="D7" s="3426"/>
      <c r="E7" s="3426"/>
      <c r="F7" s="3426"/>
      <c r="G7" s="3426"/>
      <c r="H7" s="3427"/>
      <c r="I7" s="2239" t="s">
        <v>2918</v>
      </c>
      <c r="J7" s="2239" t="s">
        <v>3247</v>
      </c>
    </row>
    <row r="8" spans="1:11" ht="15" hidden="1" customHeight="1" thickTop="1">
      <c r="A8" s="2240" t="s">
        <v>3248</v>
      </c>
      <c r="B8" s="2241">
        <v>1548</v>
      </c>
      <c r="C8" s="2242">
        <v>937</v>
      </c>
      <c r="D8" s="2242">
        <v>57988</v>
      </c>
      <c r="E8" s="2243">
        <v>60473</v>
      </c>
      <c r="F8" s="2244">
        <v>659</v>
      </c>
      <c r="G8" s="2245">
        <v>0.1</v>
      </c>
      <c r="H8" s="2246">
        <f>E8+F8+G8</f>
        <v>61132.1</v>
      </c>
      <c r="I8" s="2247">
        <f>H8/32.3722</f>
        <v>1888.413515300165</v>
      </c>
      <c r="J8" s="2247"/>
      <c r="K8" s="2248"/>
    </row>
    <row r="9" spans="1:11" ht="15.75" hidden="1" customHeight="1" thickTop="1">
      <c r="A9" s="2240" t="s">
        <v>3249</v>
      </c>
      <c r="B9" s="2241">
        <v>1467</v>
      </c>
      <c r="C9" s="2242">
        <v>932</v>
      </c>
      <c r="D9" s="2242">
        <v>60945</v>
      </c>
      <c r="E9" s="2249">
        <v>63344</v>
      </c>
      <c r="F9" s="2250">
        <v>651</v>
      </c>
      <c r="G9" s="2251">
        <v>0</v>
      </c>
      <c r="H9" s="2247">
        <f>E9+F9+G9</f>
        <v>63995</v>
      </c>
      <c r="I9" s="2246">
        <f>H9/31.8576</f>
        <v>2008.7828336095624</v>
      </c>
      <c r="J9" s="2246"/>
      <c r="K9" s="2248"/>
    </row>
    <row r="10" spans="1:11" ht="15.75" hidden="1" customHeight="1" thickTop="1">
      <c r="A10" s="2240" t="s">
        <v>3250</v>
      </c>
      <c r="B10" s="2250">
        <v>1482</v>
      </c>
      <c r="C10" s="2242">
        <v>4656</v>
      </c>
      <c r="D10" s="2242">
        <v>60862</v>
      </c>
      <c r="E10" s="2252" t="s">
        <v>3251</v>
      </c>
      <c r="F10" s="2250">
        <v>651</v>
      </c>
      <c r="G10" s="2251">
        <v>0.1</v>
      </c>
      <c r="H10" s="2247">
        <v>67651.100000000006</v>
      </c>
      <c r="I10" s="2246">
        <f>H10/31.6102</f>
        <v>2140.1667816084682</v>
      </c>
      <c r="J10" s="2246"/>
      <c r="K10" s="2248"/>
    </row>
    <row r="11" spans="1:11" ht="15.75" hidden="1" customHeight="1" thickTop="1">
      <c r="A11" s="2240" t="s">
        <v>3252</v>
      </c>
      <c r="B11" s="2253">
        <v>1500</v>
      </c>
      <c r="C11" s="2242">
        <v>4813</v>
      </c>
      <c r="D11" s="2242">
        <v>59242</v>
      </c>
      <c r="E11" s="2253">
        <v>65555</v>
      </c>
      <c r="F11" s="2250">
        <v>636</v>
      </c>
      <c r="G11" s="2251">
        <v>0.2</v>
      </c>
      <c r="H11" s="2247">
        <v>66191.199999999997</v>
      </c>
      <c r="I11" s="2246">
        <v>2167.8435277009944</v>
      </c>
      <c r="J11" s="2246"/>
      <c r="K11" s="2248"/>
    </row>
    <row r="12" spans="1:11" ht="15.75" hidden="1" customHeight="1" thickTop="1">
      <c r="A12" s="2240" t="s">
        <v>3253</v>
      </c>
      <c r="B12" s="2253">
        <v>1555</v>
      </c>
      <c r="C12" s="2242">
        <v>4802</v>
      </c>
      <c r="D12" s="2242">
        <v>60038</v>
      </c>
      <c r="E12" s="2253">
        <v>66395</v>
      </c>
      <c r="F12" s="2250">
        <v>633</v>
      </c>
      <c r="G12" s="2251">
        <v>0.1</v>
      </c>
      <c r="H12" s="2247">
        <f>E12+F12+G12</f>
        <v>67028.100000000006</v>
      </c>
      <c r="I12" s="2246">
        <f>H12/30.2723</f>
        <v>2214.172692527492</v>
      </c>
      <c r="J12" s="2246"/>
      <c r="K12" s="2248"/>
    </row>
    <row r="13" spans="1:11" ht="15.75" hidden="1" customHeight="1" thickTop="1">
      <c r="A13" s="2254" t="s">
        <v>3254</v>
      </c>
      <c r="B13" s="2255">
        <v>3867</v>
      </c>
      <c r="C13" s="2242">
        <v>4677</v>
      </c>
      <c r="D13" s="2242">
        <v>58869</v>
      </c>
      <c r="E13" s="2256">
        <v>67413</v>
      </c>
      <c r="F13" s="2257">
        <v>807</v>
      </c>
      <c r="G13" s="2258">
        <v>0.2</v>
      </c>
      <c r="H13" s="2247">
        <f>E13+F13+G13</f>
        <v>68220.2</v>
      </c>
      <c r="I13" s="2246">
        <f>H13/30.7998</f>
        <v>2214.9559412723456</v>
      </c>
      <c r="J13" s="2246"/>
      <c r="K13" s="2248"/>
    </row>
    <row r="14" spans="1:11" ht="15.75" hidden="1" customHeight="1" thickTop="1">
      <c r="A14" s="2254" t="s">
        <v>3255</v>
      </c>
      <c r="B14" s="2255">
        <v>4097</v>
      </c>
      <c r="C14" s="2242">
        <v>4651</v>
      </c>
      <c r="D14" s="2242">
        <v>59179</v>
      </c>
      <c r="E14" s="2259">
        <v>67927</v>
      </c>
      <c r="F14" s="2257">
        <v>804</v>
      </c>
      <c r="G14" s="2258">
        <v>0.2</v>
      </c>
      <c r="H14" s="2247">
        <v>68731.199999999997</v>
      </c>
      <c r="I14" s="2246">
        <f>H14/30.8466</f>
        <v>2228.161288440217</v>
      </c>
      <c r="J14" s="2246"/>
      <c r="K14" s="2248"/>
    </row>
    <row r="15" spans="1:11" ht="15.75" hidden="1" customHeight="1" thickTop="1">
      <c r="A15" s="2254" t="s">
        <v>3256</v>
      </c>
      <c r="B15" s="2255">
        <v>4614</v>
      </c>
      <c r="C15" s="2242">
        <v>4942</v>
      </c>
      <c r="D15" s="2242">
        <v>61027</v>
      </c>
      <c r="E15" s="2259">
        <v>70583</v>
      </c>
      <c r="F15" s="2257">
        <v>862</v>
      </c>
      <c r="G15" s="2258">
        <v>0.1</v>
      </c>
      <c r="H15" s="2247">
        <v>71445.100000000006</v>
      </c>
      <c r="I15" s="2246">
        <f>H15/33.5965</f>
        <v>2126.5637789650709</v>
      </c>
      <c r="J15" s="2246"/>
      <c r="K15" s="2248"/>
    </row>
    <row r="16" spans="1:11" ht="15.75" hidden="1" customHeight="1">
      <c r="A16" s="2260">
        <v>40369</v>
      </c>
      <c r="B16" s="2255">
        <v>3994</v>
      </c>
      <c r="C16" s="2242">
        <v>4583</v>
      </c>
      <c r="D16" s="2242">
        <v>60698</v>
      </c>
      <c r="E16" s="2259">
        <v>69275</v>
      </c>
      <c r="F16" s="2257">
        <v>1011</v>
      </c>
      <c r="G16" s="2258">
        <v>0.1</v>
      </c>
      <c r="H16" s="2247">
        <v>70286.100000000006</v>
      </c>
      <c r="I16" s="2246">
        <f>H16/30.1817</f>
        <v>2328.765443961076</v>
      </c>
      <c r="J16" s="2246"/>
      <c r="K16" s="2248"/>
    </row>
    <row r="17" spans="1:14" ht="15.75" hidden="1" customHeight="1">
      <c r="A17" s="2260">
        <v>40400</v>
      </c>
      <c r="B17" s="2255">
        <v>4317</v>
      </c>
      <c r="C17" s="2242">
        <v>4648</v>
      </c>
      <c r="D17" s="2242">
        <v>61259</v>
      </c>
      <c r="E17" s="2259">
        <v>70224</v>
      </c>
      <c r="F17" s="2257">
        <v>1027</v>
      </c>
      <c r="G17" s="2258">
        <v>0.2</v>
      </c>
      <c r="H17" s="2247">
        <v>71251.199999999997</v>
      </c>
      <c r="I17" s="2246">
        <f>H17/30.8685</f>
        <v>2308.2171145342336</v>
      </c>
      <c r="J17" s="2246"/>
      <c r="K17" s="2248"/>
    </row>
    <row r="18" spans="1:14" ht="15.75" hidden="1" customHeight="1" thickTop="1">
      <c r="A18" s="2260">
        <v>40431</v>
      </c>
      <c r="B18" s="2255">
        <v>4472</v>
      </c>
      <c r="C18" s="2242">
        <v>4665</v>
      </c>
      <c r="D18" s="2242">
        <v>64159</v>
      </c>
      <c r="E18" s="2259">
        <v>73296</v>
      </c>
      <c r="F18" s="2257">
        <v>1033</v>
      </c>
      <c r="G18" s="2258">
        <v>0.2</v>
      </c>
      <c r="H18" s="2247">
        <f t="shared" ref="H18:H36" si="0">E18+F18+G18</f>
        <v>74329.2</v>
      </c>
      <c r="I18" s="2246">
        <f>H18/30.1123</f>
        <v>2468.3999561640921</v>
      </c>
      <c r="J18" s="2246"/>
    </row>
    <row r="19" spans="1:14" ht="15.75" hidden="1" customHeight="1" thickTop="1">
      <c r="A19" s="2260">
        <v>40461</v>
      </c>
      <c r="B19" s="2255">
        <v>4517</v>
      </c>
      <c r="C19" s="2242">
        <v>4672</v>
      </c>
      <c r="D19" s="2242">
        <f>E19-C19-B19</f>
        <v>63543</v>
      </c>
      <c r="E19" s="2259">
        <v>72732</v>
      </c>
      <c r="F19" s="2257">
        <v>1034</v>
      </c>
      <c r="G19" s="2258">
        <v>0.1</v>
      </c>
      <c r="H19" s="2247">
        <f t="shared" si="0"/>
        <v>73766.100000000006</v>
      </c>
      <c r="I19" s="2246">
        <f>H19/29.8251</f>
        <v>2473.2892764818898</v>
      </c>
      <c r="J19" s="2246"/>
    </row>
    <row r="20" spans="1:14" ht="18.75" hidden="1" customHeight="1" thickTop="1">
      <c r="A20" s="2261">
        <v>40492</v>
      </c>
      <c r="B20" s="2255">
        <v>4594</v>
      </c>
      <c r="C20" s="2242">
        <v>4636</v>
      </c>
      <c r="D20" s="2242">
        <f>E20-C20-B20</f>
        <v>65831</v>
      </c>
      <c r="E20" s="2259">
        <v>75061</v>
      </c>
      <c r="F20" s="2250">
        <v>1024</v>
      </c>
      <c r="G20" s="2258">
        <v>0.1</v>
      </c>
      <c r="H20" s="2247">
        <f t="shared" si="0"/>
        <v>76085.100000000006</v>
      </c>
      <c r="I20" s="2246">
        <f>H20/30.4308</f>
        <v>2500.2661776883947</v>
      </c>
      <c r="J20" s="2246"/>
    </row>
    <row r="21" spans="1:14" ht="18.75" hidden="1" customHeight="1" thickTop="1">
      <c r="A21" s="2261">
        <v>40522</v>
      </c>
      <c r="B21" s="2262">
        <v>4850</v>
      </c>
      <c r="C21" s="2242">
        <v>4675</v>
      </c>
      <c r="D21" s="2242">
        <v>68506</v>
      </c>
      <c r="E21" s="2263">
        <v>78031</v>
      </c>
      <c r="F21" s="2241">
        <v>1033</v>
      </c>
      <c r="G21" s="2245">
        <v>0.1</v>
      </c>
      <c r="H21" s="2247">
        <f t="shared" si="0"/>
        <v>79064.100000000006</v>
      </c>
      <c r="I21" s="2247">
        <f>H21/30.3908</f>
        <v>2601.5800834463066</v>
      </c>
      <c r="J21" s="2247"/>
    </row>
    <row r="22" spans="1:14" ht="18.75" hidden="1" customHeight="1" thickTop="1">
      <c r="A22" s="2261">
        <v>40554</v>
      </c>
      <c r="B22" s="2262">
        <v>4453</v>
      </c>
      <c r="C22" s="2242">
        <v>4604</v>
      </c>
      <c r="D22" s="2242">
        <v>65545</v>
      </c>
      <c r="E22" s="2263">
        <f>B22+C22+D22</f>
        <v>74602</v>
      </c>
      <c r="F22" s="2241">
        <v>1200</v>
      </c>
      <c r="G22" s="2245">
        <v>0.2</v>
      </c>
      <c r="H22" s="2247">
        <f t="shared" si="0"/>
        <v>75802.2</v>
      </c>
      <c r="I22" s="2247">
        <f>H22/29.4799</f>
        <v>2571.3180845253883</v>
      </c>
      <c r="J22" s="2247">
        <v>4.2705464788732392</v>
      </c>
    </row>
    <row r="23" spans="1:14" ht="24" hidden="1" customHeight="1" thickTop="1">
      <c r="A23" s="2261">
        <v>40585</v>
      </c>
      <c r="B23" s="2262">
        <v>4676</v>
      </c>
      <c r="C23" s="2242">
        <v>4583</v>
      </c>
      <c r="D23" s="2242">
        <v>65321</v>
      </c>
      <c r="E23" s="2263">
        <f t="shared" ref="E23:E33" si="1">B23+C23+D23</f>
        <v>74580</v>
      </c>
      <c r="F23" s="2241">
        <v>1199</v>
      </c>
      <c r="G23" s="2245">
        <v>0.1</v>
      </c>
      <c r="H23" s="2247">
        <f t="shared" si="0"/>
        <v>75779.100000000006</v>
      </c>
      <c r="I23" s="2247">
        <f>H23/29.2492</f>
        <v>2590.8093212805825</v>
      </c>
      <c r="J23" s="2247">
        <v>4.2692450704225351</v>
      </c>
    </row>
    <row r="24" spans="1:14" ht="24" hidden="1" customHeight="1" thickTop="1">
      <c r="A24" s="2261">
        <v>40613</v>
      </c>
      <c r="B24" s="2255">
        <v>4586</v>
      </c>
      <c r="C24" s="2253">
        <v>4475</v>
      </c>
      <c r="D24" s="2242">
        <v>67264</v>
      </c>
      <c r="E24" s="2263">
        <f t="shared" si="1"/>
        <v>76325</v>
      </c>
      <c r="F24" s="2253">
        <v>1172</v>
      </c>
      <c r="G24" s="2245">
        <v>0.1</v>
      </c>
      <c r="H24" s="2264">
        <f t="shared" si="0"/>
        <v>77497.100000000006</v>
      </c>
      <c r="I24" s="2247">
        <f>H24/28.3805</f>
        <v>2730.646042176847</v>
      </c>
      <c r="J24" s="2247">
        <v>4.3660338028169017</v>
      </c>
    </row>
    <row r="25" spans="1:14" ht="24" hidden="1" customHeight="1" thickTop="1">
      <c r="A25" s="2261">
        <v>40644</v>
      </c>
      <c r="B25" s="2262">
        <v>4758</v>
      </c>
      <c r="C25" s="2242">
        <v>4429</v>
      </c>
      <c r="D25" s="2242">
        <v>66475</v>
      </c>
      <c r="E25" s="2263">
        <f t="shared" si="1"/>
        <v>75662</v>
      </c>
      <c r="F25" s="2241">
        <v>1159</v>
      </c>
      <c r="G25" s="2245">
        <v>0.2</v>
      </c>
      <c r="H25" s="2247">
        <f t="shared" si="0"/>
        <v>76821.2</v>
      </c>
      <c r="I25" s="2247">
        <f>H25/27.3973</f>
        <v>2803.9697342438849</v>
      </c>
      <c r="J25" s="2247">
        <v>4.3279549295774649</v>
      </c>
    </row>
    <row r="26" spans="1:14" ht="24" hidden="1" customHeight="1" thickTop="1">
      <c r="A26" s="2261">
        <v>40674</v>
      </c>
      <c r="B26" s="2262">
        <v>4890</v>
      </c>
      <c r="C26" s="2242">
        <v>4466</v>
      </c>
      <c r="D26" s="2242">
        <v>67861</v>
      </c>
      <c r="E26" s="2263">
        <f t="shared" si="1"/>
        <v>77217</v>
      </c>
      <c r="F26" s="2241">
        <v>1236</v>
      </c>
      <c r="G26" s="2245">
        <v>0.1</v>
      </c>
      <c r="H26" s="2247">
        <f t="shared" si="0"/>
        <v>78453.100000000006</v>
      </c>
      <c r="I26" s="2247">
        <f>H26/28.0719</f>
        <v>2794.7199868908056</v>
      </c>
      <c r="J26" s="2247">
        <v>4.4198929577464794</v>
      </c>
    </row>
    <row r="27" spans="1:14" ht="24" hidden="1" customHeight="1" thickTop="1">
      <c r="A27" s="2261">
        <v>40695</v>
      </c>
      <c r="B27" s="2262">
        <v>4861</v>
      </c>
      <c r="C27" s="2242">
        <v>4541</v>
      </c>
      <c r="D27" s="2242">
        <v>70852</v>
      </c>
      <c r="E27" s="2263">
        <f t="shared" si="1"/>
        <v>80254</v>
      </c>
      <c r="F27" s="2241">
        <v>1253</v>
      </c>
      <c r="G27" s="2245">
        <v>0.1</v>
      </c>
      <c r="H27" s="2247">
        <f t="shared" si="0"/>
        <v>81507.100000000006</v>
      </c>
      <c r="I27" s="2247">
        <f>H27/28.4684</f>
        <v>2863.0727403015276</v>
      </c>
      <c r="J27" s="2247">
        <v>4.5919492957746479</v>
      </c>
    </row>
    <row r="28" spans="1:14" ht="24" hidden="1" customHeight="1" thickTop="1">
      <c r="A28" s="2261">
        <v>40725</v>
      </c>
      <c r="B28" s="2262">
        <v>5075</v>
      </c>
      <c r="C28" s="2242">
        <v>4442</v>
      </c>
      <c r="D28" s="2242">
        <v>69531</v>
      </c>
      <c r="E28" s="2263">
        <f t="shared" si="1"/>
        <v>79048</v>
      </c>
      <c r="F28" s="2241">
        <v>1268</v>
      </c>
      <c r="G28" s="2245">
        <v>0.1</v>
      </c>
      <c r="H28" s="2247">
        <f t="shared" si="0"/>
        <v>80316.100000000006</v>
      </c>
      <c r="I28" s="2247">
        <f>H28/27.781</f>
        <v>2891.0442388682918</v>
      </c>
      <c r="J28" s="2247">
        <v>4.5248507042253525</v>
      </c>
    </row>
    <row r="29" spans="1:14" ht="0.75" customHeight="1" thickTop="1">
      <c r="A29" s="2261">
        <v>40756</v>
      </c>
      <c r="B29" s="2262">
        <v>5668</v>
      </c>
      <c r="C29" s="2242">
        <v>4497</v>
      </c>
      <c r="D29" s="2242">
        <v>69331</v>
      </c>
      <c r="E29" s="2263">
        <f t="shared" si="1"/>
        <v>79496</v>
      </c>
      <c r="F29" s="2241">
        <v>1282</v>
      </c>
      <c r="G29" s="2245">
        <v>0.2</v>
      </c>
      <c r="H29" s="2247">
        <f t="shared" si="0"/>
        <v>80778.2</v>
      </c>
      <c r="I29" s="2247">
        <f>H29/27.919</f>
        <v>2893.3056341559509</v>
      </c>
      <c r="J29" s="2247">
        <v>4.5508845070422534</v>
      </c>
    </row>
    <row r="30" spans="1:14" ht="24" hidden="1" customHeight="1">
      <c r="A30" s="2261">
        <v>40787</v>
      </c>
      <c r="B30" s="2265">
        <v>5942</v>
      </c>
      <c r="C30" s="2242">
        <v>4544</v>
      </c>
      <c r="D30" s="2242">
        <v>68208</v>
      </c>
      <c r="E30" s="2263">
        <f t="shared" si="1"/>
        <v>78694</v>
      </c>
      <c r="F30" s="2241">
        <v>1366</v>
      </c>
      <c r="G30" s="2245">
        <v>0.1</v>
      </c>
      <c r="H30" s="2247">
        <f t="shared" si="0"/>
        <v>80060.100000000006</v>
      </c>
      <c r="I30" s="2246">
        <f>H30/29.0268</f>
        <v>2758.1441977758486</v>
      </c>
      <c r="J30" s="2247">
        <v>4.5104281690140846</v>
      </c>
    </row>
    <row r="31" spans="1:14" ht="24" hidden="1" customHeight="1">
      <c r="A31" s="2261">
        <v>40817</v>
      </c>
      <c r="B31" s="2265">
        <v>6206</v>
      </c>
      <c r="C31" s="2242">
        <v>4588</v>
      </c>
      <c r="D31" s="2242">
        <v>70437</v>
      </c>
      <c r="E31" s="2263">
        <f t="shared" si="1"/>
        <v>81231</v>
      </c>
      <c r="F31" s="2241">
        <v>1375</v>
      </c>
      <c r="G31" s="2245">
        <v>0.1</v>
      </c>
      <c r="H31" s="2247">
        <f t="shared" si="0"/>
        <v>82606.100000000006</v>
      </c>
      <c r="I31" s="2246">
        <f>H31/28.7684</f>
        <v>2871.4179446893122</v>
      </c>
      <c r="J31" s="2247">
        <v>4.6538647887323945</v>
      </c>
      <c r="M31" s="2266"/>
    </row>
    <row r="32" spans="1:14" ht="24" hidden="1" customHeight="1">
      <c r="A32" s="2261">
        <v>40848</v>
      </c>
      <c r="B32" s="2265">
        <v>6299</v>
      </c>
      <c r="C32" s="2242">
        <v>4548</v>
      </c>
      <c r="D32" s="2242">
        <v>66783</v>
      </c>
      <c r="E32" s="2263">
        <f t="shared" si="1"/>
        <v>77630</v>
      </c>
      <c r="F32" s="2241">
        <v>1369</v>
      </c>
      <c r="G32" s="2245">
        <v>0.2</v>
      </c>
      <c r="H32" s="2247">
        <f t="shared" si="0"/>
        <v>78999.199999999997</v>
      </c>
      <c r="I32" s="2246">
        <f>H32/29.2762</f>
        <v>2698.4103128138213</v>
      </c>
      <c r="J32" s="2247">
        <v>4.4506591549295775</v>
      </c>
      <c r="M32" s="2266"/>
      <c r="N32" s="2266"/>
    </row>
    <row r="33" spans="1:14" ht="24" hidden="1" customHeight="1">
      <c r="A33" s="2261">
        <v>40878</v>
      </c>
      <c r="B33" s="2265">
        <v>5748</v>
      </c>
      <c r="C33" s="2242">
        <v>4484</v>
      </c>
      <c r="D33" s="2242">
        <v>69822</v>
      </c>
      <c r="E33" s="2263">
        <f t="shared" si="1"/>
        <v>80054</v>
      </c>
      <c r="F33" s="2241">
        <v>1420</v>
      </c>
      <c r="G33" s="2245">
        <v>0.2</v>
      </c>
      <c r="H33" s="2247">
        <f t="shared" si="0"/>
        <v>81474.2</v>
      </c>
      <c r="I33" s="2246">
        <f>H33/29.3262</f>
        <v>2778.205154435283</v>
      </c>
      <c r="J33" s="2247">
        <v>4.590095774647887</v>
      </c>
    </row>
    <row r="34" spans="1:14" ht="24" hidden="1" customHeight="1">
      <c r="A34" s="2261">
        <v>40909</v>
      </c>
      <c r="B34" s="2265">
        <v>6382</v>
      </c>
      <c r="C34" s="2242">
        <v>4503</v>
      </c>
      <c r="D34" s="2242">
        <v>69112</v>
      </c>
      <c r="E34" s="2263">
        <v>79997</v>
      </c>
      <c r="F34" s="2241">
        <v>1425</v>
      </c>
      <c r="G34" s="2245">
        <v>0.2</v>
      </c>
      <c r="H34" s="2247">
        <f t="shared" si="0"/>
        <v>81422.2</v>
      </c>
      <c r="I34" s="2246">
        <f>H34/29.1257</f>
        <v>2795.5448281071358</v>
      </c>
      <c r="J34" s="2247">
        <v>4.3</v>
      </c>
    </row>
    <row r="35" spans="1:14" ht="24" customHeight="1">
      <c r="A35" s="2261">
        <v>40940</v>
      </c>
      <c r="B35" s="2265">
        <v>6458</v>
      </c>
      <c r="C35" s="2242">
        <v>4467</v>
      </c>
      <c r="D35" s="2242">
        <v>68981</v>
      </c>
      <c r="E35" s="2263">
        <v>79906</v>
      </c>
      <c r="F35" s="2241">
        <v>1443</v>
      </c>
      <c r="G35" s="2245">
        <v>0.2</v>
      </c>
      <c r="H35" s="2247">
        <f t="shared" si="0"/>
        <v>81349.2</v>
      </c>
      <c r="I35" s="2246">
        <f>H35/28.7562</f>
        <v>2828.9273269764431</v>
      </c>
      <c r="J35" s="2247">
        <v>4.3</v>
      </c>
    </row>
    <row r="36" spans="1:14" ht="24" customHeight="1">
      <c r="A36" s="2261">
        <v>40969</v>
      </c>
      <c r="B36" s="2265">
        <v>6040</v>
      </c>
      <c r="C36" s="2242">
        <v>4459</v>
      </c>
      <c r="D36" s="2242">
        <v>68870</v>
      </c>
      <c r="E36" s="2263">
        <v>79369</v>
      </c>
      <c r="F36" s="2241">
        <v>1452</v>
      </c>
      <c r="G36" s="2245">
        <v>0.1</v>
      </c>
      <c r="H36" s="2247">
        <f t="shared" si="0"/>
        <v>80821.100000000006</v>
      </c>
      <c r="I36" s="2246">
        <v>2798.2</v>
      </c>
      <c r="J36" s="2247">
        <v>4.3</v>
      </c>
    </row>
    <row r="37" spans="1:14" ht="24" customHeight="1">
      <c r="A37" s="2261">
        <v>41000</v>
      </c>
      <c r="B37" s="2265">
        <v>6079</v>
      </c>
      <c r="C37" s="2242">
        <v>4495</v>
      </c>
      <c r="D37" s="2242">
        <v>68421</v>
      </c>
      <c r="E37" s="2267">
        <v>78995</v>
      </c>
      <c r="F37" s="2241">
        <v>1462</v>
      </c>
      <c r="G37" s="2245">
        <v>0.1</v>
      </c>
      <c r="H37" s="2247">
        <v>80457.100000000006</v>
      </c>
      <c r="I37" s="2246">
        <v>2771.4</v>
      </c>
      <c r="J37" s="2247">
        <v>4.3</v>
      </c>
    </row>
    <row r="38" spans="1:14" ht="24" customHeight="1">
      <c r="A38" s="2261">
        <v>41030</v>
      </c>
      <c r="B38" s="2265">
        <v>5875</v>
      </c>
      <c r="C38" s="2242">
        <v>4503</v>
      </c>
      <c r="D38" s="2242">
        <v>67703</v>
      </c>
      <c r="E38" s="2267">
        <v>78081</v>
      </c>
      <c r="F38" s="2241">
        <v>1463</v>
      </c>
      <c r="G38" s="2245">
        <v>0.2</v>
      </c>
      <c r="H38" s="2247">
        <f t="shared" ref="H38:H47" si="2">E38+F38+G38</f>
        <v>79544.2</v>
      </c>
      <c r="I38" s="2246">
        <v>2667.5</v>
      </c>
      <c r="J38" s="2247">
        <v>4.2</v>
      </c>
    </row>
    <row r="39" spans="1:14" ht="24" customHeight="1">
      <c r="A39" s="2261">
        <v>41061</v>
      </c>
      <c r="B39" s="2265">
        <v>6118</v>
      </c>
      <c r="C39" s="2242">
        <v>4676</v>
      </c>
      <c r="D39" s="2242">
        <v>74295</v>
      </c>
      <c r="E39" s="2267">
        <v>85089</v>
      </c>
      <c r="F39" s="2241">
        <v>1582</v>
      </c>
      <c r="G39" s="2245">
        <v>0.1</v>
      </c>
      <c r="H39" s="2247">
        <f t="shared" si="2"/>
        <v>86671.1</v>
      </c>
      <c r="I39" s="2246">
        <v>2798</v>
      </c>
      <c r="J39" s="2247">
        <v>4.5999999999999996</v>
      </c>
    </row>
    <row r="40" spans="1:14" ht="24" customHeight="1">
      <c r="A40" s="2261">
        <v>41091</v>
      </c>
      <c r="B40" s="2265">
        <v>6305</v>
      </c>
      <c r="C40" s="2242">
        <v>4654</v>
      </c>
      <c r="D40" s="2242">
        <v>75348</v>
      </c>
      <c r="E40" s="2267">
        <v>86307</v>
      </c>
      <c r="F40" s="2241">
        <v>1568</v>
      </c>
      <c r="G40" s="2245">
        <v>0.2</v>
      </c>
      <c r="H40" s="2247">
        <f t="shared" si="2"/>
        <v>87875.199999999997</v>
      </c>
      <c r="I40" s="2246">
        <v>2845.4</v>
      </c>
      <c r="J40" s="2247">
        <v>4.7</v>
      </c>
      <c r="N40" s="2268"/>
    </row>
    <row r="41" spans="1:14" ht="24" customHeight="1">
      <c r="A41" s="2261">
        <v>41122</v>
      </c>
      <c r="B41" s="2265">
        <v>6361</v>
      </c>
      <c r="C41" s="2242">
        <v>4631</v>
      </c>
      <c r="D41" s="2242">
        <v>75754</v>
      </c>
      <c r="E41" s="2267">
        <v>86746</v>
      </c>
      <c r="F41" s="2241">
        <v>1561</v>
      </c>
      <c r="G41" s="2245">
        <v>0.2</v>
      </c>
      <c r="H41" s="2247">
        <f t="shared" si="2"/>
        <v>88307.199999999997</v>
      </c>
      <c r="I41" s="2246">
        <v>2897.9</v>
      </c>
      <c r="J41" s="2247">
        <v>4.7</v>
      </c>
      <c r="N41" s="2268"/>
    </row>
    <row r="42" spans="1:14" ht="24" customHeight="1">
      <c r="A42" s="2261" t="s">
        <v>3257</v>
      </c>
      <c r="B42" s="2265">
        <v>6817</v>
      </c>
      <c r="C42" s="2242">
        <v>4685</v>
      </c>
      <c r="D42" s="2242">
        <v>76297</v>
      </c>
      <c r="E42" s="2267">
        <v>87799</v>
      </c>
      <c r="F42" s="2241">
        <v>1580</v>
      </c>
      <c r="G42" s="2245">
        <v>0.2</v>
      </c>
      <c r="H42" s="2247">
        <f t="shared" si="2"/>
        <v>89379.199999999997</v>
      </c>
      <c r="I42" s="2246">
        <v>2935.9</v>
      </c>
      <c r="J42" s="2247">
        <v>4.7</v>
      </c>
      <c r="M42" s="2268"/>
    </row>
    <row r="43" spans="1:14" ht="24" customHeight="1">
      <c r="A43" s="2261">
        <v>41183</v>
      </c>
      <c r="B43" s="2265">
        <v>6689</v>
      </c>
      <c r="C43" s="2242">
        <v>4761</v>
      </c>
      <c r="D43" s="2242">
        <v>76522</v>
      </c>
      <c r="E43" s="2267">
        <v>87972</v>
      </c>
      <c r="F43" s="2241">
        <v>1606</v>
      </c>
      <c r="G43" s="2245">
        <v>0.1</v>
      </c>
      <c r="H43" s="2247">
        <f t="shared" si="2"/>
        <v>89578.1</v>
      </c>
      <c r="I43" s="2246">
        <v>2891.8</v>
      </c>
      <c r="J43" s="2247">
        <v>4.7</v>
      </c>
      <c r="M43" s="2268"/>
    </row>
    <row r="44" spans="1:14" ht="24" customHeight="1">
      <c r="A44" s="2261">
        <v>41214</v>
      </c>
      <c r="B44" s="2265">
        <v>6694</v>
      </c>
      <c r="C44" s="2242">
        <v>4714</v>
      </c>
      <c r="D44" s="2242">
        <v>78955</v>
      </c>
      <c r="E44" s="2267">
        <v>90363</v>
      </c>
      <c r="F44" s="2241">
        <v>1588</v>
      </c>
      <c r="G44" s="2245">
        <v>0.2</v>
      </c>
      <c r="H44" s="2247">
        <f t="shared" si="2"/>
        <v>91951.2</v>
      </c>
      <c r="I44" s="2246">
        <v>2990.7</v>
      </c>
      <c r="J44" s="2247">
        <v>4.9000000000000004</v>
      </c>
      <c r="M44" s="2268"/>
    </row>
    <row r="45" spans="1:14" ht="24" customHeight="1">
      <c r="A45" s="2261" t="s">
        <v>3258</v>
      </c>
      <c r="B45" s="2265">
        <v>6399</v>
      </c>
      <c r="C45" s="2242">
        <v>4688</v>
      </c>
      <c r="D45" s="2242">
        <v>80322</v>
      </c>
      <c r="E45" s="2267">
        <v>91409</v>
      </c>
      <c r="F45" s="2241">
        <v>1579</v>
      </c>
      <c r="G45" s="2245">
        <v>0.2</v>
      </c>
      <c r="H45" s="2247">
        <f t="shared" si="2"/>
        <v>92988.2</v>
      </c>
      <c r="I45" s="2246">
        <v>3046.3</v>
      </c>
      <c r="J45" s="2247">
        <v>4.9000000000000004</v>
      </c>
      <c r="M45" s="2268"/>
    </row>
    <row r="46" spans="1:14" ht="24" customHeight="1">
      <c r="A46" s="2261" t="s">
        <v>3259</v>
      </c>
      <c r="B46" s="2265">
        <v>6410</v>
      </c>
      <c r="C46" s="2242">
        <v>4681</v>
      </c>
      <c r="D46" s="2242">
        <v>82858</v>
      </c>
      <c r="E46" s="2267">
        <v>93949</v>
      </c>
      <c r="F46" s="2241">
        <v>1577</v>
      </c>
      <c r="G46" s="2245">
        <v>0.1</v>
      </c>
      <c r="H46" s="2247">
        <f t="shared" si="2"/>
        <v>95526.1</v>
      </c>
      <c r="I46" s="2246">
        <v>3142.2</v>
      </c>
      <c r="J46" s="2247">
        <v>5.0999999999999996</v>
      </c>
      <c r="M46" s="2268"/>
    </row>
    <row r="47" spans="1:14" ht="24" customHeight="1" thickBot="1">
      <c r="A47" s="2269" t="s">
        <v>3260</v>
      </c>
      <c r="B47" s="2270">
        <v>6195</v>
      </c>
      <c r="C47" s="2271">
        <v>4664</v>
      </c>
      <c r="D47" s="2271">
        <v>82523</v>
      </c>
      <c r="E47" s="2272">
        <v>93382</v>
      </c>
      <c r="F47" s="2273">
        <v>1571</v>
      </c>
      <c r="G47" s="2274">
        <v>0.1</v>
      </c>
      <c r="H47" s="2247">
        <f t="shared" si="2"/>
        <v>94953.1</v>
      </c>
      <c r="I47" s="2275">
        <v>3081</v>
      </c>
      <c r="J47" s="2275">
        <v>5</v>
      </c>
      <c r="K47" s="2268"/>
      <c r="M47" s="2268"/>
    </row>
    <row r="48" spans="1:14" ht="45" customHeight="1" thickTop="1">
      <c r="A48" s="3428" t="s">
        <v>3261</v>
      </c>
      <c r="B48" s="3429"/>
      <c r="C48" s="3429"/>
      <c r="D48" s="3429"/>
      <c r="E48" s="3429"/>
      <c r="F48" s="3429"/>
      <c r="G48" s="3429"/>
      <c r="H48" s="3429"/>
      <c r="I48" s="3429"/>
      <c r="J48" s="3429"/>
    </row>
    <row r="49" spans="1:10" ht="21" customHeight="1">
      <c r="A49" s="2276" t="s">
        <v>3262</v>
      </c>
      <c r="B49" s="2277"/>
      <c r="C49" s="2277"/>
      <c r="D49" s="2277"/>
      <c r="E49" s="2278"/>
      <c r="F49" s="2277"/>
      <c r="G49" s="2277"/>
      <c r="H49" s="2277"/>
      <c r="I49" s="2277"/>
      <c r="J49" s="2277"/>
    </row>
    <row r="50" spans="1:10" ht="53.25" customHeight="1">
      <c r="A50" s="3430" t="s">
        <v>3263</v>
      </c>
      <c r="B50" s="3431"/>
      <c r="C50" s="3431"/>
      <c r="D50" s="3431"/>
      <c r="E50" s="3431"/>
      <c r="F50" s="3431"/>
      <c r="G50" s="3431"/>
      <c r="H50" s="3431"/>
      <c r="I50" s="3431"/>
      <c r="J50" s="3431"/>
    </row>
    <row r="51" spans="1:10" ht="18.75" customHeight="1">
      <c r="A51" s="2279" t="s">
        <v>3264</v>
      </c>
      <c r="B51" s="2278"/>
      <c r="C51" s="2278"/>
      <c r="D51" s="2278"/>
      <c r="E51" s="2278"/>
      <c r="F51" s="2278"/>
      <c r="G51" s="2280"/>
      <c r="H51" s="2277"/>
      <c r="I51" s="2277"/>
      <c r="J51" s="2277"/>
    </row>
    <row r="52" spans="1:10" ht="18" customHeight="1">
      <c r="A52" s="2281" t="s">
        <v>303</v>
      </c>
    </row>
    <row r="54" spans="1:10">
      <c r="B54" s="2282"/>
      <c r="C54" s="2282"/>
      <c r="E54" s="2282"/>
      <c r="F54" s="2282"/>
    </row>
    <row r="55" spans="1:10">
      <c r="B55" s="2282"/>
      <c r="C55" s="2282"/>
    </row>
    <row r="60" spans="1:10">
      <c r="B60" s="2282"/>
      <c r="C60" s="2282"/>
      <c r="E60" s="2282"/>
      <c r="F60" s="2282"/>
    </row>
    <row r="61" spans="1:10">
      <c r="B61" s="2282"/>
      <c r="C61" s="2282"/>
    </row>
  </sheetData>
  <mergeCells count="11">
    <mergeCell ref="B7:H7"/>
    <mergeCell ref="A48:J48"/>
    <mergeCell ref="A50:J50"/>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2"/>
  <sheetViews>
    <sheetView topLeftCell="A208" zoomScale="110" workbookViewId="0">
      <selection activeCell="E232" sqref="E232"/>
    </sheetView>
  </sheetViews>
  <sheetFormatPr defaultRowHeight="15"/>
  <cols>
    <col min="1" max="1" width="16.5703125" style="2228" customWidth="1"/>
    <col min="2" max="2" width="10.42578125" style="2117" customWidth="1"/>
    <col min="3" max="3" width="11.85546875" style="2117" customWidth="1"/>
    <col min="4" max="4" width="10.42578125" style="2117" customWidth="1"/>
    <col min="5" max="5" width="10.28515625" style="2117" customWidth="1"/>
    <col min="6" max="6" width="8.28515625" style="2117" customWidth="1"/>
    <col min="7" max="7" width="11" style="2117" customWidth="1"/>
    <col min="8" max="8" width="8.7109375" style="2117" customWidth="1"/>
    <col min="9" max="9" width="9.7109375" style="2117" customWidth="1"/>
    <col min="10" max="10" width="12.85546875" style="2117" customWidth="1"/>
    <col min="11" max="11" width="9.140625" style="2117"/>
    <col min="12" max="12" width="8.7109375" style="2117" customWidth="1"/>
    <col min="13" max="256" width="9.140625" style="2117"/>
    <col min="257" max="257" width="16.5703125" style="2117" customWidth="1"/>
    <col min="258" max="258" width="10.42578125" style="2117" customWidth="1"/>
    <col min="259" max="259" width="11.85546875" style="2117" customWidth="1"/>
    <col min="260" max="260" width="10.42578125" style="2117" customWidth="1"/>
    <col min="261" max="261" width="10.28515625" style="2117" customWidth="1"/>
    <col min="262" max="262" width="8.28515625" style="2117" customWidth="1"/>
    <col min="263" max="263" width="11" style="2117" customWidth="1"/>
    <col min="264" max="264" width="8.7109375" style="2117" customWidth="1"/>
    <col min="265" max="265" width="9.7109375" style="2117" customWidth="1"/>
    <col min="266" max="266" width="12.85546875" style="2117" customWidth="1"/>
    <col min="267" max="267" width="9.140625" style="2117"/>
    <col min="268" max="268" width="8.7109375" style="2117" customWidth="1"/>
    <col min="269" max="512" width="9.140625" style="2117"/>
    <col min="513" max="513" width="16.5703125" style="2117" customWidth="1"/>
    <col min="514" max="514" width="10.42578125" style="2117" customWidth="1"/>
    <col min="515" max="515" width="11.85546875" style="2117" customWidth="1"/>
    <col min="516" max="516" width="10.42578125" style="2117" customWidth="1"/>
    <col min="517" max="517" width="10.28515625" style="2117" customWidth="1"/>
    <col min="518" max="518" width="8.28515625" style="2117" customWidth="1"/>
    <col min="519" max="519" width="11" style="2117" customWidth="1"/>
    <col min="520" max="520" width="8.7109375" style="2117" customWidth="1"/>
    <col min="521" max="521" width="9.7109375" style="2117" customWidth="1"/>
    <col min="522" max="522" width="12.85546875" style="2117" customWidth="1"/>
    <col min="523" max="523" width="9.140625" style="2117"/>
    <col min="524" max="524" width="8.7109375" style="2117" customWidth="1"/>
    <col min="525" max="768" width="9.140625" style="2117"/>
    <col min="769" max="769" width="16.5703125" style="2117" customWidth="1"/>
    <col min="770" max="770" width="10.42578125" style="2117" customWidth="1"/>
    <col min="771" max="771" width="11.85546875" style="2117" customWidth="1"/>
    <col min="772" max="772" width="10.42578125" style="2117" customWidth="1"/>
    <col min="773" max="773" width="10.28515625" style="2117" customWidth="1"/>
    <col min="774" max="774" width="8.28515625" style="2117" customWidth="1"/>
    <col min="775" max="775" width="11" style="2117" customWidth="1"/>
    <col min="776" max="776" width="8.7109375" style="2117" customWidth="1"/>
    <col min="777" max="777" width="9.7109375" style="2117" customWidth="1"/>
    <col min="778" max="778" width="12.85546875" style="2117" customWidth="1"/>
    <col min="779" max="779" width="9.140625" style="2117"/>
    <col min="780" max="780" width="8.7109375" style="2117" customWidth="1"/>
    <col min="781" max="1024" width="9.140625" style="2117"/>
    <col min="1025" max="1025" width="16.5703125" style="2117" customWidth="1"/>
    <col min="1026" max="1026" width="10.42578125" style="2117" customWidth="1"/>
    <col min="1027" max="1027" width="11.85546875" style="2117" customWidth="1"/>
    <col min="1028" max="1028" width="10.42578125" style="2117" customWidth="1"/>
    <col min="1029" max="1029" width="10.28515625" style="2117" customWidth="1"/>
    <col min="1030" max="1030" width="8.28515625" style="2117" customWidth="1"/>
    <col min="1031" max="1031" width="11" style="2117" customWidth="1"/>
    <col min="1032" max="1032" width="8.7109375" style="2117" customWidth="1"/>
    <col min="1033" max="1033" width="9.7109375" style="2117" customWidth="1"/>
    <col min="1034" max="1034" width="12.85546875" style="2117" customWidth="1"/>
    <col min="1035" max="1035" width="9.140625" style="2117"/>
    <col min="1036" max="1036" width="8.7109375" style="2117" customWidth="1"/>
    <col min="1037" max="1280" width="9.140625" style="2117"/>
    <col min="1281" max="1281" width="16.5703125" style="2117" customWidth="1"/>
    <col min="1282" max="1282" width="10.42578125" style="2117" customWidth="1"/>
    <col min="1283" max="1283" width="11.85546875" style="2117" customWidth="1"/>
    <col min="1284" max="1284" width="10.42578125" style="2117" customWidth="1"/>
    <col min="1285" max="1285" width="10.28515625" style="2117" customWidth="1"/>
    <col min="1286" max="1286" width="8.28515625" style="2117" customWidth="1"/>
    <col min="1287" max="1287" width="11" style="2117" customWidth="1"/>
    <col min="1288" max="1288" width="8.7109375" style="2117" customWidth="1"/>
    <col min="1289" max="1289" width="9.7109375" style="2117" customWidth="1"/>
    <col min="1290" max="1290" width="12.85546875" style="2117" customWidth="1"/>
    <col min="1291" max="1291" width="9.140625" style="2117"/>
    <col min="1292" max="1292" width="8.7109375" style="2117" customWidth="1"/>
    <col min="1293" max="1536" width="9.140625" style="2117"/>
    <col min="1537" max="1537" width="16.5703125" style="2117" customWidth="1"/>
    <col min="1538" max="1538" width="10.42578125" style="2117" customWidth="1"/>
    <col min="1539" max="1539" width="11.85546875" style="2117" customWidth="1"/>
    <col min="1540" max="1540" width="10.42578125" style="2117" customWidth="1"/>
    <col min="1541" max="1541" width="10.28515625" style="2117" customWidth="1"/>
    <col min="1542" max="1542" width="8.28515625" style="2117" customWidth="1"/>
    <col min="1543" max="1543" width="11" style="2117" customWidth="1"/>
    <col min="1544" max="1544" width="8.7109375" style="2117" customWidth="1"/>
    <col min="1545" max="1545" width="9.7109375" style="2117" customWidth="1"/>
    <col min="1546" max="1546" width="12.85546875" style="2117" customWidth="1"/>
    <col min="1547" max="1547" width="9.140625" style="2117"/>
    <col min="1548" max="1548" width="8.7109375" style="2117" customWidth="1"/>
    <col min="1549" max="1792" width="9.140625" style="2117"/>
    <col min="1793" max="1793" width="16.5703125" style="2117" customWidth="1"/>
    <col min="1794" max="1794" width="10.42578125" style="2117" customWidth="1"/>
    <col min="1795" max="1795" width="11.85546875" style="2117" customWidth="1"/>
    <col min="1796" max="1796" width="10.42578125" style="2117" customWidth="1"/>
    <col min="1797" max="1797" width="10.28515625" style="2117" customWidth="1"/>
    <col min="1798" max="1798" width="8.28515625" style="2117" customWidth="1"/>
    <col min="1799" max="1799" width="11" style="2117" customWidth="1"/>
    <col min="1800" max="1800" width="8.7109375" style="2117" customWidth="1"/>
    <col min="1801" max="1801" width="9.7109375" style="2117" customWidth="1"/>
    <col min="1802" max="1802" width="12.85546875" style="2117" customWidth="1"/>
    <col min="1803" max="1803" width="9.140625" style="2117"/>
    <col min="1804" max="1804" width="8.7109375" style="2117" customWidth="1"/>
    <col min="1805" max="2048" width="9.140625" style="2117"/>
    <col min="2049" max="2049" width="16.5703125" style="2117" customWidth="1"/>
    <col min="2050" max="2050" width="10.42578125" style="2117" customWidth="1"/>
    <col min="2051" max="2051" width="11.85546875" style="2117" customWidth="1"/>
    <col min="2052" max="2052" width="10.42578125" style="2117" customWidth="1"/>
    <col min="2053" max="2053" width="10.28515625" style="2117" customWidth="1"/>
    <col min="2054" max="2054" width="8.28515625" style="2117" customWidth="1"/>
    <col min="2055" max="2055" width="11" style="2117" customWidth="1"/>
    <col min="2056" max="2056" width="8.7109375" style="2117" customWidth="1"/>
    <col min="2057" max="2057" width="9.7109375" style="2117" customWidth="1"/>
    <col min="2058" max="2058" width="12.85546875" style="2117" customWidth="1"/>
    <col min="2059" max="2059" width="9.140625" style="2117"/>
    <col min="2060" max="2060" width="8.7109375" style="2117" customWidth="1"/>
    <col min="2061" max="2304" width="9.140625" style="2117"/>
    <col min="2305" max="2305" width="16.5703125" style="2117" customWidth="1"/>
    <col min="2306" max="2306" width="10.42578125" style="2117" customWidth="1"/>
    <col min="2307" max="2307" width="11.85546875" style="2117" customWidth="1"/>
    <col min="2308" max="2308" width="10.42578125" style="2117" customWidth="1"/>
    <col min="2309" max="2309" width="10.28515625" style="2117" customWidth="1"/>
    <col min="2310" max="2310" width="8.28515625" style="2117" customWidth="1"/>
    <col min="2311" max="2311" width="11" style="2117" customWidth="1"/>
    <col min="2312" max="2312" width="8.7109375" style="2117" customWidth="1"/>
    <col min="2313" max="2313" width="9.7109375" style="2117" customWidth="1"/>
    <col min="2314" max="2314" width="12.85546875" style="2117" customWidth="1"/>
    <col min="2315" max="2315" width="9.140625" style="2117"/>
    <col min="2316" max="2316" width="8.7109375" style="2117" customWidth="1"/>
    <col min="2317" max="2560" width="9.140625" style="2117"/>
    <col min="2561" max="2561" width="16.5703125" style="2117" customWidth="1"/>
    <col min="2562" max="2562" width="10.42578125" style="2117" customWidth="1"/>
    <col min="2563" max="2563" width="11.85546875" style="2117" customWidth="1"/>
    <col min="2564" max="2564" width="10.42578125" style="2117" customWidth="1"/>
    <col min="2565" max="2565" width="10.28515625" style="2117" customWidth="1"/>
    <col min="2566" max="2566" width="8.28515625" style="2117" customWidth="1"/>
    <col min="2567" max="2567" width="11" style="2117" customWidth="1"/>
    <col min="2568" max="2568" width="8.7109375" style="2117" customWidth="1"/>
    <col min="2569" max="2569" width="9.7109375" style="2117" customWidth="1"/>
    <col min="2570" max="2570" width="12.85546875" style="2117" customWidth="1"/>
    <col min="2571" max="2571" width="9.140625" style="2117"/>
    <col min="2572" max="2572" width="8.7109375" style="2117" customWidth="1"/>
    <col min="2573" max="2816" width="9.140625" style="2117"/>
    <col min="2817" max="2817" width="16.5703125" style="2117" customWidth="1"/>
    <col min="2818" max="2818" width="10.42578125" style="2117" customWidth="1"/>
    <col min="2819" max="2819" width="11.85546875" style="2117" customWidth="1"/>
    <col min="2820" max="2820" width="10.42578125" style="2117" customWidth="1"/>
    <col min="2821" max="2821" width="10.28515625" style="2117" customWidth="1"/>
    <col min="2822" max="2822" width="8.28515625" style="2117" customWidth="1"/>
    <col min="2823" max="2823" width="11" style="2117" customWidth="1"/>
    <col min="2824" max="2824" width="8.7109375" style="2117" customWidth="1"/>
    <col min="2825" max="2825" width="9.7109375" style="2117" customWidth="1"/>
    <col min="2826" max="2826" width="12.85546875" style="2117" customWidth="1"/>
    <col min="2827" max="2827" width="9.140625" style="2117"/>
    <col min="2828" max="2828" width="8.7109375" style="2117" customWidth="1"/>
    <col min="2829" max="3072" width="9.140625" style="2117"/>
    <col min="3073" max="3073" width="16.5703125" style="2117" customWidth="1"/>
    <col min="3074" max="3074" width="10.42578125" style="2117" customWidth="1"/>
    <col min="3075" max="3075" width="11.85546875" style="2117" customWidth="1"/>
    <col min="3076" max="3076" width="10.42578125" style="2117" customWidth="1"/>
    <col min="3077" max="3077" width="10.28515625" style="2117" customWidth="1"/>
    <col min="3078" max="3078" width="8.28515625" style="2117" customWidth="1"/>
    <col min="3079" max="3079" width="11" style="2117" customWidth="1"/>
    <col min="3080" max="3080" width="8.7109375" style="2117" customWidth="1"/>
    <col min="3081" max="3081" width="9.7109375" style="2117" customWidth="1"/>
    <col min="3082" max="3082" width="12.85546875" style="2117" customWidth="1"/>
    <col min="3083" max="3083" width="9.140625" style="2117"/>
    <col min="3084" max="3084" width="8.7109375" style="2117" customWidth="1"/>
    <col min="3085" max="3328" width="9.140625" style="2117"/>
    <col min="3329" max="3329" width="16.5703125" style="2117" customWidth="1"/>
    <col min="3330" max="3330" width="10.42578125" style="2117" customWidth="1"/>
    <col min="3331" max="3331" width="11.85546875" style="2117" customWidth="1"/>
    <col min="3332" max="3332" width="10.42578125" style="2117" customWidth="1"/>
    <col min="3333" max="3333" width="10.28515625" style="2117" customWidth="1"/>
    <col min="3334" max="3334" width="8.28515625" style="2117" customWidth="1"/>
    <col min="3335" max="3335" width="11" style="2117" customWidth="1"/>
    <col min="3336" max="3336" width="8.7109375" style="2117" customWidth="1"/>
    <col min="3337" max="3337" width="9.7109375" style="2117" customWidth="1"/>
    <col min="3338" max="3338" width="12.85546875" style="2117" customWidth="1"/>
    <col min="3339" max="3339" width="9.140625" style="2117"/>
    <col min="3340" max="3340" width="8.7109375" style="2117" customWidth="1"/>
    <col min="3341" max="3584" width="9.140625" style="2117"/>
    <col min="3585" max="3585" width="16.5703125" style="2117" customWidth="1"/>
    <col min="3586" max="3586" width="10.42578125" style="2117" customWidth="1"/>
    <col min="3587" max="3587" width="11.85546875" style="2117" customWidth="1"/>
    <col min="3588" max="3588" width="10.42578125" style="2117" customWidth="1"/>
    <col min="3589" max="3589" width="10.28515625" style="2117" customWidth="1"/>
    <col min="3590" max="3590" width="8.28515625" style="2117" customWidth="1"/>
    <col min="3591" max="3591" width="11" style="2117" customWidth="1"/>
    <col min="3592" max="3592" width="8.7109375" style="2117" customWidth="1"/>
    <col min="3593" max="3593" width="9.7109375" style="2117" customWidth="1"/>
    <col min="3594" max="3594" width="12.85546875" style="2117" customWidth="1"/>
    <col min="3595" max="3595" width="9.140625" style="2117"/>
    <col min="3596" max="3596" width="8.7109375" style="2117" customWidth="1"/>
    <col min="3597" max="3840" width="9.140625" style="2117"/>
    <col min="3841" max="3841" width="16.5703125" style="2117" customWidth="1"/>
    <col min="3842" max="3842" width="10.42578125" style="2117" customWidth="1"/>
    <col min="3843" max="3843" width="11.85546875" style="2117" customWidth="1"/>
    <col min="3844" max="3844" width="10.42578125" style="2117" customWidth="1"/>
    <col min="3845" max="3845" width="10.28515625" style="2117" customWidth="1"/>
    <col min="3846" max="3846" width="8.28515625" style="2117" customWidth="1"/>
    <col min="3847" max="3847" width="11" style="2117" customWidth="1"/>
    <col min="3848" max="3848" width="8.7109375" style="2117" customWidth="1"/>
    <col min="3849" max="3849" width="9.7109375" style="2117" customWidth="1"/>
    <col min="3850" max="3850" width="12.85546875" style="2117" customWidth="1"/>
    <col min="3851" max="3851" width="9.140625" style="2117"/>
    <col min="3852" max="3852" width="8.7109375" style="2117" customWidth="1"/>
    <col min="3853" max="4096" width="9.140625" style="2117"/>
    <col min="4097" max="4097" width="16.5703125" style="2117" customWidth="1"/>
    <col min="4098" max="4098" width="10.42578125" style="2117" customWidth="1"/>
    <col min="4099" max="4099" width="11.85546875" style="2117" customWidth="1"/>
    <col min="4100" max="4100" width="10.42578125" style="2117" customWidth="1"/>
    <col min="4101" max="4101" width="10.28515625" style="2117" customWidth="1"/>
    <col min="4102" max="4102" width="8.28515625" style="2117" customWidth="1"/>
    <col min="4103" max="4103" width="11" style="2117" customWidth="1"/>
    <col min="4104" max="4104" width="8.7109375" style="2117" customWidth="1"/>
    <col min="4105" max="4105" width="9.7109375" style="2117" customWidth="1"/>
    <col min="4106" max="4106" width="12.85546875" style="2117" customWidth="1"/>
    <col min="4107" max="4107" width="9.140625" style="2117"/>
    <col min="4108" max="4108" width="8.7109375" style="2117" customWidth="1"/>
    <col min="4109" max="4352" width="9.140625" style="2117"/>
    <col min="4353" max="4353" width="16.5703125" style="2117" customWidth="1"/>
    <col min="4354" max="4354" width="10.42578125" style="2117" customWidth="1"/>
    <col min="4355" max="4355" width="11.85546875" style="2117" customWidth="1"/>
    <col min="4356" max="4356" width="10.42578125" style="2117" customWidth="1"/>
    <col min="4357" max="4357" width="10.28515625" style="2117" customWidth="1"/>
    <col min="4358" max="4358" width="8.28515625" style="2117" customWidth="1"/>
    <col min="4359" max="4359" width="11" style="2117" customWidth="1"/>
    <col min="4360" max="4360" width="8.7109375" style="2117" customWidth="1"/>
    <col min="4361" max="4361" width="9.7109375" style="2117" customWidth="1"/>
    <col min="4362" max="4362" width="12.85546875" style="2117" customWidth="1"/>
    <col min="4363" max="4363" width="9.140625" style="2117"/>
    <col min="4364" max="4364" width="8.7109375" style="2117" customWidth="1"/>
    <col min="4365" max="4608" width="9.140625" style="2117"/>
    <col min="4609" max="4609" width="16.5703125" style="2117" customWidth="1"/>
    <col min="4610" max="4610" width="10.42578125" style="2117" customWidth="1"/>
    <col min="4611" max="4611" width="11.85546875" style="2117" customWidth="1"/>
    <col min="4612" max="4612" width="10.42578125" style="2117" customWidth="1"/>
    <col min="4613" max="4613" width="10.28515625" style="2117" customWidth="1"/>
    <col min="4614" max="4614" width="8.28515625" style="2117" customWidth="1"/>
    <col min="4615" max="4615" width="11" style="2117" customWidth="1"/>
    <col min="4616" max="4616" width="8.7109375" style="2117" customWidth="1"/>
    <col min="4617" max="4617" width="9.7109375" style="2117" customWidth="1"/>
    <col min="4618" max="4618" width="12.85546875" style="2117" customWidth="1"/>
    <col min="4619" max="4619" width="9.140625" style="2117"/>
    <col min="4620" max="4620" width="8.7109375" style="2117" customWidth="1"/>
    <col min="4621" max="4864" width="9.140625" style="2117"/>
    <col min="4865" max="4865" width="16.5703125" style="2117" customWidth="1"/>
    <col min="4866" max="4866" width="10.42578125" style="2117" customWidth="1"/>
    <col min="4867" max="4867" width="11.85546875" style="2117" customWidth="1"/>
    <col min="4868" max="4868" width="10.42578125" style="2117" customWidth="1"/>
    <col min="4869" max="4869" width="10.28515625" style="2117" customWidth="1"/>
    <col min="4870" max="4870" width="8.28515625" style="2117" customWidth="1"/>
    <col min="4871" max="4871" width="11" style="2117" customWidth="1"/>
    <col min="4872" max="4872" width="8.7109375" style="2117" customWidth="1"/>
    <col min="4873" max="4873" width="9.7109375" style="2117" customWidth="1"/>
    <col min="4874" max="4874" width="12.85546875" style="2117" customWidth="1"/>
    <col min="4875" max="4875" width="9.140625" style="2117"/>
    <col min="4876" max="4876" width="8.7109375" style="2117" customWidth="1"/>
    <col min="4877" max="5120" width="9.140625" style="2117"/>
    <col min="5121" max="5121" width="16.5703125" style="2117" customWidth="1"/>
    <col min="5122" max="5122" width="10.42578125" style="2117" customWidth="1"/>
    <col min="5123" max="5123" width="11.85546875" style="2117" customWidth="1"/>
    <col min="5124" max="5124" width="10.42578125" style="2117" customWidth="1"/>
    <col min="5125" max="5125" width="10.28515625" style="2117" customWidth="1"/>
    <col min="5126" max="5126" width="8.28515625" style="2117" customWidth="1"/>
    <col min="5127" max="5127" width="11" style="2117" customWidth="1"/>
    <col min="5128" max="5128" width="8.7109375" style="2117" customWidth="1"/>
    <col min="5129" max="5129" width="9.7109375" style="2117" customWidth="1"/>
    <col min="5130" max="5130" width="12.85546875" style="2117" customWidth="1"/>
    <col min="5131" max="5131" width="9.140625" style="2117"/>
    <col min="5132" max="5132" width="8.7109375" style="2117" customWidth="1"/>
    <col min="5133" max="5376" width="9.140625" style="2117"/>
    <col min="5377" max="5377" width="16.5703125" style="2117" customWidth="1"/>
    <col min="5378" max="5378" width="10.42578125" style="2117" customWidth="1"/>
    <col min="5379" max="5379" width="11.85546875" style="2117" customWidth="1"/>
    <col min="5380" max="5380" width="10.42578125" style="2117" customWidth="1"/>
    <col min="5381" max="5381" width="10.28515625" style="2117" customWidth="1"/>
    <col min="5382" max="5382" width="8.28515625" style="2117" customWidth="1"/>
    <col min="5383" max="5383" width="11" style="2117" customWidth="1"/>
    <col min="5384" max="5384" width="8.7109375" style="2117" customWidth="1"/>
    <col min="5385" max="5385" width="9.7109375" style="2117" customWidth="1"/>
    <col min="5386" max="5386" width="12.85546875" style="2117" customWidth="1"/>
    <col min="5387" max="5387" width="9.140625" style="2117"/>
    <col min="5388" max="5388" width="8.7109375" style="2117" customWidth="1"/>
    <col min="5389" max="5632" width="9.140625" style="2117"/>
    <col min="5633" max="5633" width="16.5703125" style="2117" customWidth="1"/>
    <col min="5634" max="5634" width="10.42578125" style="2117" customWidth="1"/>
    <col min="5635" max="5635" width="11.85546875" style="2117" customWidth="1"/>
    <col min="5636" max="5636" width="10.42578125" style="2117" customWidth="1"/>
    <col min="5637" max="5637" width="10.28515625" style="2117" customWidth="1"/>
    <col min="5638" max="5638" width="8.28515625" style="2117" customWidth="1"/>
    <col min="5639" max="5639" width="11" style="2117" customWidth="1"/>
    <col min="5640" max="5640" width="8.7109375" style="2117" customWidth="1"/>
    <col min="5641" max="5641" width="9.7109375" style="2117" customWidth="1"/>
    <col min="5642" max="5642" width="12.85546875" style="2117" customWidth="1"/>
    <col min="5643" max="5643" width="9.140625" style="2117"/>
    <col min="5644" max="5644" width="8.7109375" style="2117" customWidth="1"/>
    <col min="5645" max="5888" width="9.140625" style="2117"/>
    <col min="5889" max="5889" width="16.5703125" style="2117" customWidth="1"/>
    <col min="5890" max="5890" width="10.42578125" style="2117" customWidth="1"/>
    <col min="5891" max="5891" width="11.85546875" style="2117" customWidth="1"/>
    <col min="5892" max="5892" width="10.42578125" style="2117" customWidth="1"/>
    <col min="5893" max="5893" width="10.28515625" style="2117" customWidth="1"/>
    <col min="5894" max="5894" width="8.28515625" style="2117" customWidth="1"/>
    <col min="5895" max="5895" width="11" style="2117" customWidth="1"/>
    <col min="5896" max="5896" width="8.7109375" style="2117" customWidth="1"/>
    <col min="5897" max="5897" width="9.7109375" style="2117" customWidth="1"/>
    <col min="5898" max="5898" width="12.85546875" style="2117" customWidth="1"/>
    <col min="5899" max="5899" width="9.140625" style="2117"/>
    <col min="5900" max="5900" width="8.7109375" style="2117" customWidth="1"/>
    <col min="5901" max="6144" width="9.140625" style="2117"/>
    <col min="6145" max="6145" width="16.5703125" style="2117" customWidth="1"/>
    <col min="6146" max="6146" width="10.42578125" style="2117" customWidth="1"/>
    <col min="6147" max="6147" width="11.85546875" style="2117" customWidth="1"/>
    <col min="6148" max="6148" width="10.42578125" style="2117" customWidth="1"/>
    <col min="6149" max="6149" width="10.28515625" style="2117" customWidth="1"/>
    <col min="6150" max="6150" width="8.28515625" style="2117" customWidth="1"/>
    <col min="6151" max="6151" width="11" style="2117" customWidth="1"/>
    <col min="6152" max="6152" width="8.7109375" style="2117" customWidth="1"/>
    <col min="6153" max="6153" width="9.7109375" style="2117" customWidth="1"/>
    <col min="6154" max="6154" width="12.85546875" style="2117" customWidth="1"/>
    <col min="6155" max="6155" width="9.140625" style="2117"/>
    <col min="6156" max="6156" width="8.7109375" style="2117" customWidth="1"/>
    <col min="6157" max="6400" width="9.140625" style="2117"/>
    <col min="6401" max="6401" width="16.5703125" style="2117" customWidth="1"/>
    <col min="6402" max="6402" width="10.42578125" style="2117" customWidth="1"/>
    <col min="6403" max="6403" width="11.85546875" style="2117" customWidth="1"/>
    <col min="6404" max="6404" width="10.42578125" style="2117" customWidth="1"/>
    <col min="6405" max="6405" width="10.28515625" style="2117" customWidth="1"/>
    <col min="6406" max="6406" width="8.28515625" style="2117" customWidth="1"/>
    <col min="6407" max="6407" width="11" style="2117" customWidth="1"/>
    <col min="6408" max="6408" width="8.7109375" style="2117" customWidth="1"/>
    <col min="6409" max="6409" width="9.7109375" style="2117" customWidth="1"/>
    <col min="6410" max="6410" width="12.85546875" style="2117" customWidth="1"/>
    <col min="6411" max="6411" width="9.140625" style="2117"/>
    <col min="6412" max="6412" width="8.7109375" style="2117" customWidth="1"/>
    <col min="6413" max="6656" width="9.140625" style="2117"/>
    <col min="6657" max="6657" width="16.5703125" style="2117" customWidth="1"/>
    <col min="6658" max="6658" width="10.42578125" style="2117" customWidth="1"/>
    <col min="6659" max="6659" width="11.85546875" style="2117" customWidth="1"/>
    <col min="6660" max="6660" width="10.42578125" style="2117" customWidth="1"/>
    <col min="6661" max="6661" width="10.28515625" style="2117" customWidth="1"/>
    <col min="6662" max="6662" width="8.28515625" style="2117" customWidth="1"/>
    <col min="6663" max="6663" width="11" style="2117" customWidth="1"/>
    <col min="6664" max="6664" width="8.7109375" style="2117" customWidth="1"/>
    <col min="6665" max="6665" width="9.7109375" style="2117" customWidth="1"/>
    <col min="6666" max="6666" width="12.85546875" style="2117" customWidth="1"/>
    <col min="6667" max="6667" width="9.140625" style="2117"/>
    <col min="6668" max="6668" width="8.7109375" style="2117" customWidth="1"/>
    <col min="6669" max="6912" width="9.140625" style="2117"/>
    <col min="6913" max="6913" width="16.5703125" style="2117" customWidth="1"/>
    <col min="6914" max="6914" width="10.42578125" style="2117" customWidth="1"/>
    <col min="6915" max="6915" width="11.85546875" style="2117" customWidth="1"/>
    <col min="6916" max="6916" width="10.42578125" style="2117" customWidth="1"/>
    <col min="6917" max="6917" width="10.28515625" style="2117" customWidth="1"/>
    <col min="6918" max="6918" width="8.28515625" style="2117" customWidth="1"/>
    <col min="6919" max="6919" width="11" style="2117" customWidth="1"/>
    <col min="6920" max="6920" width="8.7109375" style="2117" customWidth="1"/>
    <col min="6921" max="6921" width="9.7109375" style="2117" customWidth="1"/>
    <col min="6922" max="6922" width="12.85546875" style="2117" customWidth="1"/>
    <col min="6923" max="6923" width="9.140625" style="2117"/>
    <col min="6924" max="6924" width="8.7109375" style="2117" customWidth="1"/>
    <col min="6925" max="7168" width="9.140625" style="2117"/>
    <col min="7169" max="7169" width="16.5703125" style="2117" customWidth="1"/>
    <col min="7170" max="7170" width="10.42578125" style="2117" customWidth="1"/>
    <col min="7171" max="7171" width="11.85546875" style="2117" customWidth="1"/>
    <col min="7172" max="7172" width="10.42578125" style="2117" customWidth="1"/>
    <col min="7173" max="7173" width="10.28515625" style="2117" customWidth="1"/>
    <col min="7174" max="7174" width="8.28515625" style="2117" customWidth="1"/>
    <col min="7175" max="7175" width="11" style="2117" customWidth="1"/>
    <col min="7176" max="7176" width="8.7109375" style="2117" customWidth="1"/>
    <col min="7177" max="7177" width="9.7109375" style="2117" customWidth="1"/>
    <col min="7178" max="7178" width="12.85546875" style="2117" customWidth="1"/>
    <col min="7179" max="7179" width="9.140625" style="2117"/>
    <col min="7180" max="7180" width="8.7109375" style="2117" customWidth="1"/>
    <col min="7181" max="7424" width="9.140625" style="2117"/>
    <col min="7425" max="7425" width="16.5703125" style="2117" customWidth="1"/>
    <col min="7426" max="7426" width="10.42578125" style="2117" customWidth="1"/>
    <col min="7427" max="7427" width="11.85546875" style="2117" customWidth="1"/>
    <col min="7428" max="7428" width="10.42578125" style="2117" customWidth="1"/>
    <col min="7429" max="7429" width="10.28515625" style="2117" customWidth="1"/>
    <col min="7430" max="7430" width="8.28515625" style="2117" customWidth="1"/>
    <col min="7431" max="7431" width="11" style="2117" customWidth="1"/>
    <col min="7432" max="7432" width="8.7109375" style="2117" customWidth="1"/>
    <col min="7433" max="7433" width="9.7109375" style="2117" customWidth="1"/>
    <col min="7434" max="7434" width="12.85546875" style="2117" customWidth="1"/>
    <col min="7435" max="7435" width="9.140625" style="2117"/>
    <col min="7436" max="7436" width="8.7109375" style="2117" customWidth="1"/>
    <col min="7437" max="7680" width="9.140625" style="2117"/>
    <col min="7681" max="7681" width="16.5703125" style="2117" customWidth="1"/>
    <col min="7682" max="7682" width="10.42578125" style="2117" customWidth="1"/>
    <col min="7683" max="7683" width="11.85546875" style="2117" customWidth="1"/>
    <col min="7684" max="7684" width="10.42578125" style="2117" customWidth="1"/>
    <col min="7685" max="7685" width="10.28515625" style="2117" customWidth="1"/>
    <col min="7686" max="7686" width="8.28515625" style="2117" customWidth="1"/>
    <col min="7687" max="7687" width="11" style="2117" customWidth="1"/>
    <col min="7688" max="7688" width="8.7109375" style="2117" customWidth="1"/>
    <col min="7689" max="7689" width="9.7109375" style="2117" customWidth="1"/>
    <col min="7690" max="7690" width="12.85546875" style="2117" customWidth="1"/>
    <col min="7691" max="7691" width="9.140625" style="2117"/>
    <col min="7692" max="7692" width="8.7109375" style="2117" customWidth="1"/>
    <col min="7693" max="7936" width="9.140625" style="2117"/>
    <col min="7937" max="7937" width="16.5703125" style="2117" customWidth="1"/>
    <col min="7938" max="7938" width="10.42578125" style="2117" customWidth="1"/>
    <col min="7939" max="7939" width="11.85546875" style="2117" customWidth="1"/>
    <col min="7940" max="7940" width="10.42578125" style="2117" customWidth="1"/>
    <col min="7941" max="7941" width="10.28515625" style="2117" customWidth="1"/>
    <col min="7942" max="7942" width="8.28515625" style="2117" customWidth="1"/>
    <col min="7943" max="7943" width="11" style="2117" customWidth="1"/>
    <col min="7944" max="7944" width="8.7109375" style="2117" customWidth="1"/>
    <col min="7945" max="7945" width="9.7109375" style="2117" customWidth="1"/>
    <col min="7946" max="7946" width="12.85546875" style="2117" customWidth="1"/>
    <col min="7947" max="7947" width="9.140625" style="2117"/>
    <col min="7948" max="7948" width="8.7109375" style="2117" customWidth="1"/>
    <col min="7949" max="8192" width="9.140625" style="2117"/>
    <col min="8193" max="8193" width="16.5703125" style="2117" customWidth="1"/>
    <col min="8194" max="8194" width="10.42578125" style="2117" customWidth="1"/>
    <col min="8195" max="8195" width="11.85546875" style="2117" customWidth="1"/>
    <col min="8196" max="8196" width="10.42578125" style="2117" customWidth="1"/>
    <col min="8197" max="8197" width="10.28515625" style="2117" customWidth="1"/>
    <col min="8198" max="8198" width="8.28515625" style="2117" customWidth="1"/>
    <col min="8199" max="8199" width="11" style="2117" customWidth="1"/>
    <col min="8200" max="8200" width="8.7109375" style="2117" customWidth="1"/>
    <col min="8201" max="8201" width="9.7109375" style="2117" customWidth="1"/>
    <col min="8202" max="8202" width="12.85546875" style="2117" customWidth="1"/>
    <col min="8203" max="8203" width="9.140625" style="2117"/>
    <col min="8204" max="8204" width="8.7109375" style="2117" customWidth="1"/>
    <col min="8205" max="8448" width="9.140625" style="2117"/>
    <col min="8449" max="8449" width="16.5703125" style="2117" customWidth="1"/>
    <col min="8450" max="8450" width="10.42578125" style="2117" customWidth="1"/>
    <col min="8451" max="8451" width="11.85546875" style="2117" customWidth="1"/>
    <col min="8452" max="8452" width="10.42578125" style="2117" customWidth="1"/>
    <col min="8453" max="8453" width="10.28515625" style="2117" customWidth="1"/>
    <col min="8454" max="8454" width="8.28515625" style="2117" customWidth="1"/>
    <col min="8455" max="8455" width="11" style="2117" customWidth="1"/>
    <col min="8456" max="8456" width="8.7109375" style="2117" customWidth="1"/>
    <col min="8457" max="8457" width="9.7109375" style="2117" customWidth="1"/>
    <col min="8458" max="8458" width="12.85546875" style="2117" customWidth="1"/>
    <col min="8459" max="8459" width="9.140625" style="2117"/>
    <col min="8460" max="8460" width="8.7109375" style="2117" customWidth="1"/>
    <col min="8461" max="8704" width="9.140625" style="2117"/>
    <col min="8705" max="8705" width="16.5703125" style="2117" customWidth="1"/>
    <col min="8706" max="8706" width="10.42578125" style="2117" customWidth="1"/>
    <col min="8707" max="8707" width="11.85546875" style="2117" customWidth="1"/>
    <col min="8708" max="8708" width="10.42578125" style="2117" customWidth="1"/>
    <col min="8709" max="8709" width="10.28515625" style="2117" customWidth="1"/>
    <col min="8710" max="8710" width="8.28515625" style="2117" customWidth="1"/>
    <col min="8711" max="8711" width="11" style="2117" customWidth="1"/>
    <col min="8712" max="8712" width="8.7109375" style="2117" customWidth="1"/>
    <col min="8713" max="8713" width="9.7109375" style="2117" customWidth="1"/>
    <col min="8714" max="8714" width="12.85546875" style="2117" customWidth="1"/>
    <col min="8715" max="8715" width="9.140625" style="2117"/>
    <col min="8716" max="8716" width="8.7109375" style="2117" customWidth="1"/>
    <col min="8717" max="8960" width="9.140625" style="2117"/>
    <col min="8961" max="8961" width="16.5703125" style="2117" customWidth="1"/>
    <col min="8962" max="8962" width="10.42578125" style="2117" customWidth="1"/>
    <col min="8963" max="8963" width="11.85546875" style="2117" customWidth="1"/>
    <col min="8964" max="8964" width="10.42578125" style="2117" customWidth="1"/>
    <col min="8965" max="8965" width="10.28515625" style="2117" customWidth="1"/>
    <col min="8966" max="8966" width="8.28515625" style="2117" customWidth="1"/>
    <col min="8967" max="8967" width="11" style="2117" customWidth="1"/>
    <col min="8968" max="8968" width="8.7109375" style="2117" customWidth="1"/>
    <col min="8969" max="8969" width="9.7109375" style="2117" customWidth="1"/>
    <col min="8970" max="8970" width="12.85546875" style="2117" customWidth="1"/>
    <col min="8971" max="8971" width="9.140625" style="2117"/>
    <col min="8972" max="8972" width="8.7109375" style="2117" customWidth="1"/>
    <col min="8973" max="9216" width="9.140625" style="2117"/>
    <col min="9217" max="9217" width="16.5703125" style="2117" customWidth="1"/>
    <col min="9218" max="9218" width="10.42578125" style="2117" customWidth="1"/>
    <col min="9219" max="9219" width="11.85546875" style="2117" customWidth="1"/>
    <col min="9220" max="9220" width="10.42578125" style="2117" customWidth="1"/>
    <col min="9221" max="9221" width="10.28515625" style="2117" customWidth="1"/>
    <col min="9222" max="9222" width="8.28515625" style="2117" customWidth="1"/>
    <col min="9223" max="9223" width="11" style="2117" customWidth="1"/>
    <col min="9224" max="9224" width="8.7109375" style="2117" customWidth="1"/>
    <col min="9225" max="9225" width="9.7109375" style="2117" customWidth="1"/>
    <col min="9226" max="9226" width="12.85546875" style="2117" customWidth="1"/>
    <col min="9227" max="9227" width="9.140625" style="2117"/>
    <col min="9228" max="9228" width="8.7109375" style="2117" customWidth="1"/>
    <col min="9229" max="9472" width="9.140625" style="2117"/>
    <col min="9473" max="9473" width="16.5703125" style="2117" customWidth="1"/>
    <col min="9474" max="9474" width="10.42578125" style="2117" customWidth="1"/>
    <col min="9475" max="9475" width="11.85546875" style="2117" customWidth="1"/>
    <col min="9476" max="9476" width="10.42578125" style="2117" customWidth="1"/>
    <col min="9477" max="9477" width="10.28515625" style="2117" customWidth="1"/>
    <col min="9478" max="9478" width="8.28515625" style="2117" customWidth="1"/>
    <col min="9479" max="9479" width="11" style="2117" customWidth="1"/>
    <col min="9480" max="9480" width="8.7109375" style="2117" customWidth="1"/>
    <col min="9481" max="9481" width="9.7109375" style="2117" customWidth="1"/>
    <col min="9482" max="9482" width="12.85546875" style="2117" customWidth="1"/>
    <col min="9483" max="9483" width="9.140625" style="2117"/>
    <col min="9484" max="9484" width="8.7109375" style="2117" customWidth="1"/>
    <col min="9485" max="9728" width="9.140625" style="2117"/>
    <col min="9729" max="9729" width="16.5703125" style="2117" customWidth="1"/>
    <col min="9730" max="9730" width="10.42578125" style="2117" customWidth="1"/>
    <col min="9731" max="9731" width="11.85546875" style="2117" customWidth="1"/>
    <col min="9732" max="9732" width="10.42578125" style="2117" customWidth="1"/>
    <col min="9733" max="9733" width="10.28515625" style="2117" customWidth="1"/>
    <col min="9734" max="9734" width="8.28515625" style="2117" customWidth="1"/>
    <col min="9735" max="9735" width="11" style="2117" customWidth="1"/>
    <col min="9736" max="9736" width="8.7109375" style="2117" customWidth="1"/>
    <col min="9737" max="9737" width="9.7109375" style="2117" customWidth="1"/>
    <col min="9738" max="9738" width="12.85546875" style="2117" customWidth="1"/>
    <col min="9739" max="9739" width="9.140625" style="2117"/>
    <col min="9740" max="9740" width="8.7109375" style="2117" customWidth="1"/>
    <col min="9741" max="9984" width="9.140625" style="2117"/>
    <col min="9985" max="9985" width="16.5703125" style="2117" customWidth="1"/>
    <col min="9986" max="9986" width="10.42578125" style="2117" customWidth="1"/>
    <col min="9987" max="9987" width="11.85546875" style="2117" customWidth="1"/>
    <col min="9988" max="9988" width="10.42578125" style="2117" customWidth="1"/>
    <col min="9989" max="9989" width="10.28515625" style="2117" customWidth="1"/>
    <col min="9990" max="9990" width="8.28515625" style="2117" customWidth="1"/>
    <col min="9991" max="9991" width="11" style="2117" customWidth="1"/>
    <col min="9992" max="9992" width="8.7109375" style="2117" customWidth="1"/>
    <col min="9993" max="9993" width="9.7109375" style="2117" customWidth="1"/>
    <col min="9994" max="9994" width="12.85546875" style="2117" customWidth="1"/>
    <col min="9995" max="9995" width="9.140625" style="2117"/>
    <col min="9996" max="9996" width="8.7109375" style="2117" customWidth="1"/>
    <col min="9997" max="10240" width="9.140625" style="2117"/>
    <col min="10241" max="10241" width="16.5703125" style="2117" customWidth="1"/>
    <col min="10242" max="10242" width="10.42578125" style="2117" customWidth="1"/>
    <col min="10243" max="10243" width="11.85546875" style="2117" customWidth="1"/>
    <col min="10244" max="10244" width="10.42578125" style="2117" customWidth="1"/>
    <col min="10245" max="10245" width="10.28515625" style="2117" customWidth="1"/>
    <col min="10246" max="10246" width="8.28515625" style="2117" customWidth="1"/>
    <col min="10247" max="10247" width="11" style="2117" customWidth="1"/>
    <col min="10248" max="10248" width="8.7109375" style="2117" customWidth="1"/>
    <col min="10249" max="10249" width="9.7109375" style="2117" customWidth="1"/>
    <col min="10250" max="10250" width="12.85546875" style="2117" customWidth="1"/>
    <col min="10251" max="10251" width="9.140625" style="2117"/>
    <col min="10252" max="10252" width="8.7109375" style="2117" customWidth="1"/>
    <col min="10253" max="10496" width="9.140625" style="2117"/>
    <col min="10497" max="10497" width="16.5703125" style="2117" customWidth="1"/>
    <col min="10498" max="10498" width="10.42578125" style="2117" customWidth="1"/>
    <col min="10499" max="10499" width="11.85546875" style="2117" customWidth="1"/>
    <col min="10500" max="10500" width="10.42578125" style="2117" customWidth="1"/>
    <col min="10501" max="10501" width="10.28515625" style="2117" customWidth="1"/>
    <col min="10502" max="10502" width="8.28515625" style="2117" customWidth="1"/>
    <col min="10503" max="10503" width="11" style="2117" customWidth="1"/>
    <col min="10504" max="10504" width="8.7109375" style="2117" customWidth="1"/>
    <col min="10505" max="10505" width="9.7109375" style="2117" customWidth="1"/>
    <col min="10506" max="10506" width="12.85546875" style="2117" customWidth="1"/>
    <col min="10507" max="10507" width="9.140625" style="2117"/>
    <col min="10508" max="10508" width="8.7109375" style="2117" customWidth="1"/>
    <col min="10509" max="10752" width="9.140625" style="2117"/>
    <col min="10753" max="10753" width="16.5703125" style="2117" customWidth="1"/>
    <col min="10754" max="10754" width="10.42578125" style="2117" customWidth="1"/>
    <col min="10755" max="10755" width="11.85546875" style="2117" customWidth="1"/>
    <col min="10756" max="10756" width="10.42578125" style="2117" customWidth="1"/>
    <col min="10757" max="10757" width="10.28515625" style="2117" customWidth="1"/>
    <col min="10758" max="10758" width="8.28515625" style="2117" customWidth="1"/>
    <col min="10759" max="10759" width="11" style="2117" customWidth="1"/>
    <col min="10760" max="10760" width="8.7109375" style="2117" customWidth="1"/>
    <col min="10761" max="10761" width="9.7109375" style="2117" customWidth="1"/>
    <col min="10762" max="10762" width="12.85546875" style="2117" customWidth="1"/>
    <col min="10763" max="10763" width="9.140625" style="2117"/>
    <col min="10764" max="10764" width="8.7109375" style="2117" customWidth="1"/>
    <col min="10765" max="11008" width="9.140625" style="2117"/>
    <col min="11009" max="11009" width="16.5703125" style="2117" customWidth="1"/>
    <col min="11010" max="11010" width="10.42578125" style="2117" customWidth="1"/>
    <col min="11011" max="11011" width="11.85546875" style="2117" customWidth="1"/>
    <col min="11012" max="11012" width="10.42578125" style="2117" customWidth="1"/>
    <col min="11013" max="11013" width="10.28515625" style="2117" customWidth="1"/>
    <col min="11014" max="11014" width="8.28515625" style="2117" customWidth="1"/>
    <col min="11015" max="11015" width="11" style="2117" customWidth="1"/>
    <col min="11016" max="11016" width="8.7109375" style="2117" customWidth="1"/>
    <col min="11017" max="11017" width="9.7109375" style="2117" customWidth="1"/>
    <col min="11018" max="11018" width="12.85546875" style="2117" customWidth="1"/>
    <col min="11019" max="11019" width="9.140625" style="2117"/>
    <col min="11020" max="11020" width="8.7109375" style="2117" customWidth="1"/>
    <col min="11021" max="11264" width="9.140625" style="2117"/>
    <col min="11265" max="11265" width="16.5703125" style="2117" customWidth="1"/>
    <col min="11266" max="11266" width="10.42578125" style="2117" customWidth="1"/>
    <col min="11267" max="11267" width="11.85546875" style="2117" customWidth="1"/>
    <col min="11268" max="11268" width="10.42578125" style="2117" customWidth="1"/>
    <col min="11269" max="11269" width="10.28515625" style="2117" customWidth="1"/>
    <col min="11270" max="11270" width="8.28515625" style="2117" customWidth="1"/>
    <col min="11271" max="11271" width="11" style="2117" customWidth="1"/>
    <col min="11272" max="11272" width="8.7109375" style="2117" customWidth="1"/>
    <col min="11273" max="11273" width="9.7109375" style="2117" customWidth="1"/>
    <col min="11274" max="11274" width="12.85546875" style="2117" customWidth="1"/>
    <col min="11275" max="11275" width="9.140625" style="2117"/>
    <col min="11276" max="11276" width="8.7109375" style="2117" customWidth="1"/>
    <col min="11277" max="11520" width="9.140625" style="2117"/>
    <col min="11521" max="11521" width="16.5703125" style="2117" customWidth="1"/>
    <col min="11522" max="11522" width="10.42578125" style="2117" customWidth="1"/>
    <col min="11523" max="11523" width="11.85546875" style="2117" customWidth="1"/>
    <col min="11524" max="11524" width="10.42578125" style="2117" customWidth="1"/>
    <col min="11525" max="11525" width="10.28515625" style="2117" customWidth="1"/>
    <col min="11526" max="11526" width="8.28515625" style="2117" customWidth="1"/>
    <col min="11527" max="11527" width="11" style="2117" customWidth="1"/>
    <col min="11528" max="11528" width="8.7109375" style="2117" customWidth="1"/>
    <col min="11529" max="11529" width="9.7109375" style="2117" customWidth="1"/>
    <col min="11530" max="11530" width="12.85546875" style="2117" customWidth="1"/>
    <col min="11531" max="11531" width="9.140625" style="2117"/>
    <col min="11532" max="11532" width="8.7109375" style="2117" customWidth="1"/>
    <col min="11533" max="11776" width="9.140625" style="2117"/>
    <col min="11777" max="11777" width="16.5703125" style="2117" customWidth="1"/>
    <col min="11778" max="11778" width="10.42578125" style="2117" customWidth="1"/>
    <col min="11779" max="11779" width="11.85546875" style="2117" customWidth="1"/>
    <col min="11780" max="11780" width="10.42578125" style="2117" customWidth="1"/>
    <col min="11781" max="11781" width="10.28515625" style="2117" customWidth="1"/>
    <col min="11782" max="11782" width="8.28515625" style="2117" customWidth="1"/>
    <col min="11783" max="11783" width="11" style="2117" customWidth="1"/>
    <col min="11784" max="11784" width="8.7109375" style="2117" customWidth="1"/>
    <col min="11785" max="11785" width="9.7109375" style="2117" customWidth="1"/>
    <col min="11786" max="11786" width="12.85546875" style="2117" customWidth="1"/>
    <col min="11787" max="11787" width="9.140625" style="2117"/>
    <col min="11788" max="11788" width="8.7109375" style="2117" customWidth="1"/>
    <col min="11789" max="12032" width="9.140625" style="2117"/>
    <col min="12033" max="12033" width="16.5703125" style="2117" customWidth="1"/>
    <col min="12034" max="12034" width="10.42578125" style="2117" customWidth="1"/>
    <col min="12035" max="12035" width="11.85546875" style="2117" customWidth="1"/>
    <col min="12036" max="12036" width="10.42578125" style="2117" customWidth="1"/>
    <col min="12037" max="12037" width="10.28515625" style="2117" customWidth="1"/>
    <col min="12038" max="12038" width="8.28515625" style="2117" customWidth="1"/>
    <col min="12039" max="12039" width="11" style="2117" customWidth="1"/>
    <col min="12040" max="12040" width="8.7109375" style="2117" customWidth="1"/>
    <col min="12041" max="12041" width="9.7109375" style="2117" customWidth="1"/>
    <col min="12042" max="12042" width="12.85546875" style="2117" customWidth="1"/>
    <col min="12043" max="12043" width="9.140625" style="2117"/>
    <col min="12044" max="12044" width="8.7109375" style="2117" customWidth="1"/>
    <col min="12045" max="12288" width="9.140625" style="2117"/>
    <col min="12289" max="12289" width="16.5703125" style="2117" customWidth="1"/>
    <col min="12290" max="12290" width="10.42578125" style="2117" customWidth="1"/>
    <col min="12291" max="12291" width="11.85546875" style="2117" customWidth="1"/>
    <col min="12292" max="12292" width="10.42578125" style="2117" customWidth="1"/>
    <col min="12293" max="12293" width="10.28515625" style="2117" customWidth="1"/>
    <col min="12294" max="12294" width="8.28515625" style="2117" customWidth="1"/>
    <col min="12295" max="12295" width="11" style="2117" customWidth="1"/>
    <col min="12296" max="12296" width="8.7109375" style="2117" customWidth="1"/>
    <col min="12297" max="12297" width="9.7109375" style="2117" customWidth="1"/>
    <col min="12298" max="12298" width="12.85546875" style="2117" customWidth="1"/>
    <col min="12299" max="12299" width="9.140625" style="2117"/>
    <col min="12300" max="12300" width="8.7109375" style="2117" customWidth="1"/>
    <col min="12301" max="12544" width="9.140625" style="2117"/>
    <col min="12545" max="12545" width="16.5703125" style="2117" customWidth="1"/>
    <col min="12546" max="12546" width="10.42578125" style="2117" customWidth="1"/>
    <col min="12547" max="12547" width="11.85546875" style="2117" customWidth="1"/>
    <col min="12548" max="12548" width="10.42578125" style="2117" customWidth="1"/>
    <col min="12549" max="12549" width="10.28515625" style="2117" customWidth="1"/>
    <col min="12550" max="12550" width="8.28515625" style="2117" customWidth="1"/>
    <col min="12551" max="12551" width="11" style="2117" customWidth="1"/>
    <col min="12552" max="12552" width="8.7109375" style="2117" customWidth="1"/>
    <col min="12553" max="12553" width="9.7109375" style="2117" customWidth="1"/>
    <col min="12554" max="12554" width="12.85546875" style="2117" customWidth="1"/>
    <col min="12555" max="12555" width="9.140625" style="2117"/>
    <col min="12556" max="12556" width="8.7109375" style="2117" customWidth="1"/>
    <col min="12557" max="12800" width="9.140625" style="2117"/>
    <col min="12801" max="12801" width="16.5703125" style="2117" customWidth="1"/>
    <col min="12802" max="12802" width="10.42578125" style="2117" customWidth="1"/>
    <col min="12803" max="12803" width="11.85546875" style="2117" customWidth="1"/>
    <col min="12804" max="12804" width="10.42578125" style="2117" customWidth="1"/>
    <col min="12805" max="12805" width="10.28515625" style="2117" customWidth="1"/>
    <col min="12806" max="12806" width="8.28515625" style="2117" customWidth="1"/>
    <col min="12807" max="12807" width="11" style="2117" customWidth="1"/>
    <col min="12808" max="12808" width="8.7109375" style="2117" customWidth="1"/>
    <col min="12809" max="12809" width="9.7109375" style="2117" customWidth="1"/>
    <col min="12810" max="12810" width="12.85546875" style="2117" customWidth="1"/>
    <col min="12811" max="12811" width="9.140625" style="2117"/>
    <col min="12812" max="12812" width="8.7109375" style="2117" customWidth="1"/>
    <col min="12813" max="13056" width="9.140625" style="2117"/>
    <col min="13057" max="13057" width="16.5703125" style="2117" customWidth="1"/>
    <col min="13058" max="13058" width="10.42578125" style="2117" customWidth="1"/>
    <col min="13059" max="13059" width="11.85546875" style="2117" customWidth="1"/>
    <col min="13060" max="13060" width="10.42578125" style="2117" customWidth="1"/>
    <col min="13061" max="13061" width="10.28515625" style="2117" customWidth="1"/>
    <col min="13062" max="13062" width="8.28515625" style="2117" customWidth="1"/>
    <col min="13063" max="13063" width="11" style="2117" customWidth="1"/>
    <col min="13064" max="13064" width="8.7109375" style="2117" customWidth="1"/>
    <col min="13065" max="13065" width="9.7109375" style="2117" customWidth="1"/>
    <col min="13066" max="13066" width="12.85546875" style="2117" customWidth="1"/>
    <col min="13067" max="13067" width="9.140625" style="2117"/>
    <col min="13068" max="13068" width="8.7109375" style="2117" customWidth="1"/>
    <col min="13069" max="13312" width="9.140625" style="2117"/>
    <col min="13313" max="13313" width="16.5703125" style="2117" customWidth="1"/>
    <col min="13314" max="13314" width="10.42578125" style="2117" customWidth="1"/>
    <col min="13315" max="13315" width="11.85546875" style="2117" customWidth="1"/>
    <col min="13316" max="13316" width="10.42578125" style="2117" customWidth="1"/>
    <col min="13317" max="13317" width="10.28515625" style="2117" customWidth="1"/>
    <col min="13318" max="13318" width="8.28515625" style="2117" customWidth="1"/>
    <col min="13319" max="13319" width="11" style="2117" customWidth="1"/>
    <col min="13320" max="13320" width="8.7109375" style="2117" customWidth="1"/>
    <col min="13321" max="13321" width="9.7109375" style="2117" customWidth="1"/>
    <col min="13322" max="13322" width="12.85546875" style="2117" customWidth="1"/>
    <col min="13323" max="13323" width="9.140625" style="2117"/>
    <col min="13324" max="13324" width="8.7109375" style="2117" customWidth="1"/>
    <col min="13325" max="13568" width="9.140625" style="2117"/>
    <col min="13569" max="13569" width="16.5703125" style="2117" customWidth="1"/>
    <col min="13570" max="13570" width="10.42578125" style="2117" customWidth="1"/>
    <col min="13571" max="13571" width="11.85546875" style="2117" customWidth="1"/>
    <col min="13572" max="13572" width="10.42578125" style="2117" customWidth="1"/>
    <col min="13573" max="13573" width="10.28515625" style="2117" customWidth="1"/>
    <col min="13574" max="13574" width="8.28515625" style="2117" customWidth="1"/>
    <col min="13575" max="13575" width="11" style="2117" customWidth="1"/>
    <col min="13576" max="13576" width="8.7109375" style="2117" customWidth="1"/>
    <col min="13577" max="13577" width="9.7109375" style="2117" customWidth="1"/>
    <col min="13578" max="13578" width="12.85546875" style="2117" customWidth="1"/>
    <col min="13579" max="13579" width="9.140625" style="2117"/>
    <col min="13580" max="13580" width="8.7109375" style="2117" customWidth="1"/>
    <col min="13581" max="13824" width="9.140625" style="2117"/>
    <col min="13825" max="13825" width="16.5703125" style="2117" customWidth="1"/>
    <col min="13826" max="13826" width="10.42578125" style="2117" customWidth="1"/>
    <col min="13827" max="13827" width="11.85546875" style="2117" customWidth="1"/>
    <col min="13828" max="13828" width="10.42578125" style="2117" customWidth="1"/>
    <col min="13829" max="13829" width="10.28515625" style="2117" customWidth="1"/>
    <col min="13830" max="13830" width="8.28515625" style="2117" customWidth="1"/>
    <col min="13831" max="13831" width="11" style="2117" customWidth="1"/>
    <col min="13832" max="13832" width="8.7109375" style="2117" customWidth="1"/>
    <col min="13833" max="13833" width="9.7109375" style="2117" customWidth="1"/>
    <col min="13834" max="13834" width="12.85546875" style="2117" customWidth="1"/>
    <col min="13835" max="13835" width="9.140625" style="2117"/>
    <col min="13836" max="13836" width="8.7109375" style="2117" customWidth="1"/>
    <col min="13837" max="14080" width="9.140625" style="2117"/>
    <col min="14081" max="14081" width="16.5703125" style="2117" customWidth="1"/>
    <col min="14082" max="14082" width="10.42578125" style="2117" customWidth="1"/>
    <col min="14083" max="14083" width="11.85546875" style="2117" customWidth="1"/>
    <col min="14084" max="14084" width="10.42578125" style="2117" customWidth="1"/>
    <col min="14085" max="14085" width="10.28515625" style="2117" customWidth="1"/>
    <col min="14086" max="14086" width="8.28515625" style="2117" customWidth="1"/>
    <col min="14087" max="14087" width="11" style="2117" customWidth="1"/>
    <col min="14088" max="14088" width="8.7109375" style="2117" customWidth="1"/>
    <col min="14089" max="14089" width="9.7109375" style="2117" customWidth="1"/>
    <col min="14090" max="14090" width="12.85546875" style="2117" customWidth="1"/>
    <col min="14091" max="14091" width="9.140625" style="2117"/>
    <col min="14092" max="14092" width="8.7109375" style="2117" customWidth="1"/>
    <col min="14093" max="14336" width="9.140625" style="2117"/>
    <col min="14337" max="14337" width="16.5703125" style="2117" customWidth="1"/>
    <col min="14338" max="14338" width="10.42578125" style="2117" customWidth="1"/>
    <col min="14339" max="14339" width="11.85546875" style="2117" customWidth="1"/>
    <col min="14340" max="14340" width="10.42578125" style="2117" customWidth="1"/>
    <col min="14341" max="14341" width="10.28515625" style="2117" customWidth="1"/>
    <col min="14342" max="14342" width="8.28515625" style="2117" customWidth="1"/>
    <col min="14343" max="14343" width="11" style="2117" customWidth="1"/>
    <col min="14344" max="14344" width="8.7109375" style="2117" customWidth="1"/>
    <col min="14345" max="14345" width="9.7109375" style="2117" customWidth="1"/>
    <col min="14346" max="14346" width="12.85546875" style="2117" customWidth="1"/>
    <col min="14347" max="14347" width="9.140625" style="2117"/>
    <col min="14348" max="14348" width="8.7109375" style="2117" customWidth="1"/>
    <col min="14349" max="14592" width="9.140625" style="2117"/>
    <col min="14593" max="14593" width="16.5703125" style="2117" customWidth="1"/>
    <col min="14594" max="14594" width="10.42578125" style="2117" customWidth="1"/>
    <col min="14595" max="14595" width="11.85546875" style="2117" customWidth="1"/>
    <col min="14596" max="14596" width="10.42578125" style="2117" customWidth="1"/>
    <col min="14597" max="14597" width="10.28515625" style="2117" customWidth="1"/>
    <col min="14598" max="14598" width="8.28515625" style="2117" customWidth="1"/>
    <col min="14599" max="14599" width="11" style="2117" customWidth="1"/>
    <col min="14600" max="14600" width="8.7109375" style="2117" customWidth="1"/>
    <col min="14601" max="14601" width="9.7109375" style="2117" customWidth="1"/>
    <col min="14602" max="14602" width="12.85546875" style="2117" customWidth="1"/>
    <col min="14603" max="14603" width="9.140625" style="2117"/>
    <col min="14604" max="14604" width="8.7109375" style="2117" customWidth="1"/>
    <col min="14605" max="14848" width="9.140625" style="2117"/>
    <col min="14849" max="14849" width="16.5703125" style="2117" customWidth="1"/>
    <col min="14850" max="14850" width="10.42578125" style="2117" customWidth="1"/>
    <col min="14851" max="14851" width="11.85546875" style="2117" customWidth="1"/>
    <col min="14852" max="14852" width="10.42578125" style="2117" customWidth="1"/>
    <col min="14853" max="14853" width="10.28515625" style="2117" customWidth="1"/>
    <col min="14854" max="14854" width="8.28515625" style="2117" customWidth="1"/>
    <col min="14855" max="14855" width="11" style="2117" customWidth="1"/>
    <col min="14856" max="14856" width="8.7109375" style="2117" customWidth="1"/>
    <col min="14857" max="14857" width="9.7109375" style="2117" customWidth="1"/>
    <col min="14858" max="14858" width="12.85546875" style="2117" customWidth="1"/>
    <col min="14859" max="14859" width="9.140625" style="2117"/>
    <col min="14860" max="14860" width="8.7109375" style="2117" customWidth="1"/>
    <col min="14861" max="15104" width="9.140625" style="2117"/>
    <col min="15105" max="15105" width="16.5703125" style="2117" customWidth="1"/>
    <col min="15106" max="15106" width="10.42578125" style="2117" customWidth="1"/>
    <col min="15107" max="15107" width="11.85546875" style="2117" customWidth="1"/>
    <col min="15108" max="15108" width="10.42578125" style="2117" customWidth="1"/>
    <col min="15109" max="15109" width="10.28515625" style="2117" customWidth="1"/>
    <col min="15110" max="15110" width="8.28515625" style="2117" customWidth="1"/>
    <col min="15111" max="15111" width="11" style="2117" customWidth="1"/>
    <col min="15112" max="15112" width="8.7109375" style="2117" customWidth="1"/>
    <col min="15113" max="15113" width="9.7109375" style="2117" customWidth="1"/>
    <col min="15114" max="15114" width="12.85546875" style="2117" customWidth="1"/>
    <col min="15115" max="15115" width="9.140625" style="2117"/>
    <col min="15116" max="15116" width="8.7109375" style="2117" customWidth="1"/>
    <col min="15117" max="15360" width="9.140625" style="2117"/>
    <col min="15361" max="15361" width="16.5703125" style="2117" customWidth="1"/>
    <col min="15362" max="15362" width="10.42578125" style="2117" customWidth="1"/>
    <col min="15363" max="15363" width="11.85546875" style="2117" customWidth="1"/>
    <col min="15364" max="15364" width="10.42578125" style="2117" customWidth="1"/>
    <col min="15365" max="15365" width="10.28515625" style="2117" customWidth="1"/>
    <col min="15366" max="15366" width="8.28515625" style="2117" customWidth="1"/>
    <col min="15367" max="15367" width="11" style="2117" customWidth="1"/>
    <col min="15368" max="15368" width="8.7109375" style="2117" customWidth="1"/>
    <col min="15369" max="15369" width="9.7109375" style="2117" customWidth="1"/>
    <col min="15370" max="15370" width="12.85546875" style="2117" customWidth="1"/>
    <col min="15371" max="15371" width="9.140625" style="2117"/>
    <col min="15372" max="15372" width="8.7109375" style="2117" customWidth="1"/>
    <col min="15373" max="15616" width="9.140625" style="2117"/>
    <col min="15617" max="15617" width="16.5703125" style="2117" customWidth="1"/>
    <col min="15618" max="15618" width="10.42578125" style="2117" customWidth="1"/>
    <col min="15619" max="15619" width="11.85546875" style="2117" customWidth="1"/>
    <col min="15620" max="15620" width="10.42578125" style="2117" customWidth="1"/>
    <col min="15621" max="15621" width="10.28515625" style="2117" customWidth="1"/>
    <col min="15622" max="15622" width="8.28515625" style="2117" customWidth="1"/>
    <col min="15623" max="15623" width="11" style="2117" customWidth="1"/>
    <col min="15624" max="15624" width="8.7109375" style="2117" customWidth="1"/>
    <col min="15625" max="15625" width="9.7109375" style="2117" customWidth="1"/>
    <col min="15626" max="15626" width="12.85546875" style="2117" customWidth="1"/>
    <col min="15627" max="15627" width="9.140625" style="2117"/>
    <col min="15628" max="15628" width="8.7109375" style="2117" customWidth="1"/>
    <col min="15629" max="15872" width="9.140625" style="2117"/>
    <col min="15873" max="15873" width="16.5703125" style="2117" customWidth="1"/>
    <col min="15874" max="15874" width="10.42578125" style="2117" customWidth="1"/>
    <col min="15875" max="15875" width="11.85546875" style="2117" customWidth="1"/>
    <col min="15876" max="15876" width="10.42578125" style="2117" customWidth="1"/>
    <col min="15877" max="15877" width="10.28515625" style="2117" customWidth="1"/>
    <col min="15878" max="15878" width="8.28515625" style="2117" customWidth="1"/>
    <col min="15879" max="15879" width="11" style="2117" customWidth="1"/>
    <col min="15880" max="15880" width="8.7109375" style="2117" customWidth="1"/>
    <col min="15881" max="15881" width="9.7109375" style="2117" customWidth="1"/>
    <col min="15882" max="15882" width="12.85546875" style="2117" customWidth="1"/>
    <col min="15883" max="15883" width="9.140625" style="2117"/>
    <col min="15884" max="15884" width="8.7109375" style="2117" customWidth="1"/>
    <col min="15885" max="16128" width="9.140625" style="2117"/>
    <col min="16129" max="16129" width="16.5703125" style="2117" customWidth="1"/>
    <col min="16130" max="16130" width="10.42578125" style="2117" customWidth="1"/>
    <col min="16131" max="16131" width="11.85546875" style="2117" customWidth="1"/>
    <col min="16132" max="16132" width="10.42578125" style="2117" customWidth="1"/>
    <col min="16133" max="16133" width="10.28515625" style="2117" customWidth="1"/>
    <col min="16134" max="16134" width="8.28515625" style="2117" customWidth="1"/>
    <col min="16135" max="16135" width="11" style="2117" customWidth="1"/>
    <col min="16136" max="16136" width="8.7109375" style="2117" customWidth="1"/>
    <col min="16137" max="16137" width="9.7109375" style="2117" customWidth="1"/>
    <col min="16138" max="16138" width="12.85546875" style="2117" customWidth="1"/>
    <col min="16139" max="16139" width="9.140625" style="2117"/>
    <col min="16140" max="16140" width="8.7109375" style="2117" customWidth="1"/>
    <col min="16141" max="16384" width="9.140625" style="2117"/>
  </cols>
  <sheetData>
    <row r="1" spans="1:8" ht="18" customHeight="1">
      <c r="A1" s="983" t="s">
        <v>2903</v>
      </c>
      <c r="B1" s="2115"/>
      <c r="C1" s="2115"/>
      <c r="D1" s="2115"/>
      <c r="E1" s="909"/>
      <c r="F1" s="909"/>
      <c r="G1" s="2116"/>
      <c r="H1" s="2116"/>
    </row>
    <row r="2" spans="1:8" ht="18" customHeight="1">
      <c r="A2" s="983" t="s">
        <v>2904</v>
      </c>
      <c r="B2" s="2115"/>
      <c r="C2" s="2115"/>
      <c r="D2" s="2115"/>
      <c r="E2" s="909"/>
      <c r="F2" s="909"/>
      <c r="G2" s="2116"/>
      <c r="H2" s="2116"/>
    </row>
    <row r="3" spans="1:8" ht="3" customHeight="1" thickBot="1">
      <c r="A3" s="2118"/>
      <c r="B3" s="2115"/>
      <c r="C3" s="2115"/>
      <c r="D3" s="2115"/>
      <c r="E3" s="2115"/>
      <c r="G3" s="2116"/>
      <c r="H3" s="2116"/>
    </row>
    <row r="4" spans="1:8" s="762" customFormat="1" ht="14.25" thickTop="1" thickBot="1">
      <c r="A4" s="2119"/>
      <c r="B4" s="2120" t="s">
        <v>2905</v>
      </c>
      <c r="C4" s="2121" t="s">
        <v>2906</v>
      </c>
      <c r="D4" s="2122" t="s">
        <v>2907</v>
      </c>
      <c r="E4" s="2122"/>
      <c r="F4" s="3451" t="s">
        <v>2908</v>
      </c>
      <c r="G4" s="3452"/>
    </row>
    <row r="5" spans="1:8" s="762" customFormat="1" ht="12.75">
      <c r="A5" s="2123"/>
      <c r="B5" s="2124" t="s">
        <v>2909</v>
      </c>
      <c r="C5" s="2125" t="s">
        <v>2910</v>
      </c>
      <c r="D5" s="2125" t="s">
        <v>2911</v>
      </c>
      <c r="E5" s="2125" t="s">
        <v>2604</v>
      </c>
      <c r="F5" s="3453" t="s">
        <v>366</v>
      </c>
      <c r="G5" s="3454"/>
    </row>
    <row r="6" spans="1:8" s="762" customFormat="1" ht="12" customHeight="1">
      <c r="A6" s="2123"/>
      <c r="B6" s="2124" t="s">
        <v>2912</v>
      </c>
      <c r="C6" s="2125" t="s">
        <v>2913</v>
      </c>
      <c r="D6" s="2125" t="s">
        <v>2914</v>
      </c>
      <c r="E6" s="2125" t="s">
        <v>2914</v>
      </c>
      <c r="F6" s="3453" t="s">
        <v>2915</v>
      </c>
      <c r="G6" s="3454"/>
    </row>
    <row r="7" spans="1:8" s="762" customFormat="1" ht="16.5" customHeight="1">
      <c r="A7" s="2123"/>
      <c r="B7" s="2126"/>
      <c r="C7" s="2125" t="s">
        <v>2916</v>
      </c>
      <c r="D7" s="2125"/>
      <c r="E7" s="2125"/>
      <c r="F7" s="3453" t="s">
        <v>2917</v>
      </c>
      <c r="G7" s="3454"/>
    </row>
    <row r="8" spans="1:8" s="2130" customFormat="1" ht="15" customHeight="1" thickBot="1">
      <c r="A8" s="2127"/>
      <c r="B8" s="2128" t="s">
        <v>2918</v>
      </c>
      <c r="C8" s="2129" t="s">
        <v>2918</v>
      </c>
      <c r="D8" s="2129" t="s">
        <v>2918</v>
      </c>
      <c r="E8" s="2129" t="s">
        <v>12</v>
      </c>
      <c r="F8" s="3455" t="s">
        <v>2919</v>
      </c>
      <c r="G8" s="3456"/>
    </row>
    <row r="9" spans="1:8" ht="14.1" customHeight="1" thickTop="1">
      <c r="A9" s="2131">
        <v>41306</v>
      </c>
      <c r="B9" s="2132"/>
      <c r="C9" s="2133"/>
      <c r="D9" s="2133"/>
      <c r="E9" s="2133"/>
      <c r="F9" s="3457"/>
      <c r="G9" s="3458"/>
      <c r="H9" s="2116"/>
    </row>
    <row r="10" spans="1:8" ht="14.25" customHeight="1">
      <c r="A10" s="2134" t="s">
        <v>2920</v>
      </c>
      <c r="B10" s="2135">
        <v>21.96</v>
      </c>
      <c r="C10" s="2136">
        <v>4.26</v>
      </c>
      <c r="D10" s="2136" t="s">
        <v>2921</v>
      </c>
      <c r="E10" s="2137">
        <v>1077.6199999999999</v>
      </c>
      <c r="F10" s="3447" t="s">
        <v>2922</v>
      </c>
      <c r="G10" s="3448"/>
      <c r="H10" s="2116"/>
    </row>
    <row r="11" spans="1:8" ht="14.25" customHeight="1">
      <c r="A11" s="2134" t="s">
        <v>2923</v>
      </c>
      <c r="B11" s="2135">
        <v>21.02</v>
      </c>
      <c r="C11" s="2136">
        <v>1.29</v>
      </c>
      <c r="D11" s="2136" t="s">
        <v>2924</v>
      </c>
      <c r="E11" s="2137">
        <v>771.69</v>
      </c>
      <c r="F11" s="3447" t="s">
        <v>2925</v>
      </c>
      <c r="G11" s="3448"/>
      <c r="H11" s="2116"/>
    </row>
    <row r="12" spans="1:8" ht="14.25" customHeight="1">
      <c r="A12" s="2134" t="s">
        <v>2926</v>
      </c>
      <c r="B12" s="2135">
        <v>16.72</v>
      </c>
      <c r="C12" s="2136">
        <v>1.91</v>
      </c>
      <c r="D12" s="2136" t="s">
        <v>2927</v>
      </c>
      <c r="E12" s="2137">
        <v>843.15</v>
      </c>
      <c r="F12" s="3447" t="s">
        <v>2928</v>
      </c>
      <c r="G12" s="3448"/>
      <c r="H12" s="2116"/>
    </row>
    <row r="13" spans="1:8" ht="14.25" customHeight="1">
      <c r="A13" s="2134" t="s">
        <v>2929</v>
      </c>
      <c r="B13" s="2135">
        <v>12.63</v>
      </c>
      <c r="C13" s="2136">
        <v>1.04</v>
      </c>
      <c r="D13" s="2136" t="s">
        <v>2930</v>
      </c>
      <c r="E13" s="2137">
        <v>887.95</v>
      </c>
      <c r="F13" s="3447" t="s">
        <v>2931</v>
      </c>
      <c r="G13" s="3448"/>
      <c r="H13" s="2116"/>
    </row>
    <row r="14" spans="1:8" ht="14.25" hidden="1" customHeight="1">
      <c r="A14" s="2134"/>
      <c r="B14" s="2135"/>
      <c r="C14" s="2136"/>
      <c r="D14" s="2136"/>
      <c r="E14" s="2137"/>
      <c r="F14" s="3447"/>
      <c r="G14" s="3448"/>
      <c r="H14" s="2116"/>
    </row>
    <row r="15" spans="1:8" ht="15.75" customHeight="1" thickBot="1">
      <c r="A15" s="2138"/>
      <c r="B15" s="2139"/>
      <c r="C15" s="2140"/>
      <c r="D15" s="2140"/>
      <c r="E15" s="2140"/>
      <c r="F15" s="3449"/>
      <c r="G15" s="3450"/>
      <c r="H15" s="2116"/>
    </row>
    <row r="16" spans="1:8" ht="14.1" hidden="1" customHeight="1" thickTop="1">
      <c r="A16" s="1267">
        <v>37073</v>
      </c>
      <c r="B16" s="2135">
        <v>0</v>
      </c>
      <c r="C16" s="2136">
        <v>1.98</v>
      </c>
      <c r="D16" s="1239">
        <v>1.98</v>
      </c>
      <c r="E16" s="2136">
        <v>58.15</v>
      </c>
      <c r="F16" s="3459" t="s">
        <v>2932</v>
      </c>
      <c r="G16" s="3460"/>
      <c r="H16" s="2116"/>
    </row>
    <row r="17" spans="1:8" ht="14.1" hidden="1" customHeight="1">
      <c r="A17" s="1267">
        <v>37104</v>
      </c>
      <c r="B17" s="2135">
        <v>0</v>
      </c>
      <c r="C17" s="2136">
        <v>0</v>
      </c>
      <c r="D17" s="2136">
        <v>0</v>
      </c>
      <c r="E17" s="2136">
        <v>0</v>
      </c>
      <c r="F17" s="3459" t="s">
        <v>2933</v>
      </c>
      <c r="G17" s="3460"/>
      <c r="H17" s="2116"/>
    </row>
    <row r="18" spans="1:8" ht="14.1" hidden="1" customHeight="1">
      <c r="A18" s="1267">
        <v>37135</v>
      </c>
      <c r="B18" s="2135">
        <v>0</v>
      </c>
      <c r="C18" s="2136">
        <v>1.56</v>
      </c>
      <c r="D18" s="2136">
        <v>1.56</v>
      </c>
      <c r="E18" s="2136">
        <v>46.53</v>
      </c>
      <c r="F18" s="3459" t="s">
        <v>2934</v>
      </c>
      <c r="G18" s="3460"/>
      <c r="H18" s="2116"/>
    </row>
    <row r="19" spans="1:8" ht="14.1" hidden="1" customHeight="1">
      <c r="A19" s="1267">
        <v>37165</v>
      </c>
      <c r="B19" s="2135">
        <v>0.1</v>
      </c>
      <c r="C19" s="2136">
        <v>0.46</v>
      </c>
      <c r="D19" s="2136">
        <v>0.56000000000000005</v>
      </c>
      <c r="E19" s="2136">
        <v>16.829999999999998</v>
      </c>
      <c r="F19" s="3459" t="s">
        <v>2935</v>
      </c>
      <c r="G19" s="3460"/>
      <c r="H19" s="2116"/>
    </row>
    <row r="20" spans="1:8" ht="14.1" hidden="1" customHeight="1">
      <c r="A20" s="1267">
        <v>37196</v>
      </c>
      <c r="B20" s="2135">
        <v>0</v>
      </c>
      <c r="C20" s="2136">
        <v>0</v>
      </c>
      <c r="D20" s="2136" t="s">
        <v>2936</v>
      </c>
      <c r="E20" s="2136">
        <v>5.18</v>
      </c>
      <c r="F20" s="3459" t="s">
        <v>2937</v>
      </c>
      <c r="G20" s="3460"/>
      <c r="H20" s="2116"/>
    </row>
    <row r="21" spans="1:8" ht="14.1" hidden="1" customHeight="1">
      <c r="A21" s="1267">
        <v>37226</v>
      </c>
      <c r="B21" s="2135">
        <v>0.3</v>
      </c>
      <c r="C21" s="2136">
        <v>0.06</v>
      </c>
      <c r="D21" s="2136" t="s">
        <v>2938</v>
      </c>
      <c r="E21" s="2136">
        <v>19.14</v>
      </c>
      <c r="F21" s="3459" t="s">
        <v>2939</v>
      </c>
      <c r="G21" s="3460"/>
      <c r="H21" s="2116"/>
    </row>
    <row r="22" spans="1:8" ht="14.1" hidden="1" customHeight="1">
      <c r="A22" s="1267">
        <v>37530</v>
      </c>
      <c r="B22" s="2135">
        <v>3.89</v>
      </c>
      <c r="C22" s="2136">
        <v>0</v>
      </c>
      <c r="D22" s="2136" t="s">
        <v>2940</v>
      </c>
      <c r="E22" s="2136">
        <v>115.74</v>
      </c>
      <c r="F22" s="3459" t="s">
        <v>2941</v>
      </c>
      <c r="G22" s="3460"/>
      <c r="H22" s="2116"/>
    </row>
    <row r="23" spans="1:8" ht="14.1" hidden="1" customHeight="1">
      <c r="A23" s="1267">
        <v>37895</v>
      </c>
      <c r="B23" s="2135">
        <v>1.75</v>
      </c>
      <c r="C23" s="2136">
        <v>1.99</v>
      </c>
      <c r="D23" s="2136" t="s">
        <v>2942</v>
      </c>
      <c r="E23" s="2136">
        <v>106.74</v>
      </c>
      <c r="F23" s="3459" t="s">
        <v>2943</v>
      </c>
      <c r="G23" s="3460"/>
      <c r="H23" s="2116"/>
    </row>
    <row r="24" spans="1:8" ht="14.1" hidden="1" customHeight="1" thickBot="1">
      <c r="A24" s="1267">
        <v>38534</v>
      </c>
      <c r="B24" s="2135">
        <v>2.0299999999999998</v>
      </c>
      <c r="C24" s="2136">
        <v>1</v>
      </c>
      <c r="D24" s="2136" t="s">
        <v>2944</v>
      </c>
      <c r="E24" s="2136">
        <v>100.76</v>
      </c>
      <c r="F24" s="3459" t="s">
        <v>2945</v>
      </c>
      <c r="G24" s="3460"/>
      <c r="H24" s="2116"/>
    </row>
    <row r="25" spans="1:8" ht="14.1" hidden="1" customHeight="1" thickTop="1">
      <c r="A25" s="2141">
        <v>38596</v>
      </c>
      <c r="B25" s="2135">
        <v>5.1100000000000003</v>
      </c>
      <c r="C25" s="2136">
        <v>0.66</v>
      </c>
      <c r="D25" s="2136" t="s">
        <v>2946</v>
      </c>
      <c r="E25" s="2136">
        <v>210.7</v>
      </c>
      <c r="F25" s="3459" t="s">
        <v>2947</v>
      </c>
      <c r="G25" s="3460"/>
      <c r="H25" s="2116"/>
    </row>
    <row r="26" spans="1:8" ht="14.1" hidden="1" customHeight="1">
      <c r="A26" s="1267">
        <v>38657</v>
      </c>
      <c r="B26" s="2135">
        <v>0.4</v>
      </c>
      <c r="C26" s="2136">
        <v>1.36</v>
      </c>
      <c r="D26" s="2136" t="s">
        <v>2948</v>
      </c>
      <c r="E26" s="2136">
        <v>68.89</v>
      </c>
      <c r="F26" s="3459" t="s">
        <v>2949</v>
      </c>
      <c r="G26" s="3460"/>
      <c r="H26" s="2116"/>
    </row>
    <row r="27" spans="1:8" ht="14.1" hidden="1" customHeight="1">
      <c r="A27" s="1267">
        <v>38687</v>
      </c>
      <c r="B27" s="2135">
        <v>5.91</v>
      </c>
      <c r="C27" s="2136">
        <v>0.7</v>
      </c>
      <c r="D27" s="2136" t="s">
        <v>2950</v>
      </c>
      <c r="E27" s="2136">
        <v>540.69000000000005</v>
      </c>
      <c r="F27" s="3459" t="s">
        <v>2951</v>
      </c>
      <c r="G27" s="3460"/>
      <c r="H27" s="2116"/>
    </row>
    <row r="28" spans="1:8" ht="14.1" hidden="1" customHeight="1">
      <c r="A28" s="1267">
        <v>38718</v>
      </c>
      <c r="B28" s="2135">
        <v>1.66</v>
      </c>
      <c r="C28" s="2136">
        <v>1.57</v>
      </c>
      <c r="D28" s="2136" t="s">
        <v>2952</v>
      </c>
      <c r="E28" s="2136">
        <v>148.76</v>
      </c>
      <c r="F28" s="3459" t="s">
        <v>2953</v>
      </c>
      <c r="G28" s="3460"/>
      <c r="H28" s="2116"/>
    </row>
    <row r="29" spans="1:8" ht="14.1" hidden="1" customHeight="1">
      <c r="A29" s="1267">
        <v>38749</v>
      </c>
      <c r="B29" s="2135">
        <v>0.17</v>
      </c>
      <c r="C29" s="2136">
        <v>0.26</v>
      </c>
      <c r="D29" s="2136" t="s">
        <v>2954</v>
      </c>
      <c r="E29" s="2136">
        <v>53.89</v>
      </c>
      <c r="F29" s="3459" t="s">
        <v>2955</v>
      </c>
      <c r="G29" s="3460"/>
      <c r="H29" s="2116"/>
    </row>
    <row r="30" spans="1:8" ht="14.1" hidden="1" customHeight="1">
      <c r="A30" s="1267">
        <v>38777</v>
      </c>
      <c r="B30" s="2135">
        <v>0.36</v>
      </c>
      <c r="C30" s="2136">
        <v>0.67</v>
      </c>
      <c r="D30" s="2136" t="s">
        <v>2956</v>
      </c>
      <c r="E30" s="2136">
        <v>414.24</v>
      </c>
      <c r="F30" s="3459" t="s">
        <v>2957</v>
      </c>
      <c r="G30" s="3460"/>
      <c r="H30" s="2116"/>
    </row>
    <row r="31" spans="1:8" ht="14.1" hidden="1" customHeight="1">
      <c r="A31" s="1267">
        <v>38808</v>
      </c>
      <c r="B31" s="2135">
        <v>0.74</v>
      </c>
      <c r="C31" s="2136">
        <v>0.25</v>
      </c>
      <c r="D31" s="2136" t="s">
        <v>2958</v>
      </c>
      <c r="E31" s="2136">
        <v>116.01</v>
      </c>
      <c r="F31" s="3459" t="s">
        <v>2959</v>
      </c>
      <c r="G31" s="3460"/>
      <c r="H31" s="2116"/>
    </row>
    <row r="32" spans="1:8" ht="14.1" hidden="1" customHeight="1">
      <c r="A32" s="1267">
        <v>38838</v>
      </c>
      <c r="B32" s="2135">
        <v>0.23</v>
      </c>
      <c r="C32" s="2136">
        <v>0.94</v>
      </c>
      <c r="D32" s="2136" t="s">
        <v>2960</v>
      </c>
      <c r="E32" s="2136">
        <v>50.61</v>
      </c>
      <c r="F32" s="3447">
        <v>30.922499999999999</v>
      </c>
      <c r="G32" s="3448"/>
      <c r="H32" s="2116"/>
    </row>
    <row r="33" spans="1:8" ht="14.1" hidden="1" customHeight="1">
      <c r="A33" s="1267">
        <v>38869</v>
      </c>
      <c r="B33" s="2135">
        <v>0.49</v>
      </c>
      <c r="C33" s="2136">
        <v>0.76</v>
      </c>
      <c r="D33" s="2136" t="s">
        <v>2961</v>
      </c>
      <c r="E33" s="2136">
        <v>52.15</v>
      </c>
      <c r="F33" s="3447" t="s">
        <v>2962</v>
      </c>
      <c r="G33" s="3448"/>
      <c r="H33" s="2116"/>
    </row>
    <row r="34" spans="1:8" ht="14.1" hidden="1" customHeight="1">
      <c r="A34" s="1267">
        <v>38899</v>
      </c>
      <c r="B34" s="2135">
        <v>0.44</v>
      </c>
      <c r="C34" s="2136">
        <v>4.05</v>
      </c>
      <c r="D34" s="2136" t="s">
        <v>2963</v>
      </c>
      <c r="E34" s="2136">
        <v>155.75</v>
      </c>
      <c r="F34" s="3447" t="s">
        <v>2964</v>
      </c>
      <c r="G34" s="3448"/>
      <c r="H34" s="2116"/>
    </row>
    <row r="35" spans="1:8" ht="14.1" hidden="1" customHeight="1">
      <c r="A35" s="1267">
        <v>38930</v>
      </c>
      <c r="B35" s="2135">
        <v>1.01</v>
      </c>
      <c r="C35" s="2136">
        <v>2.2000000000000002</v>
      </c>
      <c r="D35" s="2136" t="s">
        <v>2965</v>
      </c>
      <c r="E35" s="2136">
        <v>115.01</v>
      </c>
      <c r="F35" s="3447" t="s">
        <v>2966</v>
      </c>
      <c r="G35" s="3448"/>
      <c r="H35" s="2116"/>
    </row>
    <row r="36" spans="1:8" ht="14.1" hidden="1" customHeight="1">
      <c r="A36" s="1267">
        <v>38961</v>
      </c>
      <c r="B36" s="2135">
        <v>1.93</v>
      </c>
      <c r="C36" s="2136">
        <v>2.31</v>
      </c>
      <c r="D36" s="2136" t="s">
        <v>2967</v>
      </c>
      <c r="E36" s="2136">
        <v>456.78</v>
      </c>
      <c r="F36" s="3447" t="s">
        <v>2968</v>
      </c>
      <c r="G36" s="3448"/>
      <c r="H36" s="2116"/>
    </row>
    <row r="37" spans="1:8" ht="14.1" hidden="1" customHeight="1">
      <c r="A37" s="1267">
        <v>38991</v>
      </c>
      <c r="B37" s="2135">
        <v>0.4</v>
      </c>
      <c r="C37" s="2136">
        <v>0.75</v>
      </c>
      <c r="D37" s="2136" t="s">
        <v>2969</v>
      </c>
      <c r="E37" s="2136">
        <v>49.98</v>
      </c>
      <c r="F37" s="3447" t="s">
        <v>2970</v>
      </c>
      <c r="G37" s="3448"/>
      <c r="H37" s="2116"/>
    </row>
    <row r="38" spans="1:8" ht="14.1" hidden="1" customHeight="1">
      <c r="A38" s="1267">
        <v>39022</v>
      </c>
      <c r="B38" s="2135">
        <v>0.56000000000000005</v>
      </c>
      <c r="C38" s="2136">
        <v>1.94</v>
      </c>
      <c r="D38" s="2136" t="s">
        <v>2971</v>
      </c>
      <c r="E38" s="2136">
        <v>112.75</v>
      </c>
      <c r="F38" s="3447" t="s">
        <v>2972</v>
      </c>
      <c r="G38" s="3448"/>
      <c r="H38" s="2116"/>
    </row>
    <row r="39" spans="1:8" ht="14.1" hidden="1" customHeight="1">
      <c r="A39" s="1267">
        <v>39052</v>
      </c>
      <c r="B39" s="2135">
        <v>0.5</v>
      </c>
      <c r="C39" s="2136">
        <v>1.61</v>
      </c>
      <c r="D39" s="2136" t="s">
        <v>2973</v>
      </c>
      <c r="E39" s="2136">
        <v>83.33</v>
      </c>
      <c r="F39" s="3447" t="s">
        <v>2974</v>
      </c>
      <c r="G39" s="3448"/>
      <c r="H39" s="2116"/>
    </row>
    <row r="40" spans="1:8" ht="14.1" hidden="1" customHeight="1">
      <c r="A40" s="1267">
        <v>39083</v>
      </c>
      <c r="B40" s="2135">
        <v>0.25</v>
      </c>
      <c r="C40" s="2136">
        <v>0.81</v>
      </c>
      <c r="D40" s="2136" t="s">
        <v>2975</v>
      </c>
      <c r="E40" s="2136">
        <v>46.62</v>
      </c>
      <c r="F40" s="3447" t="s">
        <v>2976</v>
      </c>
      <c r="G40" s="3448"/>
      <c r="H40" s="2116"/>
    </row>
    <row r="41" spans="1:8" ht="14.1" hidden="1" customHeight="1">
      <c r="A41" s="1267">
        <v>39114</v>
      </c>
      <c r="B41" s="2135">
        <v>16.86</v>
      </c>
      <c r="C41" s="2136">
        <v>2.95</v>
      </c>
      <c r="D41" s="2136" t="s">
        <v>2977</v>
      </c>
      <c r="E41" s="2136">
        <v>666.46</v>
      </c>
      <c r="F41" s="3447" t="s">
        <v>2978</v>
      </c>
      <c r="G41" s="3448"/>
      <c r="H41" s="2116"/>
    </row>
    <row r="42" spans="1:8" ht="14.1" hidden="1" customHeight="1">
      <c r="A42" s="1267">
        <v>39142</v>
      </c>
      <c r="B42" s="2135">
        <v>4.4000000000000004</v>
      </c>
      <c r="C42" s="2136">
        <v>1.45</v>
      </c>
      <c r="D42" s="2136" t="s">
        <v>2979</v>
      </c>
      <c r="E42" s="2136">
        <v>226.42</v>
      </c>
      <c r="F42" s="3447" t="s">
        <v>2980</v>
      </c>
      <c r="G42" s="3448"/>
      <c r="H42" s="2116"/>
    </row>
    <row r="43" spans="1:8" ht="14.1" hidden="1" customHeight="1">
      <c r="A43" s="1267">
        <v>39173</v>
      </c>
      <c r="B43" s="2135">
        <v>5.85</v>
      </c>
      <c r="C43" s="2136">
        <v>0.64</v>
      </c>
      <c r="D43" s="2136" t="s">
        <v>2981</v>
      </c>
      <c r="E43" s="2136">
        <v>244.12</v>
      </c>
      <c r="F43" s="3447" t="s">
        <v>2982</v>
      </c>
      <c r="G43" s="3448"/>
      <c r="H43" s="2116"/>
    </row>
    <row r="44" spans="1:8" ht="14.1" hidden="1" customHeight="1">
      <c r="A44" s="1267">
        <v>39203</v>
      </c>
      <c r="B44" s="2135">
        <v>8.9600000000000009</v>
      </c>
      <c r="C44" s="2136">
        <v>1.31</v>
      </c>
      <c r="D44" s="2136" t="s">
        <v>2983</v>
      </c>
      <c r="E44" s="2136">
        <v>342.3</v>
      </c>
      <c r="F44" s="3447" t="s">
        <v>2984</v>
      </c>
      <c r="G44" s="3448"/>
      <c r="H44" s="2116"/>
    </row>
    <row r="45" spans="1:8" ht="14.1" hidden="1" customHeight="1">
      <c r="A45" s="1267">
        <v>39234</v>
      </c>
      <c r="B45" s="2135">
        <v>4.5599999999999996</v>
      </c>
      <c r="C45" s="2136">
        <v>1.66</v>
      </c>
      <c r="D45" s="2136" t="s">
        <v>2985</v>
      </c>
      <c r="E45" s="2136">
        <v>209.69</v>
      </c>
      <c r="F45" s="3447" t="s">
        <v>2986</v>
      </c>
      <c r="G45" s="3448"/>
      <c r="H45" s="2116"/>
    </row>
    <row r="46" spans="1:8" ht="14.1" hidden="1" customHeight="1">
      <c r="A46" s="1267">
        <v>39264</v>
      </c>
      <c r="B46" s="2135">
        <v>7.6</v>
      </c>
      <c r="C46" s="2136">
        <v>1.08</v>
      </c>
      <c r="D46" s="2136" t="s">
        <v>2987</v>
      </c>
      <c r="E46" s="2136">
        <v>288.64999999999998</v>
      </c>
      <c r="F46" s="3447" t="s">
        <v>2988</v>
      </c>
      <c r="G46" s="3448"/>
      <c r="H46" s="2116"/>
    </row>
    <row r="47" spans="1:8" ht="14.1" hidden="1" customHeight="1">
      <c r="A47" s="1267">
        <v>39295</v>
      </c>
      <c r="B47" s="2135">
        <v>2.38</v>
      </c>
      <c r="C47" s="2136">
        <v>0.96</v>
      </c>
      <c r="D47" s="2136" t="s">
        <v>2989</v>
      </c>
      <c r="E47" s="2136">
        <v>124.61</v>
      </c>
      <c r="F47" s="3447" t="s">
        <v>2990</v>
      </c>
      <c r="G47" s="3448"/>
      <c r="H47" s="2116"/>
    </row>
    <row r="48" spans="1:8" ht="14.1" hidden="1" customHeight="1">
      <c r="A48" s="1267">
        <v>39326</v>
      </c>
      <c r="B48" s="2135">
        <v>8.48</v>
      </c>
      <c r="C48" s="2136">
        <v>1.53</v>
      </c>
      <c r="D48" s="2136" t="s">
        <v>2991</v>
      </c>
      <c r="E48" s="2136">
        <v>335.52</v>
      </c>
      <c r="F48" s="3447" t="s">
        <v>2992</v>
      </c>
      <c r="G48" s="3448"/>
      <c r="H48" s="2116"/>
    </row>
    <row r="49" spans="1:8" ht="14.1" hidden="1" customHeight="1">
      <c r="A49" s="1267">
        <v>39387</v>
      </c>
      <c r="B49" s="2135">
        <v>3.45</v>
      </c>
      <c r="C49" s="2136">
        <v>5.52</v>
      </c>
      <c r="D49" s="2136" t="s">
        <v>2993</v>
      </c>
      <c r="E49" s="2136">
        <v>290.58</v>
      </c>
      <c r="F49" s="3447" t="s">
        <v>2994</v>
      </c>
      <c r="G49" s="3448"/>
      <c r="H49" s="2116"/>
    </row>
    <row r="50" spans="1:8" ht="14.1" hidden="1" customHeight="1">
      <c r="A50" s="1267">
        <v>39417</v>
      </c>
      <c r="B50" s="2135">
        <v>3.96</v>
      </c>
      <c r="C50" s="2136">
        <v>3.16</v>
      </c>
      <c r="D50" s="2136" t="s">
        <v>2995</v>
      </c>
      <c r="E50" s="2136">
        <v>264.17</v>
      </c>
      <c r="F50" s="3447" t="s">
        <v>2996</v>
      </c>
      <c r="G50" s="3448"/>
      <c r="H50" s="2116"/>
    </row>
    <row r="51" spans="1:8" ht="14.1" hidden="1" customHeight="1">
      <c r="A51" s="1267">
        <v>39448</v>
      </c>
      <c r="B51" s="2135">
        <v>5.99</v>
      </c>
      <c r="C51" s="2136">
        <v>2.34</v>
      </c>
      <c r="D51" s="2136" t="s">
        <v>2997</v>
      </c>
      <c r="E51" s="2136">
        <v>274.18</v>
      </c>
      <c r="F51" s="3447" t="s">
        <v>2998</v>
      </c>
      <c r="G51" s="3448"/>
      <c r="H51" s="2116"/>
    </row>
    <row r="52" spans="1:8" ht="14.1" hidden="1" customHeight="1">
      <c r="A52" s="1267">
        <v>39479</v>
      </c>
      <c r="B52" s="2135">
        <v>8.43</v>
      </c>
      <c r="C52" s="2136">
        <v>13.15</v>
      </c>
      <c r="D52" s="2136" t="s">
        <v>2999</v>
      </c>
      <c r="E52" s="2136">
        <v>665.18</v>
      </c>
      <c r="F52" s="3447" t="s">
        <v>3000</v>
      </c>
      <c r="G52" s="3448"/>
      <c r="H52" s="2116"/>
    </row>
    <row r="53" spans="1:8" ht="14.1" hidden="1" customHeight="1">
      <c r="A53" s="1267">
        <v>39508</v>
      </c>
      <c r="B53" s="2135">
        <v>3.91</v>
      </c>
      <c r="C53" s="2136">
        <v>18.399999999999999</v>
      </c>
      <c r="D53" s="2136" t="s">
        <v>3001</v>
      </c>
      <c r="E53" s="2136">
        <v>621.45000000000005</v>
      </c>
      <c r="F53" s="3447" t="s">
        <v>3002</v>
      </c>
      <c r="G53" s="3448"/>
      <c r="H53" s="2116"/>
    </row>
    <row r="54" spans="1:8" ht="14.1" hidden="1" customHeight="1">
      <c r="A54" s="1267">
        <v>39539</v>
      </c>
      <c r="B54" s="2135">
        <v>4.55</v>
      </c>
      <c r="C54" s="2136">
        <v>6.63</v>
      </c>
      <c r="D54" s="2136" t="s">
        <v>3003</v>
      </c>
      <c r="E54" s="2136">
        <v>354.72</v>
      </c>
      <c r="F54" s="3447" t="s">
        <v>3004</v>
      </c>
      <c r="G54" s="3448"/>
      <c r="H54" s="2116"/>
    </row>
    <row r="55" spans="1:8" ht="14.1" hidden="1" customHeight="1">
      <c r="A55" s="1267">
        <v>39569</v>
      </c>
      <c r="B55" s="2135">
        <v>11.79</v>
      </c>
      <c r="C55" s="2136">
        <v>7.15</v>
      </c>
      <c r="D55" s="2136" t="s">
        <v>3005</v>
      </c>
      <c r="E55" s="2136">
        <v>567.78</v>
      </c>
      <c r="F55" s="3447" t="s">
        <v>3006</v>
      </c>
      <c r="G55" s="3448"/>
      <c r="H55" s="2116"/>
    </row>
    <row r="56" spans="1:8" ht="14.1" hidden="1" customHeight="1" thickTop="1">
      <c r="A56" s="1267">
        <v>39600</v>
      </c>
      <c r="B56" s="2135">
        <v>4.1100000000000003</v>
      </c>
      <c r="C56" s="2136">
        <v>16.68</v>
      </c>
      <c r="D56" s="2136" t="s">
        <v>3007</v>
      </c>
      <c r="E56" s="2136">
        <v>579.89</v>
      </c>
      <c r="F56" s="3447" t="s">
        <v>3008</v>
      </c>
      <c r="G56" s="3448"/>
      <c r="H56" s="2116"/>
    </row>
    <row r="57" spans="1:8" ht="14.1" hidden="1" customHeight="1" thickTop="1">
      <c r="A57" s="1267">
        <v>39630</v>
      </c>
      <c r="B57" s="2135">
        <v>5.43</v>
      </c>
      <c r="C57" s="2136">
        <v>13.57</v>
      </c>
      <c r="D57" s="2136" t="s">
        <v>3009</v>
      </c>
      <c r="E57" s="2136">
        <v>537.29</v>
      </c>
      <c r="F57" s="3461" t="s">
        <v>3010</v>
      </c>
      <c r="G57" s="3462"/>
      <c r="H57" s="2116"/>
    </row>
    <row r="58" spans="1:8" ht="14.1" hidden="1" customHeight="1" thickTop="1">
      <c r="A58" s="1267">
        <v>39661</v>
      </c>
      <c r="B58" s="2135">
        <v>1.95</v>
      </c>
      <c r="C58" s="2136">
        <v>1.71</v>
      </c>
      <c r="D58" s="2136" t="s">
        <v>3011</v>
      </c>
      <c r="E58" s="2136">
        <v>165.77</v>
      </c>
      <c r="F58" s="3447" t="s">
        <v>3012</v>
      </c>
      <c r="G58" s="3448"/>
      <c r="H58" s="2116"/>
    </row>
    <row r="59" spans="1:8" ht="14.1" hidden="1" customHeight="1" thickTop="1">
      <c r="A59" s="1267">
        <v>39722</v>
      </c>
      <c r="B59" s="2135">
        <v>1.3</v>
      </c>
      <c r="C59" s="2136">
        <v>12.87</v>
      </c>
      <c r="D59" s="2136" t="s">
        <v>3013</v>
      </c>
      <c r="E59" s="2136">
        <v>464.44</v>
      </c>
      <c r="F59" s="3447" t="s">
        <v>3014</v>
      </c>
      <c r="G59" s="3448"/>
      <c r="H59" s="2116"/>
    </row>
    <row r="60" spans="1:8" ht="14.1" hidden="1" customHeight="1" thickTop="1">
      <c r="A60" s="1267">
        <v>39753</v>
      </c>
      <c r="B60" s="2135">
        <v>2.66</v>
      </c>
      <c r="C60" s="2136">
        <v>6.73</v>
      </c>
      <c r="D60" s="2136" t="s">
        <v>3015</v>
      </c>
      <c r="E60" s="2136">
        <v>326.2</v>
      </c>
      <c r="F60" s="3447" t="s">
        <v>3016</v>
      </c>
      <c r="G60" s="3448"/>
      <c r="H60" s="2116"/>
    </row>
    <row r="61" spans="1:8" ht="14.1" hidden="1" customHeight="1" thickTop="1">
      <c r="A61" s="1267">
        <v>39783</v>
      </c>
      <c r="B61" s="2135">
        <v>4.08</v>
      </c>
      <c r="C61" s="2136">
        <v>11.7</v>
      </c>
      <c r="D61" s="2136" t="s">
        <v>3017</v>
      </c>
      <c r="E61" s="2136">
        <v>558.11</v>
      </c>
      <c r="F61" s="3447" t="s">
        <v>3018</v>
      </c>
      <c r="G61" s="3448"/>
      <c r="H61" s="2116"/>
    </row>
    <row r="62" spans="1:8" ht="14.1" hidden="1" customHeight="1" thickTop="1">
      <c r="A62" s="1267">
        <v>39814</v>
      </c>
      <c r="B62" s="2135">
        <v>3.52</v>
      </c>
      <c r="C62" s="2136">
        <v>3.45</v>
      </c>
      <c r="D62" s="2136" t="s">
        <v>3019</v>
      </c>
      <c r="E62" s="2136">
        <v>261.17</v>
      </c>
      <c r="F62" s="3447" t="s">
        <v>3020</v>
      </c>
      <c r="G62" s="3448"/>
      <c r="H62" s="2116"/>
    </row>
    <row r="63" spans="1:8" ht="14.1" hidden="1" customHeight="1" thickTop="1">
      <c r="A63" s="1267">
        <v>39845</v>
      </c>
      <c r="B63" s="2135">
        <v>6.68</v>
      </c>
      <c r="C63" s="2136">
        <v>3.28</v>
      </c>
      <c r="D63" s="2136" t="s">
        <v>3021</v>
      </c>
      <c r="E63" s="2136">
        <v>437.05</v>
      </c>
      <c r="F63" s="3461" t="s">
        <v>3022</v>
      </c>
      <c r="G63" s="3462"/>
      <c r="H63" s="2116"/>
    </row>
    <row r="64" spans="1:8" ht="14.1" hidden="1" customHeight="1" thickTop="1">
      <c r="A64" s="1267">
        <v>39873</v>
      </c>
      <c r="B64" s="2135">
        <v>4.8099999999999996</v>
      </c>
      <c r="C64" s="2136">
        <v>7.3</v>
      </c>
      <c r="D64" s="2136" t="s">
        <v>3023</v>
      </c>
      <c r="E64" s="2136">
        <v>488.8</v>
      </c>
      <c r="F64" s="3461" t="s">
        <v>3024</v>
      </c>
      <c r="G64" s="3462"/>
      <c r="H64" s="2116"/>
    </row>
    <row r="65" spans="1:8" ht="14.1" hidden="1" customHeight="1" thickTop="1">
      <c r="A65" s="1267">
        <v>39904</v>
      </c>
      <c r="B65" s="2135">
        <v>4.34</v>
      </c>
      <c r="C65" s="2136">
        <v>7.63</v>
      </c>
      <c r="D65" s="2136" t="s">
        <v>3025</v>
      </c>
      <c r="E65" s="2136">
        <v>429.09</v>
      </c>
      <c r="F65" s="3461" t="s">
        <v>3026</v>
      </c>
      <c r="G65" s="3462"/>
      <c r="H65" s="2116"/>
    </row>
    <row r="66" spans="1:8" ht="14.1" hidden="1" customHeight="1" thickTop="1">
      <c r="A66" s="1267">
        <v>39934</v>
      </c>
      <c r="B66" s="2135">
        <v>2.41</v>
      </c>
      <c r="C66" s="2136">
        <v>5.57</v>
      </c>
      <c r="D66" s="2136" t="s">
        <v>3027</v>
      </c>
      <c r="E66" s="2136">
        <v>304.04000000000002</v>
      </c>
      <c r="F66" s="3447" t="s">
        <v>3028</v>
      </c>
      <c r="G66" s="3448"/>
      <c r="H66" s="2116"/>
    </row>
    <row r="67" spans="1:8" ht="14.1" hidden="1" customHeight="1" thickTop="1">
      <c r="A67" s="1267">
        <v>39965</v>
      </c>
      <c r="B67" s="2135">
        <v>3.08</v>
      </c>
      <c r="C67" s="2136">
        <v>6.08</v>
      </c>
      <c r="D67" s="2136" t="s">
        <v>3029</v>
      </c>
      <c r="E67" s="2136">
        <v>374.1</v>
      </c>
      <c r="F67" s="3447" t="s">
        <v>3030</v>
      </c>
      <c r="G67" s="3448"/>
      <c r="H67" s="2116"/>
    </row>
    <row r="68" spans="1:8" ht="14.1" hidden="1" customHeight="1" thickTop="1">
      <c r="A68" s="1267">
        <v>39995</v>
      </c>
      <c r="B68" s="2135">
        <v>3.62</v>
      </c>
      <c r="C68" s="2136">
        <v>3.56</v>
      </c>
      <c r="D68" s="2136" t="s">
        <v>3031</v>
      </c>
      <c r="E68" s="2136">
        <v>289.12</v>
      </c>
      <c r="F68" s="3447" t="s">
        <v>3032</v>
      </c>
      <c r="G68" s="3448"/>
      <c r="H68" s="2116"/>
    </row>
    <row r="69" spans="1:8" ht="14.1" hidden="1" customHeight="1" thickTop="1">
      <c r="A69" s="1267">
        <v>40026</v>
      </c>
      <c r="B69" s="2135">
        <v>6.85</v>
      </c>
      <c r="C69" s="2136">
        <v>1.93</v>
      </c>
      <c r="D69" s="2136" t="s">
        <v>3033</v>
      </c>
      <c r="E69" s="2136">
        <v>582.69000000000005</v>
      </c>
      <c r="F69" s="3447" t="s">
        <v>3034</v>
      </c>
      <c r="G69" s="3448"/>
      <c r="H69" s="2116"/>
    </row>
    <row r="70" spans="1:8" ht="14.1" hidden="1" customHeight="1">
      <c r="A70" s="1267">
        <v>40057</v>
      </c>
      <c r="B70" s="2135">
        <v>22.08</v>
      </c>
      <c r="C70" s="2136">
        <v>1.18</v>
      </c>
      <c r="D70" s="2136" t="s">
        <v>3035</v>
      </c>
      <c r="E70" s="2137">
        <v>1111.92</v>
      </c>
      <c r="F70" s="3447" t="s">
        <v>3036</v>
      </c>
      <c r="G70" s="3448"/>
      <c r="H70" s="2116"/>
    </row>
    <row r="71" spans="1:8" ht="14.1" hidden="1" customHeight="1" thickTop="1">
      <c r="A71" s="1267">
        <v>40087</v>
      </c>
      <c r="B71" s="2135">
        <v>24.84</v>
      </c>
      <c r="C71" s="2136">
        <v>6.38</v>
      </c>
      <c r="D71" s="2136" t="s">
        <v>3037</v>
      </c>
      <c r="E71" s="2137">
        <v>1261</v>
      </c>
      <c r="F71" s="3447" t="s">
        <v>3038</v>
      </c>
      <c r="G71" s="3448"/>
      <c r="H71" s="2116"/>
    </row>
    <row r="72" spans="1:8" ht="14.1" hidden="1" customHeight="1" thickTop="1">
      <c r="A72" s="1267">
        <v>40118</v>
      </c>
      <c r="B72" s="2135">
        <v>21.1</v>
      </c>
      <c r="C72" s="2136">
        <v>3.05</v>
      </c>
      <c r="D72" s="2136" t="s">
        <v>3039</v>
      </c>
      <c r="E72" s="2137">
        <v>1456.85</v>
      </c>
      <c r="F72" s="3447" t="s">
        <v>3040</v>
      </c>
      <c r="G72" s="3448"/>
      <c r="H72" s="2116"/>
    </row>
    <row r="73" spans="1:8" ht="14.1" hidden="1" customHeight="1" thickTop="1">
      <c r="A73" s="1267">
        <v>40148</v>
      </c>
      <c r="B73" s="2135">
        <v>11.45</v>
      </c>
      <c r="C73" s="2136">
        <v>4</v>
      </c>
      <c r="D73" s="2136" t="s">
        <v>3041</v>
      </c>
      <c r="E73" s="2137">
        <v>1080.6500000000001</v>
      </c>
      <c r="F73" s="3447" t="s">
        <v>3042</v>
      </c>
      <c r="G73" s="3448"/>
      <c r="H73" s="2116"/>
    </row>
    <row r="74" spans="1:8" ht="14.1" hidden="1" customHeight="1" thickTop="1">
      <c r="A74" s="1267">
        <v>40179</v>
      </c>
      <c r="B74" s="2135">
        <v>27.21</v>
      </c>
      <c r="C74" s="2136">
        <v>3.38</v>
      </c>
      <c r="D74" s="2136" t="s">
        <v>3043</v>
      </c>
      <c r="E74" s="2137">
        <v>1222.32</v>
      </c>
      <c r="F74" s="3447" t="s">
        <v>3044</v>
      </c>
      <c r="G74" s="3448"/>
      <c r="H74" s="2116"/>
    </row>
    <row r="75" spans="1:8" ht="14.1" hidden="1" customHeight="1" thickTop="1">
      <c r="A75" s="1267">
        <v>40210</v>
      </c>
      <c r="B75" s="2135">
        <v>19.239999999999998</v>
      </c>
      <c r="C75" s="2136">
        <v>3.63</v>
      </c>
      <c r="D75" s="2136" t="s">
        <v>3045</v>
      </c>
      <c r="E75" s="2137">
        <v>951.84</v>
      </c>
      <c r="F75" s="3447" t="s">
        <v>3046</v>
      </c>
      <c r="G75" s="3448"/>
      <c r="H75" s="2116"/>
    </row>
    <row r="76" spans="1:8" ht="14.1" hidden="1" customHeight="1" thickTop="1">
      <c r="A76" s="1267">
        <v>40238</v>
      </c>
      <c r="B76" s="2135">
        <v>23.2</v>
      </c>
      <c r="C76" s="2136">
        <v>12.02</v>
      </c>
      <c r="D76" s="2136" t="s">
        <v>3047</v>
      </c>
      <c r="E76" s="2137">
        <v>1425.47</v>
      </c>
      <c r="F76" s="3447" t="s">
        <v>3048</v>
      </c>
      <c r="G76" s="3448"/>
      <c r="H76" s="2116"/>
    </row>
    <row r="77" spans="1:8" ht="14.1" hidden="1" customHeight="1" thickTop="1">
      <c r="A77" s="1267">
        <v>40269</v>
      </c>
      <c r="B77" s="2135">
        <v>16.72</v>
      </c>
      <c r="C77" s="2136">
        <v>8</v>
      </c>
      <c r="D77" s="2136" t="s">
        <v>3049</v>
      </c>
      <c r="E77" s="2137">
        <v>947.83</v>
      </c>
      <c r="F77" s="3447" t="s">
        <v>3050</v>
      </c>
      <c r="G77" s="3448"/>
      <c r="H77" s="2116"/>
    </row>
    <row r="78" spans="1:8" ht="14.1" hidden="1" customHeight="1" thickTop="1">
      <c r="A78" s="1267">
        <v>40299</v>
      </c>
      <c r="B78" s="2135">
        <v>18.41</v>
      </c>
      <c r="C78" s="2136">
        <v>12.21</v>
      </c>
      <c r="D78" s="2136" t="s">
        <v>3051</v>
      </c>
      <c r="E78" s="2137">
        <v>1336.56</v>
      </c>
      <c r="F78" s="3447" t="s">
        <v>3052</v>
      </c>
      <c r="G78" s="3448"/>
      <c r="H78" s="2116"/>
    </row>
    <row r="79" spans="1:8" ht="14.1" hidden="1" customHeight="1" thickTop="1">
      <c r="A79" s="1267">
        <v>40330</v>
      </c>
      <c r="B79" s="2135">
        <v>21.85</v>
      </c>
      <c r="C79" s="2136">
        <v>9.68</v>
      </c>
      <c r="D79" s="2136" t="s">
        <v>3053</v>
      </c>
      <c r="E79" s="2137">
        <v>1227.8</v>
      </c>
      <c r="F79" s="3447" t="s">
        <v>3054</v>
      </c>
      <c r="G79" s="3448"/>
      <c r="H79" s="2116"/>
    </row>
    <row r="80" spans="1:8" ht="14.1" hidden="1" customHeight="1" thickTop="1">
      <c r="A80" s="1267">
        <v>40360</v>
      </c>
      <c r="B80" s="2135">
        <v>16.600000000000001</v>
      </c>
      <c r="C80" s="2136">
        <v>28.12</v>
      </c>
      <c r="D80" s="2136" t="s">
        <v>3055</v>
      </c>
      <c r="E80" s="2137">
        <v>1714.26</v>
      </c>
      <c r="F80" s="3447" t="s">
        <v>3056</v>
      </c>
      <c r="G80" s="3448"/>
      <c r="H80" s="2116"/>
    </row>
    <row r="81" spans="1:8" ht="14.1" hidden="1" customHeight="1" thickTop="1">
      <c r="A81" s="1267">
        <v>40391</v>
      </c>
      <c r="B81" s="2135">
        <v>13.24</v>
      </c>
      <c r="C81" s="2136">
        <v>11.83</v>
      </c>
      <c r="D81" s="2136" t="s">
        <v>3057</v>
      </c>
      <c r="E81" s="2137">
        <v>939.88</v>
      </c>
      <c r="F81" s="3447" t="s">
        <v>3058</v>
      </c>
      <c r="G81" s="3448"/>
      <c r="H81" s="2116"/>
    </row>
    <row r="82" spans="1:8" ht="14.1" hidden="1" customHeight="1" thickTop="1">
      <c r="A82" s="1267">
        <v>40422</v>
      </c>
      <c r="B82" s="2135">
        <v>20.89</v>
      </c>
      <c r="C82" s="2136">
        <v>6.03</v>
      </c>
      <c r="D82" s="2136" t="s">
        <v>3059</v>
      </c>
      <c r="E82" s="2137">
        <v>1097.56</v>
      </c>
      <c r="F82" s="3447" t="s">
        <v>3060</v>
      </c>
      <c r="G82" s="3448"/>
      <c r="H82" s="2116"/>
    </row>
    <row r="83" spans="1:8" ht="14.1" hidden="1" customHeight="1" thickTop="1">
      <c r="A83" s="1267">
        <v>40452</v>
      </c>
      <c r="B83" s="2135">
        <v>18.71</v>
      </c>
      <c r="C83" s="2136">
        <v>5.26</v>
      </c>
      <c r="D83" s="2136" t="s">
        <v>3061</v>
      </c>
      <c r="E83" s="2137">
        <v>1046.9100000000001</v>
      </c>
      <c r="F83" s="3463" t="s">
        <v>3062</v>
      </c>
      <c r="G83" s="3448"/>
      <c r="H83" s="2116"/>
    </row>
    <row r="84" spans="1:8" ht="14.1" hidden="1" customHeight="1" thickTop="1">
      <c r="A84" s="1267">
        <v>40483</v>
      </c>
      <c r="B84" s="2135">
        <v>29.44</v>
      </c>
      <c r="C84" s="2136">
        <v>5.84</v>
      </c>
      <c r="D84" s="2136" t="s">
        <v>3063</v>
      </c>
      <c r="E84" s="2137">
        <v>1280.3800000000001</v>
      </c>
      <c r="F84" s="3463" t="s">
        <v>3064</v>
      </c>
      <c r="G84" s="3448"/>
      <c r="H84" s="2116"/>
    </row>
    <row r="85" spans="1:8" ht="14.1" hidden="1" customHeight="1" thickTop="1">
      <c r="A85" s="1267">
        <v>40513</v>
      </c>
      <c r="B85" s="2135">
        <v>35.69</v>
      </c>
      <c r="C85" s="2136">
        <v>5.16</v>
      </c>
      <c r="D85" s="2136" t="s">
        <v>3065</v>
      </c>
      <c r="E85" s="2137">
        <v>1728.3</v>
      </c>
      <c r="F85" s="3463" t="s">
        <v>3066</v>
      </c>
      <c r="G85" s="3448"/>
      <c r="H85" s="2116"/>
    </row>
    <row r="86" spans="1:8" ht="14.1" hidden="1" customHeight="1" thickTop="1">
      <c r="A86" s="1267">
        <v>40544</v>
      </c>
      <c r="B86" s="2135">
        <v>23.73</v>
      </c>
      <c r="C86" s="2136">
        <v>7.69</v>
      </c>
      <c r="D86" s="2136" t="s">
        <v>3067</v>
      </c>
      <c r="E86" s="2137">
        <v>1204.47</v>
      </c>
      <c r="F86" s="3463" t="s">
        <v>3068</v>
      </c>
      <c r="G86" s="3448"/>
      <c r="H86" s="2116"/>
    </row>
    <row r="87" spans="1:8" ht="14.1" hidden="1" customHeight="1" thickTop="1">
      <c r="A87" s="1267">
        <v>40575</v>
      </c>
      <c r="B87" s="2135">
        <v>24.14</v>
      </c>
      <c r="C87" s="2136">
        <v>6.37</v>
      </c>
      <c r="D87" s="2136" t="s">
        <v>3069</v>
      </c>
      <c r="E87" s="2137">
        <v>1096.3599999999999</v>
      </c>
      <c r="F87" s="3463" t="s">
        <v>3070</v>
      </c>
      <c r="G87" s="3448"/>
      <c r="H87" s="2116"/>
    </row>
    <row r="88" spans="1:8" ht="14.1" hidden="1" customHeight="1" thickTop="1">
      <c r="A88" s="1267">
        <v>40603</v>
      </c>
      <c r="B88" s="2135">
        <v>24.19</v>
      </c>
      <c r="C88" s="2136">
        <v>13.15</v>
      </c>
      <c r="D88" s="2136" t="s">
        <v>3071</v>
      </c>
      <c r="E88" s="2137">
        <v>1310.5</v>
      </c>
      <c r="F88" s="3447" t="s">
        <v>3072</v>
      </c>
      <c r="G88" s="3448"/>
      <c r="H88" s="2116"/>
    </row>
    <row r="89" spans="1:8" ht="14.1" hidden="1" customHeight="1" thickTop="1">
      <c r="A89" s="1267">
        <v>40634</v>
      </c>
      <c r="B89" s="2135">
        <v>21.19</v>
      </c>
      <c r="C89" s="2136">
        <v>6.92</v>
      </c>
      <c r="D89" s="2136" t="s">
        <v>3073</v>
      </c>
      <c r="E89" s="2137">
        <v>929.43</v>
      </c>
      <c r="F89" s="3463" t="s">
        <v>3074</v>
      </c>
      <c r="G89" s="3448"/>
      <c r="H89" s="2116"/>
    </row>
    <row r="90" spans="1:8" ht="14.1" hidden="1" customHeight="1" thickTop="1">
      <c r="A90" s="1267">
        <v>40664</v>
      </c>
      <c r="B90" s="2135">
        <v>23.22</v>
      </c>
      <c r="C90" s="2136">
        <v>7.6</v>
      </c>
      <c r="D90" s="2136" t="s">
        <v>3075</v>
      </c>
      <c r="E90" s="2137">
        <v>1014.25</v>
      </c>
      <c r="F90" s="3463" t="s">
        <v>3076</v>
      </c>
      <c r="G90" s="3448"/>
      <c r="H90" s="2116"/>
    </row>
    <row r="91" spans="1:8" ht="14.1" hidden="1" customHeight="1" thickTop="1">
      <c r="A91" s="1267">
        <v>40695</v>
      </c>
      <c r="B91" s="2135">
        <v>30.73</v>
      </c>
      <c r="C91" s="2136">
        <v>6.97</v>
      </c>
      <c r="D91" s="2136" t="s">
        <v>3077</v>
      </c>
      <c r="E91" s="2137">
        <v>1273.55</v>
      </c>
      <c r="F91" s="3463" t="s">
        <v>3078</v>
      </c>
      <c r="G91" s="3448"/>
      <c r="H91" s="2116"/>
    </row>
    <row r="92" spans="1:8" ht="14.1" hidden="1" customHeight="1" thickTop="1">
      <c r="A92" s="1267">
        <v>40756</v>
      </c>
      <c r="B92" s="2135">
        <v>26.96</v>
      </c>
      <c r="C92" s="2136">
        <v>16.64</v>
      </c>
      <c r="D92" s="2136" t="s">
        <v>3079</v>
      </c>
      <c r="E92" s="2137">
        <v>1478.06</v>
      </c>
      <c r="F92" s="3463" t="s">
        <v>3080</v>
      </c>
      <c r="G92" s="3448"/>
      <c r="H92" s="2116"/>
    </row>
    <row r="93" spans="1:8" ht="14.1" hidden="1" customHeight="1" thickTop="1">
      <c r="A93" s="1267">
        <v>40787</v>
      </c>
      <c r="B93" s="2135">
        <v>41.07</v>
      </c>
      <c r="C93" s="2136">
        <v>20.440000000000001</v>
      </c>
      <c r="D93" s="2136" t="s">
        <v>3081</v>
      </c>
      <c r="E93" s="2137">
        <v>1888.03</v>
      </c>
      <c r="F93" s="3463" t="s">
        <v>3082</v>
      </c>
      <c r="G93" s="3448"/>
      <c r="H93" s="2116"/>
    </row>
    <row r="94" spans="1:8" ht="14.1" hidden="1" customHeight="1" thickTop="1">
      <c r="A94" s="1267">
        <v>40817</v>
      </c>
      <c r="B94" s="2135">
        <v>40.25</v>
      </c>
      <c r="C94" s="2136">
        <v>11.88</v>
      </c>
      <c r="D94" s="2136" t="s">
        <v>3083</v>
      </c>
      <c r="E94" s="2137">
        <v>1679.33</v>
      </c>
      <c r="F94" s="3463" t="s">
        <v>3084</v>
      </c>
      <c r="G94" s="3448"/>
      <c r="H94" s="2116"/>
    </row>
    <row r="95" spans="1:8" ht="14.1" hidden="1" customHeight="1" thickTop="1">
      <c r="A95" s="1267">
        <v>40848</v>
      </c>
      <c r="B95" s="2135">
        <v>26.19</v>
      </c>
      <c r="C95" s="2136">
        <v>13.3</v>
      </c>
      <c r="D95" s="2136" t="s">
        <v>3085</v>
      </c>
      <c r="E95" s="2137">
        <v>1310.44</v>
      </c>
      <c r="F95" s="3463" t="s">
        <v>3086</v>
      </c>
      <c r="G95" s="3448"/>
      <c r="H95" s="2116"/>
    </row>
    <row r="96" spans="1:8" ht="14.1" hidden="1" customHeight="1" thickTop="1">
      <c r="A96" s="1267">
        <v>40878</v>
      </c>
      <c r="B96" s="2135">
        <v>28.96</v>
      </c>
      <c r="C96" s="2136">
        <v>10.96</v>
      </c>
      <c r="D96" s="2136" t="s">
        <v>3087</v>
      </c>
      <c r="E96" s="2137">
        <v>1374.71</v>
      </c>
      <c r="F96" s="3463" t="s">
        <v>3088</v>
      </c>
      <c r="G96" s="3448"/>
      <c r="H96" s="2116"/>
    </row>
    <row r="97" spans="1:9" ht="14.1" hidden="1" customHeight="1" thickTop="1">
      <c r="A97" s="1267">
        <v>40909</v>
      </c>
      <c r="B97" s="2135">
        <v>43.62</v>
      </c>
      <c r="C97" s="2136">
        <v>11.42</v>
      </c>
      <c r="D97" s="2136" t="s">
        <v>3089</v>
      </c>
      <c r="E97" s="2137">
        <v>1757.35</v>
      </c>
      <c r="F97" s="3463" t="s">
        <v>3090</v>
      </c>
      <c r="G97" s="3448"/>
      <c r="H97" s="2116"/>
    </row>
    <row r="98" spans="1:9" ht="14.1" customHeight="1" thickTop="1">
      <c r="A98" s="1267">
        <v>40940</v>
      </c>
      <c r="B98" s="2135">
        <v>34.33</v>
      </c>
      <c r="C98" s="2136">
        <v>13.84</v>
      </c>
      <c r="D98" s="2136" t="s">
        <v>3091</v>
      </c>
      <c r="E98" s="2137">
        <v>1529.15</v>
      </c>
      <c r="F98" s="3463" t="s">
        <v>3092</v>
      </c>
      <c r="G98" s="3448"/>
      <c r="H98" s="2116"/>
    </row>
    <row r="99" spans="1:9" ht="14.1" customHeight="1">
      <c r="A99" s="1267">
        <v>40969</v>
      </c>
      <c r="B99" s="2135">
        <v>36.18</v>
      </c>
      <c r="C99" s="2136">
        <v>10.08</v>
      </c>
      <c r="D99" s="2136" t="s">
        <v>3093</v>
      </c>
      <c r="E99" s="2137">
        <v>1511.19</v>
      </c>
      <c r="F99" s="3463" t="s">
        <v>3094</v>
      </c>
      <c r="G99" s="3448"/>
      <c r="H99" s="2116"/>
    </row>
    <row r="100" spans="1:9" ht="14.1" customHeight="1">
      <c r="A100" s="1267">
        <v>41000</v>
      </c>
      <c r="B100" s="2135">
        <v>43.08</v>
      </c>
      <c r="C100" s="2136">
        <v>11.34</v>
      </c>
      <c r="D100" s="2136" t="s">
        <v>3095</v>
      </c>
      <c r="E100" s="2137">
        <v>1713.55</v>
      </c>
      <c r="F100" s="3463" t="s">
        <v>3096</v>
      </c>
      <c r="G100" s="3448"/>
      <c r="H100" s="2116"/>
    </row>
    <row r="101" spans="1:9" ht="16.5" customHeight="1">
      <c r="A101" s="1267">
        <v>41030</v>
      </c>
      <c r="B101" s="2135">
        <v>25.34</v>
      </c>
      <c r="C101" s="2136">
        <v>8.5500000000000007</v>
      </c>
      <c r="D101" s="2136" t="s">
        <v>3097</v>
      </c>
      <c r="E101" s="2137">
        <v>1124.6199999999999</v>
      </c>
      <c r="F101" s="3463" t="s">
        <v>3098</v>
      </c>
      <c r="G101" s="3448"/>
      <c r="H101" s="2116"/>
    </row>
    <row r="102" spans="1:9" ht="16.5" customHeight="1">
      <c r="A102" s="1267">
        <v>41061</v>
      </c>
      <c r="B102" s="2135">
        <v>134.1</v>
      </c>
      <c r="C102" s="2136">
        <v>10.27</v>
      </c>
      <c r="D102" s="2136" t="s">
        <v>3099</v>
      </c>
      <c r="E102" s="2137">
        <v>4958.6400000000003</v>
      </c>
      <c r="F102" s="3463" t="s">
        <v>3100</v>
      </c>
      <c r="G102" s="3448"/>
      <c r="H102" s="2116"/>
    </row>
    <row r="103" spans="1:9" ht="16.5" customHeight="1">
      <c r="A103" s="1267">
        <v>41091</v>
      </c>
      <c r="B103" s="2135">
        <v>67.73</v>
      </c>
      <c r="C103" s="2136">
        <v>10.91</v>
      </c>
      <c r="D103" s="2136" t="s">
        <v>3101</v>
      </c>
      <c r="E103" s="2137">
        <v>2888.91</v>
      </c>
      <c r="F103" s="3463" t="s">
        <v>3102</v>
      </c>
      <c r="G103" s="3448"/>
      <c r="H103" s="2116"/>
    </row>
    <row r="104" spans="1:9" ht="16.5" customHeight="1">
      <c r="A104" s="1267">
        <v>41122</v>
      </c>
      <c r="B104" s="2135">
        <v>69.150000000000006</v>
      </c>
      <c r="C104" s="2136">
        <v>5.58</v>
      </c>
      <c r="D104" s="2136" t="s">
        <v>3103</v>
      </c>
      <c r="E104" s="2137">
        <v>3172.96</v>
      </c>
      <c r="F104" s="3463" t="s">
        <v>3104</v>
      </c>
      <c r="G104" s="3448"/>
      <c r="H104" s="2116"/>
    </row>
    <row r="105" spans="1:9" ht="16.5" customHeight="1">
      <c r="A105" s="1267">
        <v>41153</v>
      </c>
      <c r="B105" s="2135">
        <v>37.659999999999997</v>
      </c>
      <c r="C105" s="2136">
        <v>16.37</v>
      </c>
      <c r="D105" s="2136" t="s">
        <v>3105</v>
      </c>
      <c r="E105" s="2137">
        <v>2899.88</v>
      </c>
      <c r="F105" s="3463" t="s">
        <v>3106</v>
      </c>
      <c r="G105" s="3448"/>
      <c r="H105" s="2116"/>
    </row>
    <row r="106" spans="1:9" ht="16.5" customHeight="1">
      <c r="A106" s="1267">
        <v>41183</v>
      </c>
      <c r="B106" s="2135">
        <v>51.55</v>
      </c>
      <c r="C106" s="2136">
        <v>13.34</v>
      </c>
      <c r="D106" s="2136" t="s">
        <v>3107</v>
      </c>
      <c r="E106" s="2137">
        <v>2457.33</v>
      </c>
      <c r="F106" s="3463" t="s">
        <v>3108</v>
      </c>
      <c r="G106" s="3448"/>
      <c r="H106" s="2116"/>
    </row>
    <row r="107" spans="1:9" ht="16.5" customHeight="1">
      <c r="A107" s="1267">
        <v>41214</v>
      </c>
      <c r="B107" s="2135">
        <v>47.28</v>
      </c>
      <c r="C107" s="2136">
        <v>8.08</v>
      </c>
      <c r="D107" s="2136" t="s">
        <v>3109</v>
      </c>
      <c r="E107" s="2137">
        <v>2150.52</v>
      </c>
      <c r="F107" s="3463" t="s">
        <v>3110</v>
      </c>
      <c r="G107" s="3448"/>
      <c r="H107" s="2116"/>
    </row>
    <row r="108" spans="1:9" ht="16.5" customHeight="1">
      <c r="A108" s="1267">
        <v>41244</v>
      </c>
      <c r="B108" s="2135">
        <v>90.51</v>
      </c>
      <c r="C108" s="2136">
        <v>9.85</v>
      </c>
      <c r="D108" s="2136" t="s">
        <v>3111</v>
      </c>
      <c r="E108" s="2137">
        <v>3910.75</v>
      </c>
      <c r="F108" s="3463" t="s">
        <v>3112</v>
      </c>
      <c r="G108" s="3448"/>
      <c r="H108" s="2116"/>
    </row>
    <row r="109" spans="1:9" ht="16.5" customHeight="1">
      <c r="A109" s="1267">
        <v>41275</v>
      </c>
      <c r="B109" s="2135">
        <v>97.06</v>
      </c>
      <c r="C109" s="2136">
        <v>14.61</v>
      </c>
      <c r="D109" s="2136" t="s">
        <v>3113</v>
      </c>
      <c r="E109" s="2137">
        <v>4557.99</v>
      </c>
      <c r="F109" s="3463" t="s">
        <v>3114</v>
      </c>
      <c r="G109" s="3448"/>
      <c r="H109" s="2116"/>
    </row>
    <row r="110" spans="1:9" ht="16.5" customHeight="1">
      <c r="A110" s="1267">
        <v>41306</v>
      </c>
      <c r="B110" s="2135">
        <v>72.33</v>
      </c>
      <c r="C110" s="2136">
        <v>8.5</v>
      </c>
      <c r="D110" s="2136" t="s">
        <v>3115</v>
      </c>
      <c r="E110" s="2137">
        <v>3580.41</v>
      </c>
      <c r="F110" s="3463" t="s">
        <v>3116</v>
      </c>
      <c r="G110" s="3448"/>
      <c r="H110" s="2116"/>
    </row>
    <row r="111" spans="1:9" ht="14.1" customHeight="1" thickBot="1">
      <c r="A111" s="2142"/>
      <c r="B111" s="2143"/>
      <c r="C111" s="2144"/>
      <c r="D111" s="2144"/>
      <c r="E111" s="2144"/>
      <c r="F111" s="3464"/>
      <c r="G111" s="3465"/>
      <c r="H111" s="2116"/>
    </row>
    <row r="112" spans="1:9" ht="15.75" thickTop="1">
      <c r="A112" s="2145" t="s">
        <v>3117</v>
      </c>
      <c r="B112" s="2146"/>
      <c r="C112" s="2146"/>
      <c r="D112" s="2146"/>
      <c r="E112" s="2146"/>
      <c r="F112" s="2147"/>
      <c r="H112" s="2116"/>
      <c r="I112" s="2116"/>
    </row>
    <row r="113" spans="1:10">
      <c r="A113" s="2148" t="s">
        <v>3118</v>
      </c>
      <c r="B113" s="2146"/>
      <c r="C113" s="2146"/>
      <c r="D113" s="2146"/>
      <c r="E113" s="2146"/>
      <c r="F113" s="2147"/>
      <c r="H113" s="2116"/>
      <c r="I113" s="2116"/>
    </row>
    <row r="114" spans="1:10">
      <c r="A114" s="2149" t="s">
        <v>3119</v>
      </c>
      <c r="B114" s="2146"/>
      <c r="C114" s="2146"/>
      <c r="D114" s="2146"/>
      <c r="E114" s="2146"/>
      <c r="F114" s="2147"/>
      <c r="H114" s="2116"/>
      <c r="I114" s="2116"/>
    </row>
    <row r="115" spans="1:10">
      <c r="A115" s="2149" t="s">
        <v>3120</v>
      </c>
      <c r="B115" s="2146"/>
      <c r="C115" s="2146"/>
      <c r="D115" s="2150"/>
      <c r="F115" s="2147"/>
      <c r="G115" s="2115"/>
      <c r="H115" s="2116" t="s">
        <v>148</v>
      </c>
      <c r="I115" s="2116"/>
    </row>
    <row r="116" spans="1:10" s="2152" customFormat="1" ht="13.5">
      <c r="A116" s="2151" t="s">
        <v>787</v>
      </c>
      <c r="C116" s="2153"/>
      <c r="D116" s="2154"/>
    </row>
    <row r="117" spans="1:10">
      <c r="A117" s="2155"/>
      <c r="B117" s="2146"/>
      <c r="C117" s="2146"/>
      <c r="D117" s="2150"/>
      <c r="F117" s="2147"/>
      <c r="G117" s="2115"/>
      <c r="H117" s="2116"/>
      <c r="I117" s="2116"/>
    </row>
    <row r="118" spans="1:10" ht="15" customHeight="1">
      <c r="A118" s="2156" t="s">
        <v>3121</v>
      </c>
      <c r="B118" s="2157"/>
      <c r="C118" s="2157"/>
      <c r="D118" s="2157"/>
      <c r="E118" s="2157"/>
      <c r="F118" s="2157"/>
      <c r="G118" s="2158"/>
      <c r="H118" s="2116"/>
      <c r="I118" s="2116"/>
    </row>
    <row r="119" spans="1:10" ht="15" customHeight="1">
      <c r="A119" s="2156" t="s">
        <v>2904</v>
      </c>
      <c r="B119" s="2157"/>
      <c r="C119" s="2157"/>
      <c r="D119" s="2157"/>
      <c r="E119" s="2157"/>
      <c r="F119" s="2157"/>
      <c r="G119" s="2158"/>
      <c r="H119" s="2116"/>
      <c r="I119" s="2116"/>
    </row>
    <row r="120" spans="1:10" ht="5.25" customHeight="1" thickBot="1">
      <c r="A120" s="2159"/>
      <c r="B120" s="2157"/>
      <c r="C120" s="2157"/>
      <c r="D120" s="2157"/>
      <c r="E120" s="2157"/>
      <c r="F120" s="2157"/>
      <c r="H120" s="2116"/>
      <c r="I120" s="2116"/>
    </row>
    <row r="121" spans="1:10">
      <c r="A121" s="2160" t="s">
        <v>1</v>
      </c>
      <c r="B121" s="2161" t="s">
        <v>3122</v>
      </c>
      <c r="C121" s="2162" t="s">
        <v>1105</v>
      </c>
      <c r="D121" s="2163" t="s">
        <v>3123</v>
      </c>
      <c r="E121" s="2164" t="s">
        <v>1105</v>
      </c>
      <c r="F121" s="2165" t="s">
        <v>3124</v>
      </c>
      <c r="G121" s="2166" t="s">
        <v>1105</v>
      </c>
      <c r="H121" s="2166" t="s">
        <v>3123</v>
      </c>
      <c r="I121" s="2163" t="s">
        <v>1105</v>
      </c>
      <c r="J121" s="2167" t="s">
        <v>3125</v>
      </c>
    </row>
    <row r="122" spans="1:10">
      <c r="A122" s="2168"/>
      <c r="B122" s="2169" t="s">
        <v>3126</v>
      </c>
      <c r="C122" s="2170" t="s">
        <v>3127</v>
      </c>
      <c r="D122" s="2171" t="s">
        <v>3128</v>
      </c>
      <c r="E122" s="2172" t="s">
        <v>3127</v>
      </c>
      <c r="F122" s="2173" t="s">
        <v>3129</v>
      </c>
      <c r="G122" s="2125" t="s">
        <v>3127</v>
      </c>
      <c r="H122" s="2125" t="s">
        <v>3130</v>
      </c>
      <c r="I122" s="2171" t="s">
        <v>3127</v>
      </c>
      <c r="J122" s="2174" t="s">
        <v>3131</v>
      </c>
    </row>
    <row r="123" spans="1:10" s="2152" customFormat="1" ht="13.5" customHeight="1">
      <c r="A123" s="2175"/>
      <c r="B123" s="3471" t="s">
        <v>3132</v>
      </c>
      <c r="C123" s="3473" t="s">
        <v>3133</v>
      </c>
      <c r="D123" s="3468" t="s">
        <v>3132</v>
      </c>
      <c r="E123" s="3475" t="s">
        <v>3134</v>
      </c>
      <c r="F123" s="3477" t="s">
        <v>3135</v>
      </c>
      <c r="G123" s="3466" t="s">
        <v>3136</v>
      </c>
      <c r="H123" s="3466" t="s">
        <v>3137</v>
      </c>
      <c r="I123" s="3468" t="s">
        <v>3138</v>
      </c>
      <c r="J123" s="3466" t="s">
        <v>3139</v>
      </c>
    </row>
    <row r="124" spans="1:10" s="2177" customFormat="1" ht="11.25" customHeight="1" thickBot="1">
      <c r="A124" s="2176"/>
      <c r="B124" s="3472"/>
      <c r="C124" s="3474"/>
      <c r="D124" s="3469"/>
      <c r="E124" s="3476"/>
      <c r="F124" s="3478"/>
      <c r="G124" s="3467"/>
      <c r="H124" s="3467"/>
      <c r="I124" s="3469"/>
      <c r="J124" s="3470"/>
    </row>
    <row r="125" spans="1:10" ht="14.1" hidden="1" customHeight="1" thickTop="1">
      <c r="A125" s="2178"/>
      <c r="B125" s="2179"/>
      <c r="C125" s="2180"/>
      <c r="D125" s="2181"/>
      <c r="E125" s="2182"/>
      <c r="F125" s="2183"/>
      <c r="G125" s="2184"/>
      <c r="H125" s="2184"/>
      <c r="I125" s="2181"/>
      <c r="J125" s="2184"/>
    </row>
    <row r="126" spans="1:10" ht="15.75" hidden="1" thickTop="1">
      <c r="A126" s="2185">
        <v>37073</v>
      </c>
      <c r="B126" s="2186">
        <v>10</v>
      </c>
      <c r="C126" s="2187" t="s">
        <v>3140</v>
      </c>
      <c r="D126" s="2188" t="s">
        <v>770</v>
      </c>
      <c r="E126" s="2189" t="s">
        <v>770</v>
      </c>
      <c r="F126" s="2190" t="s">
        <v>770</v>
      </c>
      <c r="G126" s="2191" t="s">
        <v>770</v>
      </c>
      <c r="H126" s="2191" t="s">
        <v>770</v>
      </c>
      <c r="I126" s="2188" t="s">
        <v>770</v>
      </c>
      <c r="J126" s="2191" t="s">
        <v>770</v>
      </c>
    </row>
    <row r="127" spans="1:10" ht="15.75" hidden="1" thickTop="1">
      <c r="A127" s="2185">
        <v>37104</v>
      </c>
      <c r="B127" s="2186">
        <v>2</v>
      </c>
      <c r="C127" s="2192">
        <v>29.45</v>
      </c>
      <c r="D127" s="2188" t="s">
        <v>770</v>
      </c>
      <c r="E127" s="2189" t="s">
        <v>770</v>
      </c>
      <c r="F127" s="2190" t="s">
        <v>770</v>
      </c>
      <c r="G127" s="2191" t="s">
        <v>770</v>
      </c>
      <c r="H127" s="2191" t="s">
        <v>770</v>
      </c>
      <c r="I127" s="2188" t="s">
        <v>770</v>
      </c>
      <c r="J127" s="2191" t="s">
        <v>770</v>
      </c>
    </row>
    <row r="128" spans="1:10" ht="15.75" hidden="1" thickTop="1">
      <c r="A128" s="2185">
        <v>37135</v>
      </c>
      <c r="B128" s="2186">
        <v>0</v>
      </c>
      <c r="C128" s="2192" t="s">
        <v>770</v>
      </c>
      <c r="D128" s="2188" t="s">
        <v>770</v>
      </c>
      <c r="E128" s="2189" t="s">
        <v>770</v>
      </c>
      <c r="F128" s="2190" t="s">
        <v>770</v>
      </c>
      <c r="G128" s="2191" t="s">
        <v>770</v>
      </c>
      <c r="H128" s="2191" t="s">
        <v>770</v>
      </c>
      <c r="I128" s="2188" t="s">
        <v>770</v>
      </c>
      <c r="J128" s="2191" t="s">
        <v>770</v>
      </c>
    </row>
    <row r="129" spans="1:10" ht="15.75" hidden="1" thickTop="1">
      <c r="A129" s="2185">
        <v>37165</v>
      </c>
      <c r="B129" s="2186">
        <v>2</v>
      </c>
      <c r="C129" s="2192">
        <v>30.07</v>
      </c>
      <c r="D129" s="2188" t="s">
        <v>770</v>
      </c>
      <c r="E129" s="2189" t="s">
        <v>770</v>
      </c>
      <c r="F129" s="2190" t="s">
        <v>770</v>
      </c>
      <c r="G129" s="2191" t="s">
        <v>770</v>
      </c>
      <c r="H129" s="2191" t="s">
        <v>770</v>
      </c>
      <c r="I129" s="2188" t="s">
        <v>770</v>
      </c>
      <c r="J129" s="2191" t="s">
        <v>770</v>
      </c>
    </row>
    <row r="130" spans="1:10" ht="15.75" hidden="1" thickTop="1">
      <c r="A130" s="2185">
        <v>37196</v>
      </c>
      <c r="B130" s="2186">
        <v>5</v>
      </c>
      <c r="C130" s="2192" t="s">
        <v>3141</v>
      </c>
      <c r="D130" s="2188" t="s">
        <v>770</v>
      </c>
      <c r="E130" s="2189" t="s">
        <v>770</v>
      </c>
      <c r="F130" s="2190" t="s">
        <v>770</v>
      </c>
      <c r="G130" s="2191" t="s">
        <v>770</v>
      </c>
      <c r="H130" s="2191" t="s">
        <v>770</v>
      </c>
      <c r="I130" s="2188" t="s">
        <v>770</v>
      </c>
      <c r="J130" s="2191" t="s">
        <v>770</v>
      </c>
    </row>
    <row r="131" spans="1:10" ht="15.75" hidden="1" thickTop="1">
      <c r="A131" s="2185">
        <v>37226</v>
      </c>
      <c r="B131" s="2186">
        <v>0</v>
      </c>
      <c r="C131" s="2192" t="s">
        <v>770</v>
      </c>
      <c r="D131" s="2188" t="s">
        <v>770</v>
      </c>
      <c r="E131" s="2189" t="s">
        <v>770</v>
      </c>
      <c r="F131" s="2190" t="s">
        <v>770</v>
      </c>
      <c r="G131" s="2191" t="s">
        <v>770</v>
      </c>
      <c r="H131" s="2191" t="s">
        <v>770</v>
      </c>
      <c r="I131" s="2188" t="s">
        <v>770</v>
      </c>
      <c r="J131" s="2191" t="s">
        <v>770</v>
      </c>
    </row>
    <row r="132" spans="1:10" ht="15.75" hidden="1" thickTop="1">
      <c r="A132" s="2193">
        <v>37530</v>
      </c>
      <c r="B132" s="2186">
        <v>0</v>
      </c>
      <c r="C132" s="2187" t="s">
        <v>770</v>
      </c>
      <c r="D132" s="2188">
        <v>3.4</v>
      </c>
      <c r="E132" s="2194">
        <v>29.52</v>
      </c>
      <c r="F132" s="2190">
        <v>3.4</v>
      </c>
      <c r="G132" s="2195">
        <v>29.52</v>
      </c>
      <c r="H132" s="2191">
        <v>3.4</v>
      </c>
      <c r="I132" s="2196">
        <v>29.52</v>
      </c>
      <c r="J132" s="2191">
        <v>3.4</v>
      </c>
    </row>
    <row r="133" spans="1:10" ht="14.1" hidden="1" customHeight="1">
      <c r="A133" s="2193">
        <v>37895</v>
      </c>
      <c r="B133" s="2186">
        <v>0</v>
      </c>
      <c r="C133" s="2187" t="s">
        <v>770</v>
      </c>
      <c r="D133" s="2188">
        <v>30.7</v>
      </c>
      <c r="E133" s="2194">
        <v>28.8</v>
      </c>
      <c r="F133" s="2190">
        <v>30.7</v>
      </c>
      <c r="G133" s="2195">
        <v>28.8</v>
      </c>
      <c r="H133" s="2191">
        <v>30.7</v>
      </c>
      <c r="I133" s="2196">
        <v>28.8</v>
      </c>
      <c r="J133" s="2191">
        <v>30.7</v>
      </c>
    </row>
    <row r="134" spans="1:10" ht="15.75" hidden="1" thickTop="1">
      <c r="A134" s="2193">
        <v>38534</v>
      </c>
      <c r="B134" s="2197">
        <v>26</v>
      </c>
      <c r="C134" s="2192" t="s">
        <v>3142</v>
      </c>
      <c r="D134" s="2188">
        <v>0</v>
      </c>
      <c r="E134" s="2189" t="s">
        <v>770</v>
      </c>
      <c r="F134" s="2190">
        <v>0</v>
      </c>
      <c r="G134" s="2191" t="s">
        <v>770</v>
      </c>
      <c r="H134" s="2191">
        <v>0</v>
      </c>
      <c r="I134" s="2188" t="s">
        <v>770</v>
      </c>
      <c r="J134" s="2191">
        <v>0</v>
      </c>
    </row>
    <row r="135" spans="1:10" ht="15.75" hidden="1" thickTop="1">
      <c r="A135" s="2193">
        <v>38596</v>
      </c>
      <c r="B135" s="2197">
        <v>23.5</v>
      </c>
      <c r="C135" s="2192" t="s">
        <v>3143</v>
      </c>
      <c r="D135" s="2188">
        <v>0</v>
      </c>
      <c r="E135" s="2189" t="s">
        <v>770</v>
      </c>
      <c r="F135" s="2190">
        <v>0</v>
      </c>
      <c r="G135" s="2191" t="s">
        <v>770</v>
      </c>
      <c r="H135" s="2191">
        <v>0</v>
      </c>
      <c r="I135" s="2188" t="s">
        <v>770</v>
      </c>
      <c r="J135" s="2191">
        <v>0</v>
      </c>
    </row>
    <row r="136" spans="1:10" ht="15.75" hidden="1" thickTop="1">
      <c r="A136" s="2193">
        <v>38657</v>
      </c>
      <c r="B136" s="2186">
        <v>15</v>
      </c>
      <c r="C136" s="2192" t="s">
        <v>3144</v>
      </c>
      <c r="D136" s="2188">
        <v>0</v>
      </c>
      <c r="E136" s="2189" t="s">
        <v>770</v>
      </c>
      <c r="F136" s="2190">
        <v>0</v>
      </c>
      <c r="G136" s="2191" t="s">
        <v>770</v>
      </c>
      <c r="H136" s="2191">
        <v>0</v>
      </c>
      <c r="I136" s="2188" t="s">
        <v>770</v>
      </c>
      <c r="J136" s="2191">
        <v>0</v>
      </c>
    </row>
    <row r="137" spans="1:10" ht="15.75" hidden="1" thickTop="1">
      <c r="A137" s="2193">
        <v>38687</v>
      </c>
      <c r="B137" s="2198">
        <v>6.5</v>
      </c>
      <c r="C137" s="2192">
        <v>30.55</v>
      </c>
      <c r="D137" s="2188">
        <v>0</v>
      </c>
      <c r="E137" s="2189" t="s">
        <v>770</v>
      </c>
      <c r="F137" s="2190">
        <v>0</v>
      </c>
      <c r="G137" s="2191" t="s">
        <v>770</v>
      </c>
      <c r="H137" s="2191">
        <v>0</v>
      </c>
      <c r="I137" s="2188" t="s">
        <v>770</v>
      </c>
      <c r="J137" s="2191">
        <v>0</v>
      </c>
    </row>
    <row r="138" spans="1:10" ht="15.75" hidden="1" thickTop="1">
      <c r="A138" s="2193">
        <v>38718</v>
      </c>
      <c r="B138" s="2198">
        <v>0</v>
      </c>
      <c r="C138" s="2192" t="s">
        <v>770</v>
      </c>
      <c r="D138" s="2188">
        <v>0</v>
      </c>
      <c r="E138" s="2189" t="s">
        <v>770</v>
      </c>
      <c r="F138" s="2190">
        <v>0</v>
      </c>
      <c r="G138" s="2191" t="s">
        <v>770</v>
      </c>
      <c r="H138" s="2191">
        <v>0</v>
      </c>
      <c r="I138" s="2188" t="s">
        <v>770</v>
      </c>
      <c r="J138" s="2191">
        <v>0</v>
      </c>
    </row>
    <row r="139" spans="1:10" ht="15.75" hidden="1" thickTop="1">
      <c r="A139" s="2193">
        <v>38749</v>
      </c>
      <c r="B139" s="2198">
        <v>8</v>
      </c>
      <c r="C139" s="2192">
        <v>30.67</v>
      </c>
      <c r="D139" s="2188">
        <v>0</v>
      </c>
      <c r="E139" s="2189" t="s">
        <v>770</v>
      </c>
      <c r="F139" s="2190">
        <v>0</v>
      </c>
      <c r="G139" s="2191" t="s">
        <v>770</v>
      </c>
      <c r="H139" s="2191">
        <v>0</v>
      </c>
      <c r="I139" s="2188" t="s">
        <v>770</v>
      </c>
      <c r="J139" s="2191">
        <v>0</v>
      </c>
    </row>
    <row r="140" spans="1:10" ht="14.1" hidden="1" customHeight="1">
      <c r="A140" s="2193">
        <v>38777</v>
      </c>
      <c r="B140" s="2198">
        <v>0</v>
      </c>
      <c r="C140" s="2192" t="s">
        <v>770</v>
      </c>
      <c r="D140" s="2188">
        <v>0</v>
      </c>
      <c r="E140" s="2189" t="s">
        <v>770</v>
      </c>
      <c r="F140" s="2190">
        <v>0</v>
      </c>
      <c r="G140" s="2191" t="s">
        <v>770</v>
      </c>
      <c r="H140" s="2191">
        <v>0</v>
      </c>
      <c r="I140" s="2188" t="s">
        <v>770</v>
      </c>
      <c r="J140" s="2191">
        <v>0</v>
      </c>
    </row>
    <row r="141" spans="1:10" ht="14.1" hidden="1" customHeight="1">
      <c r="A141" s="2193">
        <v>38808</v>
      </c>
      <c r="B141" s="2198">
        <v>0</v>
      </c>
      <c r="C141" s="2192" t="s">
        <v>770</v>
      </c>
      <c r="D141" s="2188">
        <v>0</v>
      </c>
      <c r="E141" s="2189" t="s">
        <v>770</v>
      </c>
      <c r="F141" s="2190">
        <v>0</v>
      </c>
      <c r="G141" s="2191" t="s">
        <v>770</v>
      </c>
      <c r="H141" s="2191">
        <v>0</v>
      </c>
      <c r="I141" s="2188" t="s">
        <v>770</v>
      </c>
      <c r="J141" s="2191">
        <v>0</v>
      </c>
    </row>
    <row r="142" spans="1:10" ht="14.1" hidden="1" customHeight="1">
      <c r="A142" s="2193">
        <v>38838</v>
      </c>
      <c r="B142" s="2198">
        <v>0</v>
      </c>
      <c r="C142" s="2192" t="s">
        <v>770</v>
      </c>
      <c r="D142" s="2188">
        <v>0</v>
      </c>
      <c r="E142" s="2189" t="s">
        <v>770</v>
      </c>
      <c r="F142" s="2190">
        <v>0</v>
      </c>
      <c r="G142" s="2191" t="s">
        <v>770</v>
      </c>
      <c r="H142" s="2191">
        <v>0</v>
      </c>
      <c r="I142" s="2188" t="s">
        <v>770</v>
      </c>
      <c r="J142" s="2191">
        <v>0</v>
      </c>
    </row>
    <row r="143" spans="1:10" ht="14.1" hidden="1" customHeight="1">
      <c r="A143" s="2193">
        <v>38869</v>
      </c>
      <c r="B143" s="2198">
        <v>10</v>
      </c>
      <c r="C143" s="2192">
        <v>30.95</v>
      </c>
      <c r="D143" s="2188">
        <v>0</v>
      </c>
      <c r="E143" s="2189" t="s">
        <v>770</v>
      </c>
      <c r="F143" s="2190">
        <v>0</v>
      </c>
      <c r="G143" s="2191" t="s">
        <v>770</v>
      </c>
      <c r="H143" s="2191">
        <v>0</v>
      </c>
      <c r="I143" s="2188" t="s">
        <v>770</v>
      </c>
      <c r="J143" s="2191">
        <v>0</v>
      </c>
    </row>
    <row r="144" spans="1:10" ht="14.1" hidden="1" customHeight="1">
      <c r="A144" s="2193">
        <v>38899</v>
      </c>
      <c r="B144" s="2198">
        <v>9.5</v>
      </c>
      <c r="C144" s="2192" t="s">
        <v>3145</v>
      </c>
      <c r="D144" s="2188">
        <v>0</v>
      </c>
      <c r="E144" s="2189" t="s">
        <v>770</v>
      </c>
      <c r="F144" s="2190">
        <v>0</v>
      </c>
      <c r="G144" s="2191" t="s">
        <v>770</v>
      </c>
      <c r="H144" s="2191">
        <v>0</v>
      </c>
      <c r="I144" s="2188" t="s">
        <v>770</v>
      </c>
      <c r="J144" s="2191">
        <v>0</v>
      </c>
    </row>
    <row r="145" spans="1:10" ht="14.1" hidden="1" customHeight="1">
      <c r="A145" s="2193">
        <v>38930</v>
      </c>
      <c r="B145" s="2198">
        <v>31</v>
      </c>
      <c r="C145" s="2192">
        <v>32.159999999999997</v>
      </c>
      <c r="D145" s="2188">
        <v>0</v>
      </c>
      <c r="E145" s="2189" t="s">
        <v>770</v>
      </c>
      <c r="F145" s="2190">
        <v>0</v>
      </c>
      <c r="G145" s="2191" t="s">
        <v>770</v>
      </c>
      <c r="H145" s="2191">
        <v>0</v>
      </c>
      <c r="I145" s="2188" t="s">
        <v>770</v>
      </c>
      <c r="J145" s="2191">
        <v>0</v>
      </c>
    </row>
    <row r="146" spans="1:10" ht="14.1" hidden="1" customHeight="1">
      <c r="A146" s="2193">
        <v>38961</v>
      </c>
      <c r="B146" s="2198">
        <v>31.8</v>
      </c>
      <c r="C146" s="2192">
        <v>32.159999999999997</v>
      </c>
      <c r="D146" s="2188">
        <v>0</v>
      </c>
      <c r="E146" s="2189" t="s">
        <v>770</v>
      </c>
      <c r="F146" s="2190">
        <v>0</v>
      </c>
      <c r="G146" s="2191" t="s">
        <v>770</v>
      </c>
      <c r="H146" s="2191">
        <v>0</v>
      </c>
      <c r="I146" s="2188" t="s">
        <v>770</v>
      </c>
      <c r="J146" s="2191">
        <v>0</v>
      </c>
    </row>
    <row r="147" spans="1:10" ht="14.1" hidden="1" customHeight="1">
      <c r="A147" s="2193">
        <v>38991</v>
      </c>
      <c r="B147" s="2198">
        <v>15.4</v>
      </c>
      <c r="C147" s="2192">
        <v>32.159999999999997</v>
      </c>
      <c r="D147" s="2188">
        <v>0</v>
      </c>
      <c r="E147" s="2189" t="s">
        <v>770</v>
      </c>
      <c r="F147" s="2190">
        <v>0</v>
      </c>
      <c r="G147" s="2191" t="s">
        <v>770</v>
      </c>
      <c r="H147" s="2191">
        <v>0</v>
      </c>
      <c r="I147" s="2188" t="s">
        <v>770</v>
      </c>
      <c r="J147" s="2191">
        <v>0</v>
      </c>
    </row>
    <row r="148" spans="1:10" ht="14.1" hidden="1" customHeight="1">
      <c r="A148" s="2193">
        <v>39022</v>
      </c>
      <c r="B148" s="2198">
        <v>10.5</v>
      </c>
      <c r="C148" s="2192">
        <v>32.299999999999997</v>
      </c>
      <c r="D148" s="2188">
        <v>0</v>
      </c>
      <c r="E148" s="2189" t="s">
        <v>770</v>
      </c>
      <c r="F148" s="2190">
        <v>0</v>
      </c>
      <c r="G148" s="2191" t="s">
        <v>770</v>
      </c>
      <c r="H148" s="2191">
        <v>0</v>
      </c>
      <c r="I148" s="2188" t="s">
        <v>770</v>
      </c>
      <c r="J148" s="2191">
        <v>0</v>
      </c>
    </row>
    <row r="149" spans="1:10" ht="14.1" hidden="1" customHeight="1">
      <c r="A149" s="2193">
        <v>39052</v>
      </c>
      <c r="B149" s="2198">
        <v>22.4</v>
      </c>
      <c r="C149" s="2192" t="s">
        <v>3146</v>
      </c>
      <c r="D149" s="2188">
        <v>0</v>
      </c>
      <c r="E149" s="2189" t="s">
        <v>770</v>
      </c>
      <c r="F149" s="2190">
        <v>0</v>
      </c>
      <c r="G149" s="2191" t="s">
        <v>770</v>
      </c>
      <c r="H149" s="2191">
        <v>0</v>
      </c>
      <c r="I149" s="2188" t="s">
        <v>770</v>
      </c>
      <c r="J149" s="2191">
        <v>0</v>
      </c>
    </row>
    <row r="150" spans="1:10" ht="14.1" hidden="1" customHeight="1">
      <c r="A150" s="2193">
        <v>39083</v>
      </c>
      <c r="B150" s="2198">
        <v>38</v>
      </c>
      <c r="C150" s="2192">
        <v>32.799999999999997</v>
      </c>
      <c r="D150" s="2188">
        <v>0</v>
      </c>
      <c r="E150" s="2189" t="s">
        <v>770</v>
      </c>
      <c r="F150" s="2190">
        <v>0</v>
      </c>
      <c r="G150" s="2191" t="s">
        <v>770</v>
      </c>
      <c r="H150" s="2191">
        <v>0</v>
      </c>
      <c r="I150" s="2188" t="s">
        <v>770</v>
      </c>
      <c r="J150" s="2191">
        <v>0</v>
      </c>
    </row>
    <row r="151" spans="1:10" ht="14.1" hidden="1" customHeight="1">
      <c r="A151" s="2193">
        <v>39114</v>
      </c>
      <c r="B151" s="2198">
        <v>10.8</v>
      </c>
      <c r="C151" s="2192">
        <v>32.75</v>
      </c>
      <c r="D151" s="2188">
        <v>64</v>
      </c>
      <c r="E151" s="2189" t="s">
        <v>3147</v>
      </c>
      <c r="F151" s="2190">
        <v>0</v>
      </c>
      <c r="G151" s="2191" t="s">
        <v>770</v>
      </c>
      <c r="H151" s="2191">
        <v>0</v>
      </c>
      <c r="I151" s="2188" t="s">
        <v>770</v>
      </c>
      <c r="J151" s="2191">
        <v>0</v>
      </c>
    </row>
    <row r="152" spans="1:10" ht="14.1" hidden="1" customHeight="1">
      <c r="A152" s="2193">
        <v>39142</v>
      </c>
      <c r="B152" s="2198">
        <v>0</v>
      </c>
      <c r="C152" s="2192" t="s">
        <v>770</v>
      </c>
      <c r="D152" s="2188">
        <v>75.3</v>
      </c>
      <c r="E152" s="2189" t="s">
        <v>3148</v>
      </c>
      <c r="F152" s="2190">
        <v>0</v>
      </c>
      <c r="G152" s="2191" t="s">
        <v>770</v>
      </c>
      <c r="H152" s="2191">
        <v>0</v>
      </c>
      <c r="I152" s="2188" t="s">
        <v>770</v>
      </c>
      <c r="J152" s="2191">
        <v>0</v>
      </c>
    </row>
    <row r="153" spans="1:10" ht="14.1" hidden="1" customHeight="1">
      <c r="A153" s="2193">
        <v>39173</v>
      </c>
      <c r="B153" s="2198">
        <v>0</v>
      </c>
      <c r="C153" s="2192" t="s">
        <v>770</v>
      </c>
      <c r="D153" s="2188">
        <v>113.5</v>
      </c>
      <c r="E153" s="2189" t="s">
        <v>3149</v>
      </c>
      <c r="F153" s="2190">
        <v>0</v>
      </c>
      <c r="G153" s="2191" t="s">
        <v>770</v>
      </c>
      <c r="H153" s="2191">
        <v>0</v>
      </c>
      <c r="I153" s="2188" t="s">
        <v>770</v>
      </c>
      <c r="J153" s="2191">
        <v>0</v>
      </c>
    </row>
    <row r="154" spans="1:10" ht="14.1" hidden="1" customHeight="1">
      <c r="A154" s="2193">
        <v>39203</v>
      </c>
      <c r="B154" s="2198">
        <v>0</v>
      </c>
      <c r="C154" s="2192" t="s">
        <v>770</v>
      </c>
      <c r="D154" s="2188">
        <v>0</v>
      </c>
      <c r="E154" s="2189" t="s">
        <v>770</v>
      </c>
      <c r="F154" s="2190">
        <v>0</v>
      </c>
      <c r="G154" s="2191" t="s">
        <v>770</v>
      </c>
      <c r="H154" s="2191">
        <v>0</v>
      </c>
      <c r="I154" s="2188" t="s">
        <v>770</v>
      </c>
      <c r="J154" s="2191">
        <v>0</v>
      </c>
    </row>
    <row r="155" spans="1:10" ht="14.1" hidden="1" customHeight="1">
      <c r="A155" s="2193">
        <v>39234</v>
      </c>
      <c r="B155" s="2198">
        <v>0</v>
      </c>
      <c r="C155" s="2192" t="s">
        <v>770</v>
      </c>
      <c r="D155" s="2188">
        <v>0</v>
      </c>
      <c r="E155" s="2189" t="s">
        <v>770</v>
      </c>
      <c r="F155" s="2190">
        <v>0</v>
      </c>
      <c r="G155" s="2191" t="s">
        <v>770</v>
      </c>
      <c r="H155" s="2191">
        <v>0</v>
      </c>
      <c r="I155" s="2188" t="s">
        <v>770</v>
      </c>
      <c r="J155" s="2191">
        <v>0</v>
      </c>
    </row>
    <row r="156" spans="1:10" ht="14.1" hidden="1" customHeight="1">
      <c r="A156" s="2193">
        <v>39264</v>
      </c>
      <c r="B156" s="2198">
        <v>0</v>
      </c>
      <c r="C156" s="2192" t="s">
        <v>770</v>
      </c>
      <c r="D156" s="2188">
        <v>0</v>
      </c>
      <c r="E156" s="2189" t="s">
        <v>770</v>
      </c>
      <c r="F156" s="2190">
        <v>0</v>
      </c>
      <c r="G156" s="2191" t="s">
        <v>770</v>
      </c>
      <c r="H156" s="2191">
        <v>0</v>
      </c>
      <c r="I156" s="2188" t="s">
        <v>770</v>
      </c>
      <c r="J156" s="2191">
        <v>0</v>
      </c>
    </row>
    <row r="157" spans="1:10" ht="14.1" hidden="1" customHeight="1">
      <c r="A157" s="2193">
        <v>39295</v>
      </c>
      <c r="B157" s="2198">
        <v>0</v>
      </c>
      <c r="C157" s="2192" t="s">
        <v>770</v>
      </c>
      <c r="D157" s="2188">
        <v>0</v>
      </c>
      <c r="E157" s="2189" t="s">
        <v>770</v>
      </c>
      <c r="F157" s="2190">
        <v>0</v>
      </c>
      <c r="G157" s="2191" t="s">
        <v>770</v>
      </c>
      <c r="H157" s="2191">
        <v>0</v>
      </c>
      <c r="I157" s="2188" t="s">
        <v>770</v>
      </c>
      <c r="J157" s="2191">
        <v>0</v>
      </c>
    </row>
    <row r="158" spans="1:10" ht="14.1" hidden="1" customHeight="1">
      <c r="A158" s="2193">
        <v>39326</v>
      </c>
      <c r="B158" s="2198">
        <v>0</v>
      </c>
      <c r="C158" s="2192" t="s">
        <v>770</v>
      </c>
      <c r="D158" s="2188">
        <v>0</v>
      </c>
      <c r="E158" s="2189" t="s">
        <v>770</v>
      </c>
      <c r="F158" s="2190">
        <v>0</v>
      </c>
      <c r="G158" s="2191" t="s">
        <v>770</v>
      </c>
      <c r="H158" s="2191">
        <v>0</v>
      </c>
      <c r="I158" s="2188" t="s">
        <v>770</v>
      </c>
      <c r="J158" s="2191">
        <v>0</v>
      </c>
    </row>
    <row r="159" spans="1:10" ht="14.1" hidden="1" customHeight="1">
      <c r="A159" s="2193">
        <v>39387</v>
      </c>
      <c r="B159" s="2188">
        <v>0</v>
      </c>
      <c r="C159" s="2192" t="s">
        <v>770</v>
      </c>
      <c r="D159" s="2188">
        <v>0</v>
      </c>
      <c r="E159" s="2189" t="s">
        <v>770</v>
      </c>
      <c r="F159" s="2190">
        <v>0</v>
      </c>
      <c r="G159" s="2191" t="s">
        <v>770</v>
      </c>
      <c r="H159" s="2191">
        <v>0</v>
      </c>
      <c r="I159" s="2188" t="s">
        <v>770</v>
      </c>
      <c r="J159" s="2191">
        <v>0</v>
      </c>
    </row>
    <row r="160" spans="1:10" ht="14.1" hidden="1" customHeight="1">
      <c r="A160" s="2193">
        <v>39417</v>
      </c>
      <c r="B160" s="2188">
        <v>0</v>
      </c>
      <c r="C160" s="2192" t="s">
        <v>770</v>
      </c>
      <c r="D160" s="2188">
        <v>0</v>
      </c>
      <c r="E160" s="2189" t="s">
        <v>770</v>
      </c>
      <c r="F160" s="2190">
        <v>40.5</v>
      </c>
      <c r="G160" s="2195">
        <v>41.62</v>
      </c>
      <c r="H160" s="2191">
        <v>0</v>
      </c>
      <c r="I160" s="2196" t="s">
        <v>770</v>
      </c>
      <c r="J160" s="2191">
        <v>0</v>
      </c>
    </row>
    <row r="161" spans="1:10" ht="14.1" hidden="1" customHeight="1">
      <c r="A161" s="2193">
        <v>39448</v>
      </c>
      <c r="B161" s="2188">
        <v>0</v>
      </c>
      <c r="C161" s="2192" t="s">
        <v>770</v>
      </c>
      <c r="D161" s="2188">
        <v>21</v>
      </c>
      <c r="E161" s="2189" t="s">
        <v>3150</v>
      </c>
      <c r="F161" s="2190">
        <v>0</v>
      </c>
      <c r="G161" s="2195" t="s">
        <v>770</v>
      </c>
      <c r="H161" s="2191">
        <v>1</v>
      </c>
      <c r="I161" s="2196">
        <v>56.62</v>
      </c>
      <c r="J161" s="2191">
        <v>1</v>
      </c>
    </row>
    <row r="162" spans="1:10" ht="14.1" hidden="1" customHeight="1">
      <c r="A162" s="2193">
        <v>39479</v>
      </c>
      <c r="B162" s="2188">
        <v>0</v>
      </c>
      <c r="C162" s="2192" t="s">
        <v>770</v>
      </c>
      <c r="D162" s="2188">
        <v>35</v>
      </c>
      <c r="E162" s="2189" t="s">
        <v>3151</v>
      </c>
      <c r="F162" s="2190">
        <v>0</v>
      </c>
      <c r="G162" s="2195" t="s">
        <v>770</v>
      </c>
      <c r="H162" s="2191">
        <v>0</v>
      </c>
      <c r="I162" s="2196" t="s">
        <v>770</v>
      </c>
      <c r="J162" s="2191">
        <v>0</v>
      </c>
    </row>
    <row r="163" spans="1:10" ht="14.1" hidden="1" customHeight="1">
      <c r="A163" s="2193">
        <v>39508</v>
      </c>
      <c r="B163" s="2188">
        <v>0</v>
      </c>
      <c r="C163" s="2192" t="s">
        <v>770</v>
      </c>
      <c r="D163" s="2188">
        <v>120</v>
      </c>
      <c r="E163" s="2189" t="s">
        <v>3152</v>
      </c>
      <c r="F163" s="2190">
        <v>5.5</v>
      </c>
      <c r="G163" s="2195" t="s">
        <v>3153</v>
      </c>
      <c r="H163" s="2191">
        <v>0</v>
      </c>
      <c r="I163" s="2196" t="s">
        <v>770</v>
      </c>
      <c r="J163" s="2191">
        <v>0</v>
      </c>
    </row>
    <row r="164" spans="1:10" ht="14.1" hidden="1" customHeight="1">
      <c r="A164" s="2193">
        <v>39539</v>
      </c>
      <c r="B164" s="2188">
        <v>0</v>
      </c>
      <c r="C164" s="2192" t="s">
        <v>770</v>
      </c>
      <c r="D164" s="2188">
        <v>54</v>
      </c>
      <c r="E164" s="2194">
        <v>25.9</v>
      </c>
      <c r="F164" s="2190">
        <v>0</v>
      </c>
      <c r="G164" s="2195" t="s">
        <v>770</v>
      </c>
      <c r="H164" s="2191">
        <v>0</v>
      </c>
      <c r="I164" s="2196" t="s">
        <v>770</v>
      </c>
      <c r="J164" s="2191">
        <v>0</v>
      </c>
    </row>
    <row r="165" spans="1:10" ht="14.1" hidden="1" customHeight="1">
      <c r="A165" s="2193">
        <v>39569</v>
      </c>
      <c r="B165" s="2188">
        <v>30</v>
      </c>
      <c r="C165" s="2192" t="s">
        <v>3154</v>
      </c>
      <c r="D165" s="2188">
        <v>0</v>
      </c>
      <c r="E165" s="2194" t="s">
        <v>770</v>
      </c>
      <c r="F165" s="2190">
        <v>0</v>
      </c>
      <c r="G165" s="2195" t="s">
        <v>770</v>
      </c>
      <c r="H165" s="2191">
        <v>0</v>
      </c>
      <c r="I165" s="2196" t="s">
        <v>770</v>
      </c>
      <c r="J165" s="2191">
        <v>0</v>
      </c>
    </row>
    <row r="166" spans="1:10" ht="14.1" hidden="1" customHeight="1">
      <c r="A166" s="2193">
        <v>39600</v>
      </c>
      <c r="B166" s="2188">
        <v>15</v>
      </c>
      <c r="C166" s="2192">
        <v>27.25</v>
      </c>
      <c r="D166" s="2188">
        <v>0</v>
      </c>
      <c r="E166" s="2194" t="s">
        <v>770</v>
      </c>
      <c r="F166" s="2190">
        <v>0</v>
      </c>
      <c r="G166" s="2195" t="s">
        <v>770</v>
      </c>
      <c r="H166" s="2191">
        <v>0</v>
      </c>
      <c r="I166" s="2196" t="s">
        <v>770</v>
      </c>
      <c r="J166" s="2191">
        <v>0</v>
      </c>
    </row>
    <row r="167" spans="1:10" ht="14.1" hidden="1" customHeight="1">
      <c r="A167" s="2193">
        <v>39630</v>
      </c>
      <c r="B167" s="2188">
        <v>0</v>
      </c>
      <c r="C167" s="2192" t="s">
        <v>770</v>
      </c>
      <c r="D167" s="2188">
        <v>0</v>
      </c>
      <c r="E167" s="2194" t="s">
        <v>770</v>
      </c>
      <c r="F167" s="2190">
        <v>0</v>
      </c>
      <c r="G167" s="2195" t="s">
        <v>770</v>
      </c>
      <c r="H167" s="2191">
        <v>0</v>
      </c>
      <c r="I167" s="2196" t="s">
        <v>770</v>
      </c>
      <c r="J167" s="2191">
        <v>0</v>
      </c>
    </row>
    <row r="168" spans="1:10" ht="14.1" hidden="1" customHeight="1">
      <c r="A168" s="2193">
        <v>39661</v>
      </c>
      <c r="B168" s="2188">
        <v>25</v>
      </c>
      <c r="C168" s="2192">
        <v>27.95</v>
      </c>
      <c r="D168" s="2188">
        <v>0</v>
      </c>
      <c r="E168" s="2194" t="s">
        <v>770</v>
      </c>
      <c r="F168" s="2190">
        <v>0</v>
      </c>
      <c r="G168" s="2195" t="s">
        <v>770</v>
      </c>
      <c r="H168" s="2191">
        <v>0</v>
      </c>
      <c r="I168" s="2196" t="s">
        <v>770</v>
      </c>
      <c r="J168" s="2191">
        <v>0</v>
      </c>
    </row>
    <row r="169" spans="1:10" ht="14.1" hidden="1" customHeight="1">
      <c r="A169" s="2193">
        <v>39722</v>
      </c>
      <c r="B169" s="2188">
        <v>70</v>
      </c>
      <c r="C169" s="2192" t="s">
        <v>3155</v>
      </c>
      <c r="D169" s="2188">
        <v>0</v>
      </c>
      <c r="E169" s="2194" t="s">
        <v>770</v>
      </c>
      <c r="F169" s="2190">
        <v>0</v>
      </c>
      <c r="G169" s="2195" t="s">
        <v>770</v>
      </c>
      <c r="H169" s="2191">
        <v>0</v>
      </c>
      <c r="I169" s="2196" t="s">
        <v>770</v>
      </c>
      <c r="J169" s="2191">
        <v>0</v>
      </c>
    </row>
    <row r="170" spans="1:10" ht="14.1" hidden="1" customHeight="1">
      <c r="A170" s="2193">
        <v>39753</v>
      </c>
      <c r="B170" s="2188">
        <v>55</v>
      </c>
      <c r="C170" s="2192" t="s">
        <v>3156</v>
      </c>
      <c r="D170" s="2188">
        <v>0</v>
      </c>
      <c r="E170" s="2194" t="s">
        <v>770</v>
      </c>
      <c r="F170" s="2190">
        <v>0</v>
      </c>
      <c r="G170" s="2195" t="s">
        <v>770</v>
      </c>
      <c r="H170" s="2191">
        <v>0</v>
      </c>
      <c r="I170" s="2196" t="s">
        <v>770</v>
      </c>
      <c r="J170" s="2191">
        <v>0</v>
      </c>
    </row>
    <row r="171" spans="1:10" ht="14.1" hidden="1" customHeight="1">
      <c r="A171" s="2193">
        <v>39783</v>
      </c>
      <c r="B171" s="2188">
        <v>0</v>
      </c>
      <c r="C171" s="2192" t="s">
        <v>770</v>
      </c>
      <c r="D171" s="2188">
        <v>0</v>
      </c>
      <c r="E171" s="2194" t="s">
        <v>770</v>
      </c>
      <c r="F171" s="2190">
        <v>0</v>
      </c>
      <c r="G171" s="2195" t="s">
        <v>770</v>
      </c>
      <c r="H171" s="2191">
        <v>0</v>
      </c>
      <c r="I171" s="2196" t="s">
        <v>770</v>
      </c>
      <c r="J171" s="2191">
        <v>0</v>
      </c>
    </row>
    <row r="172" spans="1:10" ht="14.1" hidden="1" customHeight="1">
      <c r="A172" s="2193">
        <v>39814</v>
      </c>
      <c r="B172" s="2188">
        <v>0</v>
      </c>
      <c r="C172" s="2192" t="s">
        <v>770</v>
      </c>
      <c r="D172" s="2188">
        <v>0</v>
      </c>
      <c r="E172" s="2194" t="s">
        <v>770</v>
      </c>
      <c r="F172" s="2190">
        <v>0</v>
      </c>
      <c r="G172" s="2195" t="s">
        <v>770</v>
      </c>
      <c r="H172" s="2191">
        <v>0</v>
      </c>
      <c r="I172" s="2196" t="s">
        <v>770</v>
      </c>
      <c r="J172" s="2191">
        <v>0</v>
      </c>
    </row>
    <row r="173" spans="1:10" ht="14.1" hidden="1" customHeight="1">
      <c r="A173" s="2193">
        <v>39845</v>
      </c>
      <c r="B173" s="2199">
        <v>0</v>
      </c>
      <c r="C173" s="2192" t="s">
        <v>770</v>
      </c>
      <c r="D173" s="2188">
        <v>0</v>
      </c>
      <c r="E173" s="2194" t="s">
        <v>770</v>
      </c>
      <c r="F173" s="2190">
        <v>0</v>
      </c>
      <c r="G173" s="2195" t="s">
        <v>770</v>
      </c>
      <c r="H173" s="2191">
        <v>0</v>
      </c>
      <c r="I173" s="2196" t="s">
        <v>770</v>
      </c>
      <c r="J173" s="2191">
        <v>0</v>
      </c>
    </row>
    <row r="174" spans="1:10" ht="14.1" hidden="1" customHeight="1">
      <c r="A174" s="2193">
        <v>39873</v>
      </c>
      <c r="B174" s="2199">
        <v>0</v>
      </c>
      <c r="C174" s="2192" t="s">
        <v>770</v>
      </c>
      <c r="D174" s="2188">
        <v>0</v>
      </c>
      <c r="E174" s="2194" t="s">
        <v>770</v>
      </c>
      <c r="F174" s="2190">
        <v>0</v>
      </c>
      <c r="G174" s="2195" t="s">
        <v>770</v>
      </c>
      <c r="H174" s="2191">
        <v>0</v>
      </c>
      <c r="I174" s="2196" t="s">
        <v>770</v>
      </c>
      <c r="J174" s="2191">
        <v>0</v>
      </c>
    </row>
    <row r="175" spans="1:10" ht="14.1" hidden="1" customHeight="1">
      <c r="A175" s="2193">
        <v>39904</v>
      </c>
      <c r="B175" s="2199">
        <v>0</v>
      </c>
      <c r="C175" s="2192" t="s">
        <v>770</v>
      </c>
      <c r="D175" s="2188">
        <v>0</v>
      </c>
      <c r="E175" s="2194" t="s">
        <v>770</v>
      </c>
      <c r="F175" s="2190">
        <v>0</v>
      </c>
      <c r="G175" s="2195" t="s">
        <v>770</v>
      </c>
      <c r="H175" s="2191">
        <v>0</v>
      </c>
      <c r="I175" s="2196" t="s">
        <v>770</v>
      </c>
      <c r="J175" s="2191">
        <v>0</v>
      </c>
    </row>
    <row r="176" spans="1:10" ht="14.1" hidden="1" customHeight="1">
      <c r="A176" s="2193">
        <v>39934</v>
      </c>
      <c r="B176" s="2199">
        <v>0</v>
      </c>
      <c r="C176" s="2192" t="s">
        <v>770</v>
      </c>
      <c r="D176" s="2188">
        <v>0</v>
      </c>
      <c r="E176" s="2194" t="s">
        <v>770</v>
      </c>
      <c r="F176" s="2190">
        <v>0</v>
      </c>
      <c r="G176" s="2195" t="s">
        <v>770</v>
      </c>
      <c r="H176" s="2191">
        <v>0</v>
      </c>
      <c r="I176" s="2196" t="s">
        <v>770</v>
      </c>
      <c r="J176" s="2191">
        <v>0</v>
      </c>
    </row>
    <row r="177" spans="1:10" ht="14.1" hidden="1" customHeight="1">
      <c r="A177" s="2193">
        <v>39965</v>
      </c>
      <c r="B177" s="2199">
        <v>0</v>
      </c>
      <c r="C177" s="2192" t="s">
        <v>770</v>
      </c>
      <c r="D177" s="2188">
        <v>0</v>
      </c>
      <c r="E177" s="2194" t="s">
        <v>770</v>
      </c>
      <c r="F177" s="2190">
        <v>0</v>
      </c>
      <c r="G177" s="2195" t="s">
        <v>770</v>
      </c>
      <c r="H177" s="2191">
        <v>0</v>
      </c>
      <c r="I177" s="2196" t="s">
        <v>770</v>
      </c>
      <c r="J177" s="2191">
        <v>0</v>
      </c>
    </row>
    <row r="178" spans="1:10" ht="17.25" hidden="1" customHeight="1" thickTop="1">
      <c r="A178" s="2193">
        <v>39995</v>
      </c>
      <c r="B178" s="2199">
        <v>0</v>
      </c>
      <c r="C178" s="2192" t="s">
        <v>770</v>
      </c>
      <c r="D178" s="2188">
        <v>0</v>
      </c>
      <c r="E178" s="2194" t="s">
        <v>770</v>
      </c>
      <c r="F178" s="2190">
        <v>0</v>
      </c>
      <c r="G178" s="2195" t="s">
        <v>770</v>
      </c>
      <c r="H178" s="2191">
        <v>0</v>
      </c>
      <c r="I178" s="2196" t="s">
        <v>770</v>
      </c>
      <c r="J178" s="2191">
        <v>0</v>
      </c>
    </row>
    <row r="179" spans="1:10" ht="14.1" hidden="1" customHeight="1" thickTop="1">
      <c r="A179" s="2193">
        <v>40026</v>
      </c>
      <c r="B179" s="2199">
        <v>0</v>
      </c>
      <c r="C179" s="2192" t="s">
        <v>770</v>
      </c>
      <c r="D179" s="2188">
        <v>0</v>
      </c>
      <c r="E179" s="2194" t="s">
        <v>770</v>
      </c>
      <c r="F179" s="2190">
        <v>0</v>
      </c>
      <c r="G179" s="2195" t="s">
        <v>770</v>
      </c>
      <c r="H179" s="2191">
        <v>0</v>
      </c>
      <c r="I179" s="2196" t="s">
        <v>770</v>
      </c>
      <c r="J179" s="2191">
        <v>0</v>
      </c>
    </row>
    <row r="180" spans="1:10" ht="14.1" hidden="1" customHeight="1" thickTop="1">
      <c r="A180" s="2193">
        <v>40057</v>
      </c>
      <c r="B180" s="2199">
        <v>0</v>
      </c>
      <c r="C180" s="2192" t="s">
        <v>770</v>
      </c>
      <c r="D180" s="2188">
        <v>0</v>
      </c>
      <c r="E180" s="2194" t="s">
        <v>770</v>
      </c>
      <c r="F180" s="2190">
        <v>0</v>
      </c>
      <c r="G180" s="2195" t="s">
        <v>770</v>
      </c>
      <c r="H180" s="2191">
        <v>0</v>
      </c>
      <c r="I180" s="2196" t="s">
        <v>770</v>
      </c>
      <c r="J180" s="2191">
        <v>0</v>
      </c>
    </row>
    <row r="181" spans="1:10" ht="14.1" hidden="1" customHeight="1" thickTop="1">
      <c r="A181" s="2200">
        <v>40087</v>
      </c>
      <c r="B181" s="2201">
        <v>0</v>
      </c>
      <c r="C181" s="2202" t="s">
        <v>770</v>
      </c>
      <c r="D181" s="2203">
        <v>0</v>
      </c>
      <c r="E181" s="2204" t="s">
        <v>770</v>
      </c>
      <c r="F181" s="2205">
        <v>0</v>
      </c>
      <c r="G181" s="1239" t="s">
        <v>770</v>
      </c>
      <c r="H181" s="2206">
        <v>0</v>
      </c>
      <c r="I181" s="1316" t="s">
        <v>770</v>
      </c>
      <c r="J181" s="2206">
        <v>0</v>
      </c>
    </row>
    <row r="182" spans="1:10" ht="15" hidden="1" customHeight="1" thickTop="1">
      <c r="A182" s="2200">
        <v>40118</v>
      </c>
      <c r="B182" s="2201">
        <v>0</v>
      </c>
      <c r="C182" s="2202" t="s">
        <v>770</v>
      </c>
      <c r="D182" s="2203">
        <v>0</v>
      </c>
      <c r="E182" s="2204" t="s">
        <v>770</v>
      </c>
      <c r="F182" s="2205">
        <v>0</v>
      </c>
      <c r="G182" s="1239" t="s">
        <v>770</v>
      </c>
      <c r="H182" s="2206">
        <v>0</v>
      </c>
      <c r="I182" s="1316" t="s">
        <v>770</v>
      </c>
      <c r="J182" s="2206">
        <v>0</v>
      </c>
    </row>
    <row r="183" spans="1:10" ht="15" hidden="1" customHeight="1" thickTop="1">
      <c r="A183" s="2200">
        <v>40148</v>
      </c>
      <c r="B183" s="2201">
        <v>0</v>
      </c>
      <c r="C183" s="2202" t="s">
        <v>770</v>
      </c>
      <c r="D183" s="2203">
        <v>0</v>
      </c>
      <c r="E183" s="2204" t="s">
        <v>770</v>
      </c>
      <c r="F183" s="2205">
        <v>0</v>
      </c>
      <c r="G183" s="1239" t="s">
        <v>770</v>
      </c>
      <c r="H183" s="2206">
        <v>0</v>
      </c>
      <c r="I183" s="1316" t="s">
        <v>770</v>
      </c>
      <c r="J183" s="2206">
        <v>0</v>
      </c>
    </row>
    <row r="184" spans="1:10" ht="15" hidden="1" customHeight="1" thickTop="1">
      <c r="A184" s="2200">
        <v>40179</v>
      </c>
      <c r="B184" s="2201">
        <v>0</v>
      </c>
      <c r="C184" s="2202" t="s">
        <v>770</v>
      </c>
      <c r="D184" s="2203">
        <v>0</v>
      </c>
      <c r="E184" s="2204" t="s">
        <v>770</v>
      </c>
      <c r="F184" s="2205">
        <v>0</v>
      </c>
      <c r="G184" s="1239" t="s">
        <v>770</v>
      </c>
      <c r="H184" s="2206">
        <v>0</v>
      </c>
      <c r="I184" s="1316" t="s">
        <v>770</v>
      </c>
      <c r="J184" s="2206">
        <v>0</v>
      </c>
    </row>
    <row r="185" spans="1:10" ht="15" hidden="1" customHeight="1" thickTop="1">
      <c r="A185" s="2200">
        <v>40210</v>
      </c>
      <c r="B185" s="2201">
        <v>0</v>
      </c>
      <c r="C185" s="2202" t="s">
        <v>770</v>
      </c>
      <c r="D185" s="2203">
        <v>0</v>
      </c>
      <c r="E185" s="2204" t="s">
        <v>770</v>
      </c>
      <c r="F185" s="2205">
        <v>0</v>
      </c>
      <c r="G185" s="1239" t="s">
        <v>770</v>
      </c>
      <c r="H185" s="2206">
        <v>0</v>
      </c>
      <c r="I185" s="1316" t="s">
        <v>770</v>
      </c>
      <c r="J185" s="2206">
        <v>0</v>
      </c>
    </row>
    <row r="186" spans="1:10" ht="15" hidden="1" customHeight="1" thickTop="1">
      <c r="A186" s="2200">
        <v>40238</v>
      </c>
      <c r="B186" s="2201">
        <v>0</v>
      </c>
      <c r="C186" s="2202" t="s">
        <v>770</v>
      </c>
      <c r="D186" s="2203">
        <v>0</v>
      </c>
      <c r="E186" s="2204" t="s">
        <v>770</v>
      </c>
      <c r="F186" s="2205">
        <v>0</v>
      </c>
      <c r="G186" s="1239" t="s">
        <v>770</v>
      </c>
      <c r="H186" s="2206">
        <v>0</v>
      </c>
      <c r="I186" s="1316" t="s">
        <v>770</v>
      </c>
      <c r="J186" s="2206">
        <v>0</v>
      </c>
    </row>
    <row r="187" spans="1:10" ht="15" hidden="1" customHeight="1" thickTop="1">
      <c r="A187" s="2200">
        <v>40269</v>
      </c>
      <c r="B187" s="2201">
        <v>0</v>
      </c>
      <c r="C187" s="2202" t="s">
        <v>770</v>
      </c>
      <c r="D187" s="2203">
        <v>0</v>
      </c>
      <c r="E187" s="2204" t="s">
        <v>770</v>
      </c>
      <c r="F187" s="2205">
        <v>0</v>
      </c>
      <c r="G187" s="1239" t="s">
        <v>770</v>
      </c>
      <c r="H187" s="2206">
        <v>0</v>
      </c>
      <c r="I187" s="1316" t="s">
        <v>770</v>
      </c>
      <c r="J187" s="2206">
        <v>0</v>
      </c>
    </row>
    <row r="188" spans="1:10" ht="15" hidden="1" customHeight="1" thickTop="1">
      <c r="A188" s="2200">
        <v>40299</v>
      </c>
      <c r="B188" s="2201">
        <v>0</v>
      </c>
      <c r="C188" s="2202" t="s">
        <v>770</v>
      </c>
      <c r="D188" s="2203">
        <v>0</v>
      </c>
      <c r="E188" s="2204" t="s">
        <v>770</v>
      </c>
      <c r="F188" s="2205">
        <v>0</v>
      </c>
      <c r="G188" s="1239" t="s">
        <v>770</v>
      </c>
      <c r="H188" s="2206">
        <v>0</v>
      </c>
      <c r="I188" s="1316" t="s">
        <v>770</v>
      </c>
      <c r="J188" s="2206">
        <v>0</v>
      </c>
    </row>
    <row r="189" spans="1:10" ht="15" hidden="1" customHeight="1" thickTop="1">
      <c r="A189" s="2200">
        <v>40330</v>
      </c>
      <c r="B189" s="2201">
        <v>0</v>
      </c>
      <c r="C189" s="2202" t="s">
        <v>770</v>
      </c>
      <c r="D189" s="2203">
        <v>0</v>
      </c>
      <c r="E189" s="2204" t="s">
        <v>770</v>
      </c>
      <c r="F189" s="2205">
        <v>0</v>
      </c>
      <c r="G189" s="1239" t="s">
        <v>770</v>
      </c>
      <c r="H189" s="2206">
        <v>0</v>
      </c>
      <c r="I189" s="1316" t="s">
        <v>770</v>
      </c>
      <c r="J189" s="2206">
        <v>0</v>
      </c>
    </row>
    <row r="190" spans="1:10" ht="15" hidden="1" customHeight="1" thickTop="1">
      <c r="A190" s="2200">
        <v>40360</v>
      </c>
      <c r="B190" s="2201">
        <v>0</v>
      </c>
      <c r="C190" s="2202" t="s">
        <v>770</v>
      </c>
      <c r="D190" s="2203">
        <v>27</v>
      </c>
      <c r="E190" s="2204" t="s">
        <v>3157</v>
      </c>
      <c r="F190" s="2207">
        <v>4.7</v>
      </c>
      <c r="G190" s="1239" t="s">
        <v>3158</v>
      </c>
      <c r="H190" s="2206">
        <v>0</v>
      </c>
      <c r="I190" s="1316" t="s">
        <v>770</v>
      </c>
      <c r="J190" s="2206">
        <v>0</v>
      </c>
    </row>
    <row r="191" spans="1:10" ht="15" hidden="1" customHeight="1" thickTop="1">
      <c r="A191" s="2200">
        <v>40391</v>
      </c>
      <c r="B191" s="2201">
        <v>0</v>
      </c>
      <c r="C191" s="2202" t="s">
        <v>770</v>
      </c>
      <c r="D191" s="1316">
        <v>8.15</v>
      </c>
      <c r="E191" s="2204" t="s">
        <v>3159</v>
      </c>
      <c r="F191" s="2207">
        <v>1.3</v>
      </c>
      <c r="G191" s="1239" t="s">
        <v>3160</v>
      </c>
      <c r="H191" s="2206">
        <v>0</v>
      </c>
      <c r="I191" s="1316" t="s">
        <v>770</v>
      </c>
      <c r="J191" s="2206">
        <v>0</v>
      </c>
    </row>
    <row r="192" spans="1:10" ht="15" hidden="1" customHeight="1" thickTop="1">
      <c r="A192" s="2200">
        <v>40422</v>
      </c>
      <c r="B192" s="2201">
        <v>0</v>
      </c>
      <c r="C192" s="2202" t="s">
        <v>770</v>
      </c>
      <c r="D192" s="1316">
        <v>60.35</v>
      </c>
      <c r="E192" s="2204" t="s">
        <v>3161</v>
      </c>
      <c r="F192" s="2207">
        <v>7.55</v>
      </c>
      <c r="G192" s="1239" t="s">
        <v>3162</v>
      </c>
      <c r="H192" s="2206">
        <v>0</v>
      </c>
      <c r="I192" s="1316" t="s">
        <v>770</v>
      </c>
      <c r="J192" s="2206">
        <v>0</v>
      </c>
    </row>
    <row r="193" spans="1:10" ht="15" hidden="1" customHeight="1" thickTop="1">
      <c r="A193" s="2200">
        <v>40452</v>
      </c>
      <c r="B193" s="2201">
        <v>0</v>
      </c>
      <c r="C193" s="2202" t="s">
        <v>770</v>
      </c>
      <c r="D193" s="1316">
        <v>103.69</v>
      </c>
      <c r="E193" s="2204" t="s">
        <v>3163</v>
      </c>
      <c r="F193" s="2207">
        <v>21.35</v>
      </c>
      <c r="G193" s="1239" t="s">
        <v>3164</v>
      </c>
      <c r="H193" s="2206">
        <v>0</v>
      </c>
      <c r="I193" s="1316" t="s">
        <v>770</v>
      </c>
      <c r="J193" s="2206">
        <v>0</v>
      </c>
    </row>
    <row r="194" spans="1:10" ht="15" hidden="1" customHeight="1" thickTop="1">
      <c r="A194" s="2200">
        <v>40483</v>
      </c>
      <c r="B194" s="2201">
        <v>0</v>
      </c>
      <c r="C194" s="2202" t="s">
        <v>770</v>
      </c>
      <c r="D194" s="1316">
        <v>93.3</v>
      </c>
      <c r="E194" s="2204" t="s">
        <v>3165</v>
      </c>
      <c r="F194" s="2207">
        <v>2.5750000000000002</v>
      </c>
      <c r="G194" s="1239" t="s">
        <v>3166</v>
      </c>
      <c r="H194" s="2206">
        <v>0</v>
      </c>
      <c r="I194" s="1316" t="s">
        <v>770</v>
      </c>
      <c r="J194" s="2206">
        <v>0</v>
      </c>
    </row>
    <row r="195" spans="1:10" ht="15" hidden="1" customHeight="1" thickTop="1">
      <c r="A195" s="2200">
        <v>40513</v>
      </c>
      <c r="B195" s="2201">
        <v>0</v>
      </c>
      <c r="C195" s="2202" t="s">
        <v>770</v>
      </c>
      <c r="D195" s="2208">
        <v>72.025000000000006</v>
      </c>
      <c r="E195" s="2204" t="s">
        <v>3167</v>
      </c>
      <c r="F195" s="2207">
        <v>15.337999999999999</v>
      </c>
      <c r="G195" s="1239" t="s">
        <v>3168</v>
      </c>
      <c r="H195" s="2206">
        <v>0</v>
      </c>
      <c r="I195" s="1316" t="s">
        <v>770</v>
      </c>
      <c r="J195" s="2206">
        <v>0</v>
      </c>
    </row>
    <row r="196" spans="1:10" ht="15" hidden="1" customHeight="1" thickTop="1">
      <c r="A196" s="2200">
        <v>40544</v>
      </c>
      <c r="B196" s="2209">
        <v>0.11799999999999999</v>
      </c>
      <c r="C196" s="2202">
        <v>30.48</v>
      </c>
      <c r="D196" s="2208">
        <v>17.295999999999999</v>
      </c>
      <c r="E196" s="2204" t="s">
        <v>3169</v>
      </c>
      <c r="F196" s="2210">
        <v>15.381</v>
      </c>
      <c r="G196" s="1239" t="s">
        <v>3170</v>
      </c>
      <c r="H196" s="2206">
        <v>0</v>
      </c>
      <c r="I196" s="1316" t="s">
        <v>770</v>
      </c>
      <c r="J196" s="2206">
        <v>0</v>
      </c>
    </row>
    <row r="197" spans="1:10" ht="15" hidden="1" customHeight="1" thickTop="1">
      <c r="A197" s="2200">
        <v>40575</v>
      </c>
      <c r="B197" s="2201">
        <v>0</v>
      </c>
      <c r="C197" s="2202" t="s">
        <v>770</v>
      </c>
      <c r="D197" s="2208">
        <v>22.375</v>
      </c>
      <c r="E197" s="2204" t="s">
        <v>3171</v>
      </c>
      <c r="F197" s="2207">
        <v>0.3</v>
      </c>
      <c r="G197" s="1239">
        <v>40.450000000000003</v>
      </c>
      <c r="H197" s="2206">
        <v>0</v>
      </c>
      <c r="I197" s="1316" t="s">
        <v>770</v>
      </c>
      <c r="J197" s="2206">
        <v>0</v>
      </c>
    </row>
    <row r="198" spans="1:10" ht="15" hidden="1" customHeight="1" thickTop="1">
      <c r="A198" s="2200">
        <v>40603</v>
      </c>
      <c r="B198" s="2201">
        <v>0</v>
      </c>
      <c r="C198" s="2202" t="s">
        <v>770</v>
      </c>
      <c r="D198" s="2208">
        <v>37.875</v>
      </c>
      <c r="E198" s="2204" t="s">
        <v>3172</v>
      </c>
      <c r="F198" s="2207">
        <v>2.0499999999999998</v>
      </c>
      <c r="G198" s="1239" t="s">
        <v>3173</v>
      </c>
      <c r="H198" s="2206">
        <v>0</v>
      </c>
      <c r="I198" s="1316" t="s">
        <v>770</v>
      </c>
      <c r="J198" s="2206">
        <v>0</v>
      </c>
    </row>
    <row r="199" spans="1:10" ht="15" hidden="1" customHeight="1" thickTop="1">
      <c r="A199" s="2200">
        <v>40634</v>
      </c>
      <c r="B199" s="2201">
        <v>0</v>
      </c>
      <c r="C199" s="2202" t="s">
        <v>770</v>
      </c>
      <c r="D199" s="2208">
        <v>73.394999999999996</v>
      </c>
      <c r="E199" s="2204" t="s">
        <v>3174</v>
      </c>
      <c r="F199" s="2207">
        <v>12</v>
      </c>
      <c r="G199" s="1239" t="s">
        <v>3175</v>
      </c>
      <c r="H199" s="2206">
        <v>0</v>
      </c>
      <c r="I199" s="1316" t="s">
        <v>770</v>
      </c>
      <c r="J199" s="2206">
        <v>0</v>
      </c>
    </row>
    <row r="200" spans="1:10" ht="15" hidden="1" customHeight="1" thickTop="1">
      <c r="A200" s="2200">
        <v>40664</v>
      </c>
      <c r="B200" s="2211">
        <v>10.25</v>
      </c>
      <c r="C200" s="2202" t="s">
        <v>3176</v>
      </c>
      <c r="D200" s="1316">
        <v>20.67</v>
      </c>
      <c r="E200" s="2204" t="s">
        <v>3177</v>
      </c>
      <c r="F200" s="2207">
        <v>14.14</v>
      </c>
      <c r="G200" s="1239" t="s">
        <v>3178</v>
      </c>
      <c r="H200" s="2206">
        <v>0</v>
      </c>
      <c r="I200" s="1316" t="s">
        <v>770</v>
      </c>
      <c r="J200" s="2206">
        <v>0</v>
      </c>
    </row>
    <row r="201" spans="1:10" ht="15" hidden="1" customHeight="1" thickTop="1">
      <c r="A201" s="2200">
        <v>40695</v>
      </c>
      <c r="B201" s="2211">
        <v>0.4</v>
      </c>
      <c r="C201" s="2202">
        <v>28</v>
      </c>
      <c r="D201" s="1316">
        <v>129.80000000000001</v>
      </c>
      <c r="E201" s="2204" t="s">
        <v>3179</v>
      </c>
      <c r="F201" s="2207">
        <v>9.6300000000000008</v>
      </c>
      <c r="G201" s="1239" t="s">
        <v>3180</v>
      </c>
      <c r="H201" s="2206">
        <v>1</v>
      </c>
      <c r="I201" s="1316">
        <v>46.38</v>
      </c>
      <c r="J201" s="2206">
        <v>0</v>
      </c>
    </row>
    <row r="202" spans="1:10" ht="15" hidden="1" customHeight="1" thickTop="1">
      <c r="A202" s="2200">
        <v>40756</v>
      </c>
      <c r="B202" s="2211">
        <v>29.53</v>
      </c>
      <c r="C202" s="2202" t="s">
        <v>3181</v>
      </c>
      <c r="D202" s="1316">
        <v>0</v>
      </c>
      <c r="E202" s="2204" t="s">
        <v>770</v>
      </c>
      <c r="F202" s="2207">
        <v>0</v>
      </c>
      <c r="G202" s="1239" t="s">
        <v>770</v>
      </c>
      <c r="H202" s="2206">
        <v>0</v>
      </c>
      <c r="I202" s="1316" t="s">
        <v>770</v>
      </c>
      <c r="J202" s="1239">
        <v>0</v>
      </c>
    </row>
    <row r="203" spans="1:10" ht="15" hidden="1" customHeight="1" thickTop="1">
      <c r="A203" s="2212">
        <v>40787</v>
      </c>
      <c r="B203" s="2211">
        <v>54.74</v>
      </c>
      <c r="C203" s="2202" t="s">
        <v>3182</v>
      </c>
      <c r="D203" s="1316">
        <v>1.9</v>
      </c>
      <c r="E203" s="2204" t="s">
        <v>3183</v>
      </c>
      <c r="F203" s="2207">
        <v>0.2</v>
      </c>
      <c r="G203" s="2213">
        <v>39.700000000000003</v>
      </c>
      <c r="H203" s="2206">
        <v>0</v>
      </c>
      <c r="I203" s="1316" t="s">
        <v>770</v>
      </c>
      <c r="J203" s="1239">
        <v>0</v>
      </c>
    </row>
    <row r="204" spans="1:10" ht="15" hidden="1" customHeight="1" thickTop="1">
      <c r="A204" s="2212">
        <v>40817</v>
      </c>
      <c r="B204" s="2211">
        <v>35.97</v>
      </c>
      <c r="C204" s="2202" t="s">
        <v>3184</v>
      </c>
      <c r="D204" s="1316">
        <v>25.55</v>
      </c>
      <c r="E204" s="2204" t="s">
        <v>3185</v>
      </c>
      <c r="F204" s="2207">
        <v>0.8</v>
      </c>
      <c r="G204" s="2213" t="s">
        <v>3186</v>
      </c>
      <c r="H204" s="2206">
        <v>0</v>
      </c>
      <c r="I204" s="1316" t="s">
        <v>770</v>
      </c>
      <c r="J204" s="1239">
        <v>0</v>
      </c>
    </row>
    <row r="205" spans="1:10" ht="15" hidden="1" customHeight="1" thickTop="1">
      <c r="A205" s="2212">
        <v>40848</v>
      </c>
      <c r="B205" s="2211">
        <v>40.47</v>
      </c>
      <c r="C205" s="2202" t="s">
        <v>3187</v>
      </c>
      <c r="D205" s="1316">
        <v>8.41</v>
      </c>
      <c r="E205" s="2204" t="s">
        <v>3188</v>
      </c>
      <c r="F205" s="2207">
        <v>17</v>
      </c>
      <c r="G205" s="1239">
        <v>38.549999999999997</v>
      </c>
      <c r="H205" s="2206">
        <v>0</v>
      </c>
      <c r="I205" s="1316" t="s">
        <v>770</v>
      </c>
      <c r="J205" s="1239">
        <v>0</v>
      </c>
    </row>
    <row r="206" spans="1:10" ht="15" hidden="1" customHeight="1" thickTop="1">
      <c r="A206" s="2212">
        <v>40878</v>
      </c>
      <c r="B206" s="2211">
        <v>44.52</v>
      </c>
      <c r="C206" s="2202" t="s">
        <v>3189</v>
      </c>
      <c r="D206" s="1316">
        <v>28.65</v>
      </c>
      <c r="E206" s="2204" t="s">
        <v>3190</v>
      </c>
      <c r="F206" s="2207">
        <v>22.01</v>
      </c>
      <c r="G206" s="1239" t="s">
        <v>3191</v>
      </c>
      <c r="H206" s="2206">
        <v>0</v>
      </c>
      <c r="I206" s="1316" t="s">
        <v>770</v>
      </c>
      <c r="J206" s="1239">
        <v>0</v>
      </c>
    </row>
    <row r="207" spans="1:10" ht="15" hidden="1" customHeight="1" thickTop="1">
      <c r="A207" s="2212">
        <v>40909</v>
      </c>
      <c r="B207" s="2211">
        <v>43.46</v>
      </c>
      <c r="C207" s="2202" t="s">
        <v>3192</v>
      </c>
      <c r="D207" s="1316">
        <v>16.2</v>
      </c>
      <c r="E207" s="2204" t="s">
        <v>3193</v>
      </c>
      <c r="F207" s="2207">
        <v>15.5</v>
      </c>
      <c r="G207" s="1239" t="s">
        <v>3194</v>
      </c>
      <c r="H207" s="2206">
        <v>0</v>
      </c>
      <c r="I207" s="1316" t="s">
        <v>770</v>
      </c>
      <c r="J207" s="1239">
        <v>0</v>
      </c>
    </row>
    <row r="208" spans="1:10" ht="15" customHeight="1" thickTop="1">
      <c r="A208" s="2212">
        <v>40940</v>
      </c>
      <c r="B208" s="2211">
        <v>28.78</v>
      </c>
      <c r="C208" s="2202" t="s">
        <v>3195</v>
      </c>
      <c r="D208" s="1316">
        <v>59.4</v>
      </c>
      <c r="E208" s="2204" t="s">
        <v>3196</v>
      </c>
      <c r="F208" s="2207">
        <v>2.8</v>
      </c>
      <c r="G208" s="1239" t="s">
        <v>3197</v>
      </c>
      <c r="H208" s="2206">
        <v>0</v>
      </c>
      <c r="I208" s="1316" t="s">
        <v>770</v>
      </c>
      <c r="J208" s="1239">
        <v>0</v>
      </c>
    </row>
    <row r="209" spans="1:10" ht="15" customHeight="1">
      <c r="A209" s="2212">
        <v>40969</v>
      </c>
      <c r="B209" s="2211">
        <v>49.59</v>
      </c>
      <c r="C209" s="2202" t="s">
        <v>3198</v>
      </c>
      <c r="D209" s="1316">
        <v>32.979999999999997</v>
      </c>
      <c r="E209" s="2204" t="s">
        <v>3199</v>
      </c>
      <c r="F209" s="2207">
        <v>2.5499999999999998</v>
      </c>
      <c r="G209" s="1239" t="s">
        <v>3200</v>
      </c>
      <c r="H209" s="2206">
        <v>0</v>
      </c>
      <c r="I209" s="1316" t="s">
        <v>770</v>
      </c>
      <c r="J209" s="1239">
        <v>0</v>
      </c>
    </row>
    <row r="210" spans="1:10" ht="15" customHeight="1">
      <c r="A210" s="2212">
        <v>41000</v>
      </c>
      <c r="B210" s="2211">
        <v>40.65</v>
      </c>
      <c r="C210" s="2202" t="s">
        <v>3201</v>
      </c>
      <c r="D210" s="2208">
        <v>17.925000000000001</v>
      </c>
      <c r="E210" s="2204" t="s">
        <v>3202</v>
      </c>
      <c r="F210" s="2207">
        <v>1.6</v>
      </c>
      <c r="G210" s="1239" t="s">
        <v>3203</v>
      </c>
      <c r="H210" s="2206">
        <v>0</v>
      </c>
      <c r="I210" s="1316" t="s">
        <v>770</v>
      </c>
      <c r="J210" s="1239">
        <v>0</v>
      </c>
    </row>
    <row r="211" spans="1:10" ht="15" customHeight="1">
      <c r="A211" s="2212">
        <v>41030</v>
      </c>
      <c r="B211" s="2211">
        <v>34.39</v>
      </c>
      <c r="C211" s="2202" t="s">
        <v>3204</v>
      </c>
      <c r="D211" s="2208">
        <v>52.015000000000001</v>
      </c>
      <c r="E211" s="2204" t="s">
        <v>3205</v>
      </c>
      <c r="F211" s="2207">
        <v>0.85</v>
      </c>
      <c r="G211" s="1239" t="s">
        <v>3206</v>
      </c>
      <c r="H211" s="2206">
        <v>0</v>
      </c>
      <c r="I211" s="1316" t="s">
        <v>770</v>
      </c>
      <c r="J211" s="1239">
        <v>0</v>
      </c>
    </row>
    <row r="212" spans="1:10" ht="15" customHeight="1">
      <c r="A212" s="2212">
        <v>41061</v>
      </c>
      <c r="B212" s="2211">
        <v>53.49</v>
      </c>
      <c r="C212" s="2202" t="s">
        <v>3207</v>
      </c>
      <c r="D212" s="2208">
        <v>77.655000000000001</v>
      </c>
      <c r="E212" s="2204" t="s">
        <v>3208</v>
      </c>
      <c r="F212" s="2207">
        <v>11.2</v>
      </c>
      <c r="G212" s="1239" t="s">
        <v>3209</v>
      </c>
      <c r="H212" s="2206">
        <v>0</v>
      </c>
      <c r="I212" s="1316" t="s">
        <v>770</v>
      </c>
      <c r="J212" s="1239">
        <v>0</v>
      </c>
    </row>
    <row r="213" spans="1:10" ht="15" customHeight="1">
      <c r="A213" s="2212">
        <v>41091</v>
      </c>
      <c r="B213" s="2211">
        <v>32.29</v>
      </c>
      <c r="C213" s="2202" t="s">
        <v>3210</v>
      </c>
      <c r="D213" s="2208">
        <v>33.591999999999999</v>
      </c>
      <c r="E213" s="2204" t="s">
        <v>3211</v>
      </c>
      <c r="F213" s="2207">
        <v>6.4</v>
      </c>
      <c r="G213" s="1239" t="s">
        <v>3212</v>
      </c>
      <c r="H213" s="1239">
        <v>0.1</v>
      </c>
      <c r="I213" s="1316">
        <v>48.46</v>
      </c>
      <c r="J213" s="1239">
        <v>0</v>
      </c>
    </row>
    <row r="214" spans="1:10" ht="15" customHeight="1">
      <c r="A214" s="2212">
        <v>41122</v>
      </c>
      <c r="B214" s="2211">
        <v>49.46</v>
      </c>
      <c r="C214" s="2202" t="s">
        <v>3213</v>
      </c>
      <c r="D214" s="2214">
        <v>45.5</v>
      </c>
      <c r="E214" s="2202" t="s">
        <v>3214</v>
      </c>
      <c r="F214" s="2215">
        <v>20.425000000000001</v>
      </c>
      <c r="G214" s="1239" t="s">
        <v>3215</v>
      </c>
      <c r="H214" s="1239">
        <v>0</v>
      </c>
      <c r="I214" s="1316" t="s">
        <v>770</v>
      </c>
      <c r="J214" s="1239">
        <v>0</v>
      </c>
    </row>
    <row r="215" spans="1:10" ht="15" customHeight="1">
      <c r="A215" s="2212">
        <v>41153</v>
      </c>
      <c r="B215" s="2211">
        <v>32.53</v>
      </c>
      <c r="C215" s="2202" t="s">
        <v>3216</v>
      </c>
      <c r="D215" s="2208">
        <v>19.925000000000001</v>
      </c>
      <c r="E215" s="2202" t="s">
        <v>3217</v>
      </c>
      <c r="F215" s="2215">
        <v>29.55</v>
      </c>
      <c r="G215" s="1239" t="s">
        <v>3218</v>
      </c>
      <c r="H215" s="1239">
        <v>0</v>
      </c>
      <c r="I215" s="1316" t="s">
        <v>770</v>
      </c>
      <c r="J215" s="1239">
        <v>0</v>
      </c>
    </row>
    <row r="216" spans="1:10" ht="15" customHeight="1">
      <c r="A216" s="2212">
        <v>41183</v>
      </c>
      <c r="B216" s="2216">
        <v>41.664000000000001</v>
      </c>
      <c r="C216" s="2202" t="s">
        <v>3219</v>
      </c>
      <c r="D216" s="2208">
        <v>2.9</v>
      </c>
      <c r="E216" s="2202" t="s">
        <v>3220</v>
      </c>
      <c r="F216" s="2217">
        <v>4.05</v>
      </c>
      <c r="G216" s="1239" t="s">
        <v>3221</v>
      </c>
      <c r="H216" s="1239">
        <v>0</v>
      </c>
      <c r="I216" s="1316" t="s">
        <v>770</v>
      </c>
      <c r="J216" s="1239">
        <v>0</v>
      </c>
    </row>
    <row r="217" spans="1:10" ht="15" customHeight="1">
      <c r="A217" s="2212">
        <v>41214</v>
      </c>
      <c r="B217" s="2216">
        <v>54.957000000000001</v>
      </c>
      <c r="C217" s="2202" t="s">
        <v>3222</v>
      </c>
      <c r="D217" s="2208">
        <v>15.55</v>
      </c>
      <c r="E217" s="2202" t="s">
        <v>3223</v>
      </c>
      <c r="F217" s="2217">
        <v>5.05</v>
      </c>
      <c r="G217" s="1239" t="s">
        <v>3224</v>
      </c>
      <c r="H217" s="1239">
        <v>0</v>
      </c>
      <c r="I217" s="1316" t="s">
        <v>770</v>
      </c>
      <c r="J217" s="1239">
        <v>0</v>
      </c>
    </row>
    <row r="218" spans="1:10" ht="15" customHeight="1">
      <c r="A218" s="2212">
        <v>41244</v>
      </c>
      <c r="B218" s="2216">
        <v>39.192999999999998</v>
      </c>
      <c r="C218" s="2202" t="s">
        <v>3225</v>
      </c>
      <c r="D218" s="2208">
        <v>62.8</v>
      </c>
      <c r="E218" s="2202" t="s">
        <v>3226</v>
      </c>
      <c r="F218" s="2217">
        <v>65.075000000000003</v>
      </c>
      <c r="G218" s="1239" t="s">
        <v>3227</v>
      </c>
      <c r="H218" s="1239">
        <v>0</v>
      </c>
      <c r="I218" s="1316" t="s">
        <v>770</v>
      </c>
      <c r="J218" s="1239">
        <v>0</v>
      </c>
    </row>
    <row r="219" spans="1:10" ht="15" customHeight="1">
      <c r="A219" s="2212">
        <v>41275</v>
      </c>
      <c r="B219" s="2216">
        <v>37.960999999999999</v>
      </c>
      <c r="C219" s="2202" t="s">
        <v>3228</v>
      </c>
      <c r="D219" s="2208">
        <v>77.14</v>
      </c>
      <c r="E219" s="2202" t="s">
        <v>3229</v>
      </c>
      <c r="F219" s="2217">
        <v>24.55</v>
      </c>
      <c r="G219" s="1239" t="s">
        <v>3230</v>
      </c>
      <c r="H219" s="1239">
        <v>0</v>
      </c>
      <c r="I219" s="1316" t="s">
        <v>770</v>
      </c>
      <c r="J219" s="1239">
        <v>0</v>
      </c>
    </row>
    <row r="220" spans="1:10" ht="15" customHeight="1">
      <c r="A220" s="2212">
        <v>41306</v>
      </c>
      <c r="B220" s="2216">
        <v>34.963000000000001</v>
      </c>
      <c r="C220" s="2202" t="s">
        <v>3231</v>
      </c>
      <c r="D220" s="2208">
        <v>45.725000000000001</v>
      </c>
      <c r="E220" s="2202" t="s">
        <v>3232</v>
      </c>
      <c r="F220" s="2217">
        <v>23.02</v>
      </c>
      <c r="G220" s="1239" t="s">
        <v>3233</v>
      </c>
      <c r="H220" s="1239">
        <v>0</v>
      </c>
      <c r="I220" s="1316" t="s">
        <v>770</v>
      </c>
      <c r="J220" s="1239">
        <v>0</v>
      </c>
    </row>
    <row r="221" spans="1:10" ht="14.25" customHeight="1" thickBot="1">
      <c r="A221" s="2218"/>
      <c r="B221" s="2219"/>
      <c r="C221" s="2220"/>
      <c r="D221" s="2221"/>
      <c r="E221" s="2222"/>
      <c r="F221" s="2223"/>
      <c r="G221" s="2224"/>
      <c r="H221" s="2225"/>
      <c r="I221" s="2221"/>
      <c r="J221" s="2226"/>
    </row>
    <row r="222" spans="1:10" s="2152" customFormat="1" ht="17.25" customHeight="1">
      <c r="A222" s="2151" t="s">
        <v>3234</v>
      </c>
      <c r="C222" s="2153"/>
      <c r="D222" s="2154"/>
    </row>
    <row r="223" spans="1:10" s="2152" customFormat="1" ht="17.25" customHeight="1">
      <c r="A223" s="2151" t="s">
        <v>3235</v>
      </c>
      <c r="C223" s="2153"/>
      <c r="D223" s="2154"/>
    </row>
    <row r="224" spans="1:10" s="2152" customFormat="1" ht="13.5">
      <c r="A224" s="2151" t="s">
        <v>787</v>
      </c>
      <c r="C224" s="2153"/>
      <c r="D224" s="2154"/>
    </row>
    <row r="226" spans="1:6">
      <c r="A226" s="2227"/>
    </row>
    <row r="229" spans="1:6">
      <c r="F229" s="2117" t="s">
        <v>148</v>
      </c>
    </row>
    <row r="242" spans="4:4">
      <c r="D242" s="2229"/>
    </row>
  </sheetData>
  <mergeCells count="117">
    <mergeCell ref="H123:H124"/>
    <mergeCell ref="I123:I124"/>
    <mergeCell ref="J123:J124"/>
    <mergeCell ref="B123:B124"/>
    <mergeCell ref="C123:C124"/>
    <mergeCell ref="D123:D124"/>
    <mergeCell ref="E123:E124"/>
    <mergeCell ref="F123:F124"/>
    <mergeCell ref="G123:G124"/>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F18:G18"/>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s>
  <printOptions horizontalCentered="1" verticalCentered="1"/>
  <pageMargins left="0.25" right="0.25" top="0.75" bottom="0.75" header="0.3" footer="0.3"/>
  <pageSetup paperSize="9" scale="83"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zoomScaleNormal="100" workbookViewId="0">
      <selection activeCell="I114" sqref="I114"/>
    </sheetView>
  </sheetViews>
  <sheetFormatPr defaultRowHeight="12.75"/>
  <cols>
    <col min="1" max="1" width="11.7109375" style="2285" customWidth="1"/>
    <col min="2" max="2" width="11.42578125" style="2285" customWidth="1"/>
    <col min="3" max="3" width="12.7109375" style="2285" customWidth="1"/>
    <col min="4" max="4" width="12.140625" style="2285" customWidth="1"/>
    <col min="5" max="5" width="11.5703125" style="2285" customWidth="1"/>
    <col min="6" max="6" width="11" style="2285" customWidth="1"/>
    <col min="7" max="7" width="12.42578125" style="2285" customWidth="1"/>
    <col min="8" max="8" width="12.140625" style="2285" customWidth="1"/>
    <col min="9" max="256" width="9.140625" style="2285"/>
    <col min="257" max="257" width="11.7109375" style="2285" customWidth="1"/>
    <col min="258" max="258" width="11.42578125" style="2285" customWidth="1"/>
    <col min="259" max="259" width="12.7109375" style="2285" customWidth="1"/>
    <col min="260" max="260" width="12.140625" style="2285" customWidth="1"/>
    <col min="261" max="261" width="11.5703125" style="2285" customWidth="1"/>
    <col min="262" max="262" width="11" style="2285" customWidth="1"/>
    <col min="263" max="263" width="12.42578125" style="2285" customWidth="1"/>
    <col min="264" max="264" width="12.140625" style="2285" customWidth="1"/>
    <col min="265" max="512" width="9.140625" style="2285"/>
    <col min="513" max="513" width="11.7109375" style="2285" customWidth="1"/>
    <col min="514" max="514" width="11.42578125" style="2285" customWidth="1"/>
    <col min="515" max="515" width="12.7109375" style="2285" customWidth="1"/>
    <col min="516" max="516" width="12.140625" style="2285" customWidth="1"/>
    <col min="517" max="517" width="11.5703125" style="2285" customWidth="1"/>
    <col min="518" max="518" width="11" style="2285" customWidth="1"/>
    <col min="519" max="519" width="12.42578125" style="2285" customWidth="1"/>
    <col min="520" max="520" width="12.140625" style="2285" customWidth="1"/>
    <col min="521" max="768" width="9.140625" style="2285"/>
    <col min="769" max="769" width="11.7109375" style="2285" customWidth="1"/>
    <col min="770" max="770" width="11.42578125" style="2285" customWidth="1"/>
    <col min="771" max="771" width="12.7109375" style="2285" customWidth="1"/>
    <col min="772" max="772" width="12.140625" style="2285" customWidth="1"/>
    <col min="773" max="773" width="11.5703125" style="2285" customWidth="1"/>
    <col min="774" max="774" width="11" style="2285" customWidth="1"/>
    <col min="775" max="775" width="12.42578125" style="2285" customWidth="1"/>
    <col min="776" max="776" width="12.140625" style="2285" customWidth="1"/>
    <col min="777" max="1024" width="9.140625" style="2285"/>
    <col min="1025" max="1025" width="11.7109375" style="2285" customWidth="1"/>
    <col min="1026" max="1026" width="11.42578125" style="2285" customWidth="1"/>
    <col min="1027" max="1027" width="12.7109375" style="2285" customWidth="1"/>
    <col min="1028" max="1028" width="12.140625" style="2285" customWidth="1"/>
    <col min="1029" max="1029" width="11.5703125" style="2285" customWidth="1"/>
    <col min="1030" max="1030" width="11" style="2285" customWidth="1"/>
    <col min="1031" max="1031" width="12.42578125" style="2285" customWidth="1"/>
    <col min="1032" max="1032" width="12.140625" style="2285" customWidth="1"/>
    <col min="1033" max="1280" width="9.140625" style="2285"/>
    <col min="1281" max="1281" width="11.7109375" style="2285" customWidth="1"/>
    <col min="1282" max="1282" width="11.42578125" style="2285" customWidth="1"/>
    <col min="1283" max="1283" width="12.7109375" style="2285" customWidth="1"/>
    <col min="1284" max="1284" width="12.140625" style="2285" customWidth="1"/>
    <col min="1285" max="1285" width="11.5703125" style="2285" customWidth="1"/>
    <col min="1286" max="1286" width="11" style="2285" customWidth="1"/>
    <col min="1287" max="1287" width="12.42578125" style="2285" customWidth="1"/>
    <col min="1288" max="1288" width="12.140625" style="2285" customWidth="1"/>
    <col min="1289" max="1536" width="9.140625" style="2285"/>
    <col min="1537" max="1537" width="11.7109375" style="2285" customWidth="1"/>
    <col min="1538" max="1538" width="11.42578125" style="2285" customWidth="1"/>
    <col min="1539" max="1539" width="12.7109375" style="2285" customWidth="1"/>
    <col min="1540" max="1540" width="12.140625" style="2285" customWidth="1"/>
    <col min="1541" max="1541" width="11.5703125" style="2285" customWidth="1"/>
    <col min="1542" max="1542" width="11" style="2285" customWidth="1"/>
    <col min="1543" max="1543" width="12.42578125" style="2285" customWidth="1"/>
    <col min="1544" max="1544" width="12.140625" style="2285" customWidth="1"/>
    <col min="1545" max="1792" width="9.140625" style="2285"/>
    <col min="1793" max="1793" width="11.7109375" style="2285" customWidth="1"/>
    <col min="1794" max="1794" width="11.42578125" style="2285" customWidth="1"/>
    <col min="1795" max="1795" width="12.7109375" style="2285" customWidth="1"/>
    <col min="1796" max="1796" width="12.140625" style="2285" customWidth="1"/>
    <col min="1797" max="1797" width="11.5703125" style="2285" customWidth="1"/>
    <col min="1798" max="1798" width="11" style="2285" customWidth="1"/>
    <col min="1799" max="1799" width="12.42578125" style="2285" customWidth="1"/>
    <col min="1800" max="1800" width="12.140625" style="2285" customWidth="1"/>
    <col min="1801" max="2048" width="9.140625" style="2285"/>
    <col min="2049" max="2049" width="11.7109375" style="2285" customWidth="1"/>
    <col min="2050" max="2050" width="11.42578125" style="2285" customWidth="1"/>
    <col min="2051" max="2051" width="12.7109375" style="2285" customWidth="1"/>
    <col min="2052" max="2052" width="12.140625" style="2285" customWidth="1"/>
    <col min="2053" max="2053" width="11.5703125" style="2285" customWidth="1"/>
    <col min="2054" max="2054" width="11" style="2285" customWidth="1"/>
    <col min="2055" max="2055" width="12.42578125" style="2285" customWidth="1"/>
    <col min="2056" max="2056" width="12.140625" style="2285" customWidth="1"/>
    <col min="2057" max="2304" width="9.140625" style="2285"/>
    <col min="2305" max="2305" width="11.7109375" style="2285" customWidth="1"/>
    <col min="2306" max="2306" width="11.42578125" style="2285" customWidth="1"/>
    <col min="2307" max="2307" width="12.7109375" style="2285" customWidth="1"/>
    <col min="2308" max="2308" width="12.140625" style="2285" customWidth="1"/>
    <col min="2309" max="2309" width="11.5703125" style="2285" customWidth="1"/>
    <col min="2310" max="2310" width="11" style="2285" customWidth="1"/>
    <col min="2311" max="2311" width="12.42578125" style="2285" customWidth="1"/>
    <col min="2312" max="2312" width="12.140625" style="2285" customWidth="1"/>
    <col min="2313" max="2560" width="9.140625" style="2285"/>
    <col min="2561" max="2561" width="11.7109375" style="2285" customWidth="1"/>
    <col min="2562" max="2562" width="11.42578125" style="2285" customWidth="1"/>
    <col min="2563" max="2563" width="12.7109375" style="2285" customWidth="1"/>
    <col min="2564" max="2564" width="12.140625" style="2285" customWidth="1"/>
    <col min="2565" max="2565" width="11.5703125" style="2285" customWidth="1"/>
    <col min="2566" max="2566" width="11" style="2285" customWidth="1"/>
    <col min="2567" max="2567" width="12.42578125" style="2285" customWidth="1"/>
    <col min="2568" max="2568" width="12.140625" style="2285" customWidth="1"/>
    <col min="2569" max="2816" width="9.140625" style="2285"/>
    <col min="2817" max="2817" width="11.7109375" style="2285" customWidth="1"/>
    <col min="2818" max="2818" width="11.42578125" style="2285" customWidth="1"/>
    <col min="2819" max="2819" width="12.7109375" style="2285" customWidth="1"/>
    <col min="2820" max="2820" width="12.140625" style="2285" customWidth="1"/>
    <col min="2821" max="2821" width="11.5703125" style="2285" customWidth="1"/>
    <col min="2822" max="2822" width="11" style="2285" customWidth="1"/>
    <col min="2823" max="2823" width="12.42578125" style="2285" customWidth="1"/>
    <col min="2824" max="2824" width="12.140625" style="2285" customWidth="1"/>
    <col min="2825" max="3072" width="9.140625" style="2285"/>
    <col min="3073" max="3073" width="11.7109375" style="2285" customWidth="1"/>
    <col min="3074" max="3074" width="11.42578125" style="2285" customWidth="1"/>
    <col min="3075" max="3075" width="12.7109375" style="2285" customWidth="1"/>
    <col min="3076" max="3076" width="12.140625" style="2285" customWidth="1"/>
    <col min="3077" max="3077" width="11.5703125" style="2285" customWidth="1"/>
    <col min="3078" max="3078" width="11" style="2285" customWidth="1"/>
    <col min="3079" max="3079" width="12.42578125" style="2285" customWidth="1"/>
    <col min="3080" max="3080" width="12.140625" style="2285" customWidth="1"/>
    <col min="3081" max="3328" width="9.140625" style="2285"/>
    <col min="3329" max="3329" width="11.7109375" style="2285" customWidth="1"/>
    <col min="3330" max="3330" width="11.42578125" style="2285" customWidth="1"/>
    <col min="3331" max="3331" width="12.7109375" style="2285" customWidth="1"/>
    <col min="3332" max="3332" width="12.140625" style="2285" customWidth="1"/>
    <col min="3333" max="3333" width="11.5703125" style="2285" customWidth="1"/>
    <col min="3334" max="3334" width="11" style="2285" customWidth="1"/>
    <col min="3335" max="3335" width="12.42578125" style="2285" customWidth="1"/>
    <col min="3336" max="3336" width="12.140625" style="2285" customWidth="1"/>
    <col min="3337" max="3584" width="9.140625" style="2285"/>
    <col min="3585" max="3585" width="11.7109375" style="2285" customWidth="1"/>
    <col min="3586" max="3586" width="11.42578125" style="2285" customWidth="1"/>
    <col min="3587" max="3587" width="12.7109375" style="2285" customWidth="1"/>
    <col min="3588" max="3588" width="12.140625" style="2285" customWidth="1"/>
    <col min="3589" max="3589" width="11.5703125" style="2285" customWidth="1"/>
    <col min="3590" max="3590" width="11" style="2285" customWidth="1"/>
    <col min="3591" max="3591" width="12.42578125" style="2285" customWidth="1"/>
    <col min="3592" max="3592" width="12.140625" style="2285" customWidth="1"/>
    <col min="3593" max="3840" width="9.140625" style="2285"/>
    <col min="3841" max="3841" width="11.7109375" style="2285" customWidth="1"/>
    <col min="3842" max="3842" width="11.42578125" style="2285" customWidth="1"/>
    <col min="3843" max="3843" width="12.7109375" style="2285" customWidth="1"/>
    <col min="3844" max="3844" width="12.140625" style="2285" customWidth="1"/>
    <col min="3845" max="3845" width="11.5703125" style="2285" customWidth="1"/>
    <col min="3846" max="3846" width="11" style="2285" customWidth="1"/>
    <col min="3847" max="3847" width="12.42578125" style="2285" customWidth="1"/>
    <col min="3848" max="3848" width="12.140625" style="2285" customWidth="1"/>
    <col min="3849" max="4096" width="9.140625" style="2285"/>
    <col min="4097" max="4097" width="11.7109375" style="2285" customWidth="1"/>
    <col min="4098" max="4098" width="11.42578125" style="2285" customWidth="1"/>
    <col min="4099" max="4099" width="12.7109375" style="2285" customWidth="1"/>
    <col min="4100" max="4100" width="12.140625" style="2285" customWidth="1"/>
    <col min="4101" max="4101" width="11.5703125" style="2285" customWidth="1"/>
    <col min="4102" max="4102" width="11" style="2285" customWidth="1"/>
    <col min="4103" max="4103" width="12.42578125" style="2285" customWidth="1"/>
    <col min="4104" max="4104" width="12.140625" style="2285" customWidth="1"/>
    <col min="4105" max="4352" width="9.140625" style="2285"/>
    <col min="4353" max="4353" width="11.7109375" style="2285" customWidth="1"/>
    <col min="4354" max="4354" width="11.42578125" style="2285" customWidth="1"/>
    <col min="4355" max="4355" width="12.7109375" style="2285" customWidth="1"/>
    <col min="4356" max="4356" width="12.140625" style="2285" customWidth="1"/>
    <col min="4357" max="4357" width="11.5703125" style="2285" customWidth="1"/>
    <col min="4358" max="4358" width="11" style="2285" customWidth="1"/>
    <col min="4359" max="4359" width="12.42578125" style="2285" customWidth="1"/>
    <col min="4360" max="4360" width="12.140625" style="2285" customWidth="1"/>
    <col min="4361" max="4608" width="9.140625" style="2285"/>
    <col min="4609" max="4609" width="11.7109375" style="2285" customWidth="1"/>
    <col min="4610" max="4610" width="11.42578125" style="2285" customWidth="1"/>
    <col min="4611" max="4611" width="12.7109375" style="2285" customWidth="1"/>
    <col min="4612" max="4612" width="12.140625" style="2285" customWidth="1"/>
    <col min="4613" max="4613" width="11.5703125" style="2285" customWidth="1"/>
    <col min="4614" max="4614" width="11" style="2285" customWidth="1"/>
    <col min="4615" max="4615" width="12.42578125" style="2285" customWidth="1"/>
    <col min="4616" max="4616" width="12.140625" style="2285" customWidth="1"/>
    <col min="4617" max="4864" width="9.140625" style="2285"/>
    <col min="4865" max="4865" width="11.7109375" style="2285" customWidth="1"/>
    <col min="4866" max="4866" width="11.42578125" style="2285" customWidth="1"/>
    <col min="4867" max="4867" width="12.7109375" style="2285" customWidth="1"/>
    <col min="4868" max="4868" width="12.140625" style="2285" customWidth="1"/>
    <col min="4869" max="4869" width="11.5703125" style="2285" customWidth="1"/>
    <col min="4870" max="4870" width="11" style="2285" customWidth="1"/>
    <col min="4871" max="4871" width="12.42578125" style="2285" customWidth="1"/>
    <col min="4872" max="4872" width="12.140625" style="2285" customWidth="1"/>
    <col min="4873" max="5120" width="9.140625" style="2285"/>
    <col min="5121" max="5121" width="11.7109375" style="2285" customWidth="1"/>
    <col min="5122" max="5122" width="11.42578125" style="2285" customWidth="1"/>
    <col min="5123" max="5123" width="12.7109375" style="2285" customWidth="1"/>
    <col min="5124" max="5124" width="12.140625" style="2285" customWidth="1"/>
    <col min="5125" max="5125" width="11.5703125" style="2285" customWidth="1"/>
    <col min="5126" max="5126" width="11" style="2285" customWidth="1"/>
    <col min="5127" max="5127" width="12.42578125" style="2285" customWidth="1"/>
    <col min="5128" max="5128" width="12.140625" style="2285" customWidth="1"/>
    <col min="5129" max="5376" width="9.140625" style="2285"/>
    <col min="5377" max="5377" width="11.7109375" style="2285" customWidth="1"/>
    <col min="5378" max="5378" width="11.42578125" style="2285" customWidth="1"/>
    <col min="5379" max="5379" width="12.7109375" style="2285" customWidth="1"/>
    <col min="5380" max="5380" width="12.140625" style="2285" customWidth="1"/>
    <col min="5381" max="5381" width="11.5703125" style="2285" customWidth="1"/>
    <col min="5382" max="5382" width="11" style="2285" customWidth="1"/>
    <col min="5383" max="5383" width="12.42578125" style="2285" customWidth="1"/>
    <col min="5384" max="5384" width="12.140625" style="2285" customWidth="1"/>
    <col min="5385" max="5632" width="9.140625" style="2285"/>
    <col min="5633" max="5633" width="11.7109375" style="2285" customWidth="1"/>
    <col min="5634" max="5634" width="11.42578125" style="2285" customWidth="1"/>
    <col min="5635" max="5635" width="12.7109375" style="2285" customWidth="1"/>
    <col min="5636" max="5636" width="12.140625" style="2285" customWidth="1"/>
    <col min="5637" max="5637" width="11.5703125" style="2285" customWidth="1"/>
    <col min="5638" max="5638" width="11" style="2285" customWidth="1"/>
    <col min="5639" max="5639" width="12.42578125" style="2285" customWidth="1"/>
    <col min="5640" max="5640" width="12.140625" style="2285" customWidth="1"/>
    <col min="5641" max="5888" width="9.140625" style="2285"/>
    <col min="5889" max="5889" width="11.7109375" style="2285" customWidth="1"/>
    <col min="5890" max="5890" width="11.42578125" style="2285" customWidth="1"/>
    <col min="5891" max="5891" width="12.7109375" style="2285" customWidth="1"/>
    <col min="5892" max="5892" width="12.140625" style="2285" customWidth="1"/>
    <col min="5893" max="5893" width="11.5703125" style="2285" customWidth="1"/>
    <col min="5894" max="5894" width="11" style="2285" customWidth="1"/>
    <col min="5895" max="5895" width="12.42578125" style="2285" customWidth="1"/>
    <col min="5896" max="5896" width="12.140625" style="2285" customWidth="1"/>
    <col min="5897" max="6144" width="9.140625" style="2285"/>
    <col min="6145" max="6145" width="11.7109375" style="2285" customWidth="1"/>
    <col min="6146" max="6146" width="11.42578125" style="2285" customWidth="1"/>
    <col min="6147" max="6147" width="12.7109375" style="2285" customWidth="1"/>
    <col min="6148" max="6148" width="12.140625" style="2285" customWidth="1"/>
    <col min="6149" max="6149" width="11.5703125" style="2285" customWidth="1"/>
    <col min="6150" max="6150" width="11" style="2285" customWidth="1"/>
    <col min="6151" max="6151" width="12.42578125" style="2285" customWidth="1"/>
    <col min="6152" max="6152" width="12.140625" style="2285" customWidth="1"/>
    <col min="6153" max="6400" width="9.140625" style="2285"/>
    <col min="6401" max="6401" width="11.7109375" style="2285" customWidth="1"/>
    <col min="6402" max="6402" width="11.42578125" style="2285" customWidth="1"/>
    <col min="6403" max="6403" width="12.7109375" style="2285" customWidth="1"/>
    <col min="6404" max="6404" width="12.140625" style="2285" customWidth="1"/>
    <col min="6405" max="6405" width="11.5703125" style="2285" customWidth="1"/>
    <col min="6406" max="6406" width="11" style="2285" customWidth="1"/>
    <col min="6407" max="6407" width="12.42578125" style="2285" customWidth="1"/>
    <col min="6408" max="6408" width="12.140625" style="2285" customWidth="1"/>
    <col min="6409" max="6656" width="9.140625" style="2285"/>
    <col min="6657" max="6657" width="11.7109375" style="2285" customWidth="1"/>
    <col min="6658" max="6658" width="11.42578125" style="2285" customWidth="1"/>
    <col min="6659" max="6659" width="12.7109375" style="2285" customWidth="1"/>
    <col min="6660" max="6660" width="12.140625" style="2285" customWidth="1"/>
    <col min="6661" max="6661" width="11.5703125" style="2285" customWidth="1"/>
    <col min="6662" max="6662" width="11" style="2285" customWidth="1"/>
    <col min="6663" max="6663" width="12.42578125" style="2285" customWidth="1"/>
    <col min="6664" max="6664" width="12.140625" style="2285" customWidth="1"/>
    <col min="6665" max="6912" width="9.140625" style="2285"/>
    <col min="6913" max="6913" width="11.7109375" style="2285" customWidth="1"/>
    <col min="6914" max="6914" width="11.42578125" style="2285" customWidth="1"/>
    <col min="6915" max="6915" width="12.7109375" style="2285" customWidth="1"/>
    <col min="6916" max="6916" width="12.140625" style="2285" customWidth="1"/>
    <col min="6917" max="6917" width="11.5703125" style="2285" customWidth="1"/>
    <col min="6918" max="6918" width="11" style="2285" customWidth="1"/>
    <col min="6919" max="6919" width="12.42578125" style="2285" customWidth="1"/>
    <col min="6920" max="6920" width="12.140625" style="2285" customWidth="1"/>
    <col min="6921" max="7168" width="9.140625" style="2285"/>
    <col min="7169" max="7169" width="11.7109375" style="2285" customWidth="1"/>
    <col min="7170" max="7170" width="11.42578125" style="2285" customWidth="1"/>
    <col min="7171" max="7171" width="12.7109375" style="2285" customWidth="1"/>
    <col min="7172" max="7172" width="12.140625" style="2285" customWidth="1"/>
    <col min="7173" max="7173" width="11.5703125" style="2285" customWidth="1"/>
    <col min="7174" max="7174" width="11" style="2285" customWidth="1"/>
    <col min="7175" max="7175" width="12.42578125" style="2285" customWidth="1"/>
    <col min="7176" max="7176" width="12.140625" style="2285" customWidth="1"/>
    <col min="7177" max="7424" width="9.140625" style="2285"/>
    <col min="7425" max="7425" width="11.7109375" style="2285" customWidth="1"/>
    <col min="7426" max="7426" width="11.42578125" style="2285" customWidth="1"/>
    <col min="7427" max="7427" width="12.7109375" style="2285" customWidth="1"/>
    <col min="7428" max="7428" width="12.140625" style="2285" customWidth="1"/>
    <col min="7429" max="7429" width="11.5703125" style="2285" customWidth="1"/>
    <col min="7430" max="7430" width="11" style="2285" customWidth="1"/>
    <col min="7431" max="7431" width="12.42578125" style="2285" customWidth="1"/>
    <col min="7432" max="7432" width="12.140625" style="2285" customWidth="1"/>
    <col min="7433" max="7680" width="9.140625" style="2285"/>
    <col min="7681" max="7681" width="11.7109375" style="2285" customWidth="1"/>
    <col min="7682" max="7682" width="11.42578125" style="2285" customWidth="1"/>
    <col min="7683" max="7683" width="12.7109375" style="2285" customWidth="1"/>
    <col min="7684" max="7684" width="12.140625" style="2285" customWidth="1"/>
    <col min="7685" max="7685" width="11.5703125" style="2285" customWidth="1"/>
    <col min="7686" max="7686" width="11" style="2285" customWidth="1"/>
    <col min="7687" max="7687" width="12.42578125" style="2285" customWidth="1"/>
    <col min="7688" max="7688" width="12.140625" style="2285" customWidth="1"/>
    <col min="7689" max="7936" width="9.140625" style="2285"/>
    <col min="7937" max="7937" width="11.7109375" style="2285" customWidth="1"/>
    <col min="7938" max="7938" width="11.42578125" style="2285" customWidth="1"/>
    <col min="7939" max="7939" width="12.7109375" style="2285" customWidth="1"/>
    <col min="7940" max="7940" width="12.140625" style="2285" customWidth="1"/>
    <col min="7941" max="7941" width="11.5703125" style="2285" customWidth="1"/>
    <col min="7942" max="7942" width="11" style="2285" customWidth="1"/>
    <col min="7943" max="7943" width="12.42578125" style="2285" customWidth="1"/>
    <col min="7944" max="7944" width="12.140625" style="2285" customWidth="1"/>
    <col min="7945" max="8192" width="9.140625" style="2285"/>
    <col min="8193" max="8193" width="11.7109375" style="2285" customWidth="1"/>
    <col min="8194" max="8194" width="11.42578125" style="2285" customWidth="1"/>
    <col min="8195" max="8195" width="12.7109375" style="2285" customWidth="1"/>
    <col min="8196" max="8196" width="12.140625" style="2285" customWidth="1"/>
    <col min="8197" max="8197" width="11.5703125" style="2285" customWidth="1"/>
    <col min="8198" max="8198" width="11" style="2285" customWidth="1"/>
    <col min="8199" max="8199" width="12.42578125" style="2285" customWidth="1"/>
    <col min="8200" max="8200" width="12.140625" style="2285" customWidth="1"/>
    <col min="8201" max="8448" width="9.140625" style="2285"/>
    <col min="8449" max="8449" width="11.7109375" style="2285" customWidth="1"/>
    <col min="8450" max="8450" width="11.42578125" style="2285" customWidth="1"/>
    <col min="8451" max="8451" width="12.7109375" style="2285" customWidth="1"/>
    <col min="8452" max="8452" width="12.140625" style="2285" customWidth="1"/>
    <col min="8453" max="8453" width="11.5703125" style="2285" customWidth="1"/>
    <col min="8454" max="8454" width="11" style="2285" customWidth="1"/>
    <col min="8455" max="8455" width="12.42578125" style="2285" customWidth="1"/>
    <col min="8456" max="8456" width="12.140625" style="2285" customWidth="1"/>
    <col min="8457" max="8704" width="9.140625" style="2285"/>
    <col min="8705" max="8705" width="11.7109375" style="2285" customWidth="1"/>
    <col min="8706" max="8706" width="11.42578125" style="2285" customWidth="1"/>
    <col min="8707" max="8707" width="12.7109375" style="2285" customWidth="1"/>
    <col min="8708" max="8708" width="12.140625" style="2285" customWidth="1"/>
    <col min="8709" max="8709" width="11.5703125" style="2285" customWidth="1"/>
    <col min="8710" max="8710" width="11" style="2285" customWidth="1"/>
    <col min="8711" max="8711" width="12.42578125" style="2285" customWidth="1"/>
    <col min="8712" max="8712" width="12.140625" style="2285" customWidth="1"/>
    <col min="8713" max="8960" width="9.140625" style="2285"/>
    <col min="8961" max="8961" width="11.7109375" style="2285" customWidth="1"/>
    <col min="8962" max="8962" width="11.42578125" style="2285" customWidth="1"/>
    <col min="8963" max="8963" width="12.7109375" style="2285" customWidth="1"/>
    <col min="8964" max="8964" width="12.140625" style="2285" customWidth="1"/>
    <col min="8965" max="8965" width="11.5703125" style="2285" customWidth="1"/>
    <col min="8966" max="8966" width="11" style="2285" customWidth="1"/>
    <col min="8967" max="8967" width="12.42578125" style="2285" customWidth="1"/>
    <col min="8968" max="8968" width="12.140625" style="2285" customWidth="1"/>
    <col min="8969" max="9216" width="9.140625" style="2285"/>
    <col min="9217" max="9217" width="11.7109375" style="2285" customWidth="1"/>
    <col min="9218" max="9218" width="11.42578125" style="2285" customWidth="1"/>
    <col min="9219" max="9219" width="12.7109375" style="2285" customWidth="1"/>
    <col min="9220" max="9220" width="12.140625" style="2285" customWidth="1"/>
    <col min="9221" max="9221" width="11.5703125" style="2285" customWidth="1"/>
    <col min="9222" max="9222" width="11" style="2285" customWidth="1"/>
    <col min="9223" max="9223" width="12.42578125" style="2285" customWidth="1"/>
    <col min="9224" max="9224" width="12.140625" style="2285" customWidth="1"/>
    <col min="9225" max="9472" width="9.140625" style="2285"/>
    <col min="9473" max="9473" width="11.7109375" style="2285" customWidth="1"/>
    <col min="9474" max="9474" width="11.42578125" style="2285" customWidth="1"/>
    <col min="9475" max="9475" width="12.7109375" style="2285" customWidth="1"/>
    <col min="9476" max="9476" width="12.140625" style="2285" customWidth="1"/>
    <col min="9477" max="9477" width="11.5703125" style="2285" customWidth="1"/>
    <col min="9478" max="9478" width="11" style="2285" customWidth="1"/>
    <col min="9479" max="9479" width="12.42578125" style="2285" customWidth="1"/>
    <col min="9480" max="9480" width="12.140625" style="2285" customWidth="1"/>
    <col min="9481" max="9728" width="9.140625" style="2285"/>
    <col min="9729" max="9729" width="11.7109375" style="2285" customWidth="1"/>
    <col min="9730" max="9730" width="11.42578125" style="2285" customWidth="1"/>
    <col min="9731" max="9731" width="12.7109375" style="2285" customWidth="1"/>
    <col min="9732" max="9732" width="12.140625" style="2285" customWidth="1"/>
    <col min="9733" max="9733" width="11.5703125" style="2285" customWidth="1"/>
    <col min="9734" max="9734" width="11" style="2285" customWidth="1"/>
    <col min="9735" max="9735" width="12.42578125" style="2285" customWidth="1"/>
    <col min="9736" max="9736" width="12.140625" style="2285" customWidth="1"/>
    <col min="9737" max="9984" width="9.140625" style="2285"/>
    <col min="9985" max="9985" width="11.7109375" style="2285" customWidth="1"/>
    <col min="9986" max="9986" width="11.42578125" style="2285" customWidth="1"/>
    <col min="9987" max="9987" width="12.7109375" style="2285" customWidth="1"/>
    <col min="9988" max="9988" width="12.140625" style="2285" customWidth="1"/>
    <col min="9989" max="9989" width="11.5703125" style="2285" customWidth="1"/>
    <col min="9990" max="9990" width="11" style="2285" customWidth="1"/>
    <col min="9991" max="9991" width="12.42578125" style="2285" customWidth="1"/>
    <col min="9992" max="9992" width="12.140625" style="2285" customWidth="1"/>
    <col min="9993" max="10240" width="9.140625" style="2285"/>
    <col min="10241" max="10241" width="11.7109375" style="2285" customWidth="1"/>
    <col min="10242" max="10242" width="11.42578125" style="2285" customWidth="1"/>
    <col min="10243" max="10243" width="12.7109375" style="2285" customWidth="1"/>
    <col min="10244" max="10244" width="12.140625" style="2285" customWidth="1"/>
    <col min="10245" max="10245" width="11.5703125" style="2285" customWidth="1"/>
    <col min="10246" max="10246" width="11" style="2285" customWidth="1"/>
    <col min="10247" max="10247" width="12.42578125" style="2285" customWidth="1"/>
    <col min="10248" max="10248" width="12.140625" style="2285" customWidth="1"/>
    <col min="10249" max="10496" width="9.140625" style="2285"/>
    <col min="10497" max="10497" width="11.7109375" style="2285" customWidth="1"/>
    <col min="10498" max="10498" width="11.42578125" style="2285" customWidth="1"/>
    <col min="10499" max="10499" width="12.7109375" style="2285" customWidth="1"/>
    <col min="10500" max="10500" width="12.140625" style="2285" customWidth="1"/>
    <col min="10501" max="10501" width="11.5703125" style="2285" customWidth="1"/>
    <col min="10502" max="10502" width="11" style="2285" customWidth="1"/>
    <col min="10503" max="10503" width="12.42578125" style="2285" customWidth="1"/>
    <col min="10504" max="10504" width="12.140625" style="2285" customWidth="1"/>
    <col min="10505" max="10752" width="9.140625" style="2285"/>
    <col min="10753" max="10753" width="11.7109375" style="2285" customWidth="1"/>
    <col min="10754" max="10754" width="11.42578125" style="2285" customWidth="1"/>
    <col min="10755" max="10755" width="12.7109375" style="2285" customWidth="1"/>
    <col min="10756" max="10756" width="12.140625" style="2285" customWidth="1"/>
    <col min="10757" max="10757" width="11.5703125" style="2285" customWidth="1"/>
    <col min="10758" max="10758" width="11" style="2285" customWidth="1"/>
    <col min="10759" max="10759" width="12.42578125" style="2285" customWidth="1"/>
    <col min="10760" max="10760" width="12.140625" style="2285" customWidth="1"/>
    <col min="10761" max="11008" width="9.140625" style="2285"/>
    <col min="11009" max="11009" width="11.7109375" style="2285" customWidth="1"/>
    <col min="11010" max="11010" width="11.42578125" style="2285" customWidth="1"/>
    <col min="11011" max="11011" width="12.7109375" style="2285" customWidth="1"/>
    <col min="11012" max="11012" width="12.140625" style="2285" customWidth="1"/>
    <col min="11013" max="11013" width="11.5703125" style="2285" customWidth="1"/>
    <col min="11014" max="11014" width="11" style="2285" customWidth="1"/>
    <col min="11015" max="11015" width="12.42578125" style="2285" customWidth="1"/>
    <col min="11016" max="11016" width="12.140625" style="2285" customWidth="1"/>
    <col min="11017" max="11264" width="9.140625" style="2285"/>
    <col min="11265" max="11265" width="11.7109375" style="2285" customWidth="1"/>
    <col min="11266" max="11266" width="11.42578125" style="2285" customWidth="1"/>
    <col min="11267" max="11267" width="12.7109375" style="2285" customWidth="1"/>
    <col min="11268" max="11268" width="12.140625" style="2285" customWidth="1"/>
    <col min="11269" max="11269" width="11.5703125" style="2285" customWidth="1"/>
    <col min="11270" max="11270" width="11" style="2285" customWidth="1"/>
    <col min="11271" max="11271" width="12.42578125" style="2285" customWidth="1"/>
    <col min="11272" max="11272" width="12.140625" style="2285" customWidth="1"/>
    <col min="11273" max="11520" width="9.140625" style="2285"/>
    <col min="11521" max="11521" width="11.7109375" style="2285" customWidth="1"/>
    <col min="11522" max="11522" width="11.42578125" style="2285" customWidth="1"/>
    <col min="11523" max="11523" width="12.7109375" style="2285" customWidth="1"/>
    <col min="11524" max="11524" width="12.140625" style="2285" customWidth="1"/>
    <col min="11525" max="11525" width="11.5703125" style="2285" customWidth="1"/>
    <col min="11526" max="11526" width="11" style="2285" customWidth="1"/>
    <col min="11527" max="11527" width="12.42578125" style="2285" customWidth="1"/>
    <col min="11528" max="11528" width="12.140625" style="2285" customWidth="1"/>
    <col min="11529" max="11776" width="9.140625" style="2285"/>
    <col min="11777" max="11777" width="11.7109375" style="2285" customWidth="1"/>
    <col min="11778" max="11778" width="11.42578125" style="2285" customWidth="1"/>
    <col min="11779" max="11779" width="12.7109375" style="2285" customWidth="1"/>
    <col min="11780" max="11780" width="12.140625" style="2285" customWidth="1"/>
    <col min="11781" max="11781" width="11.5703125" style="2285" customWidth="1"/>
    <col min="11782" max="11782" width="11" style="2285" customWidth="1"/>
    <col min="11783" max="11783" width="12.42578125" style="2285" customWidth="1"/>
    <col min="11784" max="11784" width="12.140625" style="2285" customWidth="1"/>
    <col min="11785" max="12032" width="9.140625" style="2285"/>
    <col min="12033" max="12033" width="11.7109375" style="2285" customWidth="1"/>
    <col min="12034" max="12034" width="11.42578125" style="2285" customWidth="1"/>
    <col min="12035" max="12035" width="12.7109375" style="2285" customWidth="1"/>
    <col min="12036" max="12036" width="12.140625" style="2285" customWidth="1"/>
    <col min="12037" max="12037" width="11.5703125" style="2285" customWidth="1"/>
    <col min="12038" max="12038" width="11" style="2285" customWidth="1"/>
    <col min="12039" max="12039" width="12.42578125" style="2285" customWidth="1"/>
    <col min="12040" max="12040" width="12.140625" style="2285" customWidth="1"/>
    <col min="12041" max="12288" width="9.140625" style="2285"/>
    <col min="12289" max="12289" width="11.7109375" style="2285" customWidth="1"/>
    <col min="12290" max="12290" width="11.42578125" style="2285" customWidth="1"/>
    <col min="12291" max="12291" width="12.7109375" style="2285" customWidth="1"/>
    <col min="12292" max="12292" width="12.140625" style="2285" customWidth="1"/>
    <col min="12293" max="12293" width="11.5703125" style="2285" customWidth="1"/>
    <col min="12294" max="12294" width="11" style="2285" customWidth="1"/>
    <col min="12295" max="12295" width="12.42578125" style="2285" customWidth="1"/>
    <col min="12296" max="12296" width="12.140625" style="2285" customWidth="1"/>
    <col min="12297" max="12544" width="9.140625" style="2285"/>
    <col min="12545" max="12545" width="11.7109375" style="2285" customWidth="1"/>
    <col min="12546" max="12546" width="11.42578125" style="2285" customWidth="1"/>
    <col min="12547" max="12547" width="12.7109375" style="2285" customWidth="1"/>
    <col min="12548" max="12548" width="12.140625" style="2285" customWidth="1"/>
    <col min="12549" max="12549" width="11.5703125" style="2285" customWidth="1"/>
    <col min="12550" max="12550" width="11" style="2285" customWidth="1"/>
    <col min="12551" max="12551" width="12.42578125" style="2285" customWidth="1"/>
    <col min="12552" max="12552" width="12.140625" style="2285" customWidth="1"/>
    <col min="12553" max="12800" width="9.140625" style="2285"/>
    <col min="12801" max="12801" width="11.7109375" style="2285" customWidth="1"/>
    <col min="12802" max="12802" width="11.42578125" style="2285" customWidth="1"/>
    <col min="12803" max="12803" width="12.7109375" style="2285" customWidth="1"/>
    <col min="12804" max="12804" width="12.140625" style="2285" customWidth="1"/>
    <col min="12805" max="12805" width="11.5703125" style="2285" customWidth="1"/>
    <col min="12806" max="12806" width="11" style="2285" customWidth="1"/>
    <col min="12807" max="12807" width="12.42578125" style="2285" customWidth="1"/>
    <col min="12808" max="12808" width="12.140625" style="2285" customWidth="1"/>
    <col min="12809" max="13056" width="9.140625" style="2285"/>
    <col min="13057" max="13057" width="11.7109375" style="2285" customWidth="1"/>
    <col min="13058" max="13058" width="11.42578125" style="2285" customWidth="1"/>
    <col min="13059" max="13059" width="12.7109375" style="2285" customWidth="1"/>
    <col min="13060" max="13060" width="12.140625" style="2285" customWidth="1"/>
    <col min="13061" max="13061" width="11.5703125" style="2285" customWidth="1"/>
    <col min="13062" max="13062" width="11" style="2285" customWidth="1"/>
    <col min="13063" max="13063" width="12.42578125" style="2285" customWidth="1"/>
    <col min="13064" max="13064" width="12.140625" style="2285" customWidth="1"/>
    <col min="13065" max="13312" width="9.140625" style="2285"/>
    <col min="13313" max="13313" width="11.7109375" style="2285" customWidth="1"/>
    <col min="13314" max="13314" width="11.42578125" style="2285" customWidth="1"/>
    <col min="13315" max="13315" width="12.7109375" style="2285" customWidth="1"/>
    <col min="13316" max="13316" width="12.140625" style="2285" customWidth="1"/>
    <col min="13317" max="13317" width="11.5703125" style="2285" customWidth="1"/>
    <col min="13318" max="13318" width="11" style="2285" customWidth="1"/>
    <col min="13319" max="13319" width="12.42578125" style="2285" customWidth="1"/>
    <col min="13320" max="13320" width="12.140625" style="2285" customWidth="1"/>
    <col min="13321" max="13568" width="9.140625" style="2285"/>
    <col min="13569" max="13569" width="11.7109375" style="2285" customWidth="1"/>
    <col min="13570" max="13570" width="11.42578125" style="2285" customWidth="1"/>
    <col min="13571" max="13571" width="12.7109375" style="2285" customWidth="1"/>
    <col min="13572" max="13572" width="12.140625" style="2285" customWidth="1"/>
    <col min="13573" max="13573" width="11.5703125" style="2285" customWidth="1"/>
    <col min="13574" max="13574" width="11" style="2285" customWidth="1"/>
    <col min="13575" max="13575" width="12.42578125" style="2285" customWidth="1"/>
    <col min="13576" max="13576" width="12.140625" style="2285" customWidth="1"/>
    <col min="13577" max="13824" width="9.140625" style="2285"/>
    <col min="13825" max="13825" width="11.7109375" style="2285" customWidth="1"/>
    <col min="13826" max="13826" width="11.42578125" style="2285" customWidth="1"/>
    <col min="13827" max="13827" width="12.7109375" style="2285" customWidth="1"/>
    <col min="13828" max="13828" width="12.140625" style="2285" customWidth="1"/>
    <col min="13829" max="13829" width="11.5703125" style="2285" customWidth="1"/>
    <col min="13830" max="13830" width="11" style="2285" customWidth="1"/>
    <col min="13831" max="13831" width="12.42578125" style="2285" customWidth="1"/>
    <col min="13832" max="13832" width="12.140625" style="2285" customWidth="1"/>
    <col min="13833" max="14080" width="9.140625" style="2285"/>
    <col min="14081" max="14081" width="11.7109375" style="2285" customWidth="1"/>
    <col min="14082" max="14082" width="11.42578125" style="2285" customWidth="1"/>
    <col min="14083" max="14083" width="12.7109375" style="2285" customWidth="1"/>
    <col min="14084" max="14084" width="12.140625" style="2285" customWidth="1"/>
    <col min="14085" max="14085" width="11.5703125" style="2285" customWidth="1"/>
    <col min="14086" max="14086" width="11" style="2285" customWidth="1"/>
    <col min="14087" max="14087" width="12.42578125" style="2285" customWidth="1"/>
    <col min="14088" max="14088" width="12.140625" style="2285" customWidth="1"/>
    <col min="14089" max="14336" width="9.140625" style="2285"/>
    <col min="14337" max="14337" width="11.7109375" style="2285" customWidth="1"/>
    <col min="14338" max="14338" width="11.42578125" style="2285" customWidth="1"/>
    <col min="14339" max="14339" width="12.7109375" style="2285" customWidth="1"/>
    <col min="14340" max="14340" width="12.140625" style="2285" customWidth="1"/>
    <col min="14341" max="14341" width="11.5703125" style="2285" customWidth="1"/>
    <col min="14342" max="14342" width="11" style="2285" customWidth="1"/>
    <col min="14343" max="14343" width="12.42578125" style="2285" customWidth="1"/>
    <col min="14344" max="14344" width="12.140625" style="2285" customWidth="1"/>
    <col min="14345" max="14592" width="9.140625" style="2285"/>
    <col min="14593" max="14593" width="11.7109375" style="2285" customWidth="1"/>
    <col min="14594" max="14594" width="11.42578125" style="2285" customWidth="1"/>
    <col min="14595" max="14595" width="12.7109375" style="2285" customWidth="1"/>
    <col min="14596" max="14596" width="12.140625" style="2285" customWidth="1"/>
    <col min="14597" max="14597" width="11.5703125" style="2285" customWidth="1"/>
    <col min="14598" max="14598" width="11" style="2285" customWidth="1"/>
    <col min="14599" max="14599" width="12.42578125" style="2285" customWidth="1"/>
    <col min="14600" max="14600" width="12.140625" style="2285" customWidth="1"/>
    <col min="14601" max="14848" width="9.140625" style="2285"/>
    <col min="14849" max="14849" width="11.7109375" style="2285" customWidth="1"/>
    <col min="14850" max="14850" width="11.42578125" style="2285" customWidth="1"/>
    <col min="14851" max="14851" width="12.7109375" style="2285" customWidth="1"/>
    <col min="14852" max="14852" width="12.140625" style="2285" customWidth="1"/>
    <col min="14853" max="14853" width="11.5703125" style="2285" customWidth="1"/>
    <col min="14854" max="14854" width="11" style="2285" customWidth="1"/>
    <col min="14855" max="14855" width="12.42578125" style="2285" customWidth="1"/>
    <col min="14856" max="14856" width="12.140625" style="2285" customWidth="1"/>
    <col min="14857" max="15104" width="9.140625" style="2285"/>
    <col min="15105" max="15105" width="11.7109375" style="2285" customWidth="1"/>
    <col min="15106" max="15106" width="11.42578125" style="2285" customWidth="1"/>
    <col min="15107" max="15107" width="12.7109375" style="2285" customWidth="1"/>
    <col min="15108" max="15108" width="12.140625" style="2285" customWidth="1"/>
    <col min="15109" max="15109" width="11.5703125" style="2285" customWidth="1"/>
    <col min="15110" max="15110" width="11" style="2285" customWidth="1"/>
    <col min="15111" max="15111" width="12.42578125" style="2285" customWidth="1"/>
    <col min="15112" max="15112" width="12.140625" style="2285" customWidth="1"/>
    <col min="15113" max="15360" width="9.140625" style="2285"/>
    <col min="15361" max="15361" width="11.7109375" style="2285" customWidth="1"/>
    <col min="15362" max="15362" width="11.42578125" style="2285" customWidth="1"/>
    <col min="15363" max="15363" width="12.7109375" style="2285" customWidth="1"/>
    <col min="15364" max="15364" width="12.140625" style="2285" customWidth="1"/>
    <col min="15365" max="15365" width="11.5703125" style="2285" customWidth="1"/>
    <col min="15366" max="15366" width="11" style="2285" customWidth="1"/>
    <col min="15367" max="15367" width="12.42578125" style="2285" customWidth="1"/>
    <col min="15368" max="15368" width="12.140625" style="2285" customWidth="1"/>
    <col min="15369" max="15616" width="9.140625" style="2285"/>
    <col min="15617" max="15617" width="11.7109375" style="2285" customWidth="1"/>
    <col min="15618" max="15618" width="11.42578125" style="2285" customWidth="1"/>
    <col min="15619" max="15619" width="12.7109375" style="2285" customWidth="1"/>
    <col min="15620" max="15620" width="12.140625" style="2285" customWidth="1"/>
    <col min="15621" max="15621" width="11.5703125" style="2285" customWidth="1"/>
    <col min="15622" max="15622" width="11" style="2285" customWidth="1"/>
    <col min="15623" max="15623" width="12.42578125" style="2285" customWidth="1"/>
    <col min="15624" max="15624" width="12.140625" style="2285" customWidth="1"/>
    <col min="15625" max="15872" width="9.140625" style="2285"/>
    <col min="15873" max="15873" width="11.7109375" style="2285" customWidth="1"/>
    <col min="15874" max="15874" width="11.42578125" style="2285" customWidth="1"/>
    <col min="15875" max="15875" width="12.7109375" style="2285" customWidth="1"/>
    <col min="15876" max="15876" width="12.140625" style="2285" customWidth="1"/>
    <col min="15877" max="15877" width="11.5703125" style="2285" customWidth="1"/>
    <col min="15878" max="15878" width="11" style="2285" customWidth="1"/>
    <col min="15879" max="15879" width="12.42578125" style="2285" customWidth="1"/>
    <col min="15880" max="15880" width="12.140625" style="2285" customWidth="1"/>
    <col min="15881" max="16128" width="9.140625" style="2285"/>
    <col min="16129" max="16129" width="11.7109375" style="2285" customWidth="1"/>
    <col min="16130" max="16130" width="11.42578125" style="2285" customWidth="1"/>
    <col min="16131" max="16131" width="12.7109375" style="2285" customWidth="1"/>
    <col min="16132" max="16132" width="12.140625" style="2285" customWidth="1"/>
    <col min="16133" max="16133" width="11.5703125" style="2285" customWidth="1"/>
    <col min="16134" max="16134" width="11" style="2285" customWidth="1"/>
    <col min="16135" max="16135" width="12.42578125" style="2285" customWidth="1"/>
    <col min="16136" max="16136" width="12.140625" style="2285" customWidth="1"/>
    <col min="16137" max="16384" width="9.140625" style="2285"/>
  </cols>
  <sheetData>
    <row r="1" spans="1:10" ht="19.5">
      <c r="A1" s="2283" t="s">
        <v>3265</v>
      </c>
      <c r="B1" s="2284"/>
      <c r="C1" s="2284"/>
      <c r="D1" s="2284"/>
      <c r="E1" s="2284"/>
      <c r="F1" s="2284"/>
    </row>
    <row r="2" spans="1:10" ht="16.5">
      <c r="A2" s="2283" t="s">
        <v>2904</v>
      </c>
      <c r="B2" s="2284"/>
      <c r="C2" s="2284"/>
      <c r="D2" s="2284"/>
      <c r="E2" s="2284"/>
      <c r="F2" s="2284"/>
    </row>
    <row r="3" spans="1:10" ht="6.75" customHeight="1" thickBot="1">
      <c r="A3" s="1059"/>
      <c r="B3" s="1059"/>
      <c r="C3" s="1059"/>
      <c r="D3" s="1059"/>
      <c r="E3" s="1059"/>
      <c r="F3" s="1059"/>
    </row>
    <row r="4" spans="1:10" ht="13.5" thickTop="1">
      <c r="A4" s="2286"/>
      <c r="B4" s="2287"/>
      <c r="C4" s="2288"/>
      <c r="D4" s="2288"/>
      <c r="E4" s="2289"/>
      <c r="F4" s="2290"/>
      <c r="G4" s="2291"/>
    </row>
    <row r="5" spans="1:10" ht="18" customHeight="1">
      <c r="A5" s="2292" t="s">
        <v>1</v>
      </c>
      <c r="B5" s="2293" t="s">
        <v>3266</v>
      </c>
      <c r="C5" s="2294" t="s">
        <v>3267</v>
      </c>
      <c r="D5" s="2295" t="s">
        <v>3268</v>
      </c>
      <c r="E5" s="2296" t="s">
        <v>3266</v>
      </c>
      <c r="F5" s="2294" t="s">
        <v>3267</v>
      </c>
      <c r="G5" s="2297" t="s">
        <v>3268</v>
      </c>
      <c r="H5" s="2298"/>
    </row>
    <row r="6" spans="1:10" ht="24.75" customHeight="1">
      <c r="A6" s="2299"/>
      <c r="B6" s="3479" t="s">
        <v>3269</v>
      </c>
      <c r="C6" s="3479"/>
      <c r="D6" s="3479"/>
      <c r="E6" s="3480" t="s">
        <v>3270</v>
      </c>
      <c r="F6" s="3479"/>
      <c r="G6" s="3481"/>
      <c r="H6" s="2298"/>
      <c r="J6" s="2300"/>
    </row>
    <row r="7" spans="1:10" ht="21.75" hidden="1" customHeight="1">
      <c r="A7" s="2301">
        <v>37865</v>
      </c>
      <c r="B7" s="2302">
        <v>28.651</v>
      </c>
      <c r="C7" s="2303">
        <v>33.140999999999998</v>
      </c>
      <c r="D7" s="2304">
        <v>47.945999999999998</v>
      </c>
      <c r="E7" s="2305">
        <v>28.857761904761901</v>
      </c>
      <c r="F7" s="2303">
        <v>32.52757142857142</v>
      </c>
      <c r="G7" s="2306">
        <v>46.711100000000002</v>
      </c>
      <c r="H7" s="2298"/>
    </row>
    <row r="8" spans="1:10" ht="17.25" hidden="1" customHeight="1">
      <c r="A8" s="2307">
        <v>37895</v>
      </c>
      <c r="B8" s="2308">
        <v>28.128</v>
      </c>
      <c r="C8" s="2309">
        <v>32.954999999999998</v>
      </c>
      <c r="D8" s="2310">
        <v>48.4</v>
      </c>
      <c r="E8" s="2311">
        <v>28.456130434782612</v>
      </c>
      <c r="F8" s="2309">
        <v>33.354227272727272</v>
      </c>
      <c r="G8" s="2312">
        <v>47.838722222222223</v>
      </c>
      <c r="H8" s="2298"/>
    </row>
    <row r="9" spans="1:10" ht="17.25" hidden="1" customHeight="1">
      <c r="A9" s="2307">
        <v>37926</v>
      </c>
      <c r="B9" s="2308">
        <v>27.792999999999999</v>
      </c>
      <c r="C9" s="2309">
        <v>33.311</v>
      </c>
      <c r="D9" s="2310">
        <v>47.786000000000001</v>
      </c>
      <c r="E9" s="2311">
        <v>28.082999999999998</v>
      </c>
      <c r="F9" s="2309">
        <v>33.004894736842104</v>
      </c>
      <c r="G9" s="2312">
        <v>47.641705882352937</v>
      </c>
      <c r="H9" s="2298"/>
    </row>
    <row r="10" spans="1:10" ht="17.25" hidden="1" customHeight="1">
      <c r="A10" s="2307">
        <v>37956</v>
      </c>
      <c r="B10" s="2313">
        <v>26.251999999999999</v>
      </c>
      <c r="C10" s="2314">
        <v>32.993000000000002</v>
      </c>
      <c r="D10" s="2315">
        <v>46.823999999999998</v>
      </c>
      <c r="E10" s="2316">
        <v>26.733636363636357</v>
      </c>
      <c r="F10" s="2314">
        <v>32.88040909090909</v>
      </c>
      <c r="G10" s="2317">
        <v>47.017000000000003</v>
      </c>
      <c r="H10" s="2298"/>
    </row>
    <row r="11" spans="1:10" ht="17.25" hidden="1" customHeight="1">
      <c r="A11" s="2318">
        <v>37987</v>
      </c>
      <c r="B11" s="2319">
        <v>25.898</v>
      </c>
      <c r="C11" s="2320">
        <v>31.888000000000002</v>
      </c>
      <c r="D11" s="2321" t="s">
        <v>3271</v>
      </c>
      <c r="E11" s="2322">
        <v>25.806631578947371</v>
      </c>
      <c r="F11" s="2320">
        <v>32.614736842105266</v>
      </c>
      <c r="G11" s="2323">
        <v>47.298588235294112</v>
      </c>
      <c r="H11" s="2298"/>
    </row>
    <row r="12" spans="1:10" ht="17.25" hidden="1" customHeight="1">
      <c r="A12" s="2318">
        <v>38018</v>
      </c>
      <c r="B12" s="2319">
        <v>25.568999999999999</v>
      </c>
      <c r="C12" s="2320">
        <v>31.867000000000001</v>
      </c>
      <c r="D12" s="2324">
        <v>48.3</v>
      </c>
      <c r="E12" s="2322">
        <v>25.448777777777778</v>
      </c>
      <c r="F12" s="2320">
        <v>32.19661111111111</v>
      </c>
      <c r="G12" s="2323">
        <v>47.471214285714275</v>
      </c>
      <c r="H12" s="2298"/>
    </row>
    <row r="13" spans="1:10" ht="17.25" hidden="1" customHeight="1">
      <c r="A13" s="2318">
        <v>38047</v>
      </c>
      <c r="B13" s="2319">
        <v>26.777000000000001</v>
      </c>
      <c r="C13" s="2320">
        <v>32.652000000000001</v>
      </c>
      <c r="D13" s="2325" t="s">
        <v>3272</v>
      </c>
      <c r="E13" s="2322">
        <v>26.185545454545458</v>
      </c>
      <c r="F13" s="2320">
        <v>32.140954545454555</v>
      </c>
      <c r="G13" s="2323">
        <v>47.954842105263161</v>
      </c>
      <c r="H13" s="2298"/>
      <c r="I13" s="2326"/>
    </row>
    <row r="14" spans="1:10" ht="17.25" hidden="1" customHeight="1">
      <c r="A14" s="2318">
        <v>38078</v>
      </c>
      <c r="B14" s="2319">
        <v>27.931000000000001</v>
      </c>
      <c r="C14" s="2320">
        <v>33.380000000000003</v>
      </c>
      <c r="D14" s="2324">
        <v>49.636000000000003</v>
      </c>
      <c r="E14" s="2322">
        <v>27.290681818181817</v>
      </c>
      <c r="F14" s="2320">
        <v>32.745545454545457</v>
      </c>
      <c r="G14" s="2323">
        <v>49.337578947368421</v>
      </c>
      <c r="H14" s="2298"/>
    </row>
    <row r="15" spans="1:10" ht="17.25" hidden="1" customHeight="1">
      <c r="A15" s="2318">
        <v>38108</v>
      </c>
      <c r="B15" s="2319">
        <v>28.341000000000001</v>
      </c>
      <c r="C15" s="2320">
        <v>34.595999999999997</v>
      </c>
      <c r="D15" s="2324">
        <v>52.058999999999997</v>
      </c>
      <c r="E15" s="2322">
        <v>28.141761904761903</v>
      </c>
      <c r="F15" s="2320">
        <v>33.792619047619048</v>
      </c>
      <c r="G15" s="2323">
        <v>50.383157894736833</v>
      </c>
      <c r="H15" s="2298"/>
    </row>
    <row r="16" spans="1:10" ht="17.25" hidden="1" customHeight="1">
      <c r="A16" s="2318">
        <v>38139</v>
      </c>
      <c r="B16" s="2319">
        <v>28.376999999999999</v>
      </c>
      <c r="C16" s="2320">
        <v>34.347000000000001</v>
      </c>
      <c r="D16" s="2324">
        <v>51.296999999999997</v>
      </c>
      <c r="E16" s="2322">
        <v>28.277636363636361</v>
      </c>
      <c r="F16" s="2320">
        <v>34.307272727272725</v>
      </c>
      <c r="G16" s="2323">
        <v>51.719368421052629</v>
      </c>
      <c r="H16" s="2298"/>
    </row>
    <row r="17" spans="1:8" ht="17.25" hidden="1" customHeight="1">
      <c r="A17" s="2318">
        <v>38169</v>
      </c>
      <c r="B17" s="2319">
        <v>28.602</v>
      </c>
      <c r="C17" s="2320">
        <v>34.433</v>
      </c>
      <c r="D17" s="2324">
        <v>52.046999999999997</v>
      </c>
      <c r="E17" s="2322">
        <v>28.451799999999999</v>
      </c>
      <c r="F17" s="2320">
        <v>34.950899999999997</v>
      </c>
      <c r="G17" s="2323">
        <v>52.488</v>
      </c>
      <c r="H17" s="2298"/>
    </row>
    <row r="18" spans="1:8" ht="17.25" hidden="1" customHeight="1">
      <c r="A18" s="2318">
        <v>38200</v>
      </c>
      <c r="B18" s="2319">
        <v>28.712</v>
      </c>
      <c r="C18" s="2320">
        <v>34.655999999999999</v>
      </c>
      <c r="D18" s="2324">
        <v>51.68</v>
      </c>
      <c r="E18" s="2322">
        <v>28.597200000000001</v>
      </c>
      <c r="F18" s="2320">
        <v>34.8902</v>
      </c>
      <c r="G18" s="2323">
        <v>52.148299999999999</v>
      </c>
      <c r="H18" s="2298"/>
    </row>
    <row r="19" spans="1:8" ht="17.25" hidden="1" customHeight="1">
      <c r="A19" s="2318">
        <v>38231</v>
      </c>
      <c r="B19" s="2319">
        <v>28.795300000000001</v>
      </c>
      <c r="C19" s="2320">
        <v>35.489400000000003</v>
      </c>
      <c r="D19" s="2324">
        <v>51.886499999999998</v>
      </c>
      <c r="E19" s="2322">
        <v>28.768999999999998</v>
      </c>
      <c r="F19" s="2320">
        <v>35.156599999999997</v>
      </c>
      <c r="G19" s="2323">
        <v>51.624400000000001</v>
      </c>
      <c r="H19" s="2298"/>
    </row>
    <row r="20" spans="1:8" ht="17.25" hidden="1" customHeight="1">
      <c r="A20" s="2318">
        <v>38261</v>
      </c>
      <c r="B20" s="2319">
        <v>28.744499999999999</v>
      </c>
      <c r="C20" s="2320">
        <v>36.680900000000001</v>
      </c>
      <c r="D20" s="2324">
        <v>52.745699999999999</v>
      </c>
      <c r="E20" s="2322">
        <v>28.801542857142856</v>
      </c>
      <c r="F20" s="2320">
        <v>35.996123809523816</v>
      </c>
      <c r="G20" s="2323">
        <v>52.043735000000005</v>
      </c>
      <c r="H20" s="2298"/>
    </row>
    <row r="21" spans="1:8" ht="17.25" hidden="1" customHeight="1">
      <c r="A21" s="2318">
        <v>38292</v>
      </c>
      <c r="B21" s="2319">
        <v>28.649000000000001</v>
      </c>
      <c r="C21" s="2320">
        <v>38.067999999999998</v>
      </c>
      <c r="D21" s="2327" t="s">
        <v>3273</v>
      </c>
      <c r="E21" s="2319">
        <v>28.693000000000001</v>
      </c>
      <c r="F21" s="2320">
        <v>37.337000000000003</v>
      </c>
      <c r="G21" s="2323">
        <v>53.460999999999999</v>
      </c>
      <c r="H21" s="2298"/>
    </row>
    <row r="22" spans="1:8" ht="17.25" hidden="1" customHeight="1">
      <c r="A22" s="2318">
        <v>38322</v>
      </c>
      <c r="B22" s="2328">
        <v>28.427</v>
      </c>
      <c r="C22" s="2320">
        <v>38.789000000000001</v>
      </c>
      <c r="D22" s="2327">
        <v>54.774999999999999</v>
      </c>
      <c r="E22" s="2328">
        <v>28.503</v>
      </c>
      <c r="F22" s="2320">
        <v>38.238999999999997</v>
      </c>
      <c r="G22" s="2329">
        <v>55.04</v>
      </c>
      <c r="H22" s="2298"/>
    </row>
    <row r="23" spans="1:8" ht="17.25" hidden="1" customHeight="1">
      <c r="A23" s="2318">
        <v>38353</v>
      </c>
      <c r="B23" s="2328">
        <v>28.780899999999999</v>
      </c>
      <c r="C23" s="2320">
        <v>37.511600000000001</v>
      </c>
      <c r="D23" s="2327">
        <v>54.222900000000003</v>
      </c>
      <c r="E23" s="2328">
        <v>28.636478947368424</v>
      </c>
      <c r="F23" s="2320">
        <v>37.586510526315799</v>
      </c>
      <c r="G23" s="2329">
        <v>53.770911111111111</v>
      </c>
      <c r="H23" s="2298"/>
    </row>
    <row r="24" spans="1:8" ht="17.25" hidden="1" customHeight="1">
      <c r="A24" s="2318">
        <v>38384</v>
      </c>
      <c r="B24" s="2328">
        <v>29.0501</v>
      </c>
      <c r="C24" s="2320">
        <v>38.601700000000001</v>
      </c>
      <c r="D24" s="2327">
        <v>55.829599999999999</v>
      </c>
      <c r="E24" s="2328">
        <v>28.959472222222221</v>
      </c>
      <c r="F24" s="2320">
        <v>37.743966666666665</v>
      </c>
      <c r="G24" s="2329">
        <v>54.759</v>
      </c>
      <c r="H24" s="2298"/>
    </row>
    <row r="25" spans="1:8" ht="17.25" hidden="1" customHeight="1">
      <c r="A25" s="2318">
        <v>38412</v>
      </c>
      <c r="B25" s="2328">
        <v>29.245999999999999</v>
      </c>
      <c r="C25" s="2320">
        <v>37.811</v>
      </c>
      <c r="D25" s="2327">
        <v>55.378999999999998</v>
      </c>
      <c r="E25" s="2328">
        <v>29.113</v>
      </c>
      <c r="F25" s="2320">
        <v>38.409999999999997</v>
      </c>
      <c r="G25" s="2329">
        <v>55.459000000000003</v>
      </c>
      <c r="H25" s="2298"/>
    </row>
    <row r="26" spans="1:8" ht="17.25" hidden="1" customHeight="1">
      <c r="A26" s="2318">
        <v>38443</v>
      </c>
      <c r="B26" s="2328">
        <v>29.288</v>
      </c>
      <c r="C26" s="2320">
        <v>37.994999999999997</v>
      </c>
      <c r="D26" s="2327">
        <v>55.981000000000002</v>
      </c>
      <c r="E26" s="2328">
        <v>29.279</v>
      </c>
      <c r="F26" s="2320">
        <v>37.917000000000002</v>
      </c>
      <c r="G26" s="2329">
        <v>55.491</v>
      </c>
      <c r="H26" s="2298"/>
    </row>
    <row r="27" spans="1:8" ht="17.25" hidden="1" customHeight="1">
      <c r="A27" s="2318">
        <v>38473</v>
      </c>
      <c r="B27" s="2328">
        <v>29.463000000000001</v>
      </c>
      <c r="C27" s="2320">
        <v>36.552999999999997</v>
      </c>
      <c r="D27" s="2327">
        <v>53.473999999999997</v>
      </c>
      <c r="E27" s="2328">
        <v>29.356999999999999</v>
      </c>
      <c r="F27" s="2320">
        <v>37.322000000000003</v>
      </c>
      <c r="G27" s="2329">
        <v>54.642000000000003</v>
      </c>
      <c r="H27" s="2298"/>
    </row>
    <row r="28" spans="1:8" ht="17.25" hidden="1" customHeight="1">
      <c r="A28" s="2318">
        <v>38504</v>
      </c>
      <c r="B28" s="2328">
        <v>29.603999999999999</v>
      </c>
      <c r="C28" s="2320">
        <v>35.787999999999997</v>
      </c>
      <c r="D28" s="2327">
        <v>53.609000000000002</v>
      </c>
      <c r="E28" s="2328">
        <v>29.527013636363634</v>
      </c>
      <c r="F28" s="2320">
        <v>35.990781818181816</v>
      </c>
      <c r="G28" s="2329">
        <v>53.776677272727284</v>
      </c>
      <c r="H28" s="2298"/>
    </row>
    <row r="29" spans="1:8" ht="17.25" hidden="1" customHeight="1">
      <c r="A29" s="2318">
        <v>38534</v>
      </c>
      <c r="B29" s="2328">
        <v>29.881900000000002</v>
      </c>
      <c r="C29" s="2320">
        <v>36.168700000000001</v>
      </c>
      <c r="D29" s="2327">
        <v>52.5</v>
      </c>
      <c r="E29" s="2328">
        <v>29.736809523809526</v>
      </c>
      <c r="F29" s="2320">
        <v>35.823876190476192</v>
      </c>
      <c r="G29" s="2329">
        <v>52.158929411764703</v>
      </c>
      <c r="H29" s="2298"/>
    </row>
    <row r="30" spans="1:8" ht="17.25" hidden="1" customHeight="1">
      <c r="A30" s="2318">
        <v>38565</v>
      </c>
      <c r="B30" s="2328">
        <v>30.058700000000002</v>
      </c>
      <c r="C30" s="2320">
        <v>36.679200000000002</v>
      </c>
      <c r="D30" s="2327">
        <v>53.6205</v>
      </c>
      <c r="E30" s="2328">
        <v>29.985726086956522</v>
      </c>
      <c r="F30" s="2320">
        <v>36.853482608695664</v>
      </c>
      <c r="G30" s="2329">
        <v>53.770104545454529</v>
      </c>
      <c r="H30" s="2298"/>
    </row>
    <row r="31" spans="1:8" ht="17.25" hidden="1" customHeight="1">
      <c r="A31" s="2318">
        <v>38596</v>
      </c>
      <c r="B31" s="2328">
        <v>30.472999999999999</v>
      </c>
      <c r="C31" s="2320">
        <v>36.720100000000002</v>
      </c>
      <c r="D31" s="2327">
        <v>53.858400000000003</v>
      </c>
      <c r="E31" s="2328">
        <v>30.287995238095235</v>
      </c>
      <c r="F31" s="2320">
        <v>37.067333333333337</v>
      </c>
      <c r="G31" s="2329">
        <v>54.591388888888893</v>
      </c>
      <c r="H31" s="2298"/>
    </row>
    <row r="32" spans="1:8" ht="17.25" hidden="1" customHeight="1">
      <c r="A32" s="2318">
        <v>38626</v>
      </c>
      <c r="B32" s="2328">
        <v>30.546299999999999</v>
      </c>
      <c r="C32" s="2320">
        <v>36.913499999999999</v>
      </c>
      <c r="D32" s="2327">
        <v>54.256599999999999</v>
      </c>
      <c r="E32" s="2328">
        <v>30.527428571428565</v>
      </c>
      <c r="F32" s="2320">
        <v>36.781804761904766</v>
      </c>
      <c r="G32" s="2329">
        <v>53.934674999999991</v>
      </c>
      <c r="H32" s="2298"/>
    </row>
    <row r="33" spans="1:12" ht="17.25" hidden="1" customHeight="1">
      <c r="A33" s="2318">
        <v>38657</v>
      </c>
      <c r="B33" s="2330">
        <v>30.745200000000001</v>
      </c>
      <c r="C33" s="2320">
        <v>36.331200000000003</v>
      </c>
      <c r="D33" s="2327">
        <v>52.9758</v>
      </c>
      <c r="E33" s="2328">
        <v>30.655557894736837</v>
      </c>
      <c r="F33" s="2320">
        <v>36.144747368421044</v>
      </c>
      <c r="G33" s="2329">
        <v>53.134361111111119</v>
      </c>
      <c r="H33" s="2298"/>
      <c r="L33" s="2298"/>
    </row>
    <row r="34" spans="1:12" ht="17.25" hidden="1" customHeight="1">
      <c r="A34" s="2318">
        <v>38687</v>
      </c>
      <c r="B34" s="2328">
        <v>30.782</v>
      </c>
      <c r="C34" s="2320">
        <v>36.631</v>
      </c>
      <c r="D34" s="2327">
        <v>53.21</v>
      </c>
      <c r="E34" s="2328">
        <v>30.765999999999998</v>
      </c>
      <c r="F34" s="2320">
        <v>36.576999999999998</v>
      </c>
      <c r="G34" s="2329">
        <v>53.7</v>
      </c>
      <c r="H34" s="2298"/>
      <c r="L34" s="2298"/>
    </row>
    <row r="35" spans="1:12" ht="17.25" hidden="1" customHeight="1">
      <c r="A35" s="2318">
        <v>38718</v>
      </c>
      <c r="B35" s="2328">
        <v>30.796299999999999</v>
      </c>
      <c r="C35" s="2320">
        <v>37.384700000000002</v>
      </c>
      <c r="D35" s="2327">
        <v>54.6524</v>
      </c>
      <c r="E35" s="2328">
        <v>30.783547619047621</v>
      </c>
      <c r="F35" s="2320">
        <v>37.405219047619049</v>
      </c>
      <c r="G35" s="2329">
        <v>54.524347368421047</v>
      </c>
      <c r="H35" s="2298"/>
    </row>
    <row r="36" spans="1:12" ht="17.25" hidden="1" customHeight="1">
      <c r="A36" s="2318">
        <v>38749</v>
      </c>
      <c r="B36" s="2328">
        <v>30.881399999999999</v>
      </c>
      <c r="C36" s="2320">
        <v>36.765500000000003</v>
      </c>
      <c r="D36" s="2327">
        <v>53.976199999999999</v>
      </c>
      <c r="E36" s="2328">
        <v>30.839652631578947</v>
      </c>
      <c r="F36" s="2320">
        <v>36.947931578947369</v>
      </c>
      <c r="G36" s="2329">
        <v>54.027205555555547</v>
      </c>
      <c r="H36" s="2298"/>
    </row>
    <row r="37" spans="1:12" ht="17.25" hidden="1" customHeight="1">
      <c r="A37" s="2318">
        <v>38777</v>
      </c>
      <c r="B37" s="2328">
        <v>30.956299999999999</v>
      </c>
      <c r="C37" s="2320">
        <v>37.785299999999999</v>
      </c>
      <c r="D37" s="2327">
        <v>54.12</v>
      </c>
      <c r="E37" s="2328">
        <v>30.893609090909091</v>
      </c>
      <c r="F37" s="2320">
        <v>37.264481818181821</v>
      </c>
      <c r="G37" s="2323">
        <v>54.013999999999996</v>
      </c>
      <c r="H37" s="2298"/>
    </row>
    <row r="38" spans="1:12" ht="17.25" hidden="1" customHeight="1">
      <c r="A38" s="2318">
        <v>38808</v>
      </c>
      <c r="B38" s="2328">
        <v>30.992799999999999</v>
      </c>
      <c r="C38" s="2320">
        <v>38.974800000000002</v>
      </c>
      <c r="D38" s="2327">
        <v>55.577500000000001</v>
      </c>
      <c r="E38" s="2328">
        <v>30.965029999999999</v>
      </c>
      <c r="F38" s="2320">
        <v>38.085704999999997</v>
      </c>
      <c r="G38" s="2329">
        <v>54.847116</v>
      </c>
      <c r="H38" s="2298"/>
    </row>
    <row r="39" spans="1:12" ht="17.25" hidden="1" customHeight="1">
      <c r="A39" s="2318">
        <v>38838</v>
      </c>
      <c r="B39" s="2328">
        <v>30.972899999999999</v>
      </c>
      <c r="C39" s="2320">
        <v>39.990600000000001</v>
      </c>
      <c r="D39" s="2327">
        <v>58.262500000000003</v>
      </c>
      <c r="E39" s="2328">
        <v>30.970981818181823</v>
      </c>
      <c r="F39" s="2320">
        <v>39.640654545454545</v>
      </c>
      <c r="G39" s="2329">
        <v>57.973223809523809</v>
      </c>
      <c r="H39" s="2298"/>
    </row>
    <row r="40" spans="1:12" ht="17.25" hidden="1" customHeight="1">
      <c r="A40" s="2318">
        <v>38869</v>
      </c>
      <c r="B40" s="2328">
        <v>31.004999999999999</v>
      </c>
      <c r="C40" s="2320">
        <v>39.755899999999997</v>
      </c>
      <c r="D40" s="2327">
        <v>57.027999999999999</v>
      </c>
      <c r="E40" s="2328">
        <v>30.982204545454547</v>
      </c>
      <c r="F40" s="2320">
        <v>39.451349999999998</v>
      </c>
      <c r="G40" s="2329">
        <v>57.306261904761911</v>
      </c>
      <c r="H40" s="2298"/>
    </row>
    <row r="41" spans="1:12" ht="17.25" hidden="1" customHeight="1">
      <c r="A41" s="2318">
        <v>38899</v>
      </c>
      <c r="B41" s="2328">
        <v>31.531700000000001</v>
      </c>
      <c r="C41" s="2320">
        <v>40.5794</v>
      </c>
      <c r="D41" s="2327">
        <v>59.216000000000001</v>
      </c>
      <c r="E41" s="2328">
        <v>31.282800000000002</v>
      </c>
      <c r="F41" s="2320">
        <v>40.057699999999997</v>
      </c>
      <c r="G41" s="2329">
        <v>57.96</v>
      </c>
      <c r="H41" s="2298"/>
    </row>
    <row r="42" spans="1:12" ht="17.25" hidden="1" customHeight="1">
      <c r="A42" s="2318">
        <v>38930</v>
      </c>
      <c r="B42" s="2328">
        <v>32.684399999999997</v>
      </c>
      <c r="C42" s="2320">
        <v>42.2104</v>
      </c>
      <c r="D42" s="2327">
        <v>62.959899999999998</v>
      </c>
      <c r="E42" s="2328">
        <v>32.148542857142857</v>
      </c>
      <c r="F42" s="2320">
        <v>41.582276190476193</v>
      </c>
      <c r="G42" s="2329">
        <v>61.320316666666677</v>
      </c>
      <c r="H42" s="2298"/>
    </row>
    <row r="43" spans="1:12" ht="17.25" hidden="1" customHeight="1">
      <c r="A43" s="2318">
        <v>38961</v>
      </c>
      <c r="B43" s="2331">
        <v>32.594000000000001</v>
      </c>
      <c r="C43" s="2320">
        <v>42.289900000000003</v>
      </c>
      <c r="D43" s="2327">
        <v>61.917999999999999</v>
      </c>
      <c r="E43" s="2328">
        <v>32.704157142857149</v>
      </c>
      <c r="F43" s="2320">
        <v>42.200400000000002</v>
      </c>
      <c r="G43" s="2329">
        <v>62.190811111111103</v>
      </c>
      <c r="H43" s="2298"/>
    </row>
    <row r="44" spans="1:12" ht="17.25" hidden="1" customHeight="1">
      <c r="A44" s="2318">
        <v>38991</v>
      </c>
      <c r="B44" s="2328">
        <v>33.5</v>
      </c>
      <c r="C44" s="2320">
        <v>43.176000000000002</v>
      </c>
      <c r="D44" s="2327" t="s">
        <v>3274</v>
      </c>
      <c r="E44" s="2328">
        <v>33.055999999999997</v>
      </c>
      <c r="F44" s="2320">
        <v>42.381</v>
      </c>
      <c r="G44" s="2329">
        <v>62.133000000000003</v>
      </c>
      <c r="H44" s="2298"/>
    </row>
    <row r="45" spans="1:12" ht="17.25" hidden="1" customHeight="1">
      <c r="A45" s="2318">
        <v>39022</v>
      </c>
      <c r="B45" s="2328">
        <v>34.012</v>
      </c>
      <c r="C45" s="2320">
        <v>45.536999999999999</v>
      </c>
      <c r="D45" s="2327" t="s">
        <v>3275</v>
      </c>
      <c r="E45" s="2322">
        <v>33.988039999999998</v>
      </c>
      <c r="F45" s="2320">
        <v>44.215730000000001</v>
      </c>
      <c r="G45" s="2329">
        <v>64.555760000000006</v>
      </c>
      <c r="H45" s="2298"/>
    </row>
    <row r="46" spans="1:12" ht="17.25" hidden="1" customHeight="1">
      <c r="A46" s="2318">
        <v>39052</v>
      </c>
      <c r="B46" s="2328">
        <v>34.527999999999999</v>
      </c>
      <c r="C46" s="2320">
        <v>45.939</v>
      </c>
      <c r="D46" s="2327">
        <v>67.849999999999994</v>
      </c>
      <c r="E46" s="2319">
        <v>34.616999999999997</v>
      </c>
      <c r="F46" s="2320">
        <v>46.058</v>
      </c>
      <c r="G46" s="2329">
        <v>67.144999999999996</v>
      </c>
      <c r="H46" s="2298"/>
    </row>
    <row r="47" spans="1:12" ht="17.25" hidden="1" customHeight="1">
      <c r="A47" s="2318">
        <v>39083</v>
      </c>
      <c r="B47" s="2328">
        <v>33.67</v>
      </c>
      <c r="C47" s="2320">
        <v>43.816000000000003</v>
      </c>
      <c r="D47" s="2327" t="s">
        <v>3276</v>
      </c>
      <c r="E47" s="2319">
        <v>33.865000000000002</v>
      </c>
      <c r="F47" s="2320">
        <v>44.719000000000001</v>
      </c>
      <c r="G47" s="2329">
        <v>66.897000000000006</v>
      </c>
      <c r="H47" s="2298"/>
    </row>
    <row r="48" spans="1:12" ht="17.25" hidden="1" customHeight="1">
      <c r="A48" s="2318">
        <v>39114</v>
      </c>
      <c r="B48" s="2328">
        <v>32.908099999999997</v>
      </c>
      <c r="C48" s="2320">
        <v>43.454500000000003</v>
      </c>
      <c r="D48" s="2327">
        <v>65</v>
      </c>
      <c r="E48" s="2319">
        <v>33.404600000000002</v>
      </c>
      <c r="F48" s="2320">
        <v>43.795999999999999</v>
      </c>
      <c r="G48" s="2329">
        <v>65.742800000000003</v>
      </c>
      <c r="H48" s="2298"/>
    </row>
    <row r="49" spans="1:9" ht="17.25" hidden="1" customHeight="1">
      <c r="A49" s="2318">
        <v>39142</v>
      </c>
      <c r="B49" s="2332">
        <v>32.6999</v>
      </c>
      <c r="C49" s="2333">
        <v>43.517499999999998</v>
      </c>
      <c r="D49" s="2334">
        <v>64.52</v>
      </c>
      <c r="E49" s="2335">
        <v>32.777700000000003</v>
      </c>
      <c r="F49" s="2333">
        <v>43.517000000000003</v>
      </c>
      <c r="G49" s="2336">
        <v>64.380799999999994</v>
      </c>
      <c r="H49" s="2298"/>
    </row>
    <row r="50" spans="1:9" ht="17.25" hidden="1" customHeight="1">
      <c r="A50" s="2318">
        <v>39173</v>
      </c>
      <c r="B50" s="2332">
        <v>31.947800000000001</v>
      </c>
      <c r="C50" s="2333">
        <v>43.6175</v>
      </c>
      <c r="D50" s="2334">
        <v>64</v>
      </c>
      <c r="E50" s="2335">
        <v>32.237000000000002</v>
      </c>
      <c r="F50" s="2333">
        <v>43.573</v>
      </c>
      <c r="G50" s="2336">
        <v>64.173000000000002</v>
      </c>
      <c r="H50" s="2298"/>
    </row>
    <row r="51" spans="1:9" ht="17.25" hidden="1" customHeight="1">
      <c r="A51" s="2318">
        <v>39203</v>
      </c>
      <c r="B51" s="2332">
        <v>31.5776</v>
      </c>
      <c r="C51" s="2333">
        <v>42.691499999999998</v>
      </c>
      <c r="D51" s="2334">
        <v>61.94</v>
      </c>
      <c r="E51" s="2335">
        <v>31.356480000000001</v>
      </c>
      <c r="F51" s="2333">
        <v>42.382170000000002</v>
      </c>
      <c r="G51" s="2336">
        <v>62.36121</v>
      </c>
      <c r="H51" s="2298"/>
    </row>
    <row r="52" spans="1:9" ht="17.25" hidden="1" customHeight="1">
      <c r="A52" s="2318">
        <v>39234</v>
      </c>
      <c r="B52" s="2335">
        <v>31.893000000000001</v>
      </c>
      <c r="C52" s="2333">
        <v>42.917000000000002</v>
      </c>
      <c r="D52" s="2334">
        <v>63.856999999999999</v>
      </c>
      <c r="E52" s="2335">
        <v>31.818000000000001</v>
      </c>
      <c r="F52" s="2333">
        <v>42.671999999999997</v>
      </c>
      <c r="G52" s="2337">
        <v>63.317999999999998</v>
      </c>
      <c r="H52" s="2298"/>
    </row>
    <row r="53" spans="1:9" ht="17.25" hidden="1" customHeight="1">
      <c r="A53" s="2318">
        <v>39264</v>
      </c>
      <c r="B53" s="2335">
        <v>30.989000000000001</v>
      </c>
      <c r="C53" s="2333">
        <v>42.680999999999997</v>
      </c>
      <c r="D53" s="2334">
        <v>62.606999999999999</v>
      </c>
      <c r="E53" s="2335">
        <v>31.317</v>
      </c>
      <c r="F53" s="2333">
        <v>43.042999999999999</v>
      </c>
      <c r="G53" s="2337">
        <v>63.951999999999998</v>
      </c>
      <c r="H53" s="2298"/>
    </row>
    <row r="54" spans="1:9" ht="17.25" hidden="1" customHeight="1">
      <c r="A54" s="2318">
        <v>39295</v>
      </c>
      <c r="B54" s="2332">
        <v>31.599</v>
      </c>
      <c r="C54" s="2333">
        <v>43.302999999999997</v>
      </c>
      <c r="D54" s="2338">
        <v>63.606000000000002</v>
      </c>
      <c r="E54" s="2332">
        <v>30.936</v>
      </c>
      <c r="F54" s="2333">
        <v>42.18</v>
      </c>
      <c r="G54" s="2336">
        <v>62.523000000000003</v>
      </c>
      <c r="H54" s="2298"/>
    </row>
    <row r="55" spans="1:9" ht="17.25" hidden="1" customHeight="1">
      <c r="A55" s="2318">
        <v>39326</v>
      </c>
      <c r="B55" s="2332">
        <v>30.142700000000001</v>
      </c>
      <c r="C55" s="2333">
        <v>43.133200000000002</v>
      </c>
      <c r="D55" s="2338">
        <v>61.641599999999997</v>
      </c>
      <c r="E55" s="2332">
        <v>30.936800000000002</v>
      </c>
      <c r="F55" s="2333">
        <v>43.001600000000003</v>
      </c>
      <c r="G55" s="2336">
        <v>62.876899999999999</v>
      </c>
      <c r="H55" s="2298"/>
    </row>
    <row r="56" spans="1:9" ht="17.25" hidden="1" customHeight="1">
      <c r="A56" s="2318">
        <v>39356</v>
      </c>
      <c r="B56" s="2332">
        <v>30.549800000000001</v>
      </c>
      <c r="C56" s="2333">
        <v>44.227899999999998</v>
      </c>
      <c r="D56" s="2338">
        <v>63.1768</v>
      </c>
      <c r="E56" s="2332">
        <v>30.398399999999999</v>
      </c>
      <c r="F56" s="2333">
        <v>43.2986</v>
      </c>
      <c r="G56" s="2336">
        <v>62.351140000000001</v>
      </c>
      <c r="H56" s="2298"/>
    </row>
    <row r="57" spans="1:9" ht="17.25" hidden="1" customHeight="1">
      <c r="A57" s="2318">
        <v>39387</v>
      </c>
      <c r="B57" s="2332">
        <v>29.896799999999999</v>
      </c>
      <c r="C57" s="2333">
        <v>44.136299999999999</v>
      </c>
      <c r="D57" s="2338">
        <v>61.59</v>
      </c>
      <c r="E57" s="2332">
        <v>30.1113</v>
      </c>
      <c r="F57" s="2333">
        <v>44.317100000000003</v>
      </c>
      <c r="G57" s="2336">
        <v>62.685000000000002</v>
      </c>
      <c r="H57" s="2298"/>
    </row>
    <row r="58" spans="1:9" ht="17.25" hidden="1" customHeight="1">
      <c r="A58" s="2318">
        <v>39417</v>
      </c>
      <c r="B58" s="2332">
        <v>28.158000000000001</v>
      </c>
      <c r="C58" s="2333">
        <v>41.615000000000002</v>
      </c>
      <c r="D58" s="2338">
        <v>55.73</v>
      </c>
      <c r="E58" s="2332">
        <v>29.114000000000001</v>
      </c>
      <c r="F58" s="2333">
        <v>42.524999999999999</v>
      </c>
      <c r="G58" s="2336">
        <v>59.518999999999998</v>
      </c>
      <c r="H58" s="2298"/>
    </row>
    <row r="59" spans="1:9" ht="17.25" hidden="1" customHeight="1">
      <c r="A59" s="2318">
        <v>39448</v>
      </c>
      <c r="B59" s="2335">
        <v>28.626000000000001</v>
      </c>
      <c r="C59" s="2333">
        <v>43.402999999999999</v>
      </c>
      <c r="D59" s="2334" t="s">
        <v>3277</v>
      </c>
      <c r="E59" s="2335">
        <v>28.725000000000001</v>
      </c>
      <c r="F59" s="2333">
        <v>42.417000000000002</v>
      </c>
      <c r="G59" s="2337">
        <v>56.896000000000001</v>
      </c>
      <c r="H59" s="2298"/>
      <c r="I59" s="2339"/>
    </row>
    <row r="60" spans="1:9" ht="17.25" hidden="1" customHeight="1">
      <c r="A60" s="2318">
        <v>39479</v>
      </c>
      <c r="B60" s="2332">
        <v>27.416</v>
      </c>
      <c r="C60" s="2333">
        <v>41.936999999999998</v>
      </c>
      <c r="D60" s="2334">
        <v>55</v>
      </c>
      <c r="E60" s="2332">
        <v>28.141999999999999</v>
      </c>
      <c r="F60" s="2333">
        <v>41.427999999999997</v>
      </c>
      <c r="G60" s="2336">
        <v>55.786999999999999</v>
      </c>
      <c r="H60" s="2298"/>
    </row>
    <row r="61" spans="1:9" ht="17.25" hidden="1" customHeight="1">
      <c r="A61" s="2340">
        <v>39508</v>
      </c>
      <c r="B61" s="2341">
        <v>26.042000000000002</v>
      </c>
      <c r="C61" s="2342">
        <v>41.546999999999997</v>
      </c>
      <c r="D61" s="2334">
        <v>52.54</v>
      </c>
      <c r="E61" s="2343">
        <v>26.687000000000001</v>
      </c>
      <c r="F61" s="2333">
        <v>41.6</v>
      </c>
      <c r="G61" s="2336">
        <v>53.942</v>
      </c>
      <c r="H61" s="2298"/>
    </row>
    <row r="62" spans="1:9" ht="17.25" hidden="1" customHeight="1">
      <c r="A62" s="2340">
        <v>39539</v>
      </c>
      <c r="B62" s="2341">
        <v>26.290500000000002</v>
      </c>
      <c r="C62" s="2342">
        <v>41.1023</v>
      </c>
      <c r="D62" s="2334">
        <v>51.8521</v>
      </c>
      <c r="E62" s="2343">
        <v>26.0014</v>
      </c>
      <c r="F62" s="2333">
        <v>41.084299999999999</v>
      </c>
      <c r="G62" s="2336">
        <v>51.811300000000003</v>
      </c>
      <c r="H62" s="2298"/>
    </row>
    <row r="63" spans="1:9" ht="17.25" hidden="1" customHeight="1">
      <c r="A63" s="2340">
        <v>39569</v>
      </c>
      <c r="B63" s="2341">
        <v>27.952400000000001</v>
      </c>
      <c r="C63" s="2342">
        <v>43.417299999999997</v>
      </c>
      <c r="D63" s="2334">
        <v>55.319800000000001</v>
      </c>
      <c r="E63" s="2343">
        <v>27.55763</v>
      </c>
      <c r="F63" s="2333">
        <v>42.903579999999998</v>
      </c>
      <c r="G63" s="2336">
        <v>54.149000000000001</v>
      </c>
      <c r="H63" s="2298"/>
    </row>
    <row r="64" spans="1:9" ht="17.25" hidden="1" customHeight="1">
      <c r="A64" s="2340">
        <v>39600</v>
      </c>
      <c r="B64" s="2341">
        <v>27.379000000000001</v>
      </c>
      <c r="C64" s="2342">
        <v>43.457999999999998</v>
      </c>
      <c r="D64" s="2334">
        <v>54.564999999999998</v>
      </c>
      <c r="E64" s="2343">
        <v>27.542999999999999</v>
      </c>
      <c r="F64" s="2333">
        <v>42.896000000000001</v>
      </c>
      <c r="G64" s="2336">
        <v>54.222000000000001</v>
      </c>
      <c r="H64" s="2298"/>
    </row>
    <row r="65" spans="1:8" ht="17.25" hidden="1" customHeight="1">
      <c r="A65" s="2340">
        <v>39630</v>
      </c>
      <c r="B65" s="2341">
        <v>26.943000000000001</v>
      </c>
      <c r="C65" s="2342">
        <v>42.365000000000002</v>
      </c>
      <c r="D65" s="2334">
        <v>53.918999999999997</v>
      </c>
      <c r="E65" s="2343">
        <v>26.914000000000001</v>
      </c>
      <c r="F65" s="2333">
        <v>42.488999999999997</v>
      </c>
      <c r="G65" s="2337">
        <v>53.734000000000002</v>
      </c>
      <c r="H65" s="2298"/>
    </row>
    <row r="66" spans="1:8" ht="17.25" hidden="1" customHeight="1">
      <c r="A66" s="2340">
        <v>39661</v>
      </c>
      <c r="B66" s="2341">
        <v>28.725999999999999</v>
      </c>
      <c r="C66" s="2342">
        <v>42.433</v>
      </c>
      <c r="D66" s="2334">
        <v>52.85</v>
      </c>
      <c r="E66" s="2343">
        <v>28.042000000000002</v>
      </c>
      <c r="F66" s="2333">
        <v>42.066000000000003</v>
      </c>
      <c r="G66" s="2337">
        <v>53.124000000000002</v>
      </c>
      <c r="H66" s="2298"/>
    </row>
    <row r="67" spans="1:8" ht="17.25" hidden="1" customHeight="1">
      <c r="A67" s="2340">
        <v>39692</v>
      </c>
      <c r="B67" s="2341">
        <v>28.104800000000001</v>
      </c>
      <c r="C67" s="2342">
        <v>40.824399999999997</v>
      </c>
      <c r="D67" s="2334">
        <v>51.486800000000002</v>
      </c>
      <c r="E67" s="2343">
        <v>29.193899999999999</v>
      </c>
      <c r="F67" s="2333">
        <v>42.066499999999998</v>
      </c>
      <c r="G67" s="2337">
        <v>52.821800000000003</v>
      </c>
      <c r="H67" s="2298"/>
    </row>
    <row r="68" spans="1:8" ht="17.25" hidden="1" customHeight="1">
      <c r="A68" s="2340">
        <v>39722</v>
      </c>
      <c r="B68" s="2341">
        <v>32.482999999999997</v>
      </c>
      <c r="C68" s="2342">
        <v>41.878999999999998</v>
      </c>
      <c r="D68" s="2334">
        <v>53.29</v>
      </c>
      <c r="E68" s="2343">
        <v>30.788</v>
      </c>
      <c r="F68" s="2333">
        <v>41.179000000000002</v>
      </c>
      <c r="G68" s="2337">
        <v>52.219000000000001</v>
      </c>
      <c r="H68" s="2298"/>
    </row>
    <row r="69" spans="1:8" ht="17.25" hidden="1" customHeight="1">
      <c r="A69" s="2340">
        <v>39753</v>
      </c>
      <c r="B69" s="2341">
        <v>32.228999999999999</v>
      </c>
      <c r="C69" s="2342">
        <v>41.563000000000002</v>
      </c>
      <c r="D69" s="2334">
        <v>49.069000000000003</v>
      </c>
      <c r="E69" s="2343">
        <v>32.427</v>
      </c>
      <c r="F69" s="2333">
        <v>41.286999999999999</v>
      </c>
      <c r="G69" s="2337">
        <v>49.691000000000003</v>
      </c>
      <c r="H69" s="2298"/>
    </row>
    <row r="70" spans="1:8" ht="17.25" hidden="1" customHeight="1">
      <c r="A70" s="2340">
        <v>39783</v>
      </c>
      <c r="B70" s="2341">
        <v>31.999500000000001</v>
      </c>
      <c r="C70" s="2342">
        <v>45.5456</v>
      </c>
      <c r="D70" s="2334">
        <v>46.553800000000003</v>
      </c>
      <c r="E70" s="2343">
        <v>32.327500000000001</v>
      </c>
      <c r="F70" s="2333">
        <v>43.695099999999996</v>
      </c>
      <c r="G70" s="2337">
        <v>48.478299999999997</v>
      </c>
      <c r="H70" s="2298"/>
    </row>
    <row r="71" spans="1:8" ht="17.25" hidden="1" customHeight="1">
      <c r="A71" s="2318">
        <v>39814</v>
      </c>
      <c r="B71" s="2341">
        <v>33.229999999999997</v>
      </c>
      <c r="C71" s="2342">
        <v>42.920999999999999</v>
      </c>
      <c r="D71" s="2334">
        <v>47.325000000000003</v>
      </c>
      <c r="E71" s="2343">
        <v>32.677</v>
      </c>
      <c r="F71" s="2333">
        <v>43.438000000000002</v>
      </c>
      <c r="G71" s="2337">
        <v>47.396999999999998</v>
      </c>
      <c r="H71" s="2298"/>
    </row>
    <row r="72" spans="1:8" ht="17.25" hidden="1" customHeight="1">
      <c r="A72" s="2318">
        <v>39845</v>
      </c>
      <c r="B72" s="2341">
        <v>34.459000000000003</v>
      </c>
      <c r="C72" s="2342">
        <v>43.954000000000001</v>
      </c>
      <c r="D72" s="2334">
        <v>49.3</v>
      </c>
      <c r="E72" s="2343">
        <v>33.750999999999998</v>
      </c>
      <c r="F72" s="2333">
        <v>43.218000000000004</v>
      </c>
      <c r="G72" s="2337">
        <v>48.817</v>
      </c>
      <c r="H72" s="2298"/>
    </row>
    <row r="73" spans="1:8" ht="17.25" hidden="1" customHeight="1">
      <c r="A73" s="2318">
        <v>39873</v>
      </c>
      <c r="B73" s="2341">
        <v>33.716000000000001</v>
      </c>
      <c r="C73" s="2342">
        <v>44.637</v>
      </c>
      <c r="D73" s="2334">
        <v>48.021000000000001</v>
      </c>
      <c r="E73" s="2343">
        <v>34.116999999999997</v>
      </c>
      <c r="F73" s="2333">
        <v>44.567999999999998</v>
      </c>
      <c r="G73" s="2337">
        <v>48.627000000000002</v>
      </c>
      <c r="H73" s="2298"/>
    </row>
    <row r="74" spans="1:8" ht="17.25" hidden="1" customHeight="1">
      <c r="A74" s="2318">
        <v>39904</v>
      </c>
      <c r="B74" s="2341">
        <v>33.927999999999997</v>
      </c>
      <c r="C74" s="2342">
        <v>45.411999999999999</v>
      </c>
      <c r="D74" s="2334">
        <v>50.875</v>
      </c>
      <c r="E74" s="2343">
        <v>33.933</v>
      </c>
      <c r="F74" s="2333">
        <v>44.81</v>
      </c>
      <c r="G74" s="2337">
        <v>49.923000000000002</v>
      </c>
      <c r="H74" s="2298"/>
    </row>
    <row r="75" spans="1:8" ht="17.25" hidden="1" customHeight="1">
      <c r="A75" s="2318">
        <v>39934</v>
      </c>
      <c r="B75" s="2341">
        <v>32.484000000000002</v>
      </c>
      <c r="C75" s="2342">
        <v>45.761000000000003</v>
      </c>
      <c r="D75" s="2334" t="s">
        <v>3278</v>
      </c>
      <c r="E75" s="2343">
        <v>33.189</v>
      </c>
      <c r="F75" s="2333">
        <v>45.347000000000001</v>
      </c>
      <c r="G75" s="2337">
        <v>51.368000000000002</v>
      </c>
      <c r="H75" s="2298"/>
    </row>
    <row r="76" spans="1:8" ht="17.25" hidden="1" customHeight="1">
      <c r="A76" s="2318">
        <v>39965</v>
      </c>
      <c r="B76" s="2341">
        <v>32.631</v>
      </c>
      <c r="C76" s="2342">
        <v>45.548999999999999</v>
      </c>
      <c r="D76" s="2334">
        <v>54.2</v>
      </c>
      <c r="E76" s="2343">
        <v>32.57</v>
      </c>
      <c r="F76" s="2333">
        <v>45.563000000000002</v>
      </c>
      <c r="G76" s="2337">
        <v>53.465000000000003</v>
      </c>
      <c r="H76" s="2298"/>
    </row>
    <row r="77" spans="1:8" ht="17.25" hidden="1" customHeight="1">
      <c r="A77" s="2318">
        <v>39995</v>
      </c>
      <c r="B77" s="2341">
        <v>32.110300000000002</v>
      </c>
      <c r="C77" s="2342">
        <v>45.779000000000003</v>
      </c>
      <c r="D77" s="2334">
        <v>53.86</v>
      </c>
      <c r="E77" s="2343">
        <v>32.179000000000002</v>
      </c>
      <c r="F77" s="2333">
        <v>45.328000000000003</v>
      </c>
      <c r="G77" s="2337">
        <v>53.109000000000002</v>
      </c>
      <c r="H77" s="2298"/>
    </row>
    <row r="78" spans="1:8" ht="17.25" hidden="1" customHeight="1">
      <c r="A78" s="2318">
        <v>40026</v>
      </c>
      <c r="B78" s="2341">
        <v>31.835000000000001</v>
      </c>
      <c r="C78" s="2342">
        <v>45.387</v>
      </c>
      <c r="D78" s="2334">
        <v>52</v>
      </c>
      <c r="E78" s="2343">
        <v>31.927</v>
      </c>
      <c r="F78" s="2333">
        <v>45.509</v>
      </c>
      <c r="G78" s="2337">
        <v>53.085999999999999</v>
      </c>
      <c r="H78" s="2298"/>
    </row>
    <row r="79" spans="1:8" ht="17.25" hidden="1" customHeight="1">
      <c r="A79" s="2318">
        <v>40057</v>
      </c>
      <c r="B79" s="2341">
        <v>30.736999999999998</v>
      </c>
      <c r="C79" s="2342">
        <v>45.381</v>
      </c>
      <c r="D79" s="2334">
        <v>49.462000000000003</v>
      </c>
      <c r="E79" s="2343">
        <v>31.094000000000001</v>
      </c>
      <c r="F79" s="2333">
        <v>45.343000000000004</v>
      </c>
      <c r="G79" s="2337">
        <v>51.345999999999997</v>
      </c>
      <c r="H79" s="2298"/>
    </row>
    <row r="80" spans="1:8" ht="17.25" hidden="1" customHeight="1">
      <c r="A80" s="2318">
        <v>40087</v>
      </c>
      <c r="B80" s="2341">
        <v>30.393000000000001</v>
      </c>
      <c r="C80" s="2342">
        <v>45.125999999999998</v>
      </c>
      <c r="D80" s="2334">
        <v>51.457999999999998</v>
      </c>
      <c r="E80" s="2343">
        <v>30.561</v>
      </c>
      <c r="F80" s="2333">
        <v>45.433999999999997</v>
      </c>
      <c r="G80" s="2337">
        <v>49.889000000000003</v>
      </c>
      <c r="H80" s="2298"/>
    </row>
    <row r="81" spans="1:13" ht="17.25" hidden="1" customHeight="1">
      <c r="A81" s="2318">
        <v>40118</v>
      </c>
      <c r="B81" s="2341">
        <v>29.568000000000001</v>
      </c>
      <c r="C81" s="2342">
        <v>44.844000000000001</v>
      </c>
      <c r="D81" s="2334">
        <v>48.948</v>
      </c>
      <c r="E81" s="2343">
        <v>30.036000000000001</v>
      </c>
      <c r="F81" s="2333">
        <v>44.972999999999999</v>
      </c>
      <c r="G81" s="2337">
        <v>50.427</v>
      </c>
      <c r="H81" s="2298"/>
    </row>
    <row r="82" spans="1:13" ht="17.25" hidden="1" customHeight="1">
      <c r="A82" s="2318">
        <v>40148</v>
      </c>
      <c r="B82" s="2341">
        <v>30.603999999999999</v>
      </c>
      <c r="C82" s="2342">
        <v>44.253</v>
      </c>
      <c r="D82" s="2334" t="s">
        <v>3279</v>
      </c>
      <c r="E82" s="2343">
        <v>29.552</v>
      </c>
      <c r="F82" s="2333">
        <v>43.173999999999999</v>
      </c>
      <c r="G82" s="2337">
        <v>48.204000000000001</v>
      </c>
      <c r="H82" s="2298"/>
    </row>
    <row r="83" spans="1:13" ht="17.25" hidden="1" customHeight="1">
      <c r="A83" s="2318">
        <v>40179</v>
      </c>
      <c r="B83" s="2341">
        <v>30.117999999999999</v>
      </c>
      <c r="C83" s="2342">
        <v>42.018999999999998</v>
      </c>
      <c r="D83" s="2334">
        <v>49.55</v>
      </c>
      <c r="E83" s="2343">
        <v>30.097000000000001</v>
      </c>
      <c r="F83" s="2333">
        <v>42.893000000000001</v>
      </c>
      <c r="G83" s="2337">
        <v>49.12</v>
      </c>
      <c r="H83" s="2298"/>
    </row>
    <row r="84" spans="1:13" ht="17.25" hidden="1" customHeight="1">
      <c r="A84" s="2318">
        <v>40210</v>
      </c>
      <c r="B84" s="2341">
        <v>30.838000000000001</v>
      </c>
      <c r="C84" s="2342">
        <v>42.100999999999999</v>
      </c>
      <c r="D84" s="2334">
        <v>47.555</v>
      </c>
      <c r="E84" s="2343">
        <v>30.692</v>
      </c>
      <c r="F84" s="2333">
        <v>42.054000000000002</v>
      </c>
      <c r="G84" s="2337">
        <v>48.121000000000002</v>
      </c>
      <c r="H84" s="2298"/>
    </row>
    <row r="85" spans="1:13" ht="17.25" hidden="1" customHeight="1">
      <c r="A85" s="2318">
        <v>40238</v>
      </c>
      <c r="B85" s="2341">
        <v>31.038</v>
      </c>
      <c r="C85" s="2342">
        <v>41.752000000000002</v>
      </c>
      <c r="D85" s="2334">
        <v>47.134999999999998</v>
      </c>
      <c r="E85" s="2343">
        <v>30.783999999999999</v>
      </c>
      <c r="F85" s="2333">
        <v>41.887</v>
      </c>
      <c r="G85" s="2337">
        <v>46.594999999999999</v>
      </c>
      <c r="H85" s="2298"/>
    </row>
    <row r="86" spans="1:13" ht="17.25" hidden="1" customHeight="1">
      <c r="A86" s="2318">
        <v>40269</v>
      </c>
      <c r="B86" s="2344">
        <v>31.047000000000001</v>
      </c>
      <c r="C86" s="2333">
        <v>41.38</v>
      </c>
      <c r="D86" s="2342">
        <v>47.493000000000002</v>
      </c>
      <c r="E86" s="2345">
        <v>30.856000000000002</v>
      </c>
      <c r="F86" s="2333">
        <v>41.607999999999997</v>
      </c>
      <c r="G86" s="2337">
        <v>47.682000000000002</v>
      </c>
      <c r="H86" s="2298"/>
      <c r="I86" s="2346"/>
      <c r="J86" s="2346"/>
      <c r="K86" s="2346"/>
      <c r="L86" s="2346"/>
      <c r="M86" s="2346"/>
    </row>
    <row r="87" spans="1:13" ht="17.25" hidden="1" customHeight="1">
      <c r="A87" s="2318">
        <v>40299</v>
      </c>
      <c r="B87" s="2335">
        <v>33.61</v>
      </c>
      <c r="C87" s="2333">
        <v>41.247</v>
      </c>
      <c r="D87" s="2342" t="s">
        <v>3280</v>
      </c>
      <c r="E87" s="2345">
        <v>32.979999999999997</v>
      </c>
      <c r="F87" s="2342">
        <v>41.406999999999996</v>
      </c>
      <c r="G87" s="2337">
        <v>48.305</v>
      </c>
      <c r="H87" s="2298"/>
      <c r="I87" s="2347"/>
      <c r="J87" s="2347"/>
      <c r="K87" s="2347"/>
      <c r="L87" s="2347"/>
      <c r="M87" s="2347"/>
    </row>
    <row r="88" spans="1:13" ht="17.25" hidden="1" customHeight="1">
      <c r="A88" s="2318">
        <v>40330</v>
      </c>
      <c r="B88" s="2335">
        <v>31.966999999999999</v>
      </c>
      <c r="C88" s="2333">
        <v>39.337000000000003</v>
      </c>
      <c r="D88" s="2342">
        <v>48.637999999999998</v>
      </c>
      <c r="E88" s="2345">
        <v>32.874000000000002</v>
      </c>
      <c r="F88" s="2342">
        <v>40.225000000000001</v>
      </c>
      <c r="G88" s="2337">
        <v>48.857999999999997</v>
      </c>
      <c r="H88" s="2298"/>
    </row>
    <row r="89" spans="1:13" ht="17.25" hidden="1" customHeight="1">
      <c r="A89" s="2318">
        <v>40360</v>
      </c>
      <c r="B89" s="2335">
        <v>30.257000000000001</v>
      </c>
      <c r="C89" s="2333">
        <v>39.515999999999998</v>
      </c>
      <c r="D89" s="2342">
        <v>47.603999999999999</v>
      </c>
      <c r="E89" s="2345">
        <v>31.13</v>
      </c>
      <c r="F89" s="2342">
        <v>39.902000000000001</v>
      </c>
      <c r="G89" s="2337">
        <v>48.097000000000001</v>
      </c>
      <c r="H89" s="2298"/>
    </row>
    <row r="90" spans="1:13" ht="17.25" hidden="1" customHeight="1">
      <c r="A90" s="2318">
        <v>40391</v>
      </c>
      <c r="B90" s="2344">
        <v>31.141999999999999</v>
      </c>
      <c r="C90" s="2333">
        <v>39.662999999999997</v>
      </c>
      <c r="D90" s="2334">
        <v>47.826999999999998</v>
      </c>
      <c r="E90" s="2335">
        <v>30.783000000000001</v>
      </c>
      <c r="F90" s="2333">
        <v>39.796999999999997</v>
      </c>
      <c r="G90" s="2336">
        <v>48.274999999999999</v>
      </c>
      <c r="H90" s="2298"/>
    </row>
    <row r="91" spans="1:13" ht="17.25" hidden="1" customHeight="1">
      <c r="A91" s="2340">
        <v>40422</v>
      </c>
      <c r="B91" s="2341">
        <v>30.33</v>
      </c>
      <c r="C91" s="2333">
        <v>41.241</v>
      </c>
      <c r="D91" s="2342">
        <v>48.225000000000001</v>
      </c>
      <c r="E91" s="2345">
        <v>30.806000000000001</v>
      </c>
      <c r="F91" s="2333">
        <v>40.340000000000003</v>
      </c>
      <c r="G91" s="2336">
        <v>48.317</v>
      </c>
      <c r="H91" s="2298"/>
    </row>
    <row r="92" spans="1:13" ht="17.25" hidden="1" customHeight="1">
      <c r="A92" s="2340">
        <v>40452</v>
      </c>
      <c r="B92" s="2341">
        <v>29.9832</v>
      </c>
      <c r="C92" s="2333">
        <v>41.4422</v>
      </c>
      <c r="D92" s="2342">
        <v>48.180999999999997</v>
      </c>
      <c r="E92" s="2345">
        <v>29.907</v>
      </c>
      <c r="F92" s="2333">
        <v>41.606000000000002</v>
      </c>
      <c r="G92" s="2336">
        <v>47.79</v>
      </c>
      <c r="H92" s="2298"/>
    </row>
    <row r="93" spans="1:13" ht="17.25" hidden="1" customHeight="1">
      <c r="A93" s="2340">
        <v>40483</v>
      </c>
      <c r="B93" s="2341">
        <v>30.88</v>
      </c>
      <c r="C93" s="2333">
        <v>40.15</v>
      </c>
      <c r="D93" s="2342">
        <v>48.116</v>
      </c>
      <c r="E93" s="2345">
        <v>30.251000000000001</v>
      </c>
      <c r="F93" s="2333">
        <v>41.268999999999998</v>
      </c>
      <c r="G93" s="2336">
        <v>48.557000000000002</v>
      </c>
      <c r="H93" s="2298"/>
    </row>
    <row r="94" spans="1:13" ht="17.25" hidden="1" customHeight="1">
      <c r="A94" s="2340">
        <v>40513</v>
      </c>
      <c r="B94" s="2341">
        <v>30.584</v>
      </c>
      <c r="C94" s="2333">
        <v>40.780999999999999</v>
      </c>
      <c r="D94" s="2342">
        <v>47.225000000000001</v>
      </c>
      <c r="E94" s="2345">
        <v>30.721</v>
      </c>
      <c r="F94" s="2333">
        <v>40.642000000000003</v>
      </c>
      <c r="G94" s="2337">
        <v>48.14</v>
      </c>
      <c r="H94" s="2298"/>
    </row>
    <row r="95" spans="1:13" ht="17.25" hidden="1" customHeight="1">
      <c r="A95" s="2340">
        <v>40544</v>
      </c>
      <c r="B95" s="2341">
        <v>29.684000000000001</v>
      </c>
      <c r="C95" s="2333">
        <v>40.481999999999999</v>
      </c>
      <c r="D95" s="2342">
        <v>47.543999999999997</v>
      </c>
      <c r="E95" s="2345">
        <v>30.321000000000002</v>
      </c>
      <c r="F95" s="2333">
        <v>40.594999999999999</v>
      </c>
      <c r="G95" s="2337">
        <v>48.22193</v>
      </c>
      <c r="H95" s="2298"/>
    </row>
    <row r="96" spans="1:13" ht="17.25" hidden="1" customHeight="1">
      <c r="A96" s="2340">
        <v>40575</v>
      </c>
      <c r="B96" s="2341">
        <v>29.37</v>
      </c>
      <c r="C96" s="2333">
        <v>40.633000000000003</v>
      </c>
      <c r="D96" s="2342">
        <v>48.243000000000002</v>
      </c>
      <c r="E96" s="2345">
        <v>29.594999999999999</v>
      </c>
      <c r="F96" s="2333">
        <v>40.493000000000002</v>
      </c>
      <c r="G96" s="2337">
        <v>48.131999999999998</v>
      </c>
      <c r="H96" s="2298"/>
    </row>
    <row r="97" spans="1:8" ht="17.25" hidden="1" customHeight="1">
      <c r="A97" s="2318">
        <v>40603</v>
      </c>
      <c r="B97" s="2209">
        <v>28.513000000000002</v>
      </c>
      <c r="C97" s="2348">
        <v>40.362000000000002</v>
      </c>
      <c r="D97" s="2349">
        <v>46.402099999999997</v>
      </c>
      <c r="E97" s="2350">
        <v>28.847000000000001</v>
      </c>
      <c r="F97" s="2348">
        <v>40.512999999999998</v>
      </c>
      <c r="G97" s="2351">
        <v>46.920999999999999</v>
      </c>
      <c r="H97" s="2298"/>
    </row>
    <row r="98" spans="1:8" ht="17.25" hidden="1" customHeight="1">
      <c r="A98" s="2318">
        <v>40634</v>
      </c>
      <c r="B98" s="2209">
        <v>27.573</v>
      </c>
      <c r="C98" s="2348">
        <v>40.731000000000002</v>
      </c>
      <c r="D98" s="2349" t="s">
        <v>3281</v>
      </c>
      <c r="E98" s="2350">
        <v>28.001000000000001</v>
      </c>
      <c r="F98" s="2348">
        <v>40.585000000000001</v>
      </c>
      <c r="G98" s="2351">
        <v>46.345999999999997</v>
      </c>
      <c r="H98" s="2298"/>
    </row>
    <row r="99" spans="1:8" ht="17.25" hidden="1" customHeight="1">
      <c r="A99" s="2318">
        <v>40664</v>
      </c>
      <c r="B99" s="2209">
        <v>28.151900000000001</v>
      </c>
      <c r="C99" s="2348">
        <v>40.470700000000001</v>
      </c>
      <c r="D99" s="2349">
        <v>46.5931</v>
      </c>
      <c r="E99" s="2350">
        <v>28.044149999999998</v>
      </c>
      <c r="F99" s="2348">
        <v>40.269199999999998</v>
      </c>
      <c r="G99" s="2351">
        <v>46.068199999999997</v>
      </c>
      <c r="H99" s="2298"/>
    </row>
    <row r="100" spans="1:8" ht="17.25" hidden="1" customHeight="1">
      <c r="A100" s="2318">
        <v>40695</v>
      </c>
      <c r="B100" s="2209">
        <v>28.4376</v>
      </c>
      <c r="C100" s="2348">
        <v>41.317100000000003</v>
      </c>
      <c r="D100" s="2349">
        <v>45.655200000000001</v>
      </c>
      <c r="E100" s="2350">
        <v>28.284800000000001</v>
      </c>
      <c r="F100" s="2348">
        <v>40.831400000000002</v>
      </c>
      <c r="G100" s="2351">
        <v>46.201799999999999</v>
      </c>
      <c r="H100" s="2298"/>
    </row>
    <row r="101" spans="1:8" ht="17.25" hidden="1" customHeight="1">
      <c r="A101" s="2318">
        <v>40725</v>
      </c>
      <c r="B101" s="2209">
        <v>28.04</v>
      </c>
      <c r="C101" s="2348">
        <v>40.063299999999998</v>
      </c>
      <c r="D101" s="2349">
        <v>45.652500000000003</v>
      </c>
      <c r="E101" s="2350">
        <v>28.31869</v>
      </c>
      <c r="F101" s="2348">
        <v>40.569795238095239</v>
      </c>
      <c r="G101" s="2351">
        <v>45.831571428571429</v>
      </c>
      <c r="H101" s="2298"/>
    </row>
    <row r="102" spans="1:8" ht="17.25" hidden="1" customHeight="1">
      <c r="A102" s="2318">
        <v>40756</v>
      </c>
      <c r="B102" s="2209">
        <v>28.104500000000002</v>
      </c>
      <c r="C102" s="2348">
        <v>40.427900000000001</v>
      </c>
      <c r="D102" s="2349">
        <v>45.83</v>
      </c>
      <c r="E102" s="2350">
        <v>28.143940000000001</v>
      </c>
      <c r="F102" s="2348">
        <v>40.437849999999997</v>
      </c>
      <c r="G102" s="2351">
        <v>46.18085</v>
      </c>
      <c r="H102" s="2298"/>
    </row>
    <row r="103" spans="1:8" ht="17.25" hidden="1" customHeight="1">
      <c r="A103" s="2318">
        <v>40787</v>
      </c>
      <c r="B103" s="2209">
        <v>29.184699999999999</v>
      </c>
      <c r="C103" s="2348">
        <v>39.313400000000001</v>
      </c>
      <c r="D103" s="2349">
        <v>45.397199999999998</v>
      </c>
      <c r="E103" s="2350">
        <v>28.850295238095242</v>
      </c>
      <c r="F103" s="2348">
        <v>39.751671428571427</v>
      </c>
      <c r="G103" s="2351">
        <v>45.624109523809523</v>
      </c>
      <c r="H103" s="2298"/>
    </row>
    <row r="104" spans="1:8" ht="17.25" hidden="1" customHeight="1">
      <c r="A104" s="2318">
        <v>40817</v>
      </c>
      <c r="B104" s="2209">
        <v>28.9178</v>
      </c>
      <c r="C104" s="2348">
        <v>40.685699999999997</v>
      </c>
      <c r="D104" s="2349">
        <v>46.323099999999997</v>
      </c>
      <c r="E104" s="2350">
        <v>29.20599</v>
      </c>
      <c r="F104" s="2348">
        <v>40.016649999999998</v>
      </c>
      <c r="G104" s="2351">
        <v>46.16299999999999</v>
      </c>
      <c r="H104" s="2298"/>
    </row>
    <row r="105" spans="1:8" ht="17.25" hidden="1" customHeight="1">
      <c r="A105" s="2318">
        <v>40848</v>
      </c>
      <c r="B105" s="2209">
        <v>29.373799999999999</v>
      </c>
      <c r="C105" s="2348">
        <v>39.1374</v>
      </c>
      <c r="D105" s="2349">
        <v>45.945099999999996</v>
      </c>
      <c r="E105" s="2350">
        <v>29.227699999999999</v>
      </c>
      <c r="F105" s="2348">
        <v>39.746604999999988</v>
      </c>
      <c r="G105" s="2351">
        <v>46.291445000000003</v>
      </c>
      <c r="H105" s="2298"/>
    </row>
    <row r="106" spans="1:8" ht="17.25" hidden="1" customHeight="1">
      <c r="A106" s="2318">
        <v>40878</v>
      </c>
      <c r="B106" s="2209">
        <v>29.483799999999999</v>
      </c>
      <c r="C106" s="2348">
        <v>38.227699999999999</v>
      </c>
      <c r="D106" s="2349">
        <v>45.488599999999998</v>
      </c>
      <c r="E106" s="2350">
        <v>29.424972727272731</v>
      </c>
      <c r="F106" s="2348">
        <v>38.786995454545455</v>
      </c>
      <c r="G106" s="2351">
        <v>46.06402727272728</v>
      </c>
      <c r="H106" s="2298"/>
    </row>
    <row r="107" spans="1:8" ht="17.25" hidden="1" customHeight="1">
      <c r="A107" s="2318">
        <v>40909</v>
      </c>
      <c r="B107" s="2209">
        <v>29.167000000000002</v>
      </c>
      <c r="C107" s="2348">
        <v>38.647799999999997</v>
      </c>
      <c r="D107" s="2349">
        <v>45.970500000000001</v>
      </c>
      <c r="E107" s="2350">
        <v>29.502244999999998</v>
      </c>
      <c r="F107" s="2348">
        <v>38.119144999999996</v>
      </c>
      <c r="G107" s="2351">
        <v>45.894774999999996</v>
      </c>
      <c r="H107" s="2298"/>
    </row>
    <row r="108" spans="1:8" ht="17.25" customHeight="1">
      <c r="A108" s="2318">
        <v>40940</v>
      </c>
      <c r="B108" s="2209">
        <v>28.896999999999998</v>
      </c>
      <c r="C108" s="2348">
        <v>38.908000000000001</v>
      </c>
      <c r="D108" s="2349">
        <v>46.2318</v>
      </c>
      <c r="E108" s="2350">
        <v>29.077811111111107</v>
      </c>
      <c r="F108" s="2348">
        <v>38.551299999999998</v>
      </c>
      <c r="G108" s="2351">
        <v>46.115699999999997</v>
      </c>
      <c r="H108" s="2298"/>
    </row>
    <row r="109" spans="1:8" s="1159" customFormat="1" ht="17.25" customHeight="1">
      <c r="A109" s="2318">
        <v>40969</v>
      </c>
      <c r="B109" s="2209">
        <v>29.0198</v>
      </c>
      <c r="C109" s="2348">
        <v>38.716900000000003</v>
      </c>
      <c r="D109" s="2349">
        <v>46.7</v>
      </c>
      <c r="E109" s="2350">
        <v>29.127705000000002</v>
      </c>
      <c r="F109" s="2348">
        <v>38.550370000000001</v>
      </c>
      <c r="G109" s="2351">
        <v>46.281330000000011</v>
      </c>
      <c r="H109" s="1152"/>
    </row>
    <row r="110" spans="1:8" ht="17.25" customHeight="1">
      <c r="A110" s="2318">
        <v>41000</v>
      </c>
      <c r="B110" s="2209">
        <v>29.0943</v>
      </c>
      <c r="C110" s="2348">
        <v>38.705399999999997</v>
      </c>
      <c r="D110" s="2349">
        <v>47.836500000000001</v>
      </c>
      <c r="E110" s="2350">
        <v>29.213000000000001</v>
      </c>
      <c r="F110" s="2348">
        <v>38.494599999999998</v>
      </c>
      <c r="G110" s="2351">
        <v>46.909599999999998</v>
      </c>
      <c r="H110" s="2298"/>
    </row>
    <row r="111" spans="1:8" ht="17.25" customHeight="1">
      <c r="A111" s="2318">
        <v>41030</v>
      </c>
      <c r="B111" s="2209">
        <v>30.014099999999999</v>
      </c>
      <c r="C111" s="2348">
        <v>37.322400000000002</v>
      </c>
      <c r="D111" s="2349">
        <v>46.608199999999997</v>
      </c>
      <c r="E111" s="2350">
        <v>29.533845454545453</v>
      </c>
      <c r="F111" s="2348">
        <v>37.854536363636363</v>
      </c>
      <c r="G111" s="2351">
        <v>47.154457142857147</v>
      </c>
      <c r="H111" s="2298"/>
    </row>
    <row r="112" spans="1:8" ht="17.25" customHeight="1">
      <c r="A112" s="2318">
        <v>41061</v>
      </c>
      <c r="B112" s="2209">
        <v>31.143999999999998</v>
      </c>
      <c r="C112" s="2348">
        <v>38.919699999999999</v>
      </c>
      <c r="D112" s="2349">
        <v>48.694699999999997</v>
      </c>
      <c r="E112" s="2350">
        <v>30.568200000000001</v>
      </c>
      <c r="F112" s="2348">
        <v>38.370395240000001</v>
      </c>
      <c r="G112" s="2351">
        <v>47.669128569999998</v>
      </c>
      <c r="H112" s="2298"/>
    </row>
    <row r="113" spans="1:11" ht="17.25" customHeight="1">
      <c r="A113" s="2318">
        <v>41091</v>
      </c>
      <c r="B113" s="2209">
        <v>31.040099999999999</v>
      </c>
      <c r="C113" s="2348">
        <v>38.1952</v>
      </c>
      <c r="D113" s="2349">
        <v>48.752099999999999</v>
      </c>
      <c r="E113" s="2350">
        <v>29.326688387773842</v>
      </c>
      <c r="F113" s="2348">
        <v>39.900914476584028</v>
      </c>
      <c r="G113" s="2351">
        <v>46.885490698543869</v>
      </c>
      <c r="H113" s="2298"/>
    </row>
    <row r="114" spans="1:11" ht="17.25" customHeight="1">
      <c r="A114" s="2318">
        <v>41122</v>
      </c>
      <c r="B114" s="2209">
        <v>30.588000000000001</v>
      </c>
      <c r="C114" s="2348">
        <v>38.460500000000003</v>
      </c>
      <c r="D114" s="2349">
        <v>48.1</v>
      </c>
      <c r="E114" s="2350">
        <v>30.741633333333329</v>
      </c>
      <c r="F114" s="2348">
        <v>38.121476190476194</v>
      </c>
      <c r="G114" s="2351">
        <v>48.498119047619035</v>
      </c>
      <c r="H114" s="2298"/>
    </row>
    <row r="115" spans="1:11" ht="17.25" customHeight="1">
      <c r="A115" s="2318">
        <v>41153</v>
      </c>
      <c r="B115" s="2209">
        <v>30.575800000000001</v>
      </c>
      <c r="C115" s="2348">
        <v>39.470700000000001</v>
      </c>
      <c r="D115" s="2349">
        <v>49.923299999999998</v>
      </c>
      <c r="E115" s="2350">
        <v>30.40433157894736</v>
      </c>
      <c r="F115" s="2348">
        <v>39.10280526315789</v>
      </c>
      <c r="G115" s="2351">
        <v>49.114136842105268</v>
      </c>
      <c r="H115" s="2298"/>
    </row>
    <row r="116" spans="1:11" ht="17.25" customHeight="1">
      <c r="A116" s="2318">
        <v>41183</v>
      </c>
      <c r="B116" s="2209">
        <v>31.113</v>
      </c>
      <c r="C116" s="2348">
        <v>40.2712</v>
      </c>
      <c r="D116" s="2349">
        <v>49.857599999999998</v>
      </c>
      <c r="E116" s="2350">
        <v>31.000217391304343</v>
      </c>
      <c r="F116" s="2348">
        <v>40.185917391304351</v>
      </c>
      <c r="G116" s="2351">
        <v>49.865182608695648</v>
      </c>
      <c r="H116" s="2298"/>
    </row>
    <row r="117" spans="1:11" ht="17.25" customHeight="1">
      <c r="A117" s="2318">
        <v>41214</v>
      </c>
      <c r="B117" s="2209">
        <v>30.877800000000001</v>
      </c>
      <c r="C117" s="2348">
        <v>40.154000000000003</v>
      </c>
      <c r="D117" s="2349">
        <v>50.1</v>
      </c>
      <c r="E117" s="2350">
        <v>31.065505000000002</v>
      </c>
      <c r="F117" s="2348">
        <v>39.906970000000001</v>
      </c>
      <c r="G117" s="2351">
        <v>49.695775000000005</v>
      </c>
      <c r="H117" s="2298"/>
    </row>
    <row r="118" spans="1:11" ht="17.25" customHeight="1">
      <c r="A118" s="2318">
        <v>41244</v>
      </c>
      <c r="B118" s="2209">
        <v>30.745699999999999</v>
      </c>
      <c r="C118" s="2348">
        <v>40.5458</v>
      </c>
      <c r="D118" s="2349">
        <v>49.847299999999997</v>
      </c>
      <c r="E118" s="2350">
        <v>30.754215000000009</v>
      </c>
      <c r="F118" s="2348">
        <v>40.335369999999998</v>
      </c>
      <c r="G118" s="2351">
        <v>49.723344999999995</v>
      </c>
      <c r="H118" s="2298"/>
    </row>
    <row r="119" spans="1:11" ht="17.25" customHeight="1">
      <c r="A119" s="2318">
        <v>41275</v>
      </c>
      <c r="B119" s="2209">
        <v>30.430700000000002</v>
      </c>
      <c r="C119" s="2348">
        <v>41.271900000000002</v>
      </c>
      <c r="D119" s="2349">
        <v>48.303600000000003</v>
      </c>
      <c r="E119" s="2350">
        <v>30.603123809523812</v>
      </c>
      <c r="F119" s="2348">
        <v>40.656466666666653</v>
      </c>
      <c r="G119" s="2351">
        <v>48.939066666666662</v>
      </c>
      <c r="H119" s="2298"/>
    </row>
    <row r="120" spans="1:11" s="1159" customFormat="1" ht="17.25" customHeight="1" thickBot="1">
      <c r="A120" s="2352">
        <v>41306</v>
      </c>
      <c r="B120" s="2353">
        <v>30.850300000000001</v>
      </c>
      <c r="C120" s="2354">
        <v>40.475099999999998</v>
      </c>
      <c r="D120" s="2355">
        <v>46.942799999999998</v>
      </c>
      <c r="E120" s="2356">
        <v>30.654636842105255</v>
      </c>
      <c r="F120" s="2354">
        <v>40.882905263157895</v>
      </c>
      <c r="G120" s="2357">
        <v>47.462326315789475</v>
      </c>
      <c r="H120" s="1152"/>
    </row>
    <row r="121" spans="1:11" s="2361" customFormat="1" ht="21.75" customHeight="1" thickTop="1">
      <c r="A121" s="2358" t="s">
        <v>3282</v>
      </c>
      <c r="B121" s="2359"/>
      <c r="C121" s="2359"/>
      <c r="D121" s="2359"/>
      <c r="E121" s="2360"/>
      <c r="K121" s="2362"/>
    </row>
    <row r="122" spans="1:11" s="2361" customFormat="1">
      <c r="A122" s="2363" t="s">
        <v>3283</v>
      </c>
      <c r="B122" s="2360"/>
      <c r="C122" s="2360"/>
      <c r="D122" s="2360"/>
      <c r="E122" s="2360"/>
    </row>
    <row r="123" spans="1:11" s="2361" customFormat="1" ht="14.25">
      <c r="A123" s="2364"/>
      <c r="B123" s="2360"/>
      <c r="C123" s="2360"/>
      <c r="D123" s="2360"/>
      <c r="E123" s="2360"/>
    </row>
    <row r="124" spans="1:11">
      <c r="A124" s="829" t="s">
        <v>3284</v>
      </c>
    </row>
    <row r="125" spans="1:11" s="1073" customFormat="1"/>
    <row r="128" spans="1:11">
      <c r="E128" s="2365"/>
      <c r="F128" s="2365"/>
      <c r="G128" s="2365"/>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293"/>
  <sheetViews>
    <sheetView topLeftCell="A49" zoomScaleNormal="100" workbookViewId="0">
      <selection activeCell="DY9" sqref="DY9"/>
    </sheetView>
  </sheetViews>
  <sheetFormatPr defaultRowHeight="12.75"/>
  <cols>
    <col min="1" max="1" width="18.42578125" style="280" customWidth="1"/>
    <col min="2" max="2" width="9.5703125" style="2413" hidden="1" customWidth="1"/>
    <col min="3" max="37" width="9.140625" style="280" hidden="1" customWidth="1"/>
    <col min="38" max="38" width="9.7109375" style="280" hidden="1" customWidth="1"/>
    <col min="39" max="39" width="10.140625" style="280" hidden="1" customWidth="1"/>
    <col min="40" max="41" width="9.28515625" style="280" hidden="1" customWidth="1"/>
    <col min="42" max="42" width="9.85546875" style="280" hidden="1" customWidth="1"/>
    <col min="43" max="43" width="9.140625" style="280" hidden="1" customWidth="1"/>
    <col min="44" max="44" width="7.7109375" style="280" hidden="1" customWidth="1"/>
    <col min="45" max="45" width="9.85546875" style="280" hidden="1" customWidth="1"/>
    <col min="46" max="46" width="9.7109375" style="280" hidden="1" customWidth="1"/>
    <col min="47" max="47" width="9.42578125" style="280" hidden="1" customWidth="1"/>
    <col min="48" max="48" width="10" style="280" hidden="1" customWidth="1"/>
    <col min="49" max="49" width="10.28515625" style="280" hidden="1" customWidth="1"/>
    <col min="50" max="50" width="10" style="280" hidden="1" customWidth="1"/>
    <col min="51" max="51" width="10.5703125" style="280" hidden="1" customWidth="1"/>
    <col min="52" max="52" width="9.5703125" style="280" hidden="1" customWidth="1"/>
    <col min="53" max="53" width="9.42578125" style="280" hidden="1" customWidth="1"/>
    <col min="54" max="54" width="10.140625" style="280" hidden="1" customWidth="1"/>
    <col min="55" max="55" width="10" style="280" hidden="1" customWidth="1"/>
    <col min="56" max="56" width="9.85546875" style="280" hidden="1" customWidth="1"/>
    <col min="57" max="57" width="10.28515625" style="280" hidden="1" customWidth="1"/>
    <col min="58" max="58" width="10" style="280" hidden="1" customWidth="1"/>
    <col min="59" max="59" width="9.42578125" style="280" hidden="1" customWidth="1"/>
    <col min="60" max="60" width="10" style="280" hidden="1" customWidth="1"/>
    <col min="61" max="61" width="10.140625" style="280" hidden="1" customWidth="1"/>
    <col min="62" max="62" width="9.85546875" style="280" hidden="1" customWidth="1"/>
    <col min="63" max="63" width="10.28515625" style="280" hidden="1" customWidth="1"/>
    <col min="64" max="65" width="9.42578125" style="280" hidden="1" customWidth="1"/>
    <col min="66" max="66" width="10" style="280" hidden="1" customWidth="1"/>
    <col min="67" max="67" width="9.85546875" style="280" hidden="1" customWidth="1"/>
    <col min="68" max="68" width="9.5703125" style="280" hidden="1" customWidth="1"/>
    <col min="69" max="69" width="9.85546875" style="280" hidden="1" customWidth="1"/>
    <col min="70" max="70" width="9.7109375" style="280" hidden="1" customWidth="1"/>
    <col min="71" max="94" width="9.140625" style="280" hidden="1" customWidth="1"/>
    <col min="95" max="95" width="6.5703125" style="280" hidden="1" customWidth="1"/>
    <col min="96" max="106" width="7.42578125" style="280" hidden="1" customWidth="1"/>
    <col min="107" max="113" width="0" style="280" hidden="1" customWidth="1"/>
    <col min="114" max="256" width="9.140625" style="280"/>
    <col min="257" max="257" width="18.42578125" style="280" customWidth="1"/>
    <col min="258" max="369" width="0" style="280" hidden="1" customWidth="1"/>
    <col min="370" max="512" width="9.140625" style="280"/>
    <col min="513" max="513" width="18.42578125" style="280" customWidth="1"/>
    <col min="514" max="625" width="0" style="280" hidden="1" customWidth="1"/>
    <col min="626" max="768" width="9.140625" style="280"/>
    <col min="769" max="769" width="18.42578125" style="280" customWidth="1"/>
    <col min="770" max="881" width="0" style="280" hidden="1" customWidth="1"/>
    <col min="882" max="1024" width="9.140625" style="280"/>
    <col min="1025" max="1025" width="18.42578125" style="280" customWidth="1"/>
    <col min="1026" max="1137" width="0" style="280" hidden="1" customWidth="1"/>
    <col min="1138" max="1280" width="9.140625" style="280"/>
    <col min="1281" max="1281" width="18.42578125" style="280" customWidth="1"/>
    <col min="1282" max="1393" width="0" style="280" hidden="1" customWidth="1"/>
    <col min="1394" max="1536" width="9.140625" style="280"/>
    <col min="1537" max="1537" width="18.42578125" style="280" customWidth="1"/>
    <col min="1538" max="1649" width="0" style="280" hidden="1" customWidth="1"/>
    <col min="1650" max="1792" width="9.140625" style="280"/>
    <col min="1793" max="1793" width="18.42578125" style="280" customWidth="1"/>
    <col min="1794" max="1905" width="0" style="280" hidden="1" customWidth="1"/>
    <col min="1906" max="2048" width="9.140625" style="280"/>
    <col min="2049" max="2049" width="18.42578125" style="280" customWidth="1"/>
    <col min="2050" max="2161" width="0" style="280" hidden="1" customWidth="1"/>
    <col min="2162" max="2304" width="9.140625" style="280"/>
    <col min="2305" max="2305" width="18.42578125" style="280" customWidth="1"/>
    <col min="2306" max="2417" width="0" style="280" hidden="1" customWidth="1"/>
    <col min="2418" max="2560" width="9.140625" style="280"/>
    <col min="2561" max="2561" width="18.42578125" style="280" customWidth="1"/>
    <col min="2562" max="2673" width="0" style="280" hidden="1" customWidth="1"/>
    <col min="2674" max="2816" width="9.140625" style="280"/>
    <col min="2817" max="2817" width="18.42578125" style="280" customWidth="1"/>
    <col min="2818" max="2929" width="0" style="280" hidden="1" customWidth="1"/>
    <col min="2930" max="3072" width="9.140625" style="280"/>
    <col min="3073" max="3073" width="18.42578125" style="280" customWidth="1"/>
    <col min="3074" max="3185" width="0" style="280" hidden="1" customWidth="1"/>
    <col min="3186" max="3328" width="9.140625" style="280"/>
    <col min="3329" max="3329" width="18.42578125" style="280" customWidth="1"/>
    <col min="3330" max="3441" width="0" style="280" hidden="1" customWidth="1"/>
    <col min="3442" max="3584" width="9.140625" style="280"/>
    <col min="3585" max="3585" width="18.42578125" style="280" customWidth="1"/>
    <col min="3586" max="3697" width="0" style="280" hidden="1" customWidth="1"/>
    <col min="3698" max="3840" width="9.140625" style="280"/>
    <col min="3841" max="3841" width="18.42578125" style="280" customWidth="1"/>
    <col min="3842" max="3953" width="0" style="280" hidden="1" customWidth="1"/>
    <col min="3954" max="4096" width="9.140625" style="280"/>
    <col min="4097" max="4097" width="18.42578125" style="280" customWidth="1"/>
    <col min="4098" max="4209" width="0" style="280" hidden="1" customWidth="1"/>
    <col min="4210" max="4352" width="9.140625" style="280"/>
    <col min="4353" max="4353" width="18.42578125" style="280" customWidth="1"/>
    <col min="4354" max="4465" width="0" style="280" hidden="1" customWidth="1"/>
    <col min="4466" max="4608" width="9.140625" style="280"/>
    <col min="4609" max="4609" width="18.42578125" style="280" customWidth="1"/>
    <col min="4610" max="4721" width="0" style="280" hidden="1" customWidth="1"/>
    <col min="4722" max="4864" width="9.140625" style="280"/>
    <col min="4865" max="4865" width="18.42578125" style="280" customWidth="1"/>
    <col min="4866" max="4977" width="0" style="280" hidden="1" customWidth="1"/>
    <col min="4978" max="5120" width="9.140625" style="280"/>
    <col min="5121" max="5121" width="18.42578125" style="280" customWidth="1"/>
    <col min="5122" max="5233" width="0" style="280" hidden="1" customWidth="1"/>
    <col min="5234" max="5376" width="9.140625" style="280"/>
    <col min="5377" max="5377" width="18.42578125" style="280" customWidth="1"/>
    <col min="5378" max="5489" width="0" style="280" hidden="1" customWidth="1"/>
    <col min="5490" max="5632" width="9.140625" style="280"/>
    <col min="5633" max="5633" width="18.42578125" style="280" customWidth="1"/>
    <col min="5634" max="5745" width="0" style="280" hidden="1" customWidth="1"/>
    <col min="5746" max="5888" width="9.140625" style="280"/>
    <col min="5889" max="5889" width="18.42578125" style="280" customWidth="1"/>
    <col min="5890" max="6001" width="0" style="280" hidden="1" customWidth="1"/>
    <col min="6002" max="6144" width="9.140625" style="280"/>
    <col min="6145" max="6145" width="18.42578125" style="280" customWidth="1"/>
    <col min="6146" max="6257" width="0" style="280" hidden="1" customWidth="1"/>
    <col min="6258" max="6400" width="9.140625" style="280"/>
    <col min="6401" max="6401" width="18.42578125" style="280" customWidth="1"/>
    <col min="6402" max="6513" width="0" style="280" hidden="1" customWidth="1"/>
    <col min="6514" max="6656" width="9.140625" style="280"/>
    <col min="6657" max="6657" width="18.42578125" style="280" customWidth="1"/>
    <col min="6658" max="6769" width="0" style="280" hidden="1" customWidth="1"/>
    <col min="6770" max="6912" width="9.140625" style="280"/>
    <col min="6913" max="6913" width="18.42578125" style="280" customWidth="1"/>
    <col min="6914" max="7025" width="0" style="280" hidden="1" customWidth="1"/>
    <col min="7026" max="7168" width="9.140625" style="280"/>
    <col min="7169" max="7169" width="18.42578125" style="280" customWidth="1"/>
    <col min="7170" max="7281" width="0" style="280" hidden="1" customWidth="1"/>
    <col min="7282" max="7424" width="9.140625" style="280"/>
    <col min="7425" max="7425" width="18.42578125" style="280" customWidth="1"/>
    <col min="7426" max="7537" width="0" style="280" hidden="1" customWidth="1"/>
    <col min="7538" max="7680" width="9.140625" style="280"/>
    <col min="7681" max="7681" width="18.42578125" style="280" customWidth="1"/>
    <col min="7682" max="7793" width="0" style="280" hidden="1" customWidth="1"/>
    <col min="7794" max="7936" width="9.140625" style="280"/>
    <col min="7937" max="7937" width="18.42578125" style="280" customWidth="1"/>
    <col min="7938" max="8049" width="0" style="280" hidden="1" customWidth="1"/>
    <col min="8050" max="8192" width="9.140625" style="280"/>
    <col min="8193" max="8193" width="18.42578125" style="280" customWidth="1"/>
    <col min="8194" max="8305" width="0" style="280" hidden="1" customWidth="1"/>
    <col min="8306" max="8448" width="9.140625" style="280"/>
    <col min="8449" max="8449" width="18.42578125" style="280" customWidth="1"/>
    <col min="8450" max="8561" width="0" style="280" hidden="1" customWidth="1"/>
    <col min="8562" max="8704" width="9.140625" style="280"/>
    <col min="8705" max="8705" width="18.42578125" style="280" customWidth="1"/>
    <col min="8706" max="8817" width="0" style="280" hidden="1" customWidth="1"/>
    <col min="8818" max="8960" width="9.140625" style="280"/>
    <col min="8961" max="8961" width="18.42578125" style="280" customWidth="1"/>
    <col min="8962" max="9073" width="0" style="280" hidden="1" customWidth="1"/>
    <col min="9074" max="9216" width="9.140625" style="280"/>
    <col min="9217" max="9217" width="18.42578125" style="280" customWidth="1"/>
    <col min="9218" max="9329" width="0" style="280" hidden="1" customWidth="1"/>
    <col min="9330" max="9472" width="9.140625" style="280"/>
    <col min="9473" max="9473" width="18.42578125" style="280" customWidth="1"/>
    <col min="9474" max="9585" width="0" style="280" hidden="1" customWidth="1"/>
    <col min="9586" max="9728" width="9.140625" style="280"/>
    <col min="9729" max="9729" width="18.42578125" style="280" customWidth="1"/>
    <col min="9730" max="9841" width="0" style="280" hidden="1" customWidth="1"/>
    <col min="9842" max="9984" width="9.140625" style="280"/>
    <col min="9985" max="9985" width="18.42578125" style="280" customWidth="1"/>
    <col min="9986" max="10097" width="0" style="280" hidden="1" customWidth="1"/>
    <col min="10098" max="10240" width="9.140625" style="280"/>
    <col min="10241" max="10241" width="18.42578125" style="280" customWidth="1"/>
    <col min="10242" max="10353" width="0" style="280" hidden="1" customWidth="1"/>
    <col min="10354" max="10496" width="9.140625" style="280"/>
    <col min="10497" max="10497" width="18.42578125" style="280" customWidth="1"/>
    <col min="10498" max="10609" width="0" style="280" hidden="1" customWidth="1"/>
    <col min="10610" max="10752" width="9.140625" style="280"/>
    <col min="10753" max="10753" width="18.42578125" style="280" customWidth="1"/>
    <col min="10754" max="10865" width="0" style="280" hidden="1" customWidth="1"/>
    <col min="10866" max="11008" width="9.140625" style="280"/>
    <col min="11009" max="11009" width="18.42578125" style="280" customWidth="1"/>
    <col min="11010" max="11121" width="0" style="280" hidden="1" customWidth="1"/>
    <col min="11122" max="11264" width="9.140625" style="280"/>
    <col min="11265" max="11265" width="18.42578125" style="280" customWidth="1"/>
    <col min="11266" max="11377" width="0" style="280" hidden="1" customWidth="1"/>
    <col min="11378" max="11520" width="9.140625" style="280"/>
    <col min="11521" max="11521" width="18.42578125" style="280" customWidth="1"/>
    <col min="11522" max="11633" width="0" style="280" hidden="1" customWidth="1"/>
    <col min="11634" max="11776" width="9.140625" style="280"/>
    <col min="11777" max="11777" width="18.42578125" style="280" customWidth="1"/>
    <col min="11778" max="11889" width="0" style="280" hidden="1" customWidth="1"/>
    <col min="11890" max="12032" width="9.140625" style="280"/>
    <col min="12033" max="12033" width="18.42578125" style="280" customWidth="1"/>
    <col min="12034" max="12145" width="0" style="280" hidden="1" customWidth="1"/>
    <col min="12146" max="12288" width="9.140625" style="280"/>
    <col min="12289" max="12289" width="18.42578125" style="280" customWidth="1"/>
    <col min="12290" max="12401" width="0" style="280" hidden="1" customWidth="1"/>
    <col min="12402" max="12544" width="9.140625" style="280"/>
    <col min="12545" max="12545" width="18.42578125" style="280" customWidth="1"/>
    <col min="12546" max="12657" width="0" style="280" hidden="1" customWidth="1"/>
    <col min="12658" max="12800" width="9.140625" style="280"/>
    <col min="12801" max="12801" width="18.42578125" style="280" customWidth="1"/>
    <col min="12802" max="12913" width="0" style="280" hidden="1" customWidth="1"/>
    <col min="12914" max="13056" width="9.140625" style="280"/>
    <col min="13057" max="13057" width="18.42578125" style="280" customWidth="1"/>
    <col min="13058" max="13169" width="0" style="280" hidden="1" customWidth="1"/>
    <col min="13170" max="13312" width="9.140625" style="280"/>
    <col min="13313" max="13313" width="18.42578125" style="280" customWidth="1"/>
    <col min="13314" max="13425" width="0" style="280" hidden="1" customWidth="1"/>
    <col min="13426" max="13568" width="9.140625" style="280"/>
    <col min="13569" max="13569" width="18.42578125" style="280" customWidth="1"/>
    <col min="13570" max="13681" width="0" style="280" hidden="1" customWidth="1"/>
    <col min="13682" max="13824" width="9.140625" style="280"/>
    <col min="13825" max="13825" width="18.42578125" style="280" customWidth="1"/>
    <col min="13826" max="13937" width="0" style="280" hidden="1" customWidth="1"/>
    <col min="13938" max="14080" width="9.140625" style="280"/>
    <col min="14081" max="14081" width="18.42578125" style="280" customWidth="1"/>
    <col min="14082" max="14193" width="0" style="280" hidden="1" customWidth="1"/>
    <col min="14194" max="14336" width="9.140625" style="280"/>
    <col min="14337" max="14337" width="18.42578125" style="280" customWidth="1"/>
    <col min="14338" max="14449" width="0" style="280" hidden="1" customWidth="1"/>
    <col min="14450" max="14592" width="9.140625" style="280"/>
    <col min="14593" max="14593" width="18.42578125" style="280" customWidth="1"/>
    <col min="14594" max="14705" width="0" style="280" hidden="1" customWidth="1"/>
    <col min="14706" max="14848" width="9.140625" style="280"/>
    <col min="14849" max="14849" width="18.42578125" style="280" customWidth="1"/>
    <col min="14850" max="14961" width="0" style="280" hidden="1" customWidth="1"/>
    <col min="14962" max="15104" width="9.140625" style="280"/>
    <col min="15105" max="15105" width="18.42578125" style="280" customWidth="1"/>
    <col min="15106" max="15217" width="0" style="280" hidden="1" customWidth="1"/>
    <col min="15218" max="15360" width="9.140625" style="280"/>
    <col min="15361" max="15361" width="18.42578125" style="280" customWidth="1"/>
    <col min="15362" max="15473" width="0" style="280" hidden="1" customWidth="1"/>
    <col min="15474" max="15616" width="9.140625" style="280"/>
    <col min="15617" max="15617" width="18.42578125" style="280" customWidth="1"/>
    <col min="15618" max="15729" width="0" style="280" hidden="1" customWidth="1"/>
    <col min="15730" max="15872" width="9.140625" style="280"/>
    <col min="15873" max="15873" width="18.42578125" style="280" customWidth="1"/>
    <col min="15874" max="15985" width="0" style="280" hidden="1" customWidth="1"/>
    <col min="15986" max="16128" width="9.140625" style="280"/>
    <col min="16129" max="16129" width="18.42578125" style="280" customWidth="1"/>
    <col min="16130" max="16241" width="0" style="280" hidden="1" customWidth="1"/>
    <col min="16242" max="16384" width="9.140625" style="280"/>
  </cols>
  <sheetData>
    <row r="1" spans="1:126">
      <c r="B1" s="323"/>
    </row>
    <row r="2" spans="1:126">
      <c r="B2" s="323"/>
    </row>
    <row r="3" spans="1:126" ht="19.899999999999999" customHeight="1">
      <c r="A3" s="2366" t="s">
        <v>3285</v>
      </c>
      <c r="B3" s="323"/>
    </row>
    <row r="4" spans="1:126" ht="12.75" customHeight="1" thickBot="1">
      <c r="A4" s="348"/>
      <c r="B4" s="2367"/>
    </row>
    <row r="5" spans="1:126" ht="12.75" customHeight="1" thickTop="1" thickBot="1">
      <c r="A5" s="348"/>
      <c r="B5" s="323"/>
    </row>
    <row r="6" spans="1:126" ht="13.5" thickTop="1">
      <c r="A6" s="2368" t="s">
        <v>3286</v>
      </c>
      <c r="B6" s="2369">
        <v>37258</v>
      </c>
      <c r="C6" s="2369">
        <v>37348</v>
      </c>
      <c r="D6" s="2369">
        <v>37378</v>
      </c>
      <c r="E6" s="2369">
        <v>37409</v>
      </c>
      <c r="F6" s="2369">
        <v>37439</v>
      </c>
      <c r="G6" s="2369">
        <v>37470</v>
      </c>
      <c r="H6" s="2369">
        <v>37501</v>
      </c>
      <c r="I6" s="2369">
        <v>37531</v>
      </c>
      <c r="J6" s="2369">
        <v>37562</v>
      </c>
      <c r="K6" s="2369">
        <v>37592</v>
      </c>
      <c r="L6" s="2369">
        <v>37623</v>
      </c>
      <c r="M6" s="2369">
        <v>37654</v>
      </c>
      <c r="N6" s="2369">
        <v>37682</v>
      </c>
      <c r="O6" s="2369">
        <v>37713</v>
      </c>
      <c r="P6" s="2369">
        <v>37743</v>
      </c>
      <c r="Q6" s="2369">
        <v>37774</v>
      </c>
      <c r="R6" s="2369">
        <v>37804</v>
      </c>
      <c r="S6" s="2369">
        <v>37835</v>
      </c>
      <c r="T6" s="2369">
        <v>37866</v>
      </c>
      <c r="U6" s="2369">
        <v>37896</v>
      </c>
      <c r="V6" s="2369">
        <v>37927</v>
      </c>
      <c r="W6" s="2369">
        <v>37957</v>
      </c>
      <c r="X6" s="2370">
        <v>37988</v>
      </c>
      <c r="Y6" s="2370">
        <v>38019</v>
      </c>
      <c r="Z6" s="2370">
        <v>38048</v>
      </c>
      <c r="AA6" s="2370">
        <v>38079</v>
      </c>
      <c r="AB6" s="2370">
        <v>38109</v>
      </c>
      <c r="AC6" s="2371">
        <v>38140</v>
      </c>
      <c r="AD6" s="2372">
        <v>38170</v>
      </c>
      <c r="AE6" s="2372">
        <v>38201</v>
      </c>
      <c r="AF6" s="2372">
        <v>38232</v>
      </c>
      <c r="AG6" s="2372">
        <v>38262</v>
      </c>
      <c r="AH6" s="2372">
        <v>38293</v>
      </c>
      <c r="AI6" s="2372">
        <v>38323</v>
      </c>
      <c r="AJ6" s="2372">
        <v>38354</v>
      </c>
      <c r="AK6" s="2372">
        <v>38413</v>
      </c>
      <c r="AL6" s="2373">
        <v>38444</v>
      </c>
      <c r="AM6" s="2372">
        <v>38474</v>
      </c>
      <c r="AN6" s="2372">
        <v>38505</v>
      </c>
      <c r="AO6" s="2372">
        <v>38535</v>
      </c>
      <c r="AP6" s="2372">
        <v>38565</v>
      </c>
      <c r="AQ6" s="2374">
        <v>38596</v>
      </c>
      <c r="AR6" s="2372">
        <v>38626</v>
      </c>
      <c r="AS6" s="2374">
        <v>38657</v>
      </c>
      <c r="AT6" s="2373">
        <v>38687</v>
      </c>
      <c r="AU6" s="2373">
        <v>38718</v>
      </c>
      <c r="AV6" s="2372">
        <v>38749</v>
      </c>
      <c r="AW6" s="2375">
        <v>38777</v>
      </c>
      <c r="AX6" s="2374">
        <v>38808</v>
      </c>
      <c r="AY6" s="2373">
        <v>38838</v>
      </c>
      <c r="AZ6" s="2372">
        <v>38869</v>
      </c>
      <c r="BA6" s="2374">
        <v>38899</v>
      </c>
      <c r="BB6" s="2373">
        <v>38930</v>
      </c>
      <c r="BC6" s="2372">
        <v>38961</v>
      </c>
      <c r="BD6" s="2374">
        <v>38991</v>
      </c>
      <c r="BE6" s="2373">
        <v>39022</v>
      </c>
      <c r="BF6" s="2373">
        <v>39052</v>
      </c>
      <c r="BG6" s="2373">
        <v>39083</v>
      </c>
      <c r="BH6" s="2373">
        <v>39114</v>
      </c>
      <c r="BI6" s="2373">
        <v>39142</v>
      </c>
      <c r="BJ6" s="2373">
        <v>39173</v>
      </c>
      <c r="BK6" s="2373">
        <v>39203</v>
      </c>
      <c r="BL6" s="2373">
        <v>39234</v>
      </c>
      <c r="BM6" s="2373">
        <v>39264</v>
      </c>
      <c r="BN6" s="2372">
        <v>39295</v>
      </c>
      <c r="BO6" s="2372">
        <v>39326</v>
      </c>
      <c r="BP6" s="2372">
        <v>39356</v>
      </c>
      <c r="BQ6" s="2372">
        <v>39387</v>
      </c>
      <c r="BR6" s="2372">
        <v>39417</v>
      </c>
      <c r="BS6" s="2372">
        <v>39448</v>
      </c>
      <c r="BT6" s="2372">
        <v>39479</v>
      </c>
      <c r="BU6" s="2373">
        <v>39508</v>
      </c>
      <c r="BV6" s="2373">
        <v>39539</v>
      </c>
      <c r="BW6" s="2373">
        <v>39569</v>
      </c>
      <c r="BX6" s="2373">
        <v>39600</v>
      </c>
      <c r="BY6" s="2373">
        <v>39630</v>
      </c>
      <c r="BZ6" s="2372">
        <v>39661</v>
      </c>
      <c r="CA6" s="2372">
        <v>39692</v>
      </c>
      <c r="CB6" s="2372">
        <v>39722</v>
      </c>
      <c r="CC6" s="2372">
        <v>39753</v>
      </c>
      <c r="CD6" s="2372">
        <v>39783</v>
      </c>
      <c r="CE6" s="2372">
        <v>39814</v>
      </c>
      <c r="CF6" s="2372">
        <v>39845</v>
      </c>
      <c r="CG6" s="2372">
        <v>39873</v>
      </c>
      <c r="CH6" s="2372">
        <v>39904</v>
      </c>
      <c r="CI6" s="2376">
        <v>39934</v>
      </c>
      <c r="CJ6" s="2376">
        <v>39965</v>
      </c>
      <c r="CK6" s="2376">
        <v>39995</v>
      </c>
      <c r="CL6" s="2370">
        <v>40026</v>
      </c>
      <c r="CM6" s="2370">
        <v>40057</v>
      </c>
      <c r="CN6" s="2370">
        <v>40087</v>
      </c>
      <c r="CO6" s="2370">
        <v>40118</v>
      </c>
      <c r="CP6" s="2370">
        <v>40299</v>
      </c>
      <c r="CQ6" s="2370">
        <v>40360</v>
      </c>
      <c r="CR6" s="2370">
        <v>40391</v>
      </c>
      <c r="CS6" s="2370">
        <v>40422</v>
      </c>
      <c r="CT6" s="2370">
        <v>40452</v>
      </c>
      <c r="CU6" s="2370">
        <v>40483</v>
      </c>
      <c r="CV6" s="2370">
        <v>40513</v>
      </c>
      <c r="CW6" s="2370">
        <v>40544</v>
      </c>
      <c r="CX6" s="2370">
        <v>40575</v>
      </c>
      <c r="CY6" s="2370">
        <v>40603</v>
      </c>
      <c r="CZ6" s="2370">
        <v>40634</v>
      </c>
      <c r="DA6" s="2370">
        <v>40664</v>
      </c>
      <c r="DB6" s="2370">
        <v>40695</v>
      </c>
      <c r="DC6" s="2370">
        <v>40725</v>
      </c>
      <c r="DD6" s="2370">
        <v>40756</v>
      </c>
      <c r="DE6" s="2370">
        <v>40787</v>
      </c>
      <c r="DF6" s="2370">
        <v>40817</v>
      </c>
      <c r="DG6" s="2370">
        <v>40848</v>
      </c>
      <c r="DH6" s="2370">
        <v>40878</v>
      </c>
      <c r="DI6" s="2370">
        <v>40909</v>
      </c>
      <c r="DJ6" s="2370">
        <v>40940</v>
      </c>
      <c r="DK6" s="2370">
        <v>40969</v>
      </c>
      <c r="DL6" s="2370">
        <v>41000</v>
      </c>
      <c r="DM6" s="2370">
        <v>41030</v>
      </c>
      <c r="DN6" s="2370">
        <v>41061</v>
      </c>
      <c r="DO6" s="2370">
        <v>41091</v>
      </c>
      <c r="DP6" s="2370">
        <v>41122</v>
      </c>
      <c r="DQ6" s="2370">
        <v>41153</v>
      </c>
      <c r="DR6" s="2370">
        <v>41183</v>
      </c>
      <c r="DS6" s="2370">
        <f>DR6+31</f>
        <v>41214</v>
      </c>
      <c r="DT6" s="2370">
        <f>DS6+31</f>
        <v>41245</v>
      </c>
      <c r="DU6" s="2370">
        <f>DT6+31</f>
        <v>41276</v>
      </c>
      <c r="DV6" s="2370">
        <f>DU6+31</f>
        <v>41307</v>
      </c>
    </row>
    <row r="7" spans="1:126" ht="13.5" customHeight="1" thickBot="1">
      <c r="A7" s="2377" t="s">
        <v>3287</v>
      </c>
      <c r="B7" s="2378"/>
      <c r="C7" s="2378"/>
      <c r="D7" s="2378"/>
      <c r="E7" s="2378"/>
      <c r="F7" s="2378"/>
      <c r="G7" s="2378"/>
      <c r="H7" s="2378"/>
      <c r="I7" s="2378"/>
      <c r="J7" s="2378"/>
      <c r="K7" s="2378"/>
      <c r="L7" s="2378"/>
      <c r="M7" s="2378"/>
      <c r="N7" s="2378"/>
      <c r="O7" s="2378"/>
      <c r="P7" s="2378"/>
      <c r="Q7" s="2378"/>
      <c r="R7" s="2378"/>
      <c r="S7" s="2378"/>
      <c r="T7" s="2378"/>
      <c r="U7" s="2378"/>
      <c r="V7" s="2378"/>
      <c r="W7" s="2378"/>
      <c r="X7" s="2379"/>
      <c r="Y7" s="2379"/>
      <c r="Z7" s="2379"/>
      <c r="AA7" s="2379"/>
      <c r="AB7" s="2379"/>
      <c r="AC7" s="2380"/>
      <c r="AD7" s="2381"/>
      <c r="AE7" s="2381"/>
      <c r="AF7" s="2381"/>
      <c r="AG7" s="2381"/>
      <c r="AH7" s="2381"/>
      <c r="AI7" s="2381"/>
      <c r="AJ7" s="2381"/>
      <c r="AK7" s="2381"/>
      <c r="AL7" s="2382"/>
      <c r="AM7" s="2381"/>
      <c r="AN7" s="2381"/>
      <c r="AO7" s="2381"/>
      <c r="AP7" s="2381"/>
      <c r="AQ7" s="2383"/>
      <c r="AR7" s="2381"/>
      <c r="AS7" s="2383"/>
      <c r="AT7" s="2382"/>
      <c r="AU7" s="2382"/>
      <c r="AV7" s="2381"/>
      <c r="AW7" s="2384"/>
      <c r="AX7" s="2383"/>
      <c r="AY7" s="2382"/>
      <c r="AZ7" s="2381"/>
      <c r="BA7" s="2383"/>
      <c r="BB7" s="2382"/>
      <c r="BC7" s="2381"/>
      <c r="BD7" s="2381"/>
      <c r="BE7" s="2383"/>
      <c r="BF7" s="2382"/>
      <c r="BG7" s="2382"/>
      <c r="BH7" s="2382"/>
      <c r="BI7" s="2382"/>
      <c r="BJ7" s="2382"/>
      <c r="BK7" s="2382"/>
      <c r="BL7" s="2382"/>
      <c r="BM7" s="2382"/>
      <c r="BN7" s="2381"/>
      <c r="BO7" s="2381"/>
      <c r="BP7" s="2381"/>
      <c r="BQ7" s="2381"/>
      <c r="BR7" s="2381"/>
      <c r="BS7" s="2381"/>
      <c r="BT7" s="2381"/>
      <c r="BU7" s="2382"/>
      <c r="BV7" s="2382"/>
      <c r="BW7" s="2382"/>
      <c r="BX7" s="2382"/>
      <c r="BY7" s="2382"/>
      <c r="BZ7" s="2381"/>
      <c r="CA7" s="2381"/>
      <c r="CB7" s="2381"/>
      <c r="CC7" s="2381"/>
      <c r="CD7" s="2381"/>
      <c r="CE7" s="2381"/>
      <c r="CF7" s="2381"/>
      <c r="CG7" s="2381"/>
      <c r="CH7" s="2381"/>
      <c r="CI7" s="2385"/>
      <c r="CJ7" s="2385"/>
      <c r="CK7" s="2385"/>
      <c r="CL7" s="2379"/>
      <c r="CM7" s="2379"/>
      <c r="CN7" s="2379"/>
      <c r="CO7" s="2379"/>
      <c r="CP7" s="2379"/>
      <c r="CQ7" s="2379"/>
      <c r="CR7" s="2379"/>
      <c r="CS7" s="2379"/>
      <c r="CT7" s="2379"/>
      <c r="CU7" s="2379"/>
      <c r="CV7" s="2379"/>
      <c r="CW7" s="2379"/>
      <c r="CX7" s="2379"/>
      <c r="CY7" s="2379"/>
      <c r="CZ7" s="2379"/>
      <c r="DA7" s="2379"/>
      <c r="DB7" s="2379"/>
      <c r="DC7" s="2379"/>
      <c r="DD7" s="2379"/>
      <c r="DE7" s="2379"/>
      <c r="DF7" s="2379"/>
      <c r="DG7" s="2379"/>
      <c r="DH7" s="2379"/>
      <c r="DI7" s="2379"/>
      <c r="DJ7" s="2379"/>
      <c r="DK7" s="2379"/>
      <c r="DL7" s="2379"/>
      <c r="DM7" s="2379"/>
      <c r="DN7" s="2379"/>
      <c r="DO7" s="2379"/>
      <c r="DP7" s="2379"/>
      <c r="DQ7" s="2379"/>
      <c r="DR7" s="2379"/>
      <c r="DS7" s="2379"/>
      <c r="DT7" s="2379"/>
      <c r="DU7" s="2379"/>
      <c r="DV7" s="2379"/>
    </row>
    <row r="8" spans="1:126" ht="21.75" customHeight="1">
      <c r="A8" s="2386" t="s">
        <v>3288</v>
      </c>
      <c r="B8" s="2387">
        <v>15.56</v>
      </c>
      <c r="C8" s="2387">
        <v>16.52</v>
      </c>
      <c r="D8" s="2387">
        <v>17.329999999999998</v>
      </c>
      <c r="E8" s="2387">
        <v>17.13</v>
      </c>
      <c r="F8" s="2387">
        <v>16.48</v>
      </c>
      <c r="G8" s="2387">
        <v>16.59</v>
      </c>
      <c r="H8" s="2387">
        <v>16.309999999999999</v>
      </c>
      <c r="I8" s="2387">
        <v>16.600000000000001</v>
      </c>
      <c r="J8" s="2387">
        <v>16.739999999999998</v>
      </c>
      <c r="K8" s="2387">
        <v>16.73</v>
      </c>
      <c r="L8" s="2387">
        <v>16.89</v>
      </c>
      <c r="M8" s="2387">
        <v>17.05</v>
      </c>
      <c r="N8" s="2387">
        <v>16.79</v>
      </c>
      <c r="O8" s="2387">
        <v>17.3</v>
      </c>
      <c r="P8" s="2387">
        <v>18.260000000000002</v>
      </c>
      <c r="Q8" s="2387">
        <v>19.75</v>
      </c>
      <c r="R8" s="2387">
        <v>19.510000000000002</v>
      </c>
      <c r="S8" s="2387">
        <v>18.89</v>
      </c>
      <c r="T8" s="2387">
        <v>19.77</v>
      </c>
      <c r="U8" s="2387">
        <v>20.38</v>
      </c>
      <c r="V8" s="2387">
        <v>20.54</v>
      </c>
      <c r="W8" s="2387">
        <v>20.149999999999999</v>
      </c>
      <c r="X8" s="2387">
        <v>20.03</v>
      </c>
      <c r="Y8" s="2387">
        <v>20.13</v>
      </c>
      <c r="Z8" s="2387">
        <v>20.420000000000002</v>
      </c>
      <c r="AA8" s="2387">
        <v>20.190000000000001</v>
      </c>
      <c r="AB8" s="2387">
        <v>20.37</v>
      </c>
      <c r="AC8" s="2388">
        <v>19.649999999999999</v>
      </c>
      <c r="AD8" s="2389">
        <v>20.03</v>
      </c>
      <c r="AE8" s="2389">
        <v>20.239999999999998</v>
      </c>
      <c r="AF8" s="2389">
        <v>20.7</v>
      </c>
      <c r="AG8" s="2389">
        <v>21.53</v>
      </c>
      <c r="AH8" s="2389">
        <v>22.38</v>
      </c>
      <c r="AI8" s="2389">
        <v>22.26</v>
      </c>
      <c r="AJ8" s="2389">
        <v>22.38</v>
      </c>
      <c r="AK8" s="2389">
        <v>22.68</v>
      </c>
      <c r="AL8" s="2390">
        <v>22.9</v>
      </c>
      <c r="AM8" s="2391">
        <v>22.36</v>
      </c>
      <c r="AN8" s="2389">
        <v>22.69</v>
      </c>
      <c r="AO8" s="2389">
        <v>22.76</v>
      </c>
      <c r="AP8" s="2389">
        <v>22.49</v>
      </c>
      <c r="AQ8" s="2392">
        <v>23.29</v>
      </c>
      <c r="AR8" s="2391">
        <v>22.97</v>
      </c>
      <c r="AS8" s="2392">
        <v>22.82</v>
      </c>
      <c r="AT8" s="2393">
        <v>22.69</v>
      </c>
      <c r="AU8" s="2393">
        <v>23.25</v>
      </c>
      <c r="AV8" s="2389">
        <v>22.91</v>
      </c>
      <c r="AW8" s="2394">
        <v>22.29</v>
      </c>
      <c r="AX8" s="2392">
        <v>23.52</v>
      </c>
      <c r="AY8" s="2393">
        <v>23.79</v>
      </c>
      <c r="AZ8" s="2389">
        <v>23.13</v>
      </c>
      <c r="BA8" s="2392">
        <v>24.28</v>
      </c>
      <c r="BB8" s="2393">
        <v>25.02</v>
      </c>
      <c r="BC8" s="2389">
        <v>24.76</v>
      </c>
      <c r="BD8" s="2389">
        <v>25.8</v>
      </c>
      <c r="BE8" s="2392">
        <v>26.61</v>
      </c>
      <c r="BF8" s="2393">
        <v>26.95</v>
      </c>
      <c r="BG8" s="2393">
        <v>26.36</v>
      </c>
      <c r="BH8" s="2393">
        <v>26.64</v>
      </c>
      <c r="BI8" s="2393">
        <v>26.78</v>
      </c>
      <c r="BJ8" s="2393">
        <v>26.87</v>
      </c>
      <c r="BK8" s="2393">
        <v>26.29</v>
      </c>
      <c r="BL8" s="2393">
        <v>27.22</v>
      </c>
      <c r="BM8" s="2393">
        <v>27.39</v>
      </c>
      <c r="BN8" s="2389">
        <v>26.0532</v>
      </c>
      <c r="BO8" s="2389">
        <v>27.4922</v>
      </c>
      <c r="BP8" s="2389">
        <v>28.593599999999999</v>
      </c>
      <c r="BQ8" s="2389">
        <v>27.143999999999998</v>
      </c>
      <c r="BR8" s="2389">
        <v>25.668299999999999</v>
      </c>
      <c r="BS8" s="2389">
        <v>26.1235</v>
      </c>
      <c r="BT8" s="2389">
        <v>26.605399999999999</v>
      </c>
      <c r="BU8" s="2393">
        <v>24.6096</v>
      </c>
      <c r="BV8" s="2393">
        <v>24.8872</v>
      </c>
      <c r="BW8" s="2393">
        <v>27.118300000000001</v>
      </c>
      <c r="BX8" s="2393">
        <v>26.8184</v>
      </c>
      <c r="BY8" s="2393">
        <v>25.786799999999999</v>
      </c>
      <c r="BZ8" s="2389">
        <v>24.9757</v>
      </c>
      <c r="CA8" s="2389">
        <v>23.229199999999999</v>
      </c>
      <c r="CB8" s="2389">
        <v>22.044899999999998</v>
      </c>
      <c r="CC8" s="2389">
        <v>21.433499999999999</v>
      </c>
      <c r="CD8" s="2389">
        <v>22.654699999999998</v>
      </c>
      <c r="CE8" s="2389">
        <v>21.716699999999999</v>
      </c>
      <c r="CF8" s="2389">
        <v>22.553599999999999</v>
      </c>
      <c r="CG8" s="2389">
        <v>23.6126</v>
      </c>
      <c r="CH8" s="2389">
        <v>25.0962</v>
      </c>
      <c r="CI8" s="2389">
        <v>26.360900000000001</v>
      </c>
      <c r="CJ8" s="2389">
        <v>26.9573</v>
      </c>
      <c r="CK8" s="2389">
        <v>27.3185</v>
      </c>
      <c r="CL8" s="2395">
        <v>27.529699999999998</v>
      </c>
      <c r="CM8" s="2395">
        <v>27.882899999999999</v>
      </c>
      <c r="CN8" s="2395">
        <v>28.681100000000001</v>
      </c>
      <c r="CO8" s="2395">
        <v>28.164999999999999</v>
      </c>
      <c r="CP8" s="2395">
        <v>29.251000000000001</v>
      </c>
      <c r="CQ8" s="2395">
        <v>28.16612344759616</v>
      </c>
      <c r="CR8" s="2395">
        <v>28.499452496458929</v>
      </c>
      <c r="CS8" s="2395">
        <v>30.072427729575537</v>
      </c>
      <c r="CT8" s="2395">
        <v>29.940966177511076</v>
      </c>
      <c r="CU8" s="2395">
        <v>30.225972652943568</v>
      </c>
      <c r="CV8" s="2395">
        <v>31.850720017085713</v>
      </c>
      <c r="CW8" s="2395">
        <v>30.407761025539997</v>
      </c>
      <c r="CX8" s="2395">
        <v>30.856948067410002</v>
      </c>
      <c r="CY8" s="2395">
        <v>30.524032067954291</v>
      </c>
      <c r="CZ8" s="2395">
        <v>31.015875573434645</v>
      </c>
      <c r="DA8" s="2395">
        <v>30.808352357991776</v>
      </c>
      <c r="DB8" s="2395">
        <v>31.199055418040707</v>
      </c>
      <c r="DC8" s="2395">
        <v>31.640197820362499</v>
      </c>
      <c r="DD8" s="2395">
        <v>30.636825936685359</v>
      </c>
      <c r="DE8" s="2395">
        <v>29.047015291165362</v>
      </c>
      <c r="DF8" s="2395">
        <v>31.14696479228607</v>
      </c>
      <c r="DG8" s="2395">
        <v>30.016604410962859</v>
      </c>
      <c r="DH8" s="2395">
        <v>30.653454635537496</v>
      </c>
      <c r="DI8" s="2395">
        <v>31.78951233469142</v>
      </c>
      <c r="DJ8" s="2395">
        <v>32.031724399628217</v>
      </c>
      <c r="DK8" s="2395">
        <v>30.898686488191782</v>
      </c>
      <c r="DL8" s="2395">
        <v>31.132376976534285</v>
      </c>
      <c r="DM8" s="2395">
        <v>29.776268937628931</v>
      </c>
      <c r="DN8" s="2395">
        <v>32.116625134594635</v>
      </c>
      <c r="DO8" s="2395">
        <v>33.371623722129996</v>
      </c>
      <c r="DP8" s="2395">
        <v>32.202497256828565</v>
      </c>
      <c r="DQ8" s="2395">
        <v>32.544694504626854</v>
      </c>
      <c r="DR8" s="2395">
        <v>32.824064693024859</v>
      </c>
      <c r="DS8" s="2395">
        <v>32.862170824724437</v>
      </c>
      <c r="DT8" s="2395">
        <v>32.391319341800006</v>
      </c>
      <c r="DU8" s="2395">
        <v>32.120387970051432</v>
      </c>
      <c r="DV8" s="2395">
        <v>32.161973845968575</v>
      </c>
    </row>
    <row r="9" spans="1:126" ht="21" customHeight="1">
      <c r="A9" s="2386" t="s">
        <v>3289</v>
      </c>
      <c r="B9" s="2387">
        <v>3.95</v>
      </c>
      <c r="C9" s="2387">
        <v>3.94</v>
      </c>
      <c r="D9" s="2396">
        <v>3.93</v>
      </c>
      <c r="E9" s="2396">
        <v>3.9</v>
      </c>
      <c r="F9" s="2397">
        <v>3.88</v>
      </c>
      <c r="G9" s="2397">
        <v>3.87</v>
      </c>
      <c r="H9" s="2396">
        <v>3.87</v>
      </c>
      <c r="I9" s="2396">
        <v>3.87</v>
      </c>
      <c r="J9" s="2396">
        <v>3.85</v>
      </c>
      <c r="K9" s="2396">
        <v>3.81</v>
      </c>
      <c r="L9" s="2396">
        <v>3.7</v>
      </c>
      <c r="M9" s="2396">
        <v>3.63</v>
      </c>
      <c r="N9" s="2396">
        <v>3.59</v>
      </c>
      <c r="O9" s="2396">
        <v>3.58</v>
      </c>
      <c r="P9" s="2396">
        <v>3.61</v>
      </c>
      <c r="Q9" s="2396">
        <v>3.82</v>
      </c>
      <c r="R9" s="2396">
        <v>3.85</v>
      </c>
      <c r="S9" s="2396">
        <v>3.81</v>
      </c>
      <c r="T9" s="2396">
        <v>3.78</v>
      </c>
      <c r="U9" s="2396">
        <v>3.75</v>
      </c>
      <c r="V9" s="2396">
        <v>3.69</v>
      </c>
      <c r="W9" s="2396">
        <v>3.5</v>
      </c>
      <c r="X9" s="2396">
        <v>3.41</v>
      </c>
      <c r="Y9" s="2396">
        <v>3.39</v>
      </c>
      <c r="Z9" s="2396">
        <v>3.48</v>
      </c>
      <c r="AA9" s="2396">
        <v>3.62</v>
      </c>
      <c r="AB9" s="2396">
        <v>3.69</v>
      </c>
      <c r="AC9" s="2398">
        <v>3.68</v>
      </c>
      <c r="AD9" s="2399">
        <v>3.7</v>
      </c>
      <c r="AE9" s="2399">
        <v>3.72</v>
      </c>
      <c r="AF9" s="2399">
        <v>3.73</v>
      </c>
      <c r="AG9" s="2399">
        <v>3.74</v>
      </c>
      <c r="AH9" s="2399">
        <v>3.73</v>
      </c>
      <c r="AI9" s="2399">
        <v>3.7</v>
      </c>
      <c r="AJ9" s="2399">
        <v>3.73</v>
      </c>
      <c r="AK9" s="2399">
        <v>3.79</v>
      </c>
      <c r="AL9" s="2400">
        <v>3.8</v>
      </c>
      <c r="AM9" s="2399">
        <v>3.82</v>
      </c>
      <c r="AN9" s="2399">
        <v>3.85</v>
      </c>
      <c r="AO9" s="2399">
        <v>3.88</v>
      </c>
      <c r="AP9" s="2399">
        <v>3.9</v>
      </c>
      <c r="AQ9" s="2401">
        <v>3.96</v>
      </c>
      <c r="AR9" s="2399">
        <v>3.99</v>
      </c>
      <c r="AS9" s="2401">
        <v>4.0199999999999996</v>
      </c>
      <c r="AT9" s="2400">
        <v>4.03</v>
      </c>
      <c r="AU9" s="2400">
        <v>4.03</v>
      </c>
      <c r="AV9" s="2399">
        <v>4.04</v>
      </c>
      <c r="AW9" s="2402">
        <v>4.05</v>
      </c>
      <c r="AX9" s="2401">
        <v>4.0599999999999996</v>
      </c>
      <c r="AY9" s="2400">
        <v>4.05</v>
      </c>
      <c r="AZ9" s="2399">
        <v>4.0599999999999996</v>
      </c>
      <c r="BA9" s="2401">
        <v>4.1100000000000003</v>
      </c>
      <c r="BB9" s="2400">
        <v>4.25</v>
      </c>
      <c r="BC9" s="2399">
        <v>4.26</v>
      </c>
      <c r="BD9" s="2399">
        <v>4.3099999999999996</v>
      </c>
      <c r="BE9" s="2401">
        <v>4.34</v>
      </c>
      <c r="BF9" s="2400">
        <v>4.37</v>
      </c>
      <c r="BG9" s="2400">
        <v>4.3499999999999996</v>
      </c>
      <c r="BH9" s="2400">
        <v>4.3099999999999996</v>
      </c>
      <c r="BI9" s="2400">
        <v>4.2699999999999996</v>
      </c>
      <c r="BJ9" s="2400">
        <v>4.18</v>
      </c>
      <c r="BK9" s="2400">
        <v>4.12</v>
      </c>
      <c r="BL9" s="2400">
        <v>4.13</v>
      </c>
      <c r="BM9" s="2400">
        <v>4.09</v>
      </c>
      <c r="BN9" s="2399">
        <v>4.0932000000000004</v>
      </c>
      <c r="BO9" s="2399">
        <v>4.0366999999999997</v>
      </c>
      <c r="BP9" s="2399">
        <v>4.0175999999999998</v>
      </c>
      <c r="BQ9" s="2399">
        <v>3.948</v>
      </c>
      <c r="BR9" s="2399">
        <v>3.7471999999999999</v>
      </c>
      <c r="BS9" s="2399">
        <v>3.7690999999999999</v>
      </c>
      <c r="BT9" s="2399">
        <v>3.6236000000000002</v>
      </c>
      <c r="BU9" s="2400">
        <v>3.4592000000000001</v>
      </c>
      <c r="BV9" s="2400">
        <v>3.4264999999999999</v>
      </c>
      <c r="BW9" s="2400">
        <v>3.6351</v>
      </c>
      <c r="BX9" s="2400">
        <v>3.5863999999999998</v>
      </c>
      <c r="BY9" s="2400">
        <v>3.5167000000000002</v>
      </c>
      <c r="BZ9" s="2399">
        <v>3.7092000000000001</v>
      </c>
      <c r="CA9" s="2399">
        <v>3.7442000000000002</v>
      </c>
      <c r="CB9" s="2399">
        <v>4.2183999999999999</v>
      </c>
      <c r="CC9" s="2399">
        <v>4.2065000000000001</v>
      </c>
      <c r="CD9" s="2399">
        <v>4.2130000000000001</v>
      </c>
      <c r="CE9" s="2399">
        <v>4.3268000000000004</v>
      </c>
      <c r="CF9" s="2399">
        <v>4.5053999999999998</v>
      </c>
      <c r="CG9" s="2399">
        <v>4.4272</v>
      </c>
      <c r="CH9" s="2399">
        <v>4.4598000000000004</v>
      </c>
      <c r="CI9" s="2399">
        <v>4.3163</v>
      </c>
      <c r="CJ9" s="2399">
        <v>4.2948000000000004</v>
      </c>
      <c r="CK9" s="2399">
        <v>4.2535999999999996</v>
      </c>
      <c r="CL9" s="2403">
        <v>4.2291999999999996</v>
      </c>
      <c r="CM9" s="2403">
        <v>4.0975999999999999</v>
      </c>
      <c r="CN9" s="2403">
        <v>4.0427</v>
      </c>
      <c r="CO9" s="2403">
        <v>3.9632999999999998</v>
      </c>
      <c r="CP9" s="2403">
        <v>4.4180000000000001</v>
      </c>
      <c r="CQ9" s="2403">
        <v>4.032487560373756</v>
      </c>
      <c r="CR9" s="2403">
        <v>4.0969714264583965</v>
      </c>
      <c r="CS9" s="2403">
        <v>4.0047722008282394</v>
      </c>
      <c r="CT9" s="2403">
        <v>3.9543564370945878</v>
      </c>
      <c r="CU9" s="2403">
        <v>4.0426005138951515</v>
      </c>
      <c r="CV9" s="2403">
        <v>4.0278040434054869</v>
      </c>
      <c r="CW9" s="2403">
        <v>3.9279889267950394</v>
      </c>
      <c r="CX9" s="2403">
        <v>3.8959044275968897</v>
      </c>
      <c r="CY9" s="2403">
        <v>3.7942924247204624</v>
      </c>
      <c r="CZ9" s="2403">
        <v>3.6576214562405553</v>
      </c>
      <c r="DA9" s="2403">
        <v>3.6971726456905682</v>
      </c>
      <c r="DB9" s="2403">
        <v>3.7294413698932494</v>
      </c>
      <c r="DC9" s="2403">
        <v>3.6934897257530364</v>
      </c>
      <c r="DD9" s="2403">
        <v>3.6818912762427973</v>
      </c>
      <c r="DE9" s="2403">
        <v>3.8179949005074763</v>
      </c>
      <c r="DF9" s="2403">
        <v>3.8047301396428601</v>
      </c>
      <c r="DG9" s="2403">
        <v>3.8422869353282501</v>
      </c>
      <c r="DH9" s="2403">
        <v>3.8844088727125103</v>
      </c>
      <c r="DI9" s="2403">
        <v>3.8513244997920633</v>
      </c>
      <c r="DJ9" s="2403">
        <v>3.8175666094278706</v>
      </c>
      <c r="DK9" s="2403">
        <v>3.8251777537822003</v>
      </c>
      <c r="DL9" s="2403">
        <v>3.8342347896408513</v>
      </c>
      <c r="DM9" s="2403">
        <v>3.9417741110028013</v>
      </c>
      <c r="DN9" s="2403">
        <v>4.0708354957761896</v>
      </c>
      <c r="DO9" s="2403">
        <v>4.0905709470138962</v>
      </c>
      <c r="DP9" s="2403">
        <v>4.030456479785907</v>
      </c>
      <c r="DQ9" s="2403">
        <v>4.0078231107034785</v>
      </c>
      <c r="DR9" s="2403">
        <v>4.0806980113313447</v>
      </c>
      <c r="DS9" s="2403">
        <v>4.0671373455316617</v>
      </c>
      <c r="DT9" s="2403">
        <v>4.0231595015807393</v>
      </c>
      <c r="DU9" s="2403">
        <v>3.9837583570262205</v>
      </c>
      <c r="DV9" s="2403">
        <v>4.028247168938881</v>
      </c>
    </row>
    <row r="10" spans="1:126" ht="21" customHeight="1">
      <c r="A10" s="2386" t="s">
        <v>3290</v>
      </c>
      <c r="B10" s="2387">
        <v>64</v>
      </c>
      <c r="C10" s="2396">
        <v>64</v>
      </c>
      <c r="D10" s="2396">
        <v>63</v>
      </c>
      <c r="E10" s="2396">
        <v>63</v>
      </c>
      <c r="F10" s="2397">
        <v>63</v>
      </c>
      <c r="G10" s="2396">
        <v>63</v>
      </c>
      <c r="H10" s="2396">
        <v>63</v>
      </c>
      <c r="I10" s="2396">
        <v>63</v>
      </c>
      <c r="J10" s="2396">
        <v>63</v>
      </c>
      <c r="K10" s="2396">
        <v>63</v>
      </c>
      <c r="L10" s="2396">
        <v>61</v>
      </c>
      <c r="M10" s="2396">
        <v>60</v>
      </c>
      <c r="N10" s="2396">
        <v>60</v>
      </c>
      <c r="O10" s="2396">
        <v>60</v>
      </c>
      <c r="P10" s="2396">
        <v>60</v>
      </c>
      <c r="Q10" s="2396">
        <v>65</v>
      </c>
      <c r="R10" s="2396">
        <v>66</v>
      </c>
      <c r="S10" s="2396">
        <v>65</v>
      </c>
      <c r="T10" s="2396">
        <v>64</v>
      </c>
      <c r="U10" s="2396">
        <v>65</v>
      </c>
      <c r="V10" s="2396">
        <v>63</v>
      </c>
      <c r="W10" s="2396">
        <v>60</v>
      </c>
      <c r="X10" s="2396">
        <v>59</v>
      </c>
      <c r="Y10" s="2396">
        <v>59</v>
      </c>
      <c r="Z10" s="2396">
        <v>62</v>
      </c>
      <c r="AA10" s="2396">
        <v>64</v>
      </c>
      <c r="AB10" s="2396">
        <v>64</v>
      </c>
      <c r="AC10" s="2398">
        <v>63</v>
      </c>
      <c r="AD10" s="2399">
        <v>63</v>
      </c>
      <c r="AE10" s="2399">
        <v>63</v>
      </c>
      <c r="AF10" s="2399">
        <v>64</v>
      </c>
      <c r="AG10" s="2399">
        <v>64</v>
      </c>
      <c r="AH10" s="2399">
        <v>65</v>
      </c>
      <c r="AI10" s="2399">
        <v>67</v>
      </c>
      <c r="AJ10" s="2399">
        <v>67</v>
      </c>
      <c r="AK10" s="2399">
        <v>68</v>
      </c>
      <c r="AL10" s="2400">
        <v>68</v>
      </c>
      <c r="AM10" s="2399">
        <v>69</v>
      </c>
      <c r="AN10" s="2399">
        <v>69</v>
      </c>
      <c r="AO10" s="2399">
        <v>70</v>
      </c>
      <c r="AP10" s="2399">
        <v>69</v>
      </c>
      <c r="AQ10" s="2401">
        <v>71</v>
      </c>
      <c r="AR10" s="2399">
        <v>69</v>
      </c>
      <c r="AS10" s="2401">
        <v>68</v>
      </c>
      <c r="AT10" s="2400">
        <v>69</v>
      </c>
      <c r="AU10" s="2400">
        <v>71</v>
      </c>
      <c r="AV10" s="2399">
        <v>71</v>
      </c>
      <c r="AW10" s="2402">
        <v>71</v>
      </c>
      <c r="AX10" s="2401">
        <v>70</v>
      </c>
      <c r="AY10" s="2400">
        <v>68</v>
      </c>
      <c r="AZ10" s="2399">
        <v>68</v>
      </c>
      <c r="BA10" s="2401">
        <v>69</v>
      </c>
      <c r="BB10" s="2400">
        <v>71</v>
      </c>
      <c r="BC10" s="2399">
        <v>72</v>
      </c>
      <c r="BD10" s="2399">
        <v>74</v>
      </c>
      <c r="BE10" s="2401">
        <v>76</v>
      </c>
      <c r="BF10" s="2400">
        <v>77</v>
      </c>
      <c r="BG10" s="2400">
        <v>77</v>
      </c>
      <c r="BH10" s="2400">
        <v>76</v>
      </c>
      <c r="BI10" s="2400">
        <v>77</v>
      </c>
      <c r="BJ10" s="2400">
        <v>79</v>
      </c>
      <c r="BK10" s="2400">
        <v>79</v>
      </c>
      <c r="BL10" s="2400">
        <v>79</v>
      </c>
      <c r="BM10" s="2400">
        <v>79</v>
      </c>
      <c r="BN10" s="2399">
        <v>78.05</v>
      </c>
      <c r="BO10" s="2399">
        <v>78.83</v>
      </c>
      <c r="BP10" s="2399">
        <v>79.45</v>
      </c>
      <c r="BQ10" s="2399">
        <v>77.67</v>
      </c>
      <c r="BR10" s="2399">
        <v>74.400000000000006</v>
      </c>
      <c r="BS10" s="2399">
        <v>74.81</v>
      </c>
      <c r="BT10" s="2399">
        <v>70.86</v>
      </c>
      <c r="BU10" s="2400">
        <v>67.650000000000006</v>
      </c>
      <c r="BV10" s="2400">
        <v>66.27</v>
      </c>
      <c r="BW10" s="2400">
        <v>66.94</v>
      </c>
      <c r="BX10" s="2400">
        <v>65.48</v>
      </c>
      <c r="BY10" s="2400">
        <v>64.739999999999995</v>
      </c>
      <c r="BZ10" s="2399">
        <v>66.5</v>
      </c>
      <c r="CA10" s="2399">
        <v>62.61</v>
      </c>
      <c r="CB10" s="2399">
        <v>66.86</v>
      </c>
      <c r="CC10" s="2399">
        <v>66.55</v>
      </c>
      <c r="CD10" s="2399">
        <v>68.040000000000006</v>
      </c>
      <c r="CE10" s="2399">
        <v>69.03</v>
      </c>
      <c r="CF10" s="2399">
        <v>69.55</v>
      </c>
      <c r="CG10" s="2399">
        <v>67.95</v>
      </c>
      <c r="CH10" s="2399">
        <v>69.77</v>
      </c>
      <c r="CI10" s="2399">
        <v>70.95</v>
      </c>
      <c r="CJ10" s="2399">
        <v>70.099999999999994</v>
      </c>
      <c r="CK10" s="2399">
        <v>68.75</v>
      </c>
      <c r="CL10" s="2403">
        <v>67.5</v>
      </c>
      <c r="CM10" s="2403">
        <v>66.58</v>
      </c>
      <c r="CN10" s="2403">
        <v>67.03</v>
      </c>
      <c r="CO10" s="2403">
        <v>66.52</v>
      </c>
      <c r="CP10" s="2403">
        <v>74.162000000000006</v>
      </c>
      <c r="CQ10" s="2403">
        <v>67.621465930757452</v>
      </c>
      <c r="CR10" s="2403">
        <v>68.015153579793093</v>
      </c>
      <c r="CS10" s="2403">
        <v>69.901770337746854</v>
      </c>
      <c r="CT10" s="2403">
        <v>69.083785246121522</v>
      </c>
      <c r="CU10" s="2403">
        <v>68.509426016998361</v>
      </c>
      <c r="CV10" s="2403">
        <v>69.996160890346346</v>
      </c>
      <c r="CW10" s="2403">
        <v>66.909526631273181</v>
      </c>
      <c r="CX10" s="2403">
        <v>67.264028800817499</v>
      </c>
      <c r="CY10" s="2403">
        <v>66.332525645814272</v>
      </c>
      <c r="CZ10" s="2403">
        <v>64.215241661898332</v>
      </c>
      <c r="DA10" s="2403">
        <v>64.096356697877539</v>
      </c>
      <c r="DB10" s="2403">
        <v>65.064923392718725</v>
      </c>
      <c r="DC10" s="2403">
        <v>65.514984532269622</v>
      </c>
      <c r="DD10" s="2403">
        <v>62.609482794946224</v>
      </c>
      <c r="DE10" s="2403">
        <v>60.925183705943788</v>
      </c>
      <c r="DF10" s="2403">
        <v>60.805336797674201</v>
      </c>
      <c r="DG10" s="2403">
        <v>57.766111715162715</v>
      </c>
      <c r="DH10" s="2403">
        <v>56.978143790512256</v>
      </c>
      <c r="DI10" s="2403">
        <v>60.469953757124337</v>
      </c>
      <c r="DJ10" s="2403">
        <v>60.776811663977739</v>
      </c>
      <c r="DK10" s="2403">
        <v>58.417736942427155</v>
      </c>
      <c r="DL10" s="2403">
        <v>56.970322258528853</v>
      </c>
      <c r="DM10" s="2403">
        <v>54.647744322051103</v>
      </c>
      <c r="DN10" s="2403">
        <v>56.436876067778485</v>
      </c>
      <c r="DO10" s="2403">
        <v>57.51169353670614</v>
      </c>
      <c r="DP10" s="2403">
        <v>56.436974802987415</v>
      </c>
      <c r="DQ10" s="2403">
        <v>59.337635921788724</v>
      </c>
      <c r="DR10" s="2403">
        <v>58.708532587011099</v>
      </c>
      <c r="DS10" s="2403">
        <v>57.981841042910823</v>
      </c>
      <c r="DT10" s="2403">
        <v>57.267521762874281</v>
      </c>
      <c r="DU10" s="2403">
        <v>58.453915276575344</v>
      </c>
      <c r="DV10" s="2403">
        <v>58.559244870373362</v>
      </c>
    </row>
    <row r="11" spans="1:126" ht="21" customHeight="1">
      <c r="A11" s="2386" t="s">
        <v>3291</v>
      </c>
      <c r="B11" s="2387">
        <v>23.05</v>
      </c>
      <c r="C11" s="2387">
        <v>23.86</v>
      </c>
      <c r="D11" s="2387">
        <v>24.71</v>
      </c>
      <c r="E11" s="2387">
        <v>25.31</v>
      </c>
      <c r="F11" s="2387">
        <v>25.07</v>
      </c>
      <c r="G11" s="2387">
        <v>25.44</v>
      </c>
      <c r="H11" s="2404">
        <v>24.65</v>
      </c>
      <c r="I11" s="2404">
        <v>24.4</v>
      </c>
      <c r="J11" s="2404">
        <v>24.37</v>
      </c>
      <c r="K11" s="2404">
        <v>24.87</v>
      </c>
      <c r="L11" s="2404">
        <v>24.09</v>
      </c>
      <c r="M11" s="2404">
        <v>23.88</v>
      </c>
      <c r="N11" s="2404">
        <v>23.26</v>
      </c>
      <c r="O11" s="2404">
        <v>23.22</v>
      </c>
      <c r="P11" s="2404">
        <v>23.6</v>
      </c>
      <c r="Q11" s="2404">
        <v>24.66</v>
      </c>
      <c r="R11" s="2404">
        <v>24.82</v>
      </c>
      <c r="S11" s="2404">
        <v>25.17</v>
      </c>
      <c r="T11" s="2404">
        <v>26.15</v>
      </c>
      <c r="U11" s="2404">
        <v>26.51</v>
      </c>
      <c r="V11" s="2404">
        <v>25.98</v>
      </c>
      <c r="W11" s="2404">
        <v>25.21</v>
      </c>
      <c r="X11" s="2404">
        <v>24.75</v>
      </c>
      <c r="Y11" s="2404">
        <v>23.83</v>
      </c>
      <c r="Z11" s="2404">
        <v>25.83</v>
      </c>
      <c r="AA11" s="2404">
        <v>25.41</v>
      </c>
      <c r="AB11" s="2404">
        <v>25.96</v>
      </c>
      <c r="AC11" s="2405">
        <v>26.24</v>
      </c>
      <c r="AD11" s="2403">
        <v>25.55</v>
      </c>
      <c r="AE11" s="2403">
        <v>26.25</v>
      </c>
      <c r="AF11" s="2403">
        <v>26.03</v>
      </c>
      <c r="AG11" s="2403">
        <v>27.15</v>
      </c>
      <c r="AH11" s="2403">
        <v>27.88</v>
      </c>
      <c r="AI11" s="2403">
        <v>27.79</v>
      </c>
      <c r="AJ11" s="2403">
        <v>27.89</v>
      </c>
      <c r="AK11" s="2403">
        <v>27.36</v>
      </c>
      <c r="AL11" s="2406">
        <v>27.78</v>
      </c>
      <c r="AM11" s="2403">
        <v>27.29</v>
      </c>
      <c r="AN11" s="2407">
        <v>26.92</v>
      </c>
      <c r="AO11" s="2407">
        <v>26.67</v>
      </c>
      <c r="AP11" s="2407">
        <v>27.01</v>
      </c>
      <c r="AQ11" s="2408">
        <v>27.02</v>
      </c>
      <c r="AR11" s="2407">
        <v>26.48</v>
      </c>
      <c r="AS11" s="2408">
        <v>25.83</v>
      </c>
      <c r="AT11" s="2409">
        <v>26.37</v>
      </c>
      <c r="AU11" s="2409">
        <v>26.32</v>
      </c>
      <c r="AV11" s="2407">
        <v>26.66</v>
      </c>
      <c r="AW11" s="2410">
        <v>26.52</v>
      </c>
      <c r="AX11" s="2408">
        <v>27.26</v>
      </c>
      <c r="AY11" s="2409">
        <v>27.8</v>
      </c>
      <c r="AZ11" s="2407">
        <v>27.19</v>
      </c>
      <c r="BA11" s="2408">
        <v>27.76</v>
      </c>
      <c r="BB11" s="2409">
        <v>28.02</v>
      </c>
      <c r="BC11" s="2407">
        <v>28.11</v>
      </c>
      <c r="BD11" s="2407">
        <v>28.6</v>
      </c>
      <c r="BE11" s="2408">
        <v>29.37</v>
      </c>
      <c r="BF11" s="2409">
        <v>28.84</v>
      </c>
      <c r="BG11" s="2409">
        <v>28.25</v>
      </c>
      <c r="BH11" s="2409">
        <v>28.58</v>
      </c>
      <c r="BI11" s="2409">
        <v>28.46</v>
      </c>
      <c r="BJ11" s="2409">
        <v>27.4</v>
      </c>
      <c r="BK11" s="2409">
        <v>26.4</v>
      </c>
      <c r="BL11" s="2409">
        <v>26.07</v>
      </c>
      <c r="BM11" s="2409">
        <v>26.84</v>
      </c>
      <c r="BN11" s="2407">
        <v>27.363700000000001</v>
      </c>
      <c r="BO11" s="2407">
        <v>27.070799999999998</v>
      </c>
      <c r="BP11" s="2407">
        <v>27.028600000000001</v>
      </c>
      <c r="BQ11" s="2407">
        <v>27.75</v>
      </c>
      <c r="BR11" s="2407">
        <v>26.030200000000001</v>
      </c>
      <c r="BS11" s="2407">
        <v>27.543900000000001</v>
      </c>
      <c r="BT11" s="2407">
        <v>26.832599999999999</v>
      </c>
      <c r="BU11" s="2409">
        <v>26.9102</v>
      </c>
      <c r="BV11" s="2409">
        <v>25.618500000000001</v>
      </c>
      <c r="BW11" s="2409">
        <v>26.8565</v>
      </c>
      <c r="BX11" s="2409">
        <v>26.243600000000001</v>
      </c>
      <c r="BY11" s="2409">
        <v>25.290500000000002</v>
      </c>
      <c r="BZ11" s="2407">
        <v>26.493600000000001</v>
      </c>
      <c r="CA11" s="2407">
        <v>27.8292</v>
      </c>
      <c r="CB11" s="2407">
        <v>33.240400000000001</v>
      </c>
      <c r="CC11" s="2407">
        <v>34.240400000000001</v>
      </c>
      <c r="CD11" s="2407">
        <v>36.168199999999999</v>
      </c>
      <c r="CE11" s="2407">
        <v>37.496499999999997</v>
      </c>
      <c r="CF11" s="2407">
        <v>35.847799999999999</v>
      </c>
      <c r="CG11" s="2407">
        <v>34.9191</v>
      </c>
      <c r="CH11" s="2407">
        <v>35.516800000000003</v>
      </c>
      <c r="CI11" s="2407">
        <v>34.719099999999997</v>
      </c>
      <c r="CJ11" s="2407">
        <v>34.7348</v>
      </c>
      <c r="CK11" s="2407">
        <v>34.563699999999997</v>
      </c>
      <c r="CL11" s="2403">
        <v>35.354500000000002</v>
      </c>
      <c r="CM11" s="2403">
        <v>35.363900000000001</v>
      </c>
      <c r="CN11" s="2403">
        <v>34.321399999999997</v>
      </c>
      <c r="CO11" s="2403">
        <v>35.4818</v>
      </c>
      <c r="CP11" s="2403">
        <v>37.631</v>
      </c>
      <c r="CQ11" s="2403">
        <v>36.192216935872509</v>
      </c>
      <c r="CR11" s="2403">
        <v>37.821877308377502</v>
      </c>
      <c r="CS11" s="2403">
        <v>37.219917508368873</v>
      </c>
      <c r="CT11" s="2403">
        <v>38.030318317742591</v>
      </c>
      <c r="CU11" s="2403">
        <v>37.397090542433666</v>
      </c>
      <c r="CV11" s="2403">
        <v>38.398233090495204</v>
      </c>
      <c r="CW11" s="2403">
        <v>37.330712340682318</v>
      </c>
      <c r="CX11" s="2403">
        <v>37.162393104391363</v>
      </c>
      <c r="CY11" s="2403">
        <v>35.747713129363255</v>
      </c>
      <c r="CZ11" s="2403">
        <v>34.869090701984298</v>
      </c>
      <c r="DA11" s="2403">
        <v>35.450514349747344</v>
      </c>
      <c r="DB11" s="2403">
        <v>36.120491087199873</v>
      </c>
      <c r="DC11" s="2403">
        <v>37.154141270855305</v>
      </c>
      <c r="DD11" s="2403">
        <v>37.349127179501671</v>
      </c>
      <c r="DE11" s="2403">
        <v>38.851794048499187</v>
      </c>
      <c r="DF11" s="2403">
        <v>37.451097051576163</v>
      </c>
      <c r="DG11" s="2403">
        <v>38.436976986220429</v>
      </c>
      <c r="DH11" s="2403">
        <v>38.923089766284477</v>
      </c>
      <c r="DI11" s="2403">
        <v>39.202769408927452</v>
      </c>
      <c r="DJ11" s="2403">
        <v>36.854965424509523</v>
      </c>
      <c r="DK11" s="2403">
        <v>36.236119514273106</v>
      </c>
      <c r="DL11" s="2403">
        <v>37.138350371748196</v>
      </c>
      <c r="DM11" s="2403">
        <v>38.936352352371884</v>
      </c>
      <c r="DN11" s="2403">
        <v>39.920747363666543</v>
      </c>
      <c r="DO11" s="2403">
        <v>40.605514524767266</v>
      </c>
      <c r="DP11" s="2403">
        <v>39.877171772575444</v>
      </c>
      <c r="DQ11" s="2403">
        <v>40.135376081692662</v>
      </c>
      <c r="DR11" s="2403">
        <v>39.767120968869634</v>
      </c>
      <c r="DS11" s="2403">
        <v>38.236477661312456</v>
      </c>
      <c r="DT11" s="2403">
        <v>36.266761483454907</v>
      </c>
      <c r="DU11" s="2403">
        <v>34.07411397709302</v>
      </c>
      <c r="DV11" s="2403">
        <v>33.970538491751711</v>
      </c>
    </row>
    <row r="12" spans="1:126" ht="21" customHeight="1">
      <c r="A12" s="2386" t="s">
        <v>3292</v>
      </c>
      <c r="B12" s="2387">
        <v>39.5</v>
      </c>
      <c r="C12" s="2387">
        <v>39.53</v>
      </c>
      <c r="D12" s="2387">
        <v>39.369999999999997</v>
      </c>
      <c r="E12" s="2387">
        <v>38.880000000000003</v>
      </c>
      <c r="F12" s="2387">
        <v>38.69</v>
      </c>
      <c r="G12" s="2404">
        <v>38.61</v>
      </c>
      <c r="H12" s="2411">
        <v>38.42</v>
      </c>
      <c r="I12" s="2411">
        <v>38.11</v>
      </c>
      <c r="J12" s="2411">
        <v>37.68</v>
      </c>
      <c r="K12" s="2411">
        <v>38.72</v>
      </c>
      <c r="L12" s="2411">
        <v>37.39</v>
      </c>
      <c r="M12" s="2411">
        <v>37.200000000000003</v>
      </c>
      <c r="N12" s="2411">
        <v>36.71</v>
      </c>
      <c r="O12" s="2411">
        <v>37.770000000000003</v>
      </c>
      <c r="P12" s="2411">
        <v>39.159999999999997</v>
      </c>
      <c r="Q12" s="2411">
        <v>40.520000000000003</v>
      </c>
      <c r="R12" s="2411">
        <v>40.22</v>
      </c>
      <c r="S12" s="2411">
        <v>39.08</v>
      </c>
      <c r="T12" s="2411">
        <v>37.67</v>
      </c>
      <c r="U12" s="2411">
        <v>37.450000000000003</v>
      </c>
      <c r="V12" s="2411">
        <v>37.92</v>
      </c>
      <c r="W12" s="2411">
        <v>35.92</v>
      </c>
      <c r="X12" s="2411">
        <v>35.01</v>
      </c>
      <c r="Y12" s="2411">
        <v>34.89</v>
      </c>
      <c r="Z12" s="2411">
        <v>35.369999999999997</v>
      </c>
      <c r="AA12" s="2411">
        <v>36.479999999999997</v>
      </c>
      <c r="AB12" s="2411">
        <v>36.630000000000003</v>
      </c>
      <c r="AC12" s="2405">
        <v>36.6</v>
      </c>
      <c r="AD12" s="2403">
        <v>36.32</v>
      </c>
      <c r="AE12" s="2403">
        <v>36.69</v>
      </c>
      <c r="AF12" s="2403">
        <v>36.270000000000003</v>
      </c>
      <c r="AG12" s="2403">
        <v>36.159999999999997</v>
      </c>
      <c r="AH12" s="2403">
        <v>36.06</v>
      </c>
      <c r="AI12" s="2403">
        <v>37.68</v>
      </c>
      <c r="AJ12" s="2403">
        <v>38.229999999999997</v>
      </c>
      <c r="AK12" s="2403">
        <v>39.9</v>
      </c>
      <c r="AL12" s="2406">
        <v>39.07</v>
      </c>
      <c r="AM12" s="2403">
        <v>39.06</v>
      </c>
      <c r="AN12" s="2407">
        <v>39.67</v>
      </c>
      <c r="AO12" s="2407">
        <v>40.1</v>
      </c>
      <c r="AP12" s="2407">
        <v>40.44</v>
      </c>
      <c r="AQ12" s="2408">
        <v>41.97</v>
      </c>
      <c r="AR12" s="2407">
        <v>42.34</v>
      </c>
      <c r="AS12" s="2408">
        <v>42.2</v>
      </c>
      <c r="AT12" s="2409">
        <v>43.46</v>
      </c>
      <c r="AU12" s="2409">
        <v>43.72</v>
      </c>
      <c r="AV12" s="2407">
        <v>43.05</v>
      </c>
      <c r="AW12" s="2410">
        <v>44.19</v>
      </c>
      <c r="AX12" s="2408">
        <v>44.69</v>
      </c>
      <c r="AY12" s="2409">
        <v>43.96</v>
      </c>
      <c r="AZ12" s="2407">
        <v>43.06</v>
      </c>
      <c r="BA12" s="2408">
        <v>43.77</v>
      </c>
      <c r="BB12" s="2409">
        <v>46.09</v>
      </c>
      <c r="BC12" s="2407">
        <v>46.26</v>
      </c>
      <c r="BD12" s="2407">
        <v>46.86</v>
      </c>
      <c r="BE12" s="2408">
        <v>48.75</v>
      </c>
      <c r="BF12" s="2409">
        <v>49.24</v>
      </c>
      <c r="BG12" s="2409">
        <v>48.73</v>
      </c>
      <c r="BH12" s="2409">
        <v>48.8</v>
      </c>
      <c r="BI12" s="2409">
        <v>48.86</v>
      </c>
      <c r="BJ12" s="2409">
        <v>48.2</v>
      </c>
      <c r="BK12" s="2409">
        <v>48.52</v>
      </c>
      <c r="BL12" s="2409">
        <v>49.31</v>
      </c>
      <c r="BM12" s="2409">
        <v>47.73</v>
      </c>
      <c r="BN12" s="2407">
        <v>48.086100000000002</v>
      </c>
      <c r="BO12" s="2407">
        <v>46.983499999999999</v>
      </c>
      <c r="BP12" s="2407">
        <v>46.712400000000002</v>
      </c>
      <c r="BQ12" s="2407">
        <v>48.061999999999998</v>
      </c>
      <c r="BR12" s="2407">
        <v>46.351199999999999</v>
      </c>
      <c r="BS12" s="2407">
        <v>42.833500000000001</v>
      </c>
      <c r="BT12" s="2407">
        <v>41.456099999999999</v>
      </c>
      <c r="BU12" s="2409">
        <v>43.562100000000001</v>
      </c>
      <c r="BV12" s="2409">
        <v>43.444899999999997</v>
      </c>
      <c r="BW12" s="2409">
        <v>46.621499999999997</v>
      </c>
      <c r="BX12" s="2409">
        <v>43.881500000000003</v>
      </c>
      <c r="BY12" s="2409">
        <v>41.286200000000001</v>
      </c>
      <c r="BZ12" s="2407">
        <v>42.832299999999996</v>
      </c>
      <c r="CA12" s="2407">
        <v>40.188099999999999</v>
      </c>
      <c r="CB12" s="2407">
        <v>41.925800000000002</v>
      </c>
      <c r="CC12" s="2407">
        <v>42.5319</v>
      </c>
      <c r="CD12" s="2407">
        <v>42.685299999999998</v>
      </c>
      <c r="CE12" s="2407">
        <v>42.953899999999997</v>
      </c>
      <c r="CF12" s="2407">
        <v>44.591799999999999</v>
      </c>
      <c r="CG12" s="2407">
        <v>43.173200000000001</v>
      </c>
      <c r="CH12" s="2407">
        <v>44.6023</v>
      </c>
      <c r="CI12" s="2407">
        <v>43.169600000000003</v>
      </c>
      <c r="CJ12" s="2407">
        <v>43.700699999999998</v>
      </c>
      <c r="CK12" s="2407">
        <v>43.552500000000002</v>
      </c>
      <c r="CL12" s="2403">
        <v>43.598599999999998</v>
      </c>
      <c r="CM12" s="2403">
        <v>42.632599999999996</v>
      </c>
      <c r="CN12" s="2403">
        <v>42.175199999999997</v>
      </c>
      <c r="CO12" s="2403">
        <v>41.384399999999999</v>
      </c>
      <c r="CP12" s="2403">
        <v>43.67</v>
      </c>
      <c r="CQ12" s="2403">
        <v>39.448201547168935</v>
      </c>
      <c r="CR12" s="2403">
        <v>39.807171491282311</v>
      </c>
      <c r="CS12" s="2403">
        <v>38.940702517048976</v>
      </c>
      <c r="CT12" s="2403">
        <v>38.357676988847587</v>
      </c>
      <c r="CU12" s="2403">
        <v>39.309670401978977</v>
      </c>
      <c r="CV12" s="2403">
        <v>39.246129680337006</v>
      </c>
      <c r="CW12" s="2403">
        <v>38.149468486249788</v>
      </c>
      <c r="CX12" s="2403">
        <v>37.183644760024301</v>
      </c>
      <c r="CY12" s="2403">
        <v>35.816256987951803</v>
      </c>
      <c r="CZ12" s="2403">
        <v>34.477882160048139</v>
      </c>
      <c r="DA12" s="2403">
        <v>33.865590774155997</v>
      </c>
      <c r="DB12" s="2403">
        <v>32.66852165460282</v>
      </c>
      <c r="DC12" s="2403">
        <v>31.954230491382464</v>
      </c>
      <c r="DD12" s="2403">
        <v>30.867356745335403</v>
      </c>
      <c r="DE12" s="2403">
        <v>30.221697560238344</v>
      </c>
      <c r="DF12" s="2403">
        <v>30.178709401172526</v>
      </c>
      <c r="DG12" s="2403">
        <v>33.62739457612939</v>
      </c>
      <c r="DH12" s="2403">
        <v>35.734081954259914</v>
      </c>
      <c r="DI12" s="2403">
        <v>35.48793805414352</v>
      </c>
      <c r="DJ12" s="2403">
        <v>36.013985038337374</v>
      </c>
      <c r="DK12" s="2403">
        <v>36.115987691686847</v>
      </c>
      <c r="DL12" s="2403">
        <v>36.033456365461852</v>
      </c>
      <c r="DM12" s="2403">
        <v>35.55844419374759</v>
      </c>
      <c r="DN12" s="2403">
        <v>37.986345356006368</v>
      </c>
      <c r="DO12" s="2403">
        <v>37.886444081551858</v>
      </c>
      <c r="DP12" s="2403">
        <v>37.308728804994054</v>
      </c>
      <c r="DQ12" s="2403">
        <v>36.717520231807505</v>
      </c>
      <c r="DR12" s="2403">
        <v>37.432022630238933</v>
      </c>
      <c r="DS12" s="2403">
        <v>36.767619413407822</v>
      </c>
      <c r="DT12" s="2403">
        <v>36.517736578751105</v>
      </c>
      <c r="DU12" s="2403">
        <v>35.514635228848817</v>
      </c>
      <c r="DV12" s="2403">
        <v>36.574475718197725</v>
      </c>
    </row>
    <row r="13" spans="1:126" ht="21" customHeight="1">
      <c r="A13" s="2386" t="s">
        <v>3293</v>
      </c>
      <c r="B13" s="2387">
        <v>12.75</v>
      </c>
      <c r="C13" s="2387">
        <v>13.77</v>
      </c>
      <c r="D13" s="2387">
        <v>14.71</v>
      </c>
      <c r="E13" s="2387">
        <v>14.88</v>
      </c>
      <c r="F13" s="2404">
        <v>14.22</v>
      </c>
      <c r="G13" s="2411">
        <v>14.18</v>
      </c>
      <c r="H13" s="2411">
        <v>14.15</v>
      </c>
      <c r="I13" s="2411">
        <v>14.55</v>
      </c>
      <c r="J13" s="2411">
        <v>14.9</v>
      </c>
      <c r="K13" s="2411">
        <v>15.62</v>
      </c>
      <c r="L13" s="2411">
        <v>15.77</v>
      </c>
      <c r="M13" s="2411">
        <v>15.92</v>
      </c>
      <c r="N13" s="2411">
        <v>15.48</v>
      </c>
      <c r="O13" s="2411">
        <v>15.59</v>
      </c>
      <c r="P13" s="2411">
        <v>16.22</v>
      </c>
      <c r="Q13" s="2411">
        <v>17.29</v>
      </c>
      <c r="R13" s="2411">
        <v>17.46</v>
      </c>
      <c r="S13" s="2411">
        <v>16.96</v>
      </c>
      <c r="T13" s="2411">
        <v>17.38</v>
      </c>
      <c r="U13" s="2411">
        <v>17.75</v>
      </c>
      <c r="V13" s="2411">
        <v>18.29</v>
      </c>
      <c r="W13" s="2411">
        <v>17.739999999999998</v>
      </c>
      <c r="X13" s="2411">
        <v>17.7</v>
      </c>
      <c r="Y13" s="2411">
        <v>18.079999999999998</v>
      </c>
      <c r="Z13" s="2411">
        <v>17.95</v>
      </c>
      <c r="AA13" s="2411">
        <v>17.57</v>
      </c>
      <c r="AB13" s="2411">
        <v>18.11</v>
      </c>
      <c r="AC13" s="2405">
        <v>18.02</v>
      </c>
      <c r="AD13" s="2403">
        <v>18.239999999999998</v>
      </c>
      <c r="AE13" s="2403">
        <v>18.899999999999999</v>
      </c>
      <c r="AF13" s="2403">
        <v>19.440000000000001</v>
      </c>
      <c r="AG13" s="2403">
        <v>19.8</v>
      </c>
      <c r="AH13" s="2403">
        <v>20.64</v>
      </c>
      <c r="AI13" s="2403">
        <v>20.65</v>
      </c>
      <c r="AJ13" s="2403">
        <v>20.65</v>
      </c>
      <c r="AK13" s="2403">
        <v>20.91</v>
      </c>
      <c r="AL13" s="2406">
        <v>21.53</v>
      </c>
      <c r="AM13" s="2403">
        <v>21.03</v>
      </c>
      <c r="AN13" s="2407">
        <v>20.93</v>
      </c>
      <c r="AO13" s="2407">
        <v>20.56</v>
      </c>
      <c r="AP13" s="2407">
        <v>20.84</v>
      </c>
      <c r="AQ13" s="2408">
        <v>21.28</v>
      </c>
      <c r="AR13" s="2407">
        <v>21.66</v>
      </c>
      <c r="AS13" s="2408">
        <v>21.78</v>
      </c>
      <c r="AT13" s="2409">
        <v>21.26</v>
      </c>
      <c r="AU13" s="2409">
        <v>21.21</v>
      </c>
      <c r="AV13" s="2407">
        <v>20.61</v>
      </c>
      <c r="AW13" s="2410">
        <v>19.170000000000002</v>
      </c>
      <c r="AX13" s="2408">
        <v>19.87</v>
      </c>
      <c r="AY13" s="2409">
        <v>20.12</v>
      </c>
      <c r="AZ13" s="2407">
        <v>19.09</v>
      </c>
      <c r="BA13" s="2408">
        <v>19.739999999999998</v>
      </c>
      <c r="BB13" s="2409">
        <v>21.42</v>
      </c>
      <c r="BC13" s="2407">
        <v>21.56</v>
      </c>
      <c r="BD13" s="2407">
        <v>22.13</v>
      </c>
      <c r="BE13" s="2408">
        <v>22.78</v>
      </c>
      <c r="BF13" s="2409">
        <v>23.78</v>
      </c>
      <c r="BG13" s="2409">
        <v>23.25</v>
      </c>
      <c r="BH13" s="2409">
        <v>23.43</v>
      </c>
      <c r="BI13" s="2409">
        <v>23.61</v>
      </c>
      <c r="BJ13" s="2409">
        <v>23.96</v>
      </c>
      <c r="BK13" s="2409">
        <v>23.37</v>
      </c>
      <c r="BL13" s="2409">
        <v>24.71</v>
      </c>
      <c r="BM13" s="2409">
        <v>24.59</v>
      </c>
      <c r="BN13" s="2407">
        <v>22.378499999999999</v>
      </c>
      <c r="BO13" s="2407">
        <v>23.5595</v>
      </c>
      <c r="BP13" s="2407">
        <v>23.744900000000001</v>
      </c>
      <c r="BQ13" s="2407">
        <v>23.664000000000001</v>
      </c>
      <c r="BR13" s="2407">
        <v>22.620100000000001</v>
      </c>
      <c r="BS13" s="2407">
        <v>22.884499999999999</v>
      </c>
      <c r="BT13" s="2407">
        <v>22.8843</v>
      </c>
      <c r="BU13" s="2409">
        <v>21.301300000000001</v>
      </c>
      <c r="BV13" s="2409">
        <v>20.659300000000002</v>
      </c>
      <c r="BW13" s="2409">
        <v>22.065799999999999</v>
      </c>
      <c r="BX13" s="2409">
        <v>21.183299999999999</v>
      </c>
      <c r="BY13" s="2409">
        <v>19.969200000000001</v>
      </c>
      <c r="BZ13" s="2407">
        <v>20.2379</v>
      </c>
      <c r="CA13" s="2407">
        <v>19.410599999999999</v>
      </c>
      <c r="CB13" s="2407">
        <v>19.113299999999999</v>
      </c>
      <c r="CC13" s="2407">
        <v>17.889099999999999</v>
      </c>
      <c r="CD13" s="2407">
        <v>18.799499999999998</v>
      </c>
      <c r="CE13" s="2407">
        <v>17.034300000000002</v>
      </c>
      <c r="CF13" s="2407">
        <v>17.554300000000001</v>
      </c>
      <c r="CG13" s="2407">
        <v>19.397200000000002</v>
      </c>
      <c r="CH13" s="2407">
        <v>19.4407</v>
      </c>
      <c r="CI13" s="2407">
        <v>20.904</v>
      </c>
      <c r="CJ13" s="2407">
        <v>21.625800000000002</v>
      </c>
      <c r="CK13" s="2407">
        <v>21.570499999999999</v>
      </c>
      <c r="CL13" s="2403">
        <v>22.291499999999999</v>
      </c>
      <c r="CM13" s="2403">
        <v>22.784600000000001</v>
      </c>
      <c r="CN13" s="2403">
        <v>22.831800000000001</v>
      </c>
      <c r="CO13" s="2403">
        <v>22.0383</v>
      </c>
      <c r="CP13" s="2403">
        <v>23.433</v>
      </c>
      <c r="CQ13" s="2403">
        <v>22.51049273070306</v>
      </c>
      <c r="CR13" s="2403">
        <v>22.336767871231114</v>
      </c>
      <c r="CS13" s="2403">
        <v>22.793092906244446</v>
      </c>
      <c r="CT13" s="2403">
        <v>23.060329477308553</v>
      </c>
      <c r="CU13" s="2403">
        <v>23.337104069673778</v>
      </c>
      <c r="CV13" s="2403">
        <v>24.118294648096278</v>
      </c>
      <c r="CW13" s="2403">
        <v>23.589894136371111</v>
      </c>
      <c r="CX13" s="2403">
        <v>22.795094819590112</v>
      </c>
      <c r="CY13" s="2403">
        <v>22.416091104349775</v>
      </c>
      <c r="CZ13" s="2403">
        <v>22.725342012365555</v>
      </c>
      <c r="DA13" s="2403">
        <v>23.661131014326443</v>
      </c>
      <c r="DB13" s="2403">
        <v>24.056207648872835</v>
      </c>
      <c r="DC13" s="2403">
        <v>24.924314847970226</v>
      </c>
      <c r="DD13" s="2403">
        <v>24.388963015491996</v>
      </c>
      <c r="DE13" s="2403">
        <v>22.70873714052378</v>
      </c>
      <c r="DF13" s="2403">
        <v>23.871387011537891</v>
      </c>
      <c r="DG13" s="2403">
        <v>22.792030638855557</v>
      </c>
      <c r="DH13" s="2403">
        <v>23.24533933484139</v>
      </c>
      <c r="DI13" s="2403">
        <v>24.529134306086224</v>
      </c>
      <c r="DJ13" s="2403">
        <v>24.848610985568889</v>
      </c>
      <c r="DK13" s="2403">
        <v>24.240495011753776</v>
      </c>
      <c r="DL13" s="2403">
        <v>24.386561242900221</v>
      </c>
      <c r="DM13" s="2403">
        <v>22.994650279172497</v>
      </c>
      <c r="DN13" s="2403">
        <v>25.090290364783996</v>
      </c>
      <c r="DO13" s="2403">
        <v>25.666515317183556</v>
      </c>
      <c r="DP13" s="2403">
        <v>24.988856378657555</v>
      </c>
      <c r="DQ13" s="2403">
        <v>25.917974672244668</v>
      </c>
      <c r="DR13" s="2403">
        <v>25.930719278911337</v>
      </c>
      <c r="DS13" s="2403">
        <v>25.869438811000002</v>
      </c>
      <c r="DT13" s="2403">
        <v>25.712930900833335</v>
      </c>
      <c r="DU13" s="2403">
        <v>25.786687684722221</v>
      </c>
      <c r="DV13" s="2403">
        <v>25.993485631277778</v>
      </c>
    </row>
    <row r="14" spans="1:126" ht="21" customHeight="1">
      <c r="A14" s="2386" t="s">
        <v>3294</v>
      </c>
      <c r="B14" s="2387">
        <v>16.850000000000001</v>
      </c>
      <c r="C14" s="2387">
        <v>17.010000000000002</v>
      </c>
      <c r="D14" s="2387">
        <v>17.2</v>
      </c>
      <c r="E14" s="2404">
        <v>17.27</v>
      </c>
      <c r="F14" s="2411">
        <v>17.170000000000002</v>
      </c>
      <c r="G14" s="2411">
        <v>17.29</v>
      </c>
      <c r="H14" s="2411">
        <v>16.989999999999998</v>
      </c>
      <c r="I14" s="2411">
        <v>17.09</v>
      </c>
      <c r="J14" s="2411">
        <v>17.05</v>
      </c>
      <c r="K14" s="2411">
        <v>17.14</v>
      </c>
      <c r="L14" s="2411">
        <v>16.64</v>
      </c>
      <c r="M14" s="2411">
        <v>16.309999999999999</v>
      </c>
      <c r="N14" s="2411">
        <v>15.88</v>
      </c>
      <c r="O14" s="2411">
        <v>15.78</v>
      </c>
      <c r="P14" s="2411">
        <v>16.29</v>
      </c>
      <c r="Q14" s="2411">
        <v>16.98</v>
      </c>
      <c r="R14" s="2411">
        <v>17.11</v>
      </c>
      <c r="S14" s="2411">
        <v>16.95</v>
      </c>
      <c r="T14" s="2411">
        <v>16.96</v>
      </c>
      <c r="U14" s="2411">
        <v>16.8</v>
      </c>
      <c r="V14" s="2411">
        <v>16.64</v>
      </c>
      <c r="W14" s="2411">
        <v>16.010000000000002</v>
      </c>
      <c r="X14" s="2411">
        <v>15.57</v>
      </c>
      <c r="Y14" s="2411">
        <v>15.47</v>
      </c>
      <c r="Z14" s="2411">
        <v>16.2</v>
      </c>
      <c r="AA14" s="2411">
        <v>16.579999999999998</v>
      </c>
      <c r="AB14" s="2411">
        <v>16.940000000000001</v>
      </c>
      <c r="AC14" s="2405">
        <v>16.760000000000002</v>
      </c>
      <c r="AD14" s="2403">
        <v>16.75</v>
      </c>
      <c r="AE14" s="2403">
        <v>16.95</v>
      </c>
      <c r="AF14" s="2403">
        <v>17.22</v>
      </c>
      <c r="AG14" s="2403">
        <v>17.48</v>
      </c>
      <c r="AH14" s="2403">
        <v>17.66</v>
      </c>
      <c r="AI14" s="2403">
        <v>17.62</v>
      </c>
      <c r="AJ14" s="2403">
        <v>17.760000000000002</v>
      </c>
      <c r="AK14" s="2403">
        <v>17.940000000000001</v>
      </c>
      <c r="AL14" s="2406">
        <v>18</v>
      </c>
      <c r="AM14" s="2403">
        <v>17.89</v>
      </c>
      <c r="AN14" s="2407">
        <v>17.77</v>
      </c>
      <c r="AO14" s="2407">
        <v>18.16</v>
      </c>
      <c r="AP14" s="2407">
        <v>17.98</v>
      </c>
      <c r="AQ14" s="2408">
        <v>18.22</v>
      </c>
      <c r="AR14" s="2407">
        <v>18.25</v>
      </c>
      <c r="AS14" s="2408">
        <v>18.37</v>
      </c>
      <c r="AT14" s="2409">
        <v>18.72</v>
      </c>
      <c r="AU14" s="2409">
        <v>19.16</v>
      </c>
      <c r="AV14" s="2407">
        <v>19.239999999999998</v>
      </c>
      <c r="AW14" s="2410">
        <v>19.36</v>
      </c>
      <c r="AX14" s="2408">
        <v>19.82</v>
      </c>
      <c r="AY14" s="2409">
        <v>19.899999999999999</v>
      </c>
      <c r="AZ14" s="2407">
        <v>19.75</v>
      </c>
      <c r="BA14" s="2408">
        <v>20.18</v>
      </c>
      <c r="BB14" s="2409">
        <v>20.92</v>
      </c>
      <c r="BC14" s="2407">
        <v>20.84</v>
      </c>
      <c r="BD14" s="2407">
        <v>21.32</v>
      </c>
      <c r="BE14" s="2408">
        <v>21.82</v>
      </c>
      <c r="BF14" s="2409">
        <v>22.09</v>
      </c>
      <c r="BG14" s="2409">
        <v>22.16</v>
      </c>
      <c r="BH14" s="2409">
        <v>22.06</v>
      </c>
      <c r="BI14" s="2409">
        <v>22.04</v>
      </c>
      <c r="BJ14" s="2409">
        <v>21.58</v>
      </c>
      <c r="BK14" s="2409">
        <v>21.06</v>
      </c>
      <c r="BL14" s="2409">
        <v>21.09</v>
      </c>
      <c r="BM14" s="2409">
        <v>21.22</v>
      </c>
      <c r="BN14" s="2407">
        <v>20.9954</v>
      </c>
      <c r="BO14" s="2407">
        <v>21.017099999999999</v>
      </c>
      <c r="BP14" s="2407">
        <v>21.5122</v>
      </c>
      <c r="BQ14" s="2407">
        <v>21.28</v>
      </c>
      <c r="BR14" s="2407">
        <v>20.305299999999999</v>
      </c>
      <c r="BS14" s="2407">
        <v>20.776700000000002</v>
      </c>
      <c r="BT14" s="2407">
        <v>20.2807</v>
      </c>
      <c r="BU14" s="2409">
        <v>19.541499999999999</v>
      </c>
      <c r="BV14" s="2409">
        <v>19.653500000000001</v>
      </c>
      <c r="BW14" s="2409">
        <v>20.8475</v>
      </c>
      <c r="BX14" s="2409">
        <v>20.518699999999999</v>
      </c>
      <c r="BY14" s="2409">
        <v>20.022099999999998</v>
      </c>
      <c r="BZ14" s="2407">
        <v>20.439599999999999</v>
      </c>
      <c r="CA14" s="2407">
        <v>20.322500000000002</v>
      </c>
      <c r="CB14" s="2407">
        <v>22.139800000000001</v>
      </c>
      <c r="CC14" s="2407">
        <v>21.678899999999999</v>
      </c>
      <c r="CD14" s="2407">
        <v>22.704000000000001</v>
      </c>
      <c r="CE14" s="2407">
        <v>22.2697</v>
      </c>
      <c r="CF14" s="2407">
        <v>22.7026</v>
      </c>
      <c r="CG14" s="2407">
        <v>22.583300000000001</v>
      </c>
      <c r="CH14" s="2407">
        <v>23.343699999999998</v>
      </c>
      <c r="CI14" s="2407">
        <v>23.0563</v>
      </c>
      <c r="CJ14" s="2407">
        <v>22.9482</v>
      </c>
      <c r="CK14" s="2407">
        <v>22.869599999999998</v>
      </c>
      <c r="CL14" s="2403">
        <v>22.714200000000002</v>
      </c>
      <c r="CM14" s="2403">
        <v>22.4344</v>
      </c>
      <c r="CN14" s="2403">
        <v>22.424900000000001</v>
      </c>
      <c r="CO14" s="2403">
        <v>22.178899999999999</v>
      </c>
      <c r="CP14" s="2403">
        <v>24.553999999999998</v>
      </c>
      <c r="CQ14" s="2403">
        <v>22.979750736309903</v>
      </c>
      <c r="CR14" s="2403">
        <v>23.495568976502462</v>
      </c>
      <c r="CS14" s="2403">
        <v>23.604589318060253</v>
      </c>
      <c r="CT14" s="2403">
        <v>23.620461858123285</v>
      </c>
      <c r="CU14" s="2403">
        <v>23.824710124065025</v>
      </c>
      <c r="CV14" s="2403">
        <v>24.344978340879724</v>
      </c>
      <c r="CW14" s="2403">
        <v>23.827363422350967</v>
      </c>
      <c r="CX14" s="2403">
        <v>23.861557086273912</v>
      </c>
      <c r="CY14" s="2403">
        <v>23.450030409655408</v>
      </c>
      <c r="CZ14" s="2403">
        <v>23.184874091554882</v>
      </c>
      <c r="DA14" s="2403">
        <v>23.349825866339689</v>
      </c>
      <c r="DB14" s="2403">
        <v>23.635256762272142</v>
      </c>
      <c r="DC14" s="2403">
        <v>23.940245247973078</v>
      </c>
      <c r="DD14" s="2403">
        <v>23.82665098114591</v>
      </c>
      <c r="DE14" s="2403">
        <v>22.950400022204978</v>
      </c>
      <c r="DF14" s="2403">
        <v>23.632280686171832</v>
      </c>
      <c r="DG14" s="2403">
        <v>23.13748750823979</v>
      </c>
      <c r="DH14" s="2403">
        <v>23.213978027797367</v>
      </c>
      <c r="DI14" s="2403">
        <v>23.817876536408367</v>
      </c>
      <c r="DJ14" s="2403">
        <v>23.753362621030423</v>
      </c>
      <c r="DK14" s="2403">
        <v>23.642961968781471</v>
      </c>
      <c r="DL14" s="2403">
        <v>24.061781927536874</v>
      </c>
      <c r="DM14" s="2403">
        <v>23.806851042410237</v>
      </c>
      <c r="DN14" s="2403">
        <v>24.851950656125886</v>
      </c>
      <c r="DO14" s="2403">
        <v>25.472975659131631</v>
      </c>
      <c r="DP14" s="2403">
        <v>24.990812427548175</v>
      </c>
      <c r="DQ14" s="2403">
        <v>25.397186926426055</v>
      </c>
      <c r="DR14" s="2403">
        <v>25.915181864363976</v>
      </c>
      <c r="DS14" s="2403">
        <v>25.816646508587684</v>
      </c>
      <c r="DT14" s="2403">
        <v>25.538142405657677</v>
      </c>
      <c r="DU14" s="2403">
        <v>24.982501117539673</v>
      </c>
      <c r="DV14" s="2403">
        <v>25.290554705950132</v>
      </c>
    </row>
    <row r="15" spans="1:126" ht="21" customHeight="1">
      <c r="A15" s="2386" t="s">
        <v>3295</v>
      </c>
      <c r="B15" s="2387">
        <v>2.71</v>
      </c>
      <c r="C15" s="2387">
        <v>2.92</v>
      </c>
      <c r="D15" s="2387">
        <v>3.18</v>
      </c>
      <c r="E15" s="2404">
        <v>2.95</v>
      </c>
      <c r="F15" s="2411">
        <v>3</v>
      </c>
      <c r="G15" s="2411">
        <v>2.85</v>
      </c>
      <c r="H15" s="2411">
        <v>2.87</v>
      </c>
      <c r="I15" s="2411">
        <v>3</v>
      </c>
      <c r="J15" s="2411">
        <v>3.25</v>
      </c>
      <c r="K15" s="2411">
        <v>3.46</v>
      </c>
      <c r="L15" s="2411">
        <v>3.38</v>
      </c>
      <c r="M15" s="2411">
        <v>3.55</v>
      </c>
      <c r="N15" s="2411">
        <v>3.52</v>
      </c>
      <c r="O15" s="2411">
        <v>3.96</v>
      </c>
      <c r="P15" s="2411">
        <v>3.57</v>
      </c>
      <c r="Q15" s="2411">
        <v>4</v>
      </c>
      <c r="R15" s="2411">
        <v>4.0999999999999996</v>
      </c>
      <c r="S15" s="2411">
        <v>4.0599999999999996</v>
      </c>
      <c r="T15" s="2411">
        <v>4.13</v>
      </c>
      <c r="U15" s="2411">
        <v>4.2300000000000004</v>
      </c>
      <c r="V15" s="2411">
        <v>4.5</v>
      </c>
      <c r="W15" s="2411">
        <v>4.12</v>
      </c>
      <c r="X15" s="2411">
        <v>3.79</v>
      </c>
      <c r="Y15" s="2411">
        <v>3.99</v>
      </c>
      <c r="Z15" s="2411">
        <v>4.33</v>
      </c>
      <c r="AA15" s="2411">
        <v>4.13</v>
      </c>
      <c r="AB15" s="2411">
        <v>4.47</v>
      </c>
      <c r="AC15" s="2405">
        <v>4.63</v>
      </c>
      <c r="AD15" s="2403">
        <v>4.66</v>
      </c>
      <c r="AE15" s="2403">
        <v>4.37</v>
      </c>
      <c r="AF15" s="2403">
        <v>4.5599999999999996</v>
      </c>
      <c r="AG15" s="2403">
        <v>4.8099999999999996</v>
      </c>
      <c r="AH15" s="2403">
        <v>5.04</v>
      </c>
      <c r="AI15" s="2403">
        <v>5.15</v>
      </c>
      <c r="AJ15" s="2403">
        <v>4.95</v>
      </c>
      <c r="AK15" s="2403">
        <v>4.75</v>
      </c>
      <c r="AL15" s="2406">
        <v>4.87</v>
      </c>
      <c r="AM15" s="2403">
        <v>4.49</v>
      </c>
      <c r="AN15" s="2407">
        <v>4.5199999999999996</v>
      </c>
      <c r="AO15" s="2407">
        <v>4.59</v>
      </c>
      <c r="AP15" s="2407">
        <v>4.67</v>
      </c>
      <c r="AQ15" s="2408">
        <v>4.88</v>
      </c>
      <c r="AR15" s="2407">
        <v>4.6500000000000004</v>
      </c>
      <c r="AS15" s="2408">
        <v>4.83</v>
      </c>
      <c r="AT15" s="2409">
        <v>4.9800000000000004</v>
      </c>
      <c r="AU15" s="2409">
        <v>5.15</v>
      </c>
      <c r="AV15" s="2407">
        <v>5.12</v>
      </c>
      <c r="AW15" s="2410">
        <v>5.13</v>
      </c>
      <c r="AX15" s="2408">
        <v>5.14</v>
      </c>
      <c r="AY15" s="2409">
        <v>4.74</v>
      </c>
      <c r="AZ15" s="2407">
        <v>4.4800000000000004</v>
      </c>
      <c r="BA15" s="2408">
        <v>4.7</v>
      </c>
      <c r="BB15" s="2409">
        <v>4.72</v>
      </c>
      <c r="BC15" s="2407">
        <v>4.41</v>
      </c>
      <c r="BD15" s="2407">
        <v>4.54</v>
      </c>
      <c r="BE15" s="2408">
        <v>4.83</v>
      </c>
      <c r="BF15" s="2409">
        <v>4.97</v>
      </c>
      <c r="BG15" s="2409">
        <v>4.7699999999999996</v>
      </c>
      <c r="BH15" s="2409">
        <v>4.75</v>
      </c>
      <c r="BI15" s="2409">
        <v>4.6399999999999997</v>
      </c>
      <c r="BJ15" s="2409">
        <v>4.6399999999999997</v>
      </c>
      <c r="BK15" s="2409">
        <v>4.5599999999999996</v>
      </c>
      <c r="BL15" s="2409">
        <v>4.6100000000000003</v>
      </c>
      <c r="BM15" s="2409">
        <v>4.5599999999999996</v>
      </c>
      <c r="BN15" s="2407">
        <v>4.5206999999999997</v>
      </c>
      <c r="BO15" s="2407">
        <v>4.5956000000000001</v>
      </c>
      <c r="BP15" s="2407">
        <v>4.8032000000000004</v>
      </c>
      <c r="BQ15" s="2407">
        <v>4.5529999999999999</v>
      </c>
      <c r="BR15" s="2407">
        <v>4.3357000000000001</v>
      </c>
      <c r="BS15" s="2407">
        <v>4.0781999999999998</v>
      </c>
      <c r="BT15" s="2407">
        <v>3.7519</v>
      </c>
      <c r="BU15" s="2409">
        <v>3.3517999999999999</v>
      </c>
      <c r="BV15" s="2409">
        <v>3.5573999999999999</v>
      </c>
      <c r="BW15" s="2409">
        <v>3.7837999999999998</v>
      </c>
      <c r="BX15" s="2409">
        <v>3.5583</v>
      </c>
      <c r="BY15" s="2409">
        <v>3.7401</v>
      </c>
      <c r="BZ15" s="2407">
        <v>3.7854000000000001</v>
      </c>
      <c r="CA15" s="2407">
        <v>3.5169000000000001</v>
      </c>
      <c r="CB15" s="2407">
        <v>3.3273000000000001</v>
      </c>
      <c r="CC15" s="2407">
        <v>3.3462999999999998</v>
      </c>
      <c r="CD15" s="2407">
        <v>3.5257999999999998</v>
      </c>
      <c r="CE15" s="2407">
        <v>3.3893</v>
      </c>
      <c r="CF15" s="2407">
        <v>3.5701000000000001</v>
      </c>
      <c r="CG15" s="2407">
        <v>3.6092</v>
      </c>
      <c r="CH15" s="2407">
        <v>4.0724</v>
      </c>
      <c r="CI15" s="2407">
        <v>4.1806000000000001</v>
      </c>
      <c r="CJ15" s="2407">
        <v>4.2778</v>
      </c>
      <c r="CK15" s="2407">
        <v>4.2488999999999999</v>
      </c>
      <c r="CL15" s="2403">
        <v>4.2328000000000001</v>
      </c>
      <c r="CM15" s="2403">
        <v>4.3078000000000003</v>
      </c>
      <c r="CN15" s="2403">
        <v>4.08</v>
      </c>
      <c r="CO15" s="2403">
        <v>4.1981000000000002</v>
      </c>
      <c r="CP15" s="2403">
        <v>4.5529999999999999</v>
      </c>
      <c r="CQ15" s="2403">
        <v>4.2662881482292896</v>
      </c>
      <c r="CR15" s="2403">
        <v>4.3535725233239067</v>
      </c>
      <c r="CS15" s="2403">
        <v>4.4865622356295907</v>
      </c>
      <c r="CT15" s="2403">
        <v>4.3900698063661805</v>
      </c>
      <c r="CU15" s="2403">
        <v>4.4187592485586178</v>
      </c>
      <c r="CV15" s="2403">
        <v>4.7503250125142289</v>
      </c>
      <c r="CW15" s="2403">
        <v>4.2975873036653569</v>
      </c>
      <c r="CX15" s="2403">
        <v>4.3563444364321553</v>
      </c>
      <c r="CY15" s="2403">
        <v>4.3519041504246037</v>
      </c>
      <c r="CZ15" s="2403">
        <v>4.3385934646244273</v>
      </c>
      <c r="DA15" s="2403">
        <v>4.1803338495633389</v>
      </c>
      <c r="DB15" s="2403">
        <v>4.3043798954782542</v>
      </c>
      <c r="DC15" s="2403">
        <v>4.3045015357541692</v>
      </c>
      <c r="DD15" s="2403">
        <v>4.0919531515976555</v>
      </c>
      <c r="DE15" s="2403">
        <v>3.7402603868307662</v>
      </c>
      <c r="DF15" s="2403">
        <v>3.8001448787588425</v>
      </c>
      <c r="DG15" s="2403">
        <v>3.620326359587414</v>
      </c>
      <c r="DH15" s="2403">
        <v>3.7169001136883479</v>
      </c>
      <c r="DI15" s="2403">
        <v>3.8416332838487675</v>
      </c>
      <c r="DJ15" s="2403">
        <v>3.9856940794946629</v>
      </c>
      <c r="DK15" s="2403">
        <v>3.8804111840386954</v>
      </c>
      <c r="DL15" s="2403">
        <v>3.8606235174531576</v>
      </c>
      <c r="DM15" s="2403">
        <v>3.6140125567878885</v>
      </c>
      <c r="DN15" s="2403">
        <v>3.8222119233774383</v>
      </c>
      <c r="DO15" s="2403">
        <v>3.8982737788837141</v>
      </c>
      <c r="DP15" s="2403">
        <v>3.7075567501245077</v>
      </c>
      <c r="DQ15" s="2403">
        <v>3.8035214549025018</v>
      </c>
      <c r="DR15" s="2403">
        <v>3.6821802638359498</v>
      </c>
      <c r="DS15" s="2403">
        <v>3.6104313236909489</v>
      </c>
      <c r="DT15" s="2403">
        <v>3.7007841237688299</v>
      </c>
      <c r="DU15" s="2403">
        <v>3.4514575122022371</v>
      </c>
      <c r="DV15" s="2403">
        <v>3.5684358295906375</v>
      </c>
    </row>
    <row r="16" spans="1:126" ht="21" customHeight="1">
      <c r="A16" s="2386" t="s">
        <v>3296</v>
      </c>
      <c r="B16" s="2387">
        <v>17.87</v>
      </c>
      <c r="C16" s="2387">
        <v>18.78</v>
      </c>
      <c r="D16" s="2404">
        <v>19.48</v>
      </c>
      <c r="E16" s="2411">
        <v>20.260000000000002</v>
      </c>
      <c r="F16" s="2411">
        <v>20.239999999999998</v>
      </c>
      <c r="G16" s="2411">
        <v>20.03</v>
      </c>
      <c r="H16" s="2411">
        <v>20.07</v>
      </c>
      <c r="I16" s="2411">
        <v>20.16</v>
      </c>
      <c r="J16" s="2411">
        <v>20.02</v>
      </c>
      <c r="K16" s="2411">
        <v>21.23</v>
      </c>
      <c r="L16" s="2411">
        <v>21.08</v>
      </c>
      <c r="M16" s="2411">
        <v>20.61</v>
      </c>
      <c r="N16" s="2411">
        <v>20.32</v>
      </c>
      <c r="O16" s="2411">
        <v>20.34</v>
      </c>
      <c r="P16" s="2411">
        <v>21.62</v>
      </c>
      <c r="Q16" s="2411">
        <v>21.81</v>
      </c>
      <c r="R16" s="2411">
        <v>21.77</v>
      </c>
      <c r="S16" s="2411">
        <v>20.79</v>
      </c>
      <c r="T16" s="2411">
        <v>21.87</v>
      </c>
      <c r="U16" s="2411">
        <v>21.61</v>
      </c>
      <c r="V16" s="2411">
        <v>21.84</v>
      </c>
      <c r="W16" s="2411">
        <v>21.6</v>
      </c>
      <c r="X16" s="2411">
        <v>20.73</v>
      </c>
      <c r="Y16" s="2411">
        <v>20.5</v>
      </c>
      <c r="Z16" s="2411">
        <v>21.07</v>
      </c>
      <c r="AA16" s="2411">
        <v>21.66</v>
      </c>
      <c r="AB16" s="2411">
        <v>22.72</v>
      </c>
      <c r="AC16" s="2405">
        <v>22.5</v>
      </c>
      <c r="AD16" s="2403">
        <v>22.32</v>
      </c>
      <c r="AE16" s="2403">
        <v>22.56</v>
      </c>
      <c r="AF16" s="2403">
        <v>22.87</v>
      </c>
      <c r="AG16" s="2403">
        <v>23.97</v>
      </c>
      <c r="AH16" s="2403">
        <v>25.13</v>
      </c>
      <c r="AI16" s="2403">
        <v>25.15</v>
      </c>
      <c r="AJ16" s="2403">
        <v>24.23</v>
      </c>
      <c r="AK16" s="2403">
        <v>24.43</v>
      </c>
      <c r="AL16" s="2406">
        <v>24.63</v>
      </c>
      <c r="AM16" s="2403">
        <v>23.67</v>
      </c>
      <c r="AN16" s="2407">
        <v>23.14</v>
      </c>
      <c r="AO16" s="2407">
        <v>23.22</v>
      </c>
      <c r="AP16" s="2407">
        <v>23.64</v>
      </c>
      <c r="AQ16" s="2408">
        <v>23.58</v>
      </c>
      <c r="AR16" s="2407">
        <v>23.85</v>
      </c>
      <c r="AS16" s="2408">
        <v>23.42</v>
      </c>
      <c r="AT16" s="2409">
        <v>23.52</v>
      </c>
      <c r="AU16" s="2409">
        <v>24.02</v>
      </c>
      <c r="AV16" s="2407">
        <v>23.42</v>
      </c>
      <c r="AW16" s="2410">
        <v>23.9</v>
      </c>
      <c r="AX16" s="2408">
        <v>24.65</v>
      </c>
      <c r="AY16" s="2409">
        <v>25.64</v>
      </c>
      <c r="AZ16" s="2407">
        <v>25.23</v>
      </c>
      <c r="BA16" s="2408">
        <v>25.63</v>
      </c>
      <c r="BB16" s="2409">
        <v>26.68</v>
      </c>
      <c r="BC16" s="2407">
        <v>26.42</v>
      </c>
      <c r="BD16" s="2407">
        <v>26.56</v>
      </c>
      <c r="BE16" s="2408">
        <v>27.71</v>
      </c>
      <c r="BF16" s="2409">
        <v>27.56</v>
      </c>
      <c r="BG16" s="2409">
        <v>26.95</v>
      </c>
      <c r="BH16" s="2409">
        <v>27.48</v>
      </c>
      <c r="BI16" s="2409">
        <v>27.2</v>
      </c>
      <c r="BJ16" s="2409">
        <v>26.9</v>
      </c>
      <c r="BK16" s="2409">
        <v>26.01</v>
      </c>
      <c r="BL16" s="2409">
        <v>26.04</v>
      </c>
      <c r="BM16" s="2409">
        <v>26.46</v>
      </c>
      <c r="BN16" s="2407">
        <v>26.400200000000002</v>
      </c>
      <c r="BO16" s="2407">
        <v>26.584900000000001</v>
      </c>
      <c r="BP16" s="2407">
        <v>26.7209</v>
      </c>
      <c r="BQ16" s="2407">
        <v>27.303999999999998</v>
      </c>
      <c r="BR16" s="2407">
        <v>25.878499999999999</v>
      </c>
      <c r="BS16" s="2407">
        <v>27.0215</v>
      </c>
      <c r="BT16" s="2407">
        <v>26.695599999999999</v>
      </c>
      <c r="BU16" s="2409">
        <v>26.8569</v>
      </c>
      <c r="BV16" s="2409">
        <v>25.628499999999999</v>
      </c>
      <c r="BW16" s="2409">
        <v>26.9651</v>
      </c>
      <c r="BX16" s="2409">
        <v>27.309100000000001</v>
      </c>
      <c r="BY16" s="2409">
        <v>26.000499999999999</v>
      </c>
      <c r="BZ16" s="2407">
        <v>26.302299999999999</v>
      </c>
      <c r="CA16" s="2407">
        <v>26.456700000000001</v>
      </c>
      <c r="CB16" s="2407">
        <v>28.609500000000001</v>
      </c>
      <c r="CC16" s="2407">
        <v>27.107099999999999</v>
      </c>
      <c r="CD16" s="2407">
        <v>30.787600000000001</v>
      </c>
      <c r="CE16" s="2407">
        <v>29.009</v>
      </c>
      <c r="CF16" s="2407">
        <v>29.9011</v>
      </c>
      <c r="CG16" s="2407">
        <v>29.859300000000001</v>
      </c>
      <c r="CH16" s="2407">
        <v>30.399699999999999</v>
      </c>
      <c r="CI16" s="2407">
        <v>30.834900000000001</v>
      </c>
      <c r="CJ16" s="2407">
        <v>30.603999999999999</v>
      </c>
      <c r="CK16" s="2407">
        <v>30.225899999999999</v>
      </c>
      <c r="CL16" s="2403">
        <v>30.743400000000001</v>
      </c>
      <c r="CM16" s="2403">
        <v>30.523499999999999</v>
      </c>
      <c r="CN16" s="2403">
        <v>29.996300000000002</v>
      </c>
      <c r="CO16" s="2403">
        <v>30.463799999999999</v>
      </c>
      <c r="CP16" s="2403">
        <v>29.658999999999999</v>
      </c>
      <c r="CQ16" s="2403">
        <v>29.932387020470024</v>
      </c>
      <c r="CR16" s="2403">
        <v>31.006065967336447</v>
      </c>
      <c r="CS16" s="2403">
        <v>31.667320192111127</v>
      </c>
      <c r="CT16" s="2403">
        <v>31.002429732801833</v>
      </c>
      <c r="CU16" s="2403">
        <v>31.312560317647158</v>
      </c>
      <c r="CV16" s="2403">
        <v>33.26648573910277</v>
      </c>
      <c r="CW16" s="2403">
        <v>32.417885079418781</v>
      </c>
      <c r="CX16" s="2403">
        <v>32.648237071259658</v>
      </c>
      <c r="CY16" s="2403">
        <v>32.119593530142126</v>
      </c>
      <c r="CZ16" s="2403">
        <v>32.453339202412096</v>
      </c>
      <c r="DA16" s="2403">
        <v>33.7003869210346</v>
      </c>
      <c r="DB16" s="2403">
        <v>34.802824043659051</v>
      </c>
      <c r="DC16" s="2403">
        <v>35.848340580052046</v>
      </c>
      <c r="DD16" s="2403">
        <v>34.942476068757806</v>
      </c>
      <c r="DE16" s="2403">
        <v>32.858827248066497</v>
      </c>
      <c r="DF16" s="2403">
        <v>33.739890855462278</v>
      </c>
      <c r="DG16" s="2403">
        <v>32.419063314337926</v>
      </c>
      <c r="DH16" s="2403">
        <v>31.944445927649429</v>
      </c>
      <c r="DI16" s="2403">
        <v>32.549865851118632</v>
      </c>
      <c r="DJ16" s="2403">
        <v>32.988249011225641</v>
      </c>
      <c r="DK16" s="2403">
        <v>32.769669209929454</v>
      </c>
      <c r="DL16" s="2403">
        <v>32.673095466142037</v>
      </c>
      <c r="DM16" s="2403">
        <v>31.46935338162195</v>
      </c>
      <c r="DN16" s="2403">
        <v>32.985705936886248</v>
      </c>
      <c r="DO16" s="2403">
        <v>32.286280264023411</v>
      </c>
      <c r="DP16" s="2403">
        <v>32.461569632904229</v>
      </c>
      <c r="DQ16" s="2403">
        <v>33.12353255262245</v>
      </c>
      <c r="DR16" s="2403">
        <v>33.804537399921053</v>
      </c>
      <c r="DS16" s="2403">
        <v>33.900937943332458</v>
      </c>
      <c r="DT16" s="2403">
        <v>34.000860569091984</v>
      </c>
      <c r="DU16" s="2403">
        <v>33.880883901578464</v>
      </c>
      <c r="DV16" s="2403">
        <v>33.598031437847332</v>
      </c>
    </row>
    <row r="17" spans="1:126" ht="21" customHeight="1">
      <c r="A17" s="2386" t="s">
        <v>3297</v>
      </c>
      <c r="B17" s="2387">
        <v>30.524999999999999</v>
      </c>
      <c r="C17" s="2387">
        <v>30.447800000000001</v>
      </c>
      <c r="D17" s="2404">
        <v>30.369299999999999</v>
      </c>
      <c r="E17" s="2411">
        <v>30.158100000000001</v>
      </c>
      <c r="F17" s="2411">
        <v>29.989899999999999</v>
      </c>
      <c r="G17" s="2411">
        <v>29.904</v>
      </c>
      <c r="H17" s="2411">
        <v>29.880700000000001</v>
      </c>
      <c r="I17" s="2411">
        <v>29.8596</v>
      </c>
      <c r="J17" s="2411">
        <v>29.727</v>
      </c>
      <c r="K17" s="2411">
        <v>29.448899999999998</v>
      </c>
      <c r="L17" s="2411">
        <v>28.6342</v>
      </c>
      <c r="M17" s="2411">
        <v>28.0688</v>
      </c>
      <c r="N17" s="2411">
        <v>27.745000000000001</v>
      </c>
      <c r="O17" s="2411">
        <v>27.694099999999999</v>
      </c>
      <c r="P17" s="2411">
        <v>27.87</v>
      </c>
      <c r="Q17" s="2411">
        <v>29.495999999999999</v>
      </c>
      <c r="R17" s="2411">
        <v>29.777999999999999</v>
      </c>
      <c r="S17" s="2411">
        <v>29.445</v>
      </c>
      <c r="T17" s="2411">
        <v>28.992000000000001</v>
      </c>
      <c r="U17" s="2411">
        <v>28.841999999999999</v>
      </c>
      <c r="V17" s="2411">
        <v>28.405000000000001</v>
      </c>
      <c r="W17" s="2411">
        <v>26.8216</v>
      </c>
      <c r="X17" s="2411">
        <v>26.234999999999999</v>
      </c>
      <c r="Y17" s="2411">
        <v>26.097000000000001</v>
      </c>
      <c r="Z17" s="2411">
        <v>26.909300000000002</v>
      </c>
      <c r="AA17" s="2411">
        <v>27.959599999999998</v>
      </c>
      <c r="AB17" s="2411">
        <v>28.475999999999999</v>
      </c>
      <c r="AC17" s="2405">
        <v>28.454999999999998</v>
      </c>
      <c r="AD17" s="2403">
        <v>28.556000000000001</v>
      </c>
      <c r="AE17" s="2403">
        <v>28.727</v>
      </c>
      <c r="AF17" s="2403">
        <v>28.8154</v>
      </c>
      <c r="AG17" s="2403">
        <v>28.775500000000001</v>
      </c>
      <c r="AH17" s="2403">
        <v>28.696999999999999</v>
      </c>
      <c r="AI17" s="2403">
        <v>28.486999999999998</v>
      </c>
      <c r="AJ17" s="2403">
        <v>28.808</v>
      </c>
      <c r="AK17" s="2403">
        <v>29.294</v>
      </c>
      <c r="AL17" s="2406">
        <v>29.3139</v>
      </c>
      <c r="AM17" s="2403">
        <v>29.457999999999998</v>
      </c>
      <c r="AN17" s="2407">
        <v>29.6083</v>
      </c>
      <c r="AO17" s="2407">
        <v>29.8581</v>
      </c>
      <c r="AP17" s="2407">
        <v>29.977499999999999</v>
      </c>
      <c r="AQ17" s="2408">
        <v>30.4557</v>
      </c>
      <c r="AR17" s="2407">
        <v>30.542400000000001</v>
      </c>
      <c r="AS17" s="2408">
        <v>30.7453</v>
      </c>
      <c r="AT17" s="2409">
        <v>30.7883</v>
      </c>
      <c r="AU17" s="2409">
        <v>30.813199999999998</v>
      </c>
      <c r="AV17" s="2407">
        <v>30.8841</v>
      </c>
      <c r="AW17" s="2410">
        <v>30.957999999999998</v>
      </c>
      <c r="AX17" s="2408">
        <v>30.9801</v>
      </c>
      <c r="AY17" s="2409">
        <v>30.9785</v>
      </c>
      <c r="AZ17" s="2407">
        <v>31.011800000000001</v>
      </c>
      <c r="BA17" s="2408">
        <v>31.5261</v>
      </c>
      <c r="BB17" s="2409">
        <v>32.523099999999999</v>
      </c>
      <c r="BC17" s="2407">
        <v>32.689799999999998</v>
      </c>
      <c r="BD17" s="2407">
        <v>32.935400000000001</v>
      </c>
      <c r="BE17" s="2408">
        <v>33.223300000000002</v>
      </c>
      <c r="BF17" s="2409">
        <v>33.424599999999998</v>
      </c>
      <c r="BG17" s="2409">
        <v>33.630299999999998</v>
      </c>
      <c r="BH17" s="2409">
        <v>33.241900000000001</v>
      </c>
      <c r="BI17" s="2409">
        <v>32.928400000000003</v>
      </c>
      <c r="BJ17" s="2409">
        <v>32.288200000000003</v>
      </c>
      <c r="BK17" s="2409">
        <v>31.929099999999998</v>
      </c>
      <c r="BL17" s="2409">
        <v>32.023899999999998</v>
      </c>
      <c r="BM17" s="2409">
        <v>31.774100000000001</v>
      </c>
      <c r="BN17" s="2407">
        <v>31.686900000000001</v>
      </c>
      <c r="BO17" s="2407">
        <v>31.081499999999998</v>
      </c>
      <c r="BP17" s="2407">
        <v>30.901299999999999</v>
      </c>
      <c r="BQ17" s="2407">
        <v>30.527000000000001</v>
      </c>
      <c r="BR17" s="2407">
        <v>29.049900000000001</v>
      </c>
      <c r="BS17" s="2407">
        <v>29.220500000000001</v>
      </c>
      <c r="BT17" s="2407">
        <v>28.053999999999998</v>
      </c>
      <c r="BU17" s="2409">
        <v>26.780799999999999</v>
      </c>
      <c r="BV17" s="2409">
        <v>26.6051</v>
      </c>
      <c r="BW17" s="2409">
        <v>28.183700000000002</v>
      </c>
      <c r="BX17" s="2409">
        <v>27.7088</v>
      </c>
      <c r="BY17" s="2409">
        <v>27.177299999999999</v>
      </c>
      <c r="BZ17" s="2407">
        <v>28.766400000000001</v>
      </c>
      <c r="CA17" s="2407">
        <v>28.901900000000001</v>
      </c>
      <c r="CB17" s="2407">
        <v>32.505499999999998</v>
      </c>
      <c r="CC17" s="2407">
        <v>32.383499999999998</v>
      </c>
      <c r="CD17" s="2407">
        <v>32.446300000000001</v>
      </c>
      <c r="CE17" s="2407">
        <v>33.317</v>
      </c>
      <c r="CF17" s="2407">
        <v>34.681100000000001</v>
      </c>
      <c r="CG17" s="2407">
        <v>34.050600000000003</v>
      </c>
      <c r="CH17" s="2407">
        <v>34.295999999999999</v>
      </c>
      <c r="CI17" s="2407">
        <v>33.1843</v>
      </c>
      <c r="CJ17" s="2407">
        <v>33.032400000000003</v>
      </c>
      <c r="CK17" s="2407">
        <v>32.719000000000001</v>
      </c>
      <c r="CL17" s="2403">
        <v>32.546700000000001</v>
      </c>
      <c r="CM17" s="2403">
        <v>31.5246</v>
      </c>
      <c r="CN17" s="2403">
        <v>31.084399999999999</v>
      </c>
      <c r="CO17" s="2403">
        <v>30.486699999999999</v>
      </c>
      <c r="CP17" s="2403">
        <v>34.206000000000003</v>
      </c>
      <c r="CQ17" s="2403">
        <v>31.098413933076927</v>
      </c>
      <c r="CR17" s="2403">
        <v>31.691057399999998</v>
      </c>
      <c r="CS17" s="2403">
        <v>30.924607939999998</v>
      </c>
      <c r="CT17" s="2403">
        <v>30.510382406428576</v>
      </c>
      <c r="CU17" s="2403">
        <v>31.298728171071428</v>
      </c>
      <c r="CV17" s="2403">
        <v>31.171405866428568</v>
      </c>
      <c r="CW17" s="2403">
        <v>30.495615851785715</v>
      </c>
      <c r="CX17" s="2403">
        <v>30.221834158571429</v>
      </c>
      <c r="CY17" s="2403">
        <v>29.437642964285711</v>
      </c>
      <c r="CZ17" s="2403">
        <v>28.309520411071425</v>
      </c>
      <c r="DA17" s="2403">
        <v>28.633557865714288</v>
      </c>
      <c r="DB17" s="2403">
        <v>28.897772164999999</v>
      </c>
      <c r="DC17" s="2403">
        <v>28.670885417857143</v>
      </c>
      <c r="DD17" s="2403">
        <v>28.550806060714283</v>
      </c>
      <c r="DE17" s="2403">
        <v>29.588867412142861</v>
      </c>
      <c r="DF17" s="2403">
        <v>29.426150412142853</v>
      </c>
      <c r="DG17" s="2403">
        <v>29.811181982142852</v>
      </c>
      <c r="DH17" s="2403">
        <v>30.044272552857141</v>
      </c>
      <c r="DI17" s="2403">
        <v>29.734324928571425</v>
      </c>
      <c r="DJ17" s="2403">
        <v>29.492417607142862</v>
      </c>
      <c r="DK17" s="2403">
        <v>29.576342892857145</v>
      </c>
      <c r="DL17" s="2403">
        <v>29.638123822857136</v>
      </c>
      <c r="DM17" s="2403">
        <v>30.495616589285721</v>
      </c>
      <c r="DN17" s="2403">
        <v>31.517259767857144</v>
      </c>
      <c r="DO17" s="2403">
        <v>31.602478607142853</v>
      </c>
      <c r="DP17" s="2403">
        <v>31.095365642857143</v>
      </c>
      <c r="DQ17" s="2403">
        <v>30.958002892857138</v>
      </c>
      <c r="DR17" s="2403">
        <v>31.488185839285709</v>
      </c>
      <c r="DS17" s="2403">
        <v>31.369702410714286</v>
      </c>
      <c r="DT17" s="2403">
        <v>31.019555</v>
      </c>
      <c r="DU17" s="2403">
        <v>30.764621428571427</v>
      </c>
      <c r="DV17" s="2403">
        <v>31.144433571428571</v>
      </c>
    </row>
    <row r="18" spans="1:126" ht="21" customHeight="1">
      <c r="A18" s="2386" t="s">
        <v>3298</v>
      </c>
      <c r="B18" s="2387">
        <v>43.18</v>
      </c>
      <c r="C18" s="2412">
        <v>44.386000000000003</v>
      </c>
      <c r="D18" s="2413">
        <v>44.524999999999999</v>
      </c>
      <c r="E18" s="2413">
        <v>46.073999999999998</v>
      </c>
      <c r="F18" s="2413">
        <v>47.101999999999997</v>
      </c>
      <c r="G18" s="2413">
        <v>46.304000000000002</v>
      </c>
      <c r="H18" s="2413">
        <v>46.771000000000001</v>
      </c>
      <c r="I18" s="2411">
        <v>46.61</v>
      </c>
      <c r="J18" s="2411">
        <v>46.116999999999997</v>
      </c>
      <c r="K18" s="2411">
        <v>47.216000000000001</v>
      </c>
      <c r="L18" s="2411">
        <v>47.295000000000002</v>
      </c>
      <c r="M18" s="2411">
        <v>44.259</v>
      </c>
      <c r="N18" s="2411">
        <v>43.691000000000003</v>
      </c>
      <c r="O18" s="2411">
        <v>44.118000000000002</v>
      </c>
      <c r="P18" s="2411">
        <v>45.951000000000001</v>
      </c>
      <c r="Q18" s="2411">
        <v>48.694000000000003</v>
      </c>
      <c r="R18" s="2411">
        <v>48.04</v>
      </c>
      <c r="S18" s="2411">
        <v>46.353999999999999</v>
      </c>
      <c r="T18" s="2411">
        <v>48.322000000000003</v>
      </c>
      <c r="U18" s="2411">
        <v>48.853000000000002</v>
      </c>
      <c r="V18" s="2411">
        <v>48.627000000000002</v>
      </c>
      <c r="W18" s="2411">
        <v>47.731999999999999</v>
      </c>
      <c r="X18" s="2411">
        <v>47.548000000000002</v>
      </c>
      <c r="Y18" s="2411">
        <v>48.542000000000002</v>
      </c>
      <c r="Z18" s="2411">
        <v>49.323999999999998</v>
      </c>
      <c r="AA18" s="2411">
        <v>49.692</v>
      </c>
      <c r="AB18" s="2411">
        <v>52.329000000000001</v>
      </c>
      <c r="AC18" s="2405">
        <v>51.55</v>
      </c>
      <c r="AD18" s="2403">
        <v>52.045000000000002</v>
      </c>
      <c r="AE18" s="2403">
        <v>51.734000000000002</v>
      </c>
      <c r="AF18" s="2403">
        <v>51.884</v>
      </c>
      <c r="AG18" s="2403">
        <v>52.762</v>
      </c>
      <c r="AH18" s="2403">
        <v>54.296999999999997</v>
      </c>
      <c r="AI18" s="2403">
        <v>54.890999999999998</v>
      </c>
      <c r="AJ18" s="2403">
        <v>54.314999999999998</v>
      </c>
      <c r="AK18" s="2403">
        <v>55.073</v>
      </c>
      <c r="AL18" s="2406">
        <v>55.978999999999999</v>
      </c>
      <c r="AM18" s="2403">
        <v>53.478000000000002</v>
      </c>
      <c r="AN18" s="2407">
        <v>53.539000000000001</v>
      </c>
      <c r="AO18" s="2407">
        <v>52.404000000000003</v>
      </c>
      <c r="AP18" s="2407">
        <v>53.588000000000001</v>
      </c>
      <c r="AQ18" s="2408">
        <v>53.716000000000001</v>
      </c>
      <c r="AR18" s="2407">
        <v>54.262999999999998</v>
      </c>
      <c r="AS18" s="2408">
        <v>52.902000000000001</v>
      </c>
      <c r="AT18" s="2409">
        <v>53.271999999999998</v>
      </c>
      <c r="AU18" s="2409">
        <v>54.683</v>
      </c>
      <c r="AV18" s="2407">
        <v>53.929000000000002</v>
      </c>
      <c r="AW18" s="2410">
        <v>54.22</v>
      </c>
      <c r="AX18" s="2408">
        <v>56.003</v>
      </c>
      <c r="AY18" s="2409">
        <v>58.566000000000003</v>
      </c>
      <c r="AZ18" s="2407">
        <v>57.018999999999998</v>
      </c>
      <c r="BA18" s="2408">
        <v>59.027999999999999</v>
      </c>
      <c r="BB18" s="2409">
        <v>62.463000000000001</v>
      </c>
      <c r="BC18" s="2407">
        <v>62.011000000000003</v>
      </c>
      <c r="BD18" s="2407">
        <v>63.615000000000002</v>
      </c>
      <c r="BE18" s="2408">
        <v>66.048000000000002</v>
      </c>
      <c r="BF18" s="2409">
        <v>66.947999999999993</v>
      </c>
      <c r="BG18" s="2409">
        <v>66.697999999999993</v>
      </c>
      <c r="BH18" s="2409">
        <v>65.614000000000004</v>
      </c>
      <c r="BI18" s="2409">
        <v>64.734999999999999</v>
      </c>
      <c r="BJ18" s="2409">
        <v>64.495999999999995</v>
      </c>
      <c r="BK18" s="2409">
        <v>62.920999999999999</v>
      </c>
      <c r="BL18" s="2409">
        <v>64.143000000000001</v>
      </c>
      <c r="BM18" s="2409">
        <v>64.445999999999998</v>
      </c>
      <c r="BN18" s="2407">
        <v>63.834200000000003</v>
      </c>
      <c r="BO18" s="2407">
        <v>62.857300000000002</v>
      </c>
      <c r="BP18" s="2407">
        <v>63.932000000000002</v>
      </c>
      <c r="BQ18" s="2407">
        <v>62.945999999999998</v>
      </c>
      <c r="BR18" s="2407">
        <v>57.971699999999998</v>
      </c>
      <c r="BS18" s="2407">
        <v>58.133299999999998</v>
      </c>
      <c r="BT18" s="2407">
        <v>55.6599</v>
      </c>
      <c r="BU18" s="2409">
        <v>53.235599999999998</v>
      </c>
      <c r="BV18" s="2409">
        <v>52.2166</v>
      </c>
      <c r="BW18" s="2409">
        <v>55.817300000000003</v>
      </c>
      <c r="BX18" s="2409">
        <v>55.3277</v>
      </c>
      <c r="BY18" s="2409">
        <v>53.9086</v>
      </c>
      <c r="BZ18" s="2407">
        <v>52.817399999999999</v>
      </c>
      <c r="CA18" s="2407">
        <v>52.112699999999997</v>
      </c>
      <c r="CB18" s="2407">
        <v>53.389299999999999</v>
      </c>
      <c r="CC18" s="2407">
        <v>50.124200000000002</v>
      </c>
      <c r="CD18" s="2407">
        <v>47.036299999999997</v>
      </c>
      <c r="CE18" s="2407">
        <v>47.578200000000002</v>
      </c>
      <c r="CF18" s="2407">
        <v>49.756799999999998</v>
      </c>
      <c r="CG18" s="2407">
        <v>48.8322</v>
      </c>
      <c r="CH18" s="2407">
        <v>50.966900000000003</v>
      </c>
      <c r="CI18" s="2407">
        <v>53.001100000000001</v>
      </c>
      <c r="CJ18" s="2407">
        <v>54.921500000000002</v>
      </c>
      <c r="CK18" s="2407">
        <v>54.136899999999997</v>
      </c>
      <c r="CL18" s="2403">
        <v>52.886899999999997</v>
      </c>
      <c r="CM18" s="2403">
        <v>50.505400000000002</v>
      </c>
      <c r="CN18" s="2403">
        <v>51.4604</v>
      </c>
      <c r="CO18" s="2403">
        <v>50.496299999999998</v>
      </c>
      <c r="CP18" s="2403">
        <v>49.55</v>
      </c>
      <c r="CQ18" s="2403">
        <v>48.587814802792302</v>
      </c>
      <c r="CR18" s="2403">
        <v>48.981586617321433</v>
      </c>
      <c r="CS18" s="2403">
        <v>48.966664830478564</v>
      </c>
      <c r="CT18" s="2403">
        <v>48.637702474021424</v>
      </c>
      <c r="CU18" s="2403">
        <v>48.625294256664276</v>
      </c>
      <c r="CV18" s="2403">
        <v>48.12643753362142</v>
      </c>
      <c r="CW18" s="2403">
        <v>48.370444436303565</v>
      </c>
      <c r="CX18" s="2403">
        <v>48.661779718099993</v>
      </c>
      <c r="CY18" s="2403">
        <v>47.340736482496425</v>
      </c>
      <c r="CZ18" s="2403">
        <v>47.190617604623206</v>
      </c>
      <c r="DA18" s="2403">
        <v>47.380979298199989</v>
      </c>
      <c r="DB18" s="2403">
        <v>46.549084587582136</v>
      </c>
      <c r="DC18" s="2403">
        <v>46.872216986271432</v>
      </c>
      <c r="DD18" s="2403">
        <v>46.860547210771422</v>
      </c>
      <c r="DE18" s="2403">
        <v>46.209313203796412</v>
      </c>
      <c r="DF18" s="2403">
        <v>47.012618907300002</v>
      </c>
      <c r="DG18" s="2403">
        <v>46.467314002428566</v>
      </c>
      <c r="DH18" s="2403">
        <v>46.292920075242861</v>
      </c>
      <c r="DI18" s="2403">
        <v>46.765990060400007</v>
      </c>
      <c r="DJ18" s="2403">
        <v>46.955281256471423</v>
      </c>
      <c r="DK18" s="2403">
        <v>47.236627918985711</v>
      </c>
      <c r="DL18" s="2403">
        <v>48.2266464617</v>
      </c>
      <c r="DM18" s="2403">
        <v>47.181287631271424</v>
      </c>
      <c r="DN18" s="2403">
        <v>49.111795523014294</v>
      </c>
      <c r="DO18" s="2403">
        <v>49.63146250165714</v>
      </c>
      <c r="DP18" s="2403">
        <v>49.102599088457147</v>
      </c>
      <c r="DQ18" s="2403">
        <v>50.330642255371437</v>
      </c>
      <c r="DR18" s="2403">
        <v>50.629900554928568</v>
      </c>
      <c r="DS18" s="2403">
        <v>50.352595541100008</v>
      </c>
      <c r="DT18" s="2403">
        <v>50.113020677514285</v>
      </c>
      <c r="DU18" s="2403">
        <v>48.579095241225716</v>
      </c>
      <c r="DV18" s="2403">
        <v>47.207986411474288</v>
      </c>
    </row>
    <row r="19" spans="1:126" s="323" customFormat="1" ht="21" customHeight="1">
      <c r="A19" s="2386" t="s">
        <v>2738</v>
      </c>
      <c r="B19" s="2387">
        <v>26.338999999999999</v>
      </c>
      <c r="C19" s="2404">
        <v>27.518699999999999</v>
      </c>
      <c r="D19" s="2411">
        <v>28.536300000000001</v>
      </c>
      <c r="E19" s="2411">
        <v>29.829899999999999</v>
      </c>
      <c r="F19" s="2411">
        <v>29.496200000000002</v>
      </c>
      <c r="G19" s="2411">
        <v>29.462499999999999</v>
      </c>
      <c r="H19" s="2411">
        <v>29.4025</v>
      </c>
      <c r="I19" s="2411">
        <v>29.5045</v>
      </c>
      <c r="J19" s="2411">
        <v>29.545999999999999</v>
      </c>
      <c r="K19" s="2411">
        <v>30.859100000000002</v>
      </c>
      <c r="L19" s="2411">
        <v>30.937000000000001</v>
      </c>
      <c r="M19" s="2411">
        <v>30.142800000000001</v>
      </c>
      <c r="N19" s="2411">
        <v>30.0062</v>
      </c>
      <c r="O19" s="2411">
        <v>30.721</v>
      </c>
      <c r="P19" s="2411">
        <v>33.030999999999999</v>
      </c>
      <c r="Q19" s="2411">
        <v>33.676000000000002</v>
      </c>
      <c r="R19" s="2411">
        <v>33.713000000000001</v>
      </c>
      <c r="S19" s="2411">
        <v>31.965</v>
      </c>
      <c r="T19" s="2411">
        <v>33.642000000000003</v>
      </c>
      <c r="U19" s="2411">
        <v>33.475999999999999</v>
      </c>
      <c r="V19" s="2411">
        <v>33.796999999999997</v>
      </c>
      <c r="W19" s="2411">
        <v>33.689300000000003</v>
      </c>
      <c r="X19" s="2411">
        <v>32.340000000000003</v>
      </c>
      <c r="Y19" s="2411">
        <v>32.271000000000001</v>
      </c>
      <c r="Z19" s="2411">
        <v>32.844099999999997</v>
      </c>
      <c r="AA19" s="2411">
        <v>33.470300000000002</v>
      </c>
      <c r="AB19" s="2411">
        <v>34.741999999999997</v>
      </c>
      <c r="AC19" s="2405">
        <v>34.414999999999999</v>
      </c>
      <c r="AD19" s="2403">
        <v>34.444000000000003</v>
      </c>
      <c r="AE19" s="2403">
        <v>34.755000000000003</v>
      </c>
      <c r="AF19" s="2403">
        <v>35.546500000000002</v>
      </c>
      <c r="AG19" s="2403">
        <v>36.704000000000001</v>
      </c>
      <c r="AH19" s="2403">
        <v>38.103999999999999</v>
      </c>
      <c r="AI19" s="2403">
        <v>38.814</v>
      </c>
      <c r="AJ19" s="2403">
        <v>37.548999999999999</v>
      </c>
      <c r="AK19" s="2403">
        <v>37.868000000000002</v>
      </c>
      <c r="AL19" s="2406">
        <v>37.916200000000003</v>
      </c>
      <c r="AM19" s="2403">
        <v>36.561100000000003</v>
      </c>
      <c r="AN19" s="2407">
        <v>35.816800000000001</v>
      </c>
      <c r="AO19" s="2407">
        <v>36.225999999999999</v>
      </c>
      <c r="AP19" s="2407">
        <v>36.662199999999999</v>
      </c>
      <c r="AQ19" s="2408">
        <v>36.7258</v>
      </c>
      <c r="AR19" s="2407">
        <v>36.864400000000003</v>
      </c>
      <c r="AS19" s="2408">
        <v>36.273400000000002</v>
      </c>
      <c r="AT19" s="2409">
        <v>36.654299999999999</v>
      </c>
      <c r="AU19" s="2409">
        <v>37.408700000000003</v>
      </c>
      <c r="AV19" s="2407">
        <v>36.766199999999998</v>
      </c>
      <c r="AW19" s="2410">
        <v>37.799599999999998</v>
      </c>
      <c r="AX19" s="2408">
        <v>38.997700000000002</v>
      </c>
      <c r="AY19" s="2409">
        <v>40.0535</v>
      </c>
      <c r="AZ19" s="2407">
        <v>39.732999999999997</v>
      </c>
      <c r="BA19" s="2408">
        <v>40.588200000000001</v>
      </c>
      <c r="BB19" s="2409">
        <v>42.280900000000003</v>
      </c>
      <c r="BC19" s="2407">
        <v>42.276699999999998</v>
      </c>
      <c r="BD19" s="2407">
        <v>42.838099999999997</v>
      </c>
      <c r="BE19" s="2408">
        <v>44.976599999999998</v>
      </c>
      <c r="BF19" s="2409">
        <v>45.2014</v>
      </c>
      <c r="BG19" s="2409">
        <v>44.018900000000002</v>
      </c>
      <c r="BH19" s="2409">
        <v>44.060600000000001</v>
      </c>
      <c r="BI19" s="2409">
        <v>43.934800000000003</v>
      </c>
      <c r="BJ19" s="2409">
        <v>44.017800000000001</v>
      </c>
      <c r="BK19" s="2409">
        <v>42.677900000000001</v>
      </c>
      <c r="BL19" s="2409">
        <v>43.055100000000003</v>
      </c>
      <c r="BM19" s="2409">
        <v>43.5075</v>
      </c>
      <c r="BN19" s="2407">
        <v>43.31</v>
      </c>
      <c r="BO19" s="2407">
        <v>44.014000000000003</v>
      </c>
      <c r="BP19" s="2407">
        <v>44.644500000000001</v>
      </c>
      <c r="BQ19" s="2407">
        <v>44.981000000000002</v>
      </c>
      <c r="BR19" s="2407">
        <v>42.744599999999998</v>
      </c>
      <c r="BS19" s="2407">
        <v>43.457900000000002</v>
      </c>
      <c r="BT19" s="2407">
        <v>42.442700000000002</v>
      </c>
      <c r="BU19" s="2409">
        <v>42.131100000000004</v>
      </c>
      <c r="BV19" s="2409">
        <v>41.3</v>
      </c>
      <c r="BW19" s="2409">
        <v>43.816899999999997</v>
      </c>
      <c r="BX19" s="2409">
        <v>43.8369</v>
      </c>
      <c r="BY19" s="2409">
        <v>42.416699999999999</v>
      </c>
      <c r="BZ19" s="2407">
        <v>42.512700000000002</v>
      </c>
      <c r="CA19" s="2407">
        <v>41.542099999999998</v>
      </c>
      <c r="CB19" s="2407">
        <v>41.881700000000002</v>
      </c>
      <c r="CC19" s="2407">
        <v>42.017099999999999</v>
      </c>
      <c r="CD19" s="2407">
        <v>45.8855</v>
      </c>
      <c r="CE19" s="2407">
        <v>43.244900000000001</v>
      </c>
      <c r="CF19" s="2407">
        <v>44.335299999999997</v>
      </c>
      <c r="CG19" s="2407">
        <v>45.1967</v>
      </c>
      <c r="CH19" s="2407">
        <v>45.727699999999999</v>
      </c>
      <c r="CI19" s="2407">
        <v>46.409599999999998</v>
      </c>
      <c r="CJ19" s="2407">
        <v>46.553400000000003</v>
      </c>
      <c r="CK19" s="2407">
        <v>46.226500000000001</v>
      </c>
      <c r="CL19" s="2403">
        <v>46.473300000000002</v>
      </c>
      <c r="CM19" s="2403">
        <v>46.006399999999999</v>
      </c>
      <c r="CN19" s="2403">
        <v>46.085799999999999</v>
      </c>
      <c r="CO19" s="2403">
        <v>45.865099999999998</v>
      </c>
      <c r="CP19" s="2403">
        <v>42.158999999999999</v>
      </c>
      <c r="CQ19" s="2403">
        <v>40.622972605876917</v>
      </c>
      <c r="CR19" s="2403">
        <v>40.087579830928568</v>
      </c>
      <c r="CS19" s="2403">
        <v>41.991412514764285</v>
      </c>
      <c r="CT19" s="2403">
        <v>42.374601034849995</v>
      </c>
      <c r="CU19" s="2403">
        <v>40.968014155464289</v>
      </c>
      <c r="CV19" s="2403">
        <v>41.46114882847143</v>
      </c>
      <c r="CW19" s="2403">
        <v>41.505838961249992</v>
      </c>
      <c r="CX19" s="2403">
        <v>41.59055171262856</v>
      </c>
      <c r="CY19" s="2403">
        <v>41.591498532192865</v>
      </c>
      <c r="CZ19" s="2403">
        <v>41.958064683475712</v>
      </c>
      <c r="DA19" s="2403">
        <v>41.162790416385725</v>
      </c>
      <c r="DB19" s="2403">
        <v>41.929360814999995</v>
      </c>
      <c r="DC19" s="2403">
        <v>41.108748995942854</v>
      </c>
      <c r="DD19" s="2403">
        <v>41.469267576242849</v>
      </c>
      <c r="DE19" s="2403">
        <v>40.051926928689284</v>
      </c>
      <c r="DF19" s="2403">
        <v>41.231816091221425</v>
      </c>
      <c r="DG19" s="2403">
        <v>39.73811034642857</v>
      </c>
      <c r="DH19" s="2403">
        <v>38.891305696657142</v>
      </c>
      <c r="DI19" s="2403">
        <v>39.216950931907142</v>
      </c>
      <c r="DJ19" s="2403">
        <v>39.755935543153569</v>
      </c>
      <c r="DK19" s="2403">
        <v>39.49447556677142</v>
      </c>
      <c r="DL19" s="2403">
        <v>39.25653294364286</v>
      </c>
      <c r="DM19" s="2403">
        <v>37.778190084602144</v>
      </c>
      <c r="DN19" s="2403">
        <v>39.623347659744645</v>
      </c>
      <c r="DO19" s="2403">
        <v>38.805086212804284</v>
      </c>
      <c r="DP19" s="2403">
        <v>38.929039212390009</v>
      </c>
      <c r="DQ19" s="2403">
        <v>40.039116003607141</v>
      </c>
      <c r="DR19" s="2403">
        <v>40.815382433249987</v>
      </c>
      <c r="DS19" s="2403">
        <v>40.787190317571422</v>
      </c>
      <c r="DT19" s="2403">
        <v>40.959065943753714</v>
      </c>
      <c r="DU19" s="2403">
        <v>41.667635898698862</v>
      </c>
      <c r="DV19" s="2403">
        <v>40.910784850588001</v>
      </c>
    </row>
    <row r="20" spans="1:126" ht="9.75" customHeight="1" thickBot="1">
      <c r="A20" s="2414"/>
      <c r="B20" s="2415"/>
      <c r="C20" s="2415"/>
      <c r="D20" s="2416"/>
      <c r="E20" s="2416"/>
      <c r="F20" s="2416"/>
      <c r="G20" s="2416"/>
      <c r="H20" s="2416"/>
      <c r="I20" s="2416"/>
      <c r="J20" s="2416"/>
      <c r="K20" s="2416"/>
      <c r="L20" s="2416"/>
      <c r="M20" s="2416"/>
      <c r="N20" s="2416"/>
      <c r="O20" s="2416"/>
      <c r="P20" s="2416"/>
      <c r="Q20" s="2416"/>
      <c r="R20" s="2416"/>
      <c r="S20" s="2416"/>
      <c r="T20" s="2416"/>
      <c r="U20" s="2416"/>
      <c r="V20" s="2416"/>
      <c r="W20" s="2416"/>
      <c r="X20" s="2416"/>
      <c r="Y20" s="2416"/>
      <c r="Z20" s="2416"/>
      <c r="AA20" s="2416"/>
      <c r="AB20" s="2416"/>
      <c r="AC20" s="2417"/>
      <c r="AD20" s="2418"/>
      <c r="AE20" s="2418"/>
      <c r="AF20" s="2418"/>
      <c r="AG20" s="2418"/>
      <c r="AH20" s="2418"/>
      <c r="AI20" s="2418"/>
      <c r="AJ20" s="2418"/>
      <c r="AK20" s="2418"/>
      <c r="AL20" s="2419"/>
      <c r="AM20" s="2418"/>
      <c r="AN20" s="2418"/>
      <c r="AO20" s="2418"/>
      <c r="AP20" s="2418"/>
      <c r="AQ20" s="2420"/>
      <c r="AR20" s="2418"/>
      <c r="AS20" s="2420"/>
      <c r="AT20" s="2419"/>
      <c r="AU20" s="2421"/>
      <c r="AV20" s="2422"/>
      <c r="AW20" s="2423"/>
      <c r="AX20" s="2424"/>
      <c r="AY20" s="2421"/>
      <c r="AZ20" s="2422"/>
      <c r="BA20" s="2424"/>
      <c r="BB20" s="2421"/>
      <c r="BC20" s="2422"/>
      <c r="BD20" s="2422"/>
      <c r="BE20" s="2424"/>
      <c r="BF20" s="2421"/>
      <c r="BG20" s="2421"/>
      <c r="BH20" s="2421"/>
      <c r="BI20" s="2421"/>
      <c r="BJ20" s="2421"/>
      <c r="BK20" s="2421"/>
      <c r="BL20" s="2421"/>
      <c r="BM20" s="2419"/>
      <c r="BN20" s="2418"/>
      <c r="BO20" s="2418"/>
      <c r="BP20" s="2418"/>
      <c r="BQ20" s="2418"/>
      <c r="BR20" s="2418"/>
      <c r="BS20" s="2418"/>
      <c r="BT20" s="2418"/>
      <c r="BU20" s="2419"/>
      <c r="BV20" s="2419"/>
      <c r="BW20" s="2419"/>
      <c r="BX20" s="2419"/>
      <c r="BY20" s="2419"/>
      <c r="BZ20" s="2418"/>
      <c r="CA20" s="2418"/>
      <c r="CB20" s="2418"/>
      <c r="CC20" s="2418"/>
      <c r="CD20" s="2418"/>
      <c r="CE20" s="2425"/>
      <c r="CF20" s="2425"/>
      <c r="CG20" s="2425"/>
      <c r="CH20" s="2425"/>
      <c r="CI20" s="2367"/>
      <c r="CJ20" s="2425"/>
      <c r="CK20" s="2425"/>
      <c r="CL20" s="2425"/>
      <c r="CM20" s="2425"/>
      <c r="CN20" s="2425"/>
      <c r="CO20" s="2425"/>
      <c r="CP20" s="2425"/>
      <c r="CQ20" s="2425"/>
      <c r="CR20" s="2425"/>
      <c r="CS20" s="2425"/>
      <c r="CT20" s="2425"/>
      <c r="CU20" s="2425"/>
      <c r="CV20" s="2425"/>
      <c r="CW20" s="2425"/>
      <c r="CX20" s="2425"/>
      <c r="CY20" s="2425"/>
      <c r="CZ20" s="2425"/>
      <c r="DA20" s="2425"/>
      <c r="DB20" s="2425"/>
      <c r="DC20" s="2425"/>
      <c r="DD20" s="2425"/>
      <c r="DE20" s="2425"/>
      <c r="DF20" s="2425"/>
      <c r="DG20" s="2425"/>
      <c r="DH20" s="2425"/>
      <c r="DI20" s="2425"/>
      <c r="DJ20" s="2425"/>
      <c r="DK20" s="2425"/>
      <c r="DL20" s="2425"/>
      <c r="DM20" s="2425"/>
      <c r="DN20" s="2425"/>
      <c r="DO20" s="2425"/>
      <c r="DP20" s="2425"/>
      <c r="DQ20" s="2425"/>
      <c r="DR20" s="2425"/>
      <c r="DS20" s="2425"/>
      <c r="DT20" s="2425"/>
      <c r="DU20" s="2425"/>
      <c r="DV20" s="2425"/>
    </row>
    <row r="21" spans="1:126" ht="24" thickTop="1">
      <c r="A21" s="2426" t="s">
        <v>3299</v>
      </c>
      <c r="B21" s="2427"/>
      <c r="P21" s="2428"/>
      <c r="Q21" s="2428"/>
      <c r="R21" s="2428"/>
      <c r="S21" s="2428"/>
      <c r="T21" s="2428"/>
      <c r="U21" s="2428"/>
      <c r="V21" s="2428"/>
      <c r="W21" s="2428"/>
      <c r="X21" s="2428"/>
      <c r="Y21" s="2428"/>
      <c r="Z21" s="2428"/>
      <c r="AA21" s="2428"/>
      <c r="AB21" s="2428"/>
      <c r="AC21" s="2428"/>
      <c r="AD21" s="2428"/>
      <c r="AE21" s="2428"/>
      <c r="AF21" s="2428"/>
      <c r="AG21" s="2428"/>
      <c r="AH21" s="2428"/>
      <c r="AI21" s="2428"/>
      <c r="AJ21" s="2428"/>
      <c r="AK21" s="2428"/>
      <c r="AL21" s="2428"/>
    </row>
    <row r="22" spans="1:126">
      <c r="A22" s="2429" t="s">
        <v>3300</v>
      </c>
      <c r="B22" s="323"/>
    </row>
    <row r="23" spans="1:126">
      <c r="A23" s="2430"/>
      <c r="B23" s="323"/>
      <c r="H23" s="323"/>
      <c r="I23" s="323"/>
    </row>
    <row r="24" spans="1:126">
      <c r="A24" s="2430"/>
      <c r="B24" s="323"/>
      <c r="H24" s="323"/>
      <c r="I24" s="323"/>
    </row>
    <row r="25" spans="1:126" ht="64.5" customHeight="1">
      <c r="A25" s="2429"/>
      <c r="B25" s="323"/>
      <c r="H25" s="323"/>
      <c r="I25" s="323"/>
    </row>
    <row r="26" spans="1:126" s="323" customFormat="1" ht="18">
      <c r="A26" s="2431" t="s">
        <v>3301</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row>
    <row r="27" spans="1:126" s="323" customFormat="1" ht="13.5" thickBot="1">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row>
    <row r="28" spans="1:126" s="323" customFormat="1" ht="13.5" thickTop="1">
      <c r="A28" s="2432" t="s">
        <v>3286</v>
      </c>
      <c r="B28" s="2433">
        <v>37258</v>
      </c>
      <c r="C28" s="2433">
        <v>37289</v>
      </c>
      <c r="D28" s="2433">
        <v>37378</v>
      </c>
      <c r="E28" s="2433">
        <v>37409</v>
      </c>
      <c r="F28" s="2433">
        <v>37439</v>
      </c>
      <c r="G28" s="2433">
        <v>37470</v>
      </c>
      <c r="H28" s="2433">
        <v>37501</v>
      </c>
      <c r="I28" s="2433">
        <v>37531</v>
      </c>
      <c r="J28" s="2433">
        <v>37562</v>
      </c>
      <c r="K28" s="2433">
        <v>37592</v>
      </c>
      <c r="L28" s="2433">
        <v>37623</v>
      </c>
      <c r="M28" s="2433">
        <v>37654</v>
      </c>
      <c r="N28" s="2433">
        <v>37682</v>
      </c>
      <c r="O28" s="2433">
        <v>37713</v>
      </c>
      <c r="P28" s="2433">
        <v>37743</v>
      </c>
      <c r="Q28" s="2433">
        <v>37774</v>
      </c>
      <c r="R28" s="2433">
        <v>37804</v>
      </c>
      <c r="S28" s="2433">
        <v>37835</v>
      </c>
      <c r="T28" s="2433">
        <v>37866</v>
      </c>
      <c r="U28" s="2433">
        <v>37896</v>
      </c>
      <c r="V28" s="2433">
        <v>37927</v>
      </c>
      <c r="W28" s="2433">
        <v>37957</v>
      </c>
      <c r="X28" s="2434">
        <v>37988</v>
      </c>
      <c r="Y28" s="2435">
        <v>38019</v>
      </c>
      <c r="Z28" s="2436">
        <v>38048</v>
      </c>
      <c r="AA28" s="2435">
        <v>38079</v>
      </c>
      <c r="AB28" s="2436">
        <v>38109</v>
      </c>
      <c r="AC28" s="2435">
        <v>38140</v>
      </c>
      <c r="AD28" s="2436">
        <v>38170</v>
      </c>
      <c r="AE28" s="2435">
        <v>38201</v>
      </c>
      <c r="AF28" s="2436">
        <v>38232</v>
      </c>
      <c r="AG28" s="2435">
        <v>38262</v>
      </c>
      <c r="AH28" s="2436">
        <v>38293</v>
      </c>
      <c r="AI28" s="2435">
        <v>38323</v>
      </c>
      <c r="AJ28" s="2436">
        <v>38354</v>
      </c>
      <c r="AK28" s="2437">
        <v>38413</v>
      </c>
      <c r="AL28" s="2437">
        <v>38444</v>
      </c>
      <c r="AM28" s="2435">
        <v>38474</v>
      </c>
      <c r="AN28" s="2435">
        <v>38505</v>
      </c>
      <c r="AO28" s="2435">
        <v>38535</v>
      </c>
      <c r="AP28" s="2436">
        <v>38565</v>
      </c>
      <c r="AQ28" s="2435">
        <v>38596</v>
      </c>
      <c r="AR28" s="2435">
        <v>38626</v>
      </c>
      <c r="AS28" s="2436">
        <v>38657</v>
      </c>
      <c r="AT28" s="2437">
        <v>38687</v>
      </c>
      <c r="AU28" s="2437">
        <v>38718</v>
      </c>
      <c r="AV28" s="2435">
        <v>38749</v>
      </c>
      <c r="AW28" s="2435">
        <v>38777</v>
      </c>
      <c r="AX28" s="2436">
        <v>38808</v>
      </c>
      <c r="AY28" s="2437">
        <v>38838</v>
      </c>
      <c r="AZ28" s="2435">
        <v>38869</v>
      </c>
      <c r="BA28" s="2436">
        <v>38899</v>
      </c>
      <c r="BB28" s="2437">
        <v>38930</v>
      </c>
      <c r="BC28" s="2437">
        <v>38961</v>
      </c>
      <c r="BD28" s="2435">
        <v>38991</v>
      </c>
      <c r="BE28" s="2436">
        <v>39022</v>
      </c>
      <c r="BF28" s="2437">
        <v>39052</v>
      </c>
      <c r="BG28" s="2372">
        <v>39083</v>
      </c>
      <c r="BH28" s="2374">
        <v>39114</v>
      </c>
      <c r="BI28" s="2373">
        <v>39142</v>
      </c>
      <c r="BJ28" s="2373">
        <v>39173</v>
      </c>
      <c r="BK28" s="2373">
        <v>39203</v>
      </c>
      <c r="BL28" s="2373">
        <v>39234</v>
      </c>
      <c r="BM28" s="2373">
        <v>39264</v>
      </c>
      <c r="BN28" s="2372">
        <v>39295</v>
      </c>
      <c r="BO28" s="2372">
        <v>39326</v>
      </c>
      <c r="BP28" s="2372">
        <v>39356</v>
      </c>
      <c r="BQ28" s="2372">
        <v>39387</v>
      </c>
      <c r="BR28" s="2372">
        <v>39417</v>
      </c>
      <c r="BS28" s="2372">
        <v>39448</v>
      </c>
      <c r="BT28" s="2372">
        <v>39479</v>
      </c>
      <c r="BU28" s="2372">
        <v>39508</v>
      </c>
      <c r="BV28" s="2372">
        <v>39539</v>
      </c>
      <c r="BW28" s="2373">
        <v>39569</v>
      </c>
      <c r="BX28" s="2373">
        <v>39600</v>
      </c>
      <c r="BY28" s="2373">
        <v>39630</v>
      </c>
      <c r="BZ28" s="2372">
        <v>39661</v>
      </c>
      <c r="CA28" s="2372">
        <v>39692</v>
      </c>
      <c r="CB28" s="2372">
        <v>39722</v>
      </c>
      <c r="CC28" s="2372">
        <v>39753</v>
      </c>
      <c r="CD28" s="2372">
        <v>39783</v>
      </c>
      <c r="CE28" s="2372">
        <v>39814</v>
      </c>
      <c r="CF28" s="2372">
        <v>39845</v>
      </c>
      <c r="CG28" s="2372">
        <v>39873</v>
      </c>
      <c r="CH28" s="2372">
        <v>39904</v>
      </c>
      <c r="CI28" s="2438">
        <v>39934</v>
      </c>
      <c r="CJ28" s="2438">
        <v>39965</v>
      </c>
      <c r="CK28" s="2438">
        <v>39995</v>
      </c>
      <c r="CL28" s="2370">
        <v>40026</v>
      </c>
      <c r="CM28" s="2370">
        <v>40057</v>
      </c>
      <c r="CN28" s="2370">
        <v>40087</v>
      </c>
      <c r="CO28" s="2370">
        <v>40118</v>
      </c>
      <c r="CP28" s="2370">
        <v>40299</v>
      </c>
      <c r="CQ28" s="2370">
        <v>40360</v>
      </c>
      <c r="CR28" s="2370">
        <v>40391</v>
      </c>
      <c r="CS28" s="2370">
        <v>40422</v>
      </c>
      <c r="CT28" s="2370">
        <v>40452</v>
      </c>
      <c r="CU28" s="2370">
        <v>40483</v>
      </c>
      <c r="CV28" s="2370">
        <v>40513</v>
      </c>
      <c r="CW28" s="2370">
        <v>40544</v>
      </c>
      <c r="CX28" s="2370">
        <v>40575</v>
      </c>
      <c r="CY28" s="2370">
        <v>40603</v>
      </c>
      <c r="CZ28" s="2370">
        <v>40634</v>
      </c>
      <c r="DA28" s="2370">
        <v>40664</v>
      </c>
      <c r="DB28" s="2370">
        <v>40695</v>
      </c>
      <c r="DC28" s="2370">
        <v>40725</v>
      </c>
      <c r="DD28" s="2370">
        <v>40756</v>
      </c>
      <c r="DE28" s="2370">
        <v>40787</v>
      </c>
      <c r="DF28" s="2370">
        <f t="shared" ref="DF28:DS28" si="0">DF6</f>
        <v>40817</v>
      </c>
      <c r="DG28" s="2370">
        <f t="shared" si="0"/>
        <v>40848</v>
      </c>
      <c r="DH28" s="2370">
        <f t="shared" si="0"/>
        <v>40878</v>
      </c>
      <c r="DI28" s="2370">
        <f t="shared" si="0"/>
        <v>40909</v>
      </c>
      <c r="DJ28" s="2370">
        <f t="shared" si="0"/>
        <v>40940</v>
      </c>
      <c r="DK28" s="2370">
        <f t="shared" si="0"/>
        <v>40969</v>
      </c>
      <c r="DL28" s="2370">
        <f t="shared" si="0"/>
        <v>41000</v>
      </c>
      <c r="DM28" s="2370">
        <f t="shared" si="0"/>
        <v>41030</v>
      </c>
      <c r="DN28" s="2370">
        <f t="shared" si="0"/>
        <v>41061</v>
      </c>
      <c r="DO28" s="2370">
        <f t="shared" si="0"/>
        <v>41091</v>
      </c>
      <c r="DP28" s="2370">
        <f t="shared" si="0"/>
        <v>41122</v>
      </c>
      <c r="DQ28" s="2370">
        <f t="shared" si="0"/>
        <v>41153</v>
      </c>
      <c r="DR28" s="2370">
        <f t="shared" si="0"/>
        <v>41183</v>
      </c>
      <c r="DS28" s="2370">
        <f t="shared" si="0"/>
        <v>41214</v>
      </c>
      <c r="DT28" s="2370">
        <f>DT6</f>
        <v>41245</v>
      </c>
      <c r="DU28" s="2370">
        <f>DU6</f>
        <v>41276</v>
      </c>
      <c r="DV28" s="2370">
        <f>DV6</f>
        <v>41307</v>
      </c>
    </row>
    <row r="29" spans="1:126" s="323" customFormat="1" ht="13.5" thickBot="1">
      <c r="A29" s="2439" t="s">
        <v>3287</v>
      </c>
      <c r="B29" s="2440"/>
      <c r="C29" s="2440"/>
      <c r="D29" s="2440"/>
      <c r="E29" s="2440"/>
      <c r="F29" s="2440"/>
      <c r="G29" s="2440"/>
      <c r="H29" s="2440"/>
      <c r="I29" s="2440"/>
      <c r="J29" s="2440"/>
      <c r="K29" s="2440"/>
      <c r="L29" s="2440"/>
      <c r="M29" s="2440"/>
      <c r="N29" s="2440"/>
      <c r="O29" s="2440"/>
      <c r="P29" s="2440"/>
      <c r="Q29" s="2440"/>
      <c r="R29" s="2440"/>
      <c r="S29" s="2440"/>
      <c r="T29" s="2440"/>
      <c r="U29" s="2440"/>
      <c r="V29" s="2440"/>
      <c r="W29" s="2440"/>
      <c r="X29" s="2383"/>
      <c r="Y29" s="2381"/>
      <c r="Z29" s="2383"/>
      <c r="AA29" s="2381"/>
      <c r="AB29" s="2383"/>
      <c r="AC29" s="2381"/>
      <c r="AD29" s="2383"/>
      <c r="AE29" s="2381"/>
      <c r="AF29" s="2383"/>
      <c r="AG29" s="2381"/>
      <c r="AH29" s="2383"/>
      <c r="AI29" s="2381"/>
      <c r="AJ29" s="2383"/>
      <c r="AK29" s="2382"/>
      <c r="AL29" s="2382"/>
      <c r="AM29" s="2381"/>
      <c r="AN29" s="2381"/>
      <c r="AO29" s="2381"/>
      <c r="AP29" s="2383"/>
      <c r="AQ29" s="2381"/>
      <c r="AR29" s="2381"/>
      <c r="AS29" s="2383"/>
      <c r="AT29" s="2382"/>
      <c r="AU29" s="2382"/>
      <c r="AV29" s="2381"/>
      <c r="AW29" s="2381"/>
      <c r="AX29" s="2383"/>
      <c r="AY29" s="2382"/>
      <c r="AZ29" s="2381"/>
      <c r="BA29" s="2383"/>
      <c r="BB29" s="2382"/>
      <c r="BC29" s="2382"/>
      <c r="BD29" s="2381"/>
      <c r="BE29" s="2383"/>
      <c r="BF29" s="2382"/>
      <c r="BG29" s="2381"/>
      <c r="BH29" s="2383"/>
      <c r="BI29" s="2382"/>
      <c r="BJ29" s="2382"/>
      <c r="BK29" s="2382"/>
      <c r="BL29" s="2382"/>
      <c r="BM29" s="2382"/>
      <c r="BN29" s="2381"/>
      <c r="BO29" s="2381"/>
      <c r="BP29" s="2381"/>
      <c r="BQ29" s="2381"/>
      <c r="BR29" s="2381"/>
      <c r="BS29" s="2381"/>
      <c r="BT29" s="2381"/>
      <c r="BU29" s="2381"/>
      <c r="BV29" s="2381"/>
      <c r="BW29" s="2382"/>
      <c r="BX29" s="2382"/>
      <c r="BY29" s="2382"/>
      <c r="BZ29" s="2381"/>
      <c r="CA29" s="2381"/>
      <c r="CB29" s="2381"/>
      <c r="CC29" s="2381"/>
      <c r="CD29" s="2381"/>
      <c r="CE29" s="2381"/>
      <c r="CF29" s="2381"/>
      <c r="CG29" s="2381"/>
      <c r="CH29" s="2381"/>
      <c r="CI29" s="2441"/>
      <c r="CJ29" s="2441"/>
      <c r="CK29" s="2441"/>
      <c r="CL29" s="2379"/>
      <c r="CM29" s="2379"/>
      <c r="CN29" s="2379"/>
      <c r="CO29" s="2379"/>
      <c r="CP29" s="2379"/>
      <c r="CQ29" s="2379"/>
      <c r="CR29" s="2379"/>
      <c r="CS29" s="2379"/>
      <c r="CT29" s="2379"/>
      <c r="CU29" s="2379"/>
      <c r="CV29" s="2379"/>
      <c r="CW29" s="2379"/>
      <c r="CX29" s="2379"/>
      <c r="CY29" s="2379"/>
      <c r="CZ29" s="2379"/>
      <c r="DA29" s="2379"/>
      <c r="DB29" s="2379"/>
      <c r="DC29" s="2379"/>
      <c r="DD29" s="2379"/>
      <c r="DE29" s="2379"/>
      <c r="DF29" s="2379"/>
      <c r="DG29" s="2379"/>
      <c r="DH29" s="2379"/>
      <c r="DI29" s="2379"/>
      <c r="DJ29" s="2379"/>
      <c r="DK29" s="2379"/>
      <c r="DL29" s="2379"/>
      <c r="DM29" s="2379"/>
      <c r="DN29" s="2379"/>
      <c r="DO29" s="2379"/>
      <c r="DP29" s="2379"/>
      <c r="DQ29" s="2379"/>
      <c r="DR29" s="2379"/>
      <c r="DS29" s="2379"/>
      <c r="DT29" s="2379"/>
      <c r="DU29" s="2379"/>
      <c r="DV29" s="2379"/>
    </row>
    <row r="30" spans="1:126" s="323" customFormat="1" ht="21.75" customHeight="1">
      <c r="A30" s="2386" t="s">
        <v>3288</v>
      </c>
      <c r="B30" s="2442">
        <v>15.824999999999999</v>
      </c>
      <c r="C30" s="2442">
        <v>15.736000000000001</v>
      </c>
      <c r="D30" s="2442">
        <v>16.807727272727274</v>
      </c>
      <c r="E30" s="2442">
        <v>17.321000000000002</v>
      </c>
      <c r="F30" s="2442">
        <v>16.746521739130436</v>
      </c>
      <c r="G30" s="2442">
        <v>16.2985714285714</v>
      </c>
      <c r="H30" s="2442">
        <v>16.420500000000001</v>
      </c>
      <c r="I30" s="2442">
        <v>16.502600000000001</v>
      </c>
      <c r="J30" s="2442">
        <v>16.757999999999999</v>
      </c>
      <c r="K30" s="2442">
        <v>16.746500000000001</v>
      </c>
      <c r="L30" s="2442">
        <v>17.021000000000001</v>
      </c>
      <c r="M30" s="2442">
        <v>16.774999999999999</v>
      </c>
      <c r="N30" s="2442">
        <v>16.820499999999999</v>
      </c>
      <c r="O30" s="2442">
        <v>16.925000000000001</v>
      </c>
      <c r="P30" s="2442">
        <v>18.078099999999999</v>
      </c>
      <c r="Q30" s="2442">
        <v>19.045000000000002</v>
      </c>
      <c r="R30" s="2442">
        <v>19.766999999999999</v>
      </c>
      <c r="S30" s="2442">
        <v>19.231999999999999</v>
      </c>
      <c r="T30" s="2442">
        <v>19.481000000000002</v>
      </c>
      <c r="U30" s="2442">
        <v>20.094999999999999</v>
      </c>
      <c r="V30" s="2442">
        <v>20.541</v>
      </c>
      <c r="W30" s="2442">
        <v>20.177</v>
      </c>
      <c r="X30" s="2443">
        <v>20.393000000000001</v>
      </c>
      <c r="Y30" s="2391">
        <v>20.273</v>
      </c>
      <c r="Z30" s="2443">
        <v>19.875</v>
      </c>
      <c r="AA30" s="2391">
        <v>20.445</v>
      </c>
      <c r="AB30" s="2443">
        <v>19.911999999999999</v>
      </c>
      <c r="AC30" s="2391">
        <v>19.760000000000002</v>
      </c>
      <c r="AD30" s="2443">
        <v>20.459</v>
      </c>
      <c r="AE30" s="2391">
        <v>20.385999999999999</v>
      </c>
      <c r="AF30" s="2443">
        <v>20.271999999999998</v>
      </c>
      <c r="AG30" s="2391">
        <v>21.173999999999999</v>
      </c>
      <c r="AH30" s="2443">
        <v>22.21</v>
      </c>
      <c r="AI30" s="2391">
        <v>22.016999999999999</v>
      </c>
      <c r="AJ30" s="2443">
        <v>21.998999999999999</v>
      </c>
      <c r="AK30" s="2393">
        <v>22.949000000000002</v>
      </c>
      <c r="AL30" s="2393">
        <v>22.725000000000001</v>
      </c>
      <c r="AM30" s="2389">
        <v>22.585999999999999</v>
      </c>
      <c r="AN30" s="2444">
        <v>22.712700000000002</v>
      </c>
      <c r="AO30" s="2395">
        <v>22.446000000000002</v>
      </c>
      <c r="AP30" s="2445">
        <v>22.8643</v>
      </c>
      <c r="AQ30" s="2403">
        <v>23.132400000000001</v>
      </c>
      <c r="AR30" s="2446">
        <v>23.1129</v>
      </c>
      <c r="AS30" s="2444">
        <v>22.605799999999999</v>
      </c>
      <c r="AT30" s="2444">
        <v>22.9314</v>
      </c>
      <c r="AU30" s="2444">
        <v>23.199000000000002</v>
      </c>
      <c r="AV30" s="2395">
        <v>22.966000000000001</v>
      </c>
      <c r="AW30" s="2395">
        <v>22.6386</v>
      </c>
      <c r="AX30" s="2445">
        <v>22.902999999999999</v>
      </c>
      <c r="AY30" s="2444">
        <v>23.784500000000001</v>
      </c>
      <c r="AZ30" s="2395">
        <v>23.0745</v>
      </c>
      <c r="BA30" s="2445">
        <v>23.6295</v>
      </c>
      <c r="BB30" s="2444">
        <v>24.693300000000001</v>
      </c>
      <c r="BC30" s="2406">
        <v>24.946200000000001</v>
      </c>
      <c r="BD30" s="2403">
        <v>25.091899999999999</v>
      </c>
      <c r="BE30" s="2446">
        <v>26.064</v>
      </c>
      <c r="BF30" s="2406">
        <v>26.707999999999998</v>
      </c>
      <c r="BG30" s="2389">
        <v>26.759499999999999</v>
      </c>
      <c r="BH30" s="2392">
        <v>26.646100000000001</v>
      </c>
      <c r="BI30" s="2393">
        <v>26.481000000000002</v>
      </c>
      <c r="BJ30" s="2393">
        <v>27.138999999999999</v>
      </c>
      <c r="BK30" s="2393">
        <v>26.309100000000001</v>
      </c>
      <c r="BL30" s="2393">
        <v>26.992000000000001</v>
      </c>
      <c r="BM30" s="2393">
        <v>27.722300000000001</v>
      </c>
      <c r="BN30" s="2389">
        <v>26.2166</v>
      </c>
      <c r="BO30" s="2389">
        <v>26.647600000000001</v>
      </c>
      <c r="BP30" s="2389">
        <v>27.867799999999999</v>
      </c>
      <c r="BQ30" s="2389">
        <v>27.524999999999999</v>
      </c>
      <c r="BR30" s="2389">
        <v>26.2134</v>
      </c>
      <c r="BS30" s="2389">
        <v>25.8324</v>
      </c>
      <c r="BT30" s="2389">
        <v>26.4071</v>
      </c>
      <c r="BU30" s="2389">
        <v>25.279800000000002</v>
      </c>
      <c r="BV30" s="2389">
        <v>24.8523</v>
      </c>
      <c r="BW30" s="2393">
        <v>26.385000000000002</v>
      </c>
      <c r="BX30" s="2393">
        <v>26.586300000000001</v>
      </c>
      <c r="BY30" s="2393">
        <v>26.410699999999999</v>
      </c>
      <c r="BZ30" s="2389">
        <v>24.974799999999998</v>
      </c>
      <c r="CA30" s="2389">
        <v>24.301400000000001</v>
      </c>
      <c r="CB30" s="2389">
        <v>21.485099999999999</v>
      </c>
      <c r="CC30" s="2389">
        <v>21.5411</v>
      </c>
      <c r="CD30" s="2389">
        <v>22.0108</v>
      </c>
      <c r="CE30" s="2389">
        <v>22.5198</v>
      </c>
      <c r="CF30" s="2389">
        <v>22.138999999999999</v>
      </c>
      <c r="CG30" s="2389">
        <v>23.0684</v>
      </c>
      <c r="CH30" s="2389">
        <v>24.5871</v>
      </c>
      <c r="CI30" s="2389">
        <v>25.926429999999993</v>
      </c>
      <c r="CJ30" s="2389">
        <v>26.753404545454554</v>
      </c>
      <c r="CK30" s="2389">
        <v>26.610808695652167</v>
      </c>
      <c r="CL30" s="2389">
        <v>27.443220000000007</v>
      </c>
      <c r="CM30" s="2389">
        <v>27.693085714285708</v>
      </c>
      <c r="CN30" s="2389">
        <v>28.572818181818182</v>
      </c>
      <c r="CO30" s="2389">
        <v>28.594170000000002</v>
      </c>
      <c r="CP30" s="2389">
        <v>29.11</v>
      </c>
      <c r="CQ30" s="2389">
        <v>28.145677124721249</v>
      </c>
      <c r="CR30" s="2389">
        <v>28.351412763083577</v>
      </c>
      <c r="CS30" s="2389">
        <v>29.51271716679905</v>
      </c>
      <c r="CT30" s="2389">
        <v>30.112859290085709</v>
      </c>
      <c r="CU30" s="2389">
        <v>30.62334452555762</v>
      </c>
      <c r="CV30" s="2389">
        <v>31.222964875904054</v>
      </c>
      <c r="CW30" s="2389">
        <v>30.973330877776778</v>
      </c>
      <c r="CX30" s="2389">
        <v>30.766630119998712</v>
      </c>
      <c r="CY30" s="2389">
        <v>30.185050539688721</v>
      </c>
      <c r="CZ30" s="2389">
        <v>30.626423231730449</v>
      </c>
      <c r="DA30" s="2389">
        <v>30.63291965911311</v>
      </c>
      <c r="DB30" s="2389">
        <v>30.588510575347904</v>
      </c>
      <c r="DC30" s="2395">
        <v>31.257842370683864</v>
      </c>
      <c r="DD30" s="2395">
        <v>30.338127937876607</v>
      </c>
      <c r="DE30" s="2395">
        <v>30.012847556634835</v>
      </c>
      <c r="DF30" s="2395">
        <v>30.044773087857056</v>
      </c>
      <c r="DG30" s="2395">
        <v>30.051936631125955</v>
      </c>
      <c r="DH30" s="2395">
        <v>30.448734150137327</v>
      </c>
      <c r="DI30" s="2395">
        <v>31.346826834617055</v>
      </c>
      <c r="DJ30" s="2395">
        <v>32.006741442801321</v>
      </c>
      <c r="DK30" s="2395">
        <v>31.463934301725295</v>
      </c>
      <c r="DL30" s="2395">
        <v>30.891312718159249</v>
      </c>
      <c r="DM30" s="2395">
        <v>30.139375669120376</v>
      </c>
      <c r="DN30" s="2395">
        <v>31.017520678579249</v>
      </c>
      <c r="DO30" s="2395">
        <v>32.716449988451366</v>
      </c>
      <c r="DP30" s="2395">
        <v>32.97830074259879</v>
      </c>
      <c r="DQ30" s="2395">
        <v>32.306321025177965</v>
      </c>
      <c r="DR30" s="2395">
        <v>32.379576310038559</v>
      </c>
      <c r="DS30" s="2395">
        <v>32.976346461467429</v>
      </c>
      <c r="DT30" s="2395">
        <v>32.787822204921696</v>
      </c>
      <c r="DU30" s="2395">
        <v>32.641434351236455</v>
      </c>
      <c r="DV30" s="2395">
        <v>32.049381330959399</v>
      </c>
    </row>
    <row r="31" spans="1:126" s="323" customFormat="1" ht="21" customHeight="1">
      <c r="A31" s="2386" t="s">
        <v>3289</v>
      </c>
      <c r="B31" s="2442">
        <v>3.944</v>
      </c>
      <c r="C31" s="2442">
        <v>3.95</v>
      </c>
      <c r="D31" s="2447">
        <v>3.9350000000000001</v>
      </c>
      <c r="E31" s="2447">
        <v>3.92</v>
      </c>
      <c r="F31" s="2447">
        <v>3.89</v>
      </c>
      <c r="G31" s="2447">
        <v>3.8719047619047622</v>
      </c>
      <c r="H31" s="2447">
        <v>3.87</v>
      </c>
      <c r="I31" s="2447">
        <v>3.87</v>
      </c>
      <c r="J31" s="2447">
        <v>3.8490000000000002</v>
      </c>
      <c r="K31" s="2448">
        <v>3.8325</v>
      </c>
      <c r="L31" s="2448">
        <v>3.7559999999999998</v>
      </c>
      <c r="M31" s="2448">
        <v>3.6349999999999998</v>
      </c>
      <c r="N31" s="2448">
        <v>3.6</v>
      </c>
      <c r="O31" s="2448">
        <v>3.58</v>
      </c>
      <c r="P31" s="2448">
        <v>3.5979999999999999</v>
      </c>
      <c r="Q31" s="2448">
        <v>3.698</v>
      </c>
      <c r="R31" s="2448">
        <v>3.85</v>
      </c>
      <c r="S31" s="2448">
        <v>3.81</v>
      </c>
      <c r="T31" s="2448">
        <v>3.8029999999999999</v>
      </c>
      <c r="U31" s="2448">
        <v>3.7639999999999998</v>
      </c>
      <c r="V31" s="2448">
        <v>3.7170000000000001</v>
      </c>
      <c r="W31" s="2448">
        <v>3.552</v>
      </c>
      <c r="X31" s="2449">
        <v>3.444</v>
      </c>
      <c r="Y31" s="2403">
        <v>3.3879999999999999</v>
      </c>
      <c r="Z31" s="2446">
        <v>3.4289999999999998</v>
      </c>
      <c r="AA31" s="2403">
        <v>3.55</v>
      </c>
      <c r="AB31" s="2446">
        <v>3.653</v>
      </c>
      <c r="AC31" s="2403">
        <v>3.681</v>
      </c>
      <c r="AD31" s="2446">
        <v>3.69</v>
      </c>
      <c r="AE31" s="2403">
        <v>3.7050000000000001</v>
      </c>
      <c r="AF31" s="2446">
        <v>3.7280000000000002</v>
      </c>
      <c r="AG31" s="2403">
        <v>3.7370000000000001</v>
      </c>
      <c r="AH31" s="2446">
        <v>3.7330000000000001</v>
      </c>
      <c r="AI31" s="2403">
        <v>3.7090000000000001</v>
      </c>
      <c r="AJ31" s="2446">
        <v>3.7149999999999999</v>
      </c>
      <c r="AK31" s="2406">
        <v>3.7759999999999998</v>
      </c>
      <c r="AL31" s="2406">
        <v>3.7970000000000002</v>
      </c>
      <c r="AM31" s="2403">
        <v>3.8069999999999999</v>
      </c>
      <c r="AN31" s="2406">
        <v>3.8355000000000001</v>
      </c>
      <c r="AO31" s="2403">
        <v>3.8605</v>
      </c>
      <c r="AP31" s="2446">
        <v>3.8904000000000001</v>
      </c>
      <c r="AQ31" s="2403">
        <v>3.9195000000000002</v>
      </c>
      <c r="AR31" s="2446">
        <v>3.9857</v>
      </c>
      <c r="AS31" s="2406">
        <v>4.0057999999999998</v>
      </c>
      <c r="AT31" s="2406">
        <v>4.0217999999999998</v>
      </c>
      <c r="AU31" s="2406">
        <v>4.0262000000000002</v>
      </c>
      <c r="AV31" s="2403">
        <v>4.0309999999999997</v>
      </c>
      <c r="AW31" s="2403">
        <v>4.0414000000000003</v>
      </c>
      <c r="AX31" s="2446">
        <v>4.0540000000000003</v>
      </c>
      <c r="AY31" s="2406">
        <v>4.0590999999999999</v>
      </c>
      <c r="AZ31" s="2403">
        <v>4.0518000000000001</v>
      </c>
      <c r="BA31" s="2446">
        <v>4.0838000000000001</v>
      </c>
      <c r="BB31" s="2406">
        <v>4.1894999999999998</v>
      </c>
      <c r="BC31" s="2406">
        <v>4.2595000000000001</v>
      </c>
      <c r="BD31" s="2403">
        <v>4.2824</v>
      </c>
      <c r="BE31" s="2446">
        <v>4.3230000000000004</v>
      </c>
      <c r="BF31" s="2406">
        <v>4.3535000000000004</v>
      </c>
      <c r="BG31" s="2399">
        <v>4.3643000000000001</v>
      </c>
      <c r="BH31" s="2401">
        <v>4.3367000000000004</v>
      </c>
      <c r="BI31" s="2400">
        <v>4.29</v>
      </c>
      <c r="BJ31" s="2400">
        <v>4.2300000000000004</v>
      </c>
      <c r="BK31" s="2400">
        <v>4.1150000000000002</v>
      </c>
      <c r="BL31" s="2400">
        <v>4.1239999999999997</v>
      </c>
      <c r="BM31" s="2400">
        <v>4.1063999999999998</v>
      </c>
      <c r="BN31" s="2399">
        <v>4.0639000000000003</v>
      </c>
      <c r="BO31" s="2399">
        <v>4.0692000000000004</v>
      </c>
      <c r="BP31" s="2399">
        <v>4.0201000000000002</v>
      </c>
      <c r="BQ31" s="2399">
        <v>3.9750000000000001</v>
      </c>
      <c r="BR31" s="2399">
        <v>3.8677999999999999</v>
      </c>
      <c r="BS31" s="2399">
        <v>3.7618999999999998</v>
      </c>
      <c r="BT31" s="2399">
        <v>3.7162999999999999</v>
      </c>
      <c r="BU31" s="2399">
        <v>3.5333999999999999</v>
      </c>
      <c r="BV31" s="2399">
        <v>3.4279999999999999</v>
      </c>
      <c r="BW31" s="2400">
        <v>3.5682</v>
      </c>
      <c r="BX31" s="2400">
        <v>3.5886999999999998</v>
      </c>
      <c r="BY31" s="2400">
        <v>3.5314999999999999</v>
      </c>
      <c r="BZ31" s="2399">
        <v>3.6297999999999999</v>
      </c>
      <c r="CA31" s="2399">
        <v>3.8166000000000002</v>
      </c>
      <c r="CB31" s="2399">
        <v>4.0038999999999998</v>
      </c>
      <c r="CC31" s="2399">
        <v>4.2247000000000003</v>
      </c>
      <c r="CD31" s="2399">
        <v>4.2255000000000003</v>
      </c>
      <c r="CE31" s="2399">
        <v>4.2687999999999997</v>
      </c>
      <c r="CF31" s="2399">
        <v>4.3912000000000004</v>
      </c>
      <c r="CG31" s="2399">
        <v>4.4798</v>
      </c>
      <c r="CH31" s="2399">
        <v>4.4484000000000004</v>
      </c>
      <c r="CI31" s="2399">
        <v>4.3799949999999992</v>
      </c>
      <c r="CJ31" s="2399">
        <v>4.302868181818182</v>
      </c>
      <c r="CK31" s="2399">
        <v>4.2725304347826087</v>
      </c>
      <c r="CL31" s="2403">
        <v>4.2408299999999999</v>
      </c>
      <c r="CM31" s="2403">
        <v>4.154823809523811</v>
      </c>
      <c r="CN31" s="2403">
        <v>4.0675681818181815</v>
      </c>
      <c r="CO31" s="2403">
        <v>4.01098</v>
      </c>
      <c r="CP31" s="2403">
        <v>4.2949999999999999</v>
      </c>
      <c r="CQ31" s="2403">
        <v>4.1397233009506147</v>
      </c>
      <c r="CR31" s="2403">
        <v>4.0513598840255449</v>
      </c>
      <c r="CS31" s="2403">
        <v>4.0570222195653614</v>
      </c>
      <c r="CT31" s="2403">
        <v>3.9561081576010793</v>
      </c>
      <c r="CU31" s="2403">
        <v>3.9941304059057607</v>
      </c>
      <c r="CV31" s="2403">
        <v>4.0453675058209004</v>
      </c>
      <c r="CW31" s="2403">
        <v>4.0020943947118344</v>
      </c>
      <c r="CX31" s="2403">
        <v>3.9158040984083908</v>
      </c>
      <c r="CY31" s="2403">
        <v>3.8337018952404534</v>
      </c>
      <c r="CZ31" s="2403">
        <v>3.7226266249915567</v>
      </c>
      <c r="DA31" s="2403">
        <v>3.6846279947251364</v>
      </c>
      <c r="DB31" s="2403">
        <v>3.7038986978030337</v>
      </c>
      <c r="DC31" s="2403">
        <v>3.7242329538244947</v>
      </c>
      <c r="DD31" s="2403">
        <v>3.7013727373927763</v>
      </c>
      <c r="DE31" s="2403">
        <v>3.7653233678275151</v>
      </c>
      <c r="DF31" s="2403">
        <v>3.8225422460528868</v>
      </c>
      <c r="DG31" s="2403">
        <v>3.8303576279951685</v>
      </c>
      <c r="DH31" s="2403">
        <v>3.8659267781003384</v>
      </c>
      <c r="DI31" s="2403">
        <v>3.8776913305966039</v>
      </c>
      <c r="DJ31" s="2403">
        <v>3.8457417095633</v>
      </c>
      <c r="DK31" s="2403">
        <v>3.8394627452982077</v>
      </c>
      <c r="DL31" s="2403">
        <v>3.844529935446976</v>
      </c>
      <c r="DM31" s="2403">
        <v>3.8861132595433365</v>
      </c>
      <c r="DN31" s="2403">
        <v>3.9970594903172452</v>
      </c>
      <c r="DO31" s="2403">
        <v>4.0933269093644506</v>
      </c>
      <c r="DP31" s="2403">
        <v>4.0593048413268411</v>
      </c>
      <c r="DQ31" s="2403">
        <v>4.0065480539397695</v>
      </c>
      <c r="DR31" s="2403">
        <v>4.0518552961772629</v>
      </c>
      <c r="DS31" s="2403">
        <v>4.0853108383199217</v>
      </c>
      <c r="DT31" s="2403">
        <v>4.0428057794796608</v>
      </c>
      <c r="DU31" s="2403">
        <v>4.0093602332428988</v>
      </c>
      <c r="DV31" s="2403">
        <v>4.0029797157687179</v>
      </c>
    </row>
    <row r="32" spans="1:126" s="323" customFormat="1" ht="21" customHeight="1">
      <c r="A32" s="2386" t="s">
        <v>3290</v>
      </c>
      <c r="B32" s="2442">
        <v>64</v>
      </c>
      <c r="C32" s="2442">
        <v>64</v>
      </c>
      <c r="D32" s="2447">
        <v>63.18181818181818</v>
      </c>
      <c r="E32" s="2447">
        <v>63</v>
      </c>
      <c r="F32" s="2447">
        <v>63</v>
      </c>
      <c r="G32" s="2447">
        <v>63</v>
      </c>
      <c r="H32" s="2447">
        <v>63</v>
      </c>
      <c r="I32" s="2447">
        <v>63</v>
      </c>
      <c r="J32" s="2447">
        <v>63</v>
      </c>
      <c r="K32" s="2448">
        <v>63</v>
      </c>
      <c r="L32" s="2448">
        <v>61.905000000000001</v>
      </c>
      <c r="M32" s="2448">
        <v>60.052999999999997</v>
      </c>
      <c r="N32" s="2448">
        <v>59.6</v>
      </c>
      <c r="O32" s="2448">
        <v>59.713999999999999</v>
      </c>
      <c r="P32" s="2448">
        <v>60.286000000000001</v>
      </c>
      <c r="Q32" s="2448">
        <v>62.332999999999998</v>
      </c>
      <c r="R32" s="2448">
        <v>65.652000000000001</v>
      </c>
      <c r="S32" s="2448">
        <v>65</v>
      </c>
      <c r="T32" s="2448">
        <v>64.951999999999998</v>
      </c>
      <c r="U32" s="2448">
        <v>64.912999999999997</v>
      </c>
      <c r="V32" s="2448">
        <v>64.052999999999997</v>
      </c>
      <c r="W32" s="2448">
        <v>60.908999999999999</v>
      </c>
      <c r="X32" s="2449">
        <v>59.158000000000001</v>
      </c>
      <c r="Y32" s="2403">
        <v>58.555999999999997</v>
      </c>
      <c r="Z32" s="2446">
        <v>59.908999999999999</v>
      </c>
      <c r="AA32" s="2403">
        <v>63.591000000000001</v>
      </c>
      <c r="AB32" s="2446">
        <v>63.619</v>
      </c>
      <c r="AC32" s="2403">
        <v>63.591000000000001</v>
      </c>
      <c r="AD32" s="2446">
        <v>63</v>
      </c>
      <c r="AE32" s="2403">
        <v>63</v>
      </c>
      <c r="AF32" s="2446">
        <v>63.591000000000001</v>
      </c>
      <c r="AG32" s="2403">
        <v>64</v>
      </c>
      <c r="AH32" s="2446">
        <v>64.95</v>
      </c>
      <c r="AI32" s="2403">
        <v>66</v>
      </c>
      <c r="AJ32" s="2446">
        <v>66.736999999999995</v>
      </c>
      <c r="AK32" s="2406">
        <v>68</v>
      </c>
      <c r="AL32" s="2406">
        <v>68.048000000000002</v>
      </c>
      <c r="AM32" s="2403">
        <v>68.817999999999998</v>
      </c>
      <c r="AN32" s="2406">
        <v>68.954499999999996</v>
      </c>
      <c r="AO32" s="2403">
        <v>69.238100000000003</v>
      </c>
      <c r="AP32" s="2446">
        <v>69.912999999999997</v>
      </c>
      <c r="AQ32" s="2403">
        <v>69.952399999999997</v>
      </c>
      <c r="AR32" s="2446">
        <v>69.285700000000006</v>
      </c>
      <c r="AS32" s="2406">
        <v>68.052599999999998</v>
      </c>
      <c r="AT32" s="2406">
        <v>68.590900000000005</v>
      </c>
      <c r="AU32" s="2406">
        <v>70.714299999999994</v>
      </c>
      <c r="AV32" s="2403">
        <v>70.947000000000003</v>
      </c>
      <c r="AW32" s="2403">
        <v>70.863600000000005</v>
      </c>
      <c r="AX32" s="2446">
        <v>70.3</v>
      </c>
      <c r="AY32" s="2406">
        <v>69.409099999999995</v>
      </c>
      <c r="AZ32" s="2403">
        <v>68.590900000000005</v>
      </c>
      <c r="BA32" s="2446">
        <v>68.523799999999994</v>
      </c>
      <c r="BB32" s="2406">
        <v>70.095200000000006</v>
      </c>
      <c r="BC32" s="2406">
        <v>71.952399999999997</v>
      </c>
      <c r="BD32" s="2403">
        <v>73.523799999999994</v>
      </c>
      <c r="BE32" s="2446">
        <v>75.429000000000002</v>
      </c>
      <c r="BF32" s="2406">
        <v>76.25</v>
      </c>
      <c r="BG32" s="2399">
        <v>77.333299999999994</v>
      </c>
      <c r="BH32" s="2401">
        <v>77</v>
      </c>
      <c r="BI32" s="2400">
        <v>76.400000000000006</v>
      </c>
      <c r="BJ32" s="2400">
        <v>78.285700000000006</v>
      </c>
      <c r="BK32" s="2400">
        <v>78.954499999999996</v>
      </c>
      <c r="BL32" s="2400">
        <v>79.286000000000001</v>
      </c>
      <c r="BM32" s="2400">
        <v>79.818200000000004</v>
      </c>
      <c r="BN32" s="2399">
        <v>77.960899999999995</v>
      </c>
      <c r="BO32" s="2399">
        <v>78.775000000000006</v>
      </c>
      <c r="BP32" s="2399">
        <v>79.109099999999998</v>
      </c>
      <c r="BQ32" s="2399">
        <v>78.573999999999998</v>
      </c>
      <c r="BR32" s="2399">
        <v>76.646000000000001</v>
      </c>
      <c r="BS32" s="2399">
        <v>74.816500000000005</v>
      </c>
      <c r="BT32" s="2399">
        <v>73.027900000000002</v>
      </c>
      <c r="BU32" s="2399">
        <v>68.251099999999994</v>
      </c>
      <c r="BV32" s="2399">
        <v>66.897599999999997</v>
      </c>
      <c r="BW32" s="2400">
        <v>66.310500000000005</v>
      </c>
      <c r="BX32" s="2400">
        <v>65.688999999999993</v>
      </c>
      <c r="BY32" s="2400">
        <v>64.503900000000002</v>
      </c>
      <c r="BZ32" s="2399">
        <v>66.189499999999995</v>
      </c>
      <c r="CA32" s="2399">
        <v>65.544300000000007</v>
      </c>
      <c r="CB32" s="2399">
        <v>64.2667</v>
      </c>
      <c r="CC32" s="2399">
        <v>67.496499999999997</v>
      </c>
      <c r="CD32" s="2399">
        <v>67.920500000000004</v>
      </c>
      <c r="CE32" s="2399">
        <v>68.508399999999995</v>
      </c>
      <c r="CF32" s="2399">
        <v>69.766300000000001</v>
      </c>
      <c r="CG32" s="2399">
        <v>68.474500000000006</v>
      </c>
      <c r="CH32" s="2399">
        <v>69.297700000000006</v>
      </c>
      <c r="CI32" s="2399">
        <v>70.414000000000001</v>
      </c>
      <c r="CJ32" s="2399">
        <v>70.378181818181801</v>
      </c>
      <c r="CK32" s="2399">
        <v>68.765652173913054</v>
      </c>
      <c r="CL32" s="2403">
        <v>68.421499999999995</v>
      </c>
      <c r="CM32" s="2403">
        <v>66.7895238095238</v>
      </c>
      <c r="CN32" s="2403">
        <v>67.749545454545455</v>
      </c>
      <c r="CO32" s="2403">
        <v>66.978500000000011</v>
      </c>
      <c r="CP32" s="2403">
        <v>73.066999999999993</v>
      </c>
      <c r="CQ32" s="2403">
        <v>68.86211647026289</v>
      </c>
      <c r="CR32" s="2403">
        <v>65.897031043300487</v>
      </c>
      <c r="CS32" s="2403">
        <v>68.7143630599695</v>
      </c>
      <c r="CT32" s="2403">
        <v>69.315748782257828</v>
      </c>
      <c r="CU32" s="2403">
        <v>69.015106149543314</v>
      </c>
      <c r="CV32" s="2403">
        <v>69.826788976955271</v>
      </c>
      <c r="CW32" s="2403">
        <v>68.781963729866419</v>
      </c>
      <c r="CX32" s="2403">
        <v>67.354186123825627</v>
      </c>
      <c r="CY32" s="2403">
        <v>66.600378798719831</v>
      </c>
      <c r="CZ32" s="2403">
        <v>65.435534396816664</v>
      </c>
      <c r="DA32" s="2403">
        <v>64.054022554769205</v>
      </c>
      <c r="DB32" s="2403">
        <v>64.523625062510192</v>
      </c>
      <c r="DC32" s="2403">
        <v>65.529838024875261</v>
      </c>
      <c r="DD32" s="2403">
        <v>63.960049655621326</v>
      </c>
      <c r="DE32" s="2403">
        <v>61.871562662503827</v>
      </c>
      <c r="DF32" s="2403">
        <v>60.68117150228219</v>
      </c>
      <c r="DG32" s="2403">
        <v>59.065912914166987</v>
      </c>
      <c r="DH32" s="2403">
        <v>57.524063303000275</v>
      </c>
      <c r="DI32" s="2403">
        <v>59.151084549498989</v>
      </c>
      <c r="DJ32" s="2403">
        <v>60.909380118662497</v>
      </c>
      <c r="DK32" s="2403">
        <v>59.521136390783639</v>
      </c>
      <c r="DL32" s="2403">
        <v>58.066947460780469</v>
      </c>
      <c r="DM32" s="2403">
        <v>55.803360862746779</v>
      </c>
      <c r="DN32" s="2403">
        <v>55.842307668425953</v>
      </c>
      <c r="DO32" s="2403">
        <v>57.697443963254521</v>
      </c>
      <c r="DP32" s="2403">
        <v>56.999271102326617</v>
      </c>
      <c r="DQ32" s="2403">
        <v>57.232107243719589</v>
      </c>
      <c r="DR32" s="2403">
        <v>59.58665711675684</v>
      </c>
      <c r="DS32" s="2403">
        <v>58.004173600543311</v>
      </c>
      <c r="DT32" s="2403">
        <v>57.638894749970497</v>
      </c>
      <c r="DU32" s="2403">
        <v>57.609843541962285</v>
      </c>
      <c r="DV32" s="2403">
        <v>58.055010188963131</v>
      </c>
    </row>
    <row r="33" spans="1:126" s="323" customFormat="1" ht="21" customHeight="1">
      <c r="A33" s="2386" t="s">
        <v>3291</v>
      </c>
      <c r="B33" s="2442">
        <v>23.064</v>
      </c>
      <c r="C33" s="2442">
        <v>22.917999999999999</v>
      </c>
      <c r="D33" s="2442">
        <v>24.135454545454547</v>
      </c>
      <c r="E33" s="2442">
        <v>24.5855</v>
      </c>
      <c r="F33" s="2442">
        <v>25.547826086956523</v>
      </c>
      <c r="G33" s="2450">
        <v>25.21</v>
      </c>
      <c r="H33" s="2448">
        <v>24.834</v>
      </c>
      <c r="I33" s="2448">
        <v>24.187999999999999</v>
      </c>
      <c r="J33" s="2448">
        <v>24.542999999999999</v>
      </c>
      <c r="K33" s="2448">
        <v>24.344000000000001</v>
      </c>
      <c r="L33" s="2448">
        <v>24.503</v>
      </c>
      <c r="M33" s="2448">
        <v>23.597999999999999</v>
      </c>
      <c r="N33" s="2448">
        <v>23.508500000000002</v>
      </c>
      <c r="O33" s="2448">
        <v>23.114000000000001</v>
      </c>
      <c r="P33" s="2448">
        <v>23.763999999999999</v>
      </c>
      <c r="Q33" s="2448">
        <v>24.213999999999999</v>
      </c>
      <c r="R33" s="2448">
        <v>25.120999999999999</v>
      </c>
      <c r="S33" s="2448">
        <v>24.832999999999998</v>
      </c>
      <c r="T33" s="2448">
        <v>25.553999999999998</v>
      </c>
      <c r="U33" s="2448">
        <v>26.431000000000001</v>
      </c>
      <c r="V33" s="2448">
        <v>26.248000000000001</v>
      </c>
      <c r="W33" s="2448">
        <v>25.391999999999999</v>
      </c>
      <c r="X33" s="2449">
        <v>24.934999999999999</v>
      </c>
      <c r="Y33" s="2403">
        <v>24.466999999999999</v>
      </c>
      <c r="Z33" s="2446">
        <v>24.416</v>
      </c>
      <c r="AA33" s="2403">
        <v>25.539000000000001</v>
      </c>
      <c r="AB33" s="2446">
        <v>25.210999999999999</v>
      </c>
      <c r="AC33" s="2403">
        <v>26</v>
      </c>
      <c r="AD33" s="2446">
        <v>26.111999999999998</v>
      </c>
      <c r="AE33" s="2403">
        <v>25.981999999999999</v>
      </c>
      <c r="AF33" s="2446">
        <v>26.2</v>
      </c>
      <c r="AG33" s="2403">
        <v>26.487100000000002</v>
      </c>
      <c r="AH33" s="2446">
        <v>27.506</v>
      </c>
      <c r="AI33" s="2403">
        <v>27.577000000000002</v>
      </c>
      <c r="AJ33" s="2446">
        <v>27.818000000000001</v>
      </c>
      <c r="AK33" s="2406">
        <v>27.756</v>
      </c>
      <c r="AL33" s="2406">
        <v>27.359000000000002</v>
      </c>
      <c r="AM33" s="2403">
        <v>27.611000000000001</v>
      </c>
      <c r="AN33" s="2406">
        <v>27.252700000000001</v>
      </c>
      <c r="AO33" s="2403">
        <v>26.609000000000002</v>
      </c>
      <c r="AP33" s="2446">
        <v>27.1004</v>
      </c>
      <c r="AQ33" s="2403">
        <v>27.188099999999999</v>
      </c>
      <c r="AR33" s="2446">
        <v>26.686699999999998</v>
      </c>
      <c r="AS33" s="2406">
        <v>25.946300000000001</v>
      </c>
      <c r="AT33" s="2406">
        <v>26.076799999999999</v>
      </c>
      <c r="AU33" s="2406">
        <v>26.785699999999999</v>
      </c>
      <c r="AV33" s="2403">
        <v>26.277999999999999</v>
      </c>
      <c r="AW33" s="2403">
        <v>26.502300000000002</v>
      </c>
      <c r="AX33" s="2446">
        <v>26.616</v>
      </c>
      <c r="AY33" s="2406">
        <v>27.895900000000001</v>
      </c>
      <c r="AZ33" s="2403">
        <v>27.2209</v>
      </c>
      <c r="BA33" s="2446">
        <v>27.232900000000001</v>
      </c>
      <c r="BB33" s="2406">
        <v>27.9633</v>
      </c>
      <c r="BC33" s="2406">
        <v>28.203800000000001</v>
      </c>
      <c r="BD33" s="2403">
        <v>28.113800000000001</v>
      </c>
      <c r="BE33" s="2446">
        <v>28.952999999999999</v>
      </c>
      <c r="BF33" s="2406">
        <v>29.172499999999999</v>
      </c>
      <c r="BG33" s="2407">
        <v>28.543299999999999</v>
      </c>
      <c r="BH33" s="2408">
        <v>28.372199999999999</v>
      </c>
      <c r="BI33" s="2409">
        <v>28.734000000000002</v>
      </c>
      <c r="BJ33" s="2409">
        <v>27.9495</v>
      </c>
      <c r="BK33" s="2409">
        <v>26.569500000000001</v>
      </c>
      <c r="BL33" s="2409">
        <v>26.21</v>
      </c>
      <c r="BM33" s="2409">
        <v>26.345500000000001</v>
      </c>
      <c r="BN33" s="2407">
        <v>27.143699999999999</v>
      </c>
      <c r="BO33" s="2407">
        <v>27.432700000000001</v>
      </c>
      <c r="BP33" s="2407">
        <v>26.814900000000002</v>
      </c>
      <c r="BQ33" s="2407">
        <v>27.858000000000001</v>
      </c>
      <c r="BR33" s="2407">
        <v>26.7685</v>
      </c>
      <c r="BS33" s="2407">
        <v>27.181799999999999</v>
      </c>
      <c r="BT33" s="2407">
        <v>26.9299</v>
      </c>
      <c r="BU33" s="2407">
        <v>27.285499999999999</v>
      </c>
      <c r="BV33" s="2407">
        <v>25.956299999999999</v>
      </c>
      <c r="BW33" s="2409">
        <v>26.654499999999999</v>
      </c>
      <c r="BX33" s="2409">
        <v>26.114999999999998</v>
      </c>
      <c r="BY33" s="2409">
        <v>25.691700000000001</v>
      </c>
      <c r="BZ33" s="2407">
        <v>25.857199999999999</v>
      </c>
      <c r="CA33" s="2407">
        <v>27.831</v>
      </c>
      <c r="CB33" s="2407">
        <v>30.986899999999999</v>
      </c>
      <c r="CC33" s="2407">
        <v>33.819400000000002</v>
      </c>
      <c r="CD33" s="2407">
        <v>35.886499999999998</v>
      </c>
      <c r="CE33" s="2407">
        <v>36.633099999999999</v>
      </c>
      <c r="CF33" s="2407">
        <v>36.893300000000004</v>
      </c>
      <c r="CG33" s="2407">
        <v>35.534999999999997</v>
      </c>
      <c r="CH33" s="2407">
        <v>34.904299999999999</v>
      </c>
      <c r="CI33" s="2407">
        <v>35.160759999999996</v>
      </c>
      <c r="CJ33" s="2407">
        <v>34.542513636363637</v>
      </c>
      <c r="CK33" s="2407">
        <v>35.017826086956518</v>
      </c>
      <c r="CL33" s="2403">
        <v>34.668535000000006</v>
      </c>
      <c r="CM33" s="2403">
        <v>35.190357142857138</v>
      </c>
      <c r="CN33" s="2403">
        <v>34.917936363636365</v>
      </c>
      <c r="CO33" s="2403">
        <v>34.857955000000004</v>
      </c>
      <c r="CP33" s="2403">
        <v>36.341000000000001</v>
      </c>
      <c r="CQ33" s="2403">
        <v>36.692936567728495</v>
      </c>
      <c r="CR33" s="2403">
        <v>36.804159711674451</v>
      </c>
      <c r="CS33" s="2403">
        <v>37.304145467473447</v>
      </c>
      <c r="CT33" s="2403">
        <v>37.487636295544789</v>
      </c>
      <c r="CU33" s="2403">
        <v>37.514138550857908</v>
      </c>
      <c r="CV33" s="2403">
        <v>37.766634538297168</v>
      </c>
      <c r="CW33" s="2403">
        <v>37.671630673585121</v>
      </c>
      <c r="CX33" s="2403">
        <v>36.885271311999453</v>
      </c>
      <c r="CY33" s="2403">
        <v>36.555570874110728</v>
      </c>
      <c r="CZ33" s="2403">
        <v>34.779981581591322</v>
      </c>
      <c r="DA33" s="2403">
        <v>35.315543500984226</v>
      </c>
      <c r="DB33" s="2403">
        <v>35.837918929919418</v>
      </c>
      <c r="DC33" s="2403">
        <v>36.543245571885898</v>
      </c>
      <c r="DD33" s="2403">
        <v>37.429552990639543</v>
      </c>
      <c r="DE33" s="2403">
        <v>38.243639857628729</v>
      </c>
      <c r="DF33" s="2403">
        <v>38.736484118685929</v>
      </c>
      <c r="DG33" s="2403">
        <v>38.48350432443651</v>
      </c>
      <c r="DH33" s="2403">
        <v>38.625087226013278</v>
      </c>
      <c r="DI33" s="2403">
        <v>39.188945240356873</v>
      </c>
      <c r="DJ33" s="2403">
        <v>37.998642237088745</v>
      </c>
      <c r="DK33" s="2403">
        <v>36.183977166618781</v>
      </c>
      <c r="DL33" s="2403">
        <v>36.700277599609223</v>
      </c>
      <c r="DM33" s="2403">
        <v>37.906968637018529</v>
      </c>
      <c r="DN33" s="2403">
        <v>39.202847166653498</v>
      </c>
      <c r="DO33" s="2403">
        <v>40.254227585876507</v>
      </c>
      <c r="DP33" s="2403">
        <v>40.057874922647798</v>
      </c>
      <c r="DQ33" s="2403">
        <v>39.783699705703675</v>
      </c>
      <c r="DR33" s="2403">
        <v>39.872598431789662</v>
      </c>
      <c r="DS33" s="2403">
        <v>39.145606978037954</v>
      </c>
      <c r="DT33" s="2403">
        <v>37.462340886096506</v>
      </c>
      <c r="DU33" s="2403">
        <v>34.945188956792357</v>
      </c>
      <c r="DV33" s="2403">
        <v>33.399778495029103</v>
      </c>
    </row>
    <row r="34" spans="1:126" s="323" customFormat="1" ht="21" customHeight="1">
      <c r="A34" s="2386" t="s">
        <v>3292</v>
      </c>
      <c r="B34" s="2442">
        <v>39.436</v>
      </c>
      <c r="C34" s="2442">
        <v>39.646000000000001</v>
      </c>
      <c r="D34" s="2442">
        <v>39.457727272727276</v>
      </c>
      <c r="E34" s="2443">
        <v>39.142000000000003</v>
      </c>
      <c r="F34" s="2450">
        <v>38.796086956521734</v>
      </c>
      <c r="G34" s="2448">
        <v>38.712857142857146</v>
      </c>
      <c r="H34" s="2448">
        <v>38.537999999999997</v>
      </c>
      <c r="I34" s="2448">
        <v>38.296999999999997</v>
      </c>
      <c r="J34" s="2448">
        <v>37.993000000000002</v>
      </c>
      <c r="K34" s="2448">
        <v>37.825499999999998</v>
      </c>
      <c r="L34" s="2448">
        <v>38.017000000000003</v>
      </c>
      <c r="M34" s="2448">
        <v>37.140999999999998</v>
      </c>
      <c r="N34" s="2448">
        <v>36.915500000000002</v>
      </c>
      <c r="O34" s="2448">
        <v>37.182000000000002</v>
      </c>
      <c r="P34" s="2448">
        <v>39.506999999999998</v>
      </c>
      <c r="Q34" s="2448">
        <v>39.643999999999998</v>
      </c>
      <c r="R34" s="2448">
        <v>40.590000000000003</v>
      </c>
      <c r="S34" s="2448">
        <v>39.488999999999997</v>
      </c>
      <c r="T34" s="2448">
        <v>38.35</v>
      </c>
      <c r="U34" s="2448">
        <v>37.883000000000003</v>
      </c>
      <c r="V34" s="2448">
        <v>37.969000000000001</v>
      </c>
      <c r="W34" s="2448">
        <v>36.564</v>
      </c>
      <c r="X34" s="2449">
        <v>35.356999999999999</v>
      </c>
      <c r="Y34" s="2403">
        <v>34.877000000000002</v>
      </c>
      <c r="Z34" s="2446">
        <v>35.03</v>
      </c>
      <c r="AA34" s="2403">
        <v>35.975000000000001</v>
      </c>
      <c r="AB34" s="2446">
        <v>36.396999999999998</v>
      </c>
      <c r="AC34" s="2403">
        <v>36.655999999999999</v>
      </c>
      <c r="AD34" s="2446">
        <v>36.417999999999999</v>
      </c>
      <c r="AE34" s="2403">
        <v>36.195999999999998</v>
      </c>
      <c r="AF34" s="2446">
        <v>36.423000000000002</v>
      </c>
      <c r="AG34" s="2403">
        <v>36.216000000000001</v>
      </c>
      <c r="AH34" s="2446">
        <v>36.149000000000001</v>
      </c>
      <c r="AI34" s="2403">
        <v>36.567999999999998</v>
      </c>
      <c r="AJ34" s="2446">
        <v>37.551000000000002</v>
      </c>
      <c r="AK34" s="2406">
        <v>39.923999999999999</v>
      </c>
      <c r="AL34" s="2406">
        <v>39.326999999999998</v>
      </c>
      <c r="AM34" s="2403">
        <v>39.268999999999998</v>
      </c>
      <c r="AN34" s="2406">
        <v>39.335000000000001</v>
      </c>
      <c r="AO34" s="2403">
        <v>39.794800000000002</v>
      </c>
      <c r="AP34" s="2446">
        <v>40.283900000000003</v>
      </c>
      <c r="AQ34" s="2403">
        <v>41.495699999999999</v>
      </c>
      <c r="AR34" s="2446">
        <v>42.29</v>
      </c>
      <c r="AS34" s="2406">
        <v>41.866799999999998</v>
      </c>
      <c r="AT34" s="2406">
        <v>43.012700000000002</v>
      </c>
      <c r="AU34" s="2406">
        <v>43.567599999999999</v>
      </c>
      <c r="AV34" s="2403">
        <v>43.902999999999999</v>
      </c>
      <c r="AW34" s="2403">
        <v>43.833599999999997</v>
      </c>
      <c r="AX34" s="2446">
        <v>44.591000000000001</v>
      </c>
      <c r="AY34" s="2406">
        <v>44.249499999999998</v>
      </c>
      <c r="AZ34" s="2403">
        <v>43.354100000000003</v>
      </c>
      <c r="BA34" s="2446">
        <v>43.459499999999998</v>
      </c>
      <c r="BB34" s="2406">
        <v>45.168100000000003</v>
      </c>
      <c r="BC34" s="2406">
        <v>46.061</v>
      </c>
      <c r="BD34" s="2403">
        <v>46.639499999999998</v>
      </c>
      <c r="BE34" s="2446">
        <v>47.734000000000002</v>
      </c>
      <c r="BF34" s="2406">
        <v>48.984000000000002</v>
      </c>
      <c r="BG34" s="2407">
        <v>49.097099999999998</v>
      </c>
      <c r="BH34" s="2408">
        <v>49.232199999999999</v>
      </c>
      <c r="BI34" s="2409">
        <v>48.798499999999997</v>
      </c>
      <c r="BJ34" s="2409">
        <v>48.476199999999999</v>
      </c>
      <c r="BK34" s="2409">
        <v>48.274999999999999</v>
      </c>
      <c r="BL34" s="2409">
        <v>48.978999999999999</v>
      </c>
      <c r="BM34" s="2409">
        <v>48.316800000000001</v>
      </c>
      <c r="BN34" s="2407">
        <v>47.771099999999997</v>
      </c>
      <c r="BO34" s="2407">
        <v>47.591099999999997</v>
      </c>
      <c r="BP34" s="2407">
        <v>46.9343</v>
      </c>
      <c r="BQ34" s="2407">
        <v>47.74</v>
      </c>
      <c r="BR34" s="2407">
        <v>48.040500000000002</v>
      </c>
      <c r="BS34" s="2407">
        <v>43.557699999999997</v>
      </c>
      <c r="BT34" s="2407">
        <v>41.818800000000003</v>
      </c>
      <c r="BU34" s="2407">
        <v>43.066600000000001</v>
      </c>
      <c r="BV34" s="2407">
        <v>43.333599999999997</v>
      </c>
      <c r="BW34" s="2409">
        <v>45.686900000000001</v>
      </c>
      <c r="BX34" s="2409">
        <v>44.701799999999999</v>
      </c>
      <c r="BY34" s="2409">
        <v>41.885599999999997</v>
      </c>
      <c r="BZ34" s="2407">
        <v>42.515500000000003</v>
      </c>
      <c r="CA34" s="2407">
        <v>42.244399999999999</v>
      </c>
      <c r="CB34" s="2407">
        <v>41.433900000000001</v>
      </c>
      <c r="CC34" s="2407">
        <v>42.739100000000001</v>
      </c>
      <c r="CD34" s="2407">
        <v>42.6708</v>
      </c>
      <c r="CE34" s="2407">
        <v>42.601999999999997</v>
      </c>
      <c r="CF34" s="2407">
        <v>43.5608</v>
      </c>
      <c r="CG34" s="2407">
        <v>43.8474</v>
      </c>
      <c r="CH34" s="2407">
        <v>43.926299999999998</v>
      </c>
      <c r="CI34" s="2407">
        <v>44.148360000000004</v>
      </c>
      <c r="CJ34" s="2407">
        <v>43.427940909090907</v>
      </c>
      <c r="CK34" s="2407">
        <v>43.696795652173911</v>
      </c>
      <c r="CL34" s="2403">
        <v>43.597209999999997</v>
      </c>
      <c r="CM34" s="2403">
        <v>43.069500000000005</v>
      </c>
      <c r="CN34" s="2403">
        <v>42.462459090909086</v>
      </c>
      <c r="CO34" s="2403">
        <v>42.148665000000001</v>
      </c>
      <c r="CP34" s="2403">
        <v>43.081000000000003</v>
      </c>
      <c r="CQ34" s="2403">
        <v>39.937895645536898</v>
      </c>
      <c r="CR34" s="2403">
        <v>39.55914237400696</v>
      </c>
      <c r="CS34" s="2403">
        <v>39.417372924900988</v>
      </c>
      <c r="CT34" s="2403">
        <v>38.49104492208825</v>
      </c>
      <c r="CU34" s="2403">
        <v>38.97069638078392</v>
      </c>
      <c r="CV34" s="2403">
        <v>39.530661053928846</v>
      </c>
      <c r="CW34" s="2403">
        <v>38.868183072311083</v>
      </c>
      <c r="CX34" s="2403">
        <v>37.761709799743528</v>
      </c>
      <c r="CY34" s="2403">
        <v>35.791531683946189</v>
      </c>
      <c r="CZ34" s="2403">
        <v>34.818135279916362</v>
      </c>
      <c r="DA34" s="2403">
        <v>33.977819673215414</v>
      </c>
      <c r="DB34" s="2403">
        <v>32.883559788158692</v>
      </c>
      <c r="DC34" s="2403">
        <v>32.624999958574001</v>
      </c>
      <c r="DD34" s="2403">
        <v>31.386385145052337</v>
      </c>
      <c r="DE34" s="2403">
        <v>30.762696631073489</v>
      </c>
      <c r="DF34" s="2403">
        <v>29.640542669905425</v>
      </c>
      <c r="DG34" s="2403">
        <v>32.244454953418689</v>
      </c>
      <c r="DH34" s="2403">
        <v>34.977597749648723</v>
      </c>
      <c r="DI34" s="2403">
        <v>35.163721608102499</v>
      </c>
      <c r="DJ34" s="2403">
        <v>36.125749987164085</v>
      </c>
      <c r="DK34" s="2403">
        <v>36.220702657724836</v>
      </c>
      <c r="DL34" s="2403">
        <v>36.126301119529508</v>
      </c>
      <c r="DM34" s="2403">
        <v>36.049917131966311</v>
      </c>
      <c r="DN34" s="2403">
        <v>36.916167044965121</v>
      </c>
      <c r="DO34" s="2403">
        <v>38.064691042077662</v>
      </c>
      <c r="DP34" s="2403">
        <v>37.64769739794221</v>
      </c>
      <c r="DQ34" s="2403">
        <v>36.969313871329348</v>
      </c>
      <c r="DR34" s="2403">
        <v>37.225592061956483</v>
      </c>
      <c r="DS34" s="2403">
        <v>37.210445991888079</v>
      </c>
      <c r="DT34" s="2403">
        <v>36.666096770288704</v>
      </c>
      <c r="DU34" s="2403">
        <v>36.022249790839226</v>
      </c>
      <c r="DV34" s="2403">
        <v>35.806882000353134</v>
      </c>
    </row>
    <row r="35" spans="1:126" s="323" customFormat="1" ht="21" customHeight="1">
      <c r="A35" s="2386" t="s">
        <v>3293</v>
      </c>
      <c r="B35" s="2442">
        <v>13.032999999999999</v>
      </c>
      <c r="C35" s="2442">
        <v>12.896000000000001</v>
      </c>
      <c r="D35" s="2442">
        <v>14.162727272727272</v>
      </c>
      <c r="E35" s="2442">
        <v>14.972999999999999</v>
      </c>
      <c r="F35" s="2448">
        <v>14.597826086956522</v>
      </c>
      <c r="G35" s="2448">
        <v>14.028095238095236</v>
      </c>
      <c r="H35" s="2448">
        <v>14.1715</v>
      </c>
      <c r="I35" s="2448">
        <v>14.493</v>
      </c>
      <c r="J35" s="2448">
        <v>14.914</v>
      </c>
      <c r="K35" s="2448">
        <v>15.263499999999999</v>
      </c>
      <c r="L35" s="2448">
        <v>15.872</v>
      </c>
      <c r="M35" s="2448">
        <v>15.72</v>
      </c>
      <c r="N35" s="2448">
        <v>15.5875</v>
      </c>
      <c r="O35" s="2448">
        <v>15.382999999999999</v>
      </c>
      <c r="P35" s="2448">
        <v>16.131</v>
      </c>
      <c r="Q35" s="2448">
        <v>16.722999999999999</v>
      </c>
      <c r="R35" s="2448">
        <v>17.559000000000001</v>
      </c>
      <c r="S35" s="2448">
        <v>17.260999999999999</v>
      </c>
      <c r="T35" s="2448">
        <v>17.262</v>
      </c>
      <c r="U35" s="2448">
        <v>17.518000000000001</v>
      </c>
      <c r="V35" s="2448">
        <v>18.094999999999999</v>
      </c>
      <c r="W35" s="2448">
        <v>17.77</v>
      </c>
      <c r="X35" s="2449">
        <v>17.911000000000001</v>
      </c>
      <c r="Y35" s="2403">
        <v>18.167000000000002</v>
      </c>
      <c r="Z35" s="2446">
        <v>17.675000000000001</v>
      </c>
      <c r="AA35" s="2403">
        <v>17.754999999999999</v>
      </c>
      <c r="AB35" s="2446">
        <v>17.506</v>
      </c>
      <c r="AC35" s="2403">
        <v>18.006</v>
      </c>
      <c r="AD35" s="2446">
        <v>18.602</v>
      </c>
      <c r="AE35" s="2403">
        <v>18.888000000000002</v>
      </c>
      <c r="AF35" s="2446">
        <v>19.125</v>
      </c>
      <c r="AG35" s="2403">
        <v>19.846</v>
      </c>
      <c r="AH35" s="2446">
        <v>20.285</v>
      </c>
      <c r="AI35" s="2403">
        <v>20.606000000000002</v>
      </c>
      <c r="AJ35" s="2446">
        <v>20.34</v>
      </c>
      <c r="AK35" s="2406">
        <v>21.437000000000001</v>
      </c>
      <c r="AL35" s="2406">
        <v>21.263000000000002</v>
      </c>
      <c r="AM35" s="2403">
        <v>21.292999999999999</v>
      </c>
      <c r="AN35" s="2406">
        <v>21.096800000000002</v>
      </c>
      <c r="AO35" s="2403">
        <v>20.357600000000001</v>
      </c>
      <c r="AP35" s="2446">
        <v>20.982199999999999</v>
      </c>
      <c r="AQ35" s="2403">
        <v>21.2376</v>
      </c>
      <c r="AR35" s="2446">
        <v>21.500499999999999</v>
      </c>
      <c r="AS35" s="2406">
        <v>21.2958</v>
      </c>
      <c r="AT35" s="2406">
        <v>21.538599999999999</v>
      </c>
      <c r="AU35" s="2406">
        <v>21.349499999999999</v>
      </c>
      <c r="AV35" s="2403">
        <v>20.96</v>
      </c>
      <c r="AW35" s="2403">
        <v>19.901399999999999</v>
      </c>
      <c r="AX35" s="2446">
        <v>19.489999999999998</v>
      </c>
      <c r="AY35" s="2406">
        <v>19.771799999999999</v>
      </c>
      <c r="AZ35" s="2403">
        <v>19.425000000000001</v>
      </c>
      <c r="BA35" s="2446">
        <v>19.514299999999999</v>
      </c>
      <c r="BB35" s="2406">
        <v>20.553799999999999</v>
      </c>
      <c r="BC35" s="2406">
        <v>21.561900000000001</v>
      </c>
      <c r="BD35" s="2403">
        <v>21.905200000000001</v>
      </c>
      <c r="BE35" s="2446">
        <v>22.344000000000001</v>
      </c>
      <c r="BF35" s="2406">
        <v>23.268999999999998</v>
      </c>
      <c r="BG35" s="2407">
        <v>23.484300000000001</v>
      </c>
      <c r="BH35" s="2408">
        <v>23.367799999999999</v>
      </c>
      <c r="BI35" s="2409">
        <v>23.218</v>
      </c>
      <c r="BJ35" s="2409">
        <v>24.038599999999999</v>
      </c>
      <c r="BK35" s="2409">
        <v>23.4041</v>
      </c>
      <c r="BL35" s="2409">
        <v>24.257000000000001</v>
      </c>
      <c r="BM35" s="2409">
        <v>25.135899999999999</v>
      </c>
      <c r="BN35" s="2407">
        <v>23.023800000000001</v>
      </c>
      <c r="BO35" s="2407">
        <v>22.616299999999999</v>
      </c>
      <c r="BP35" s="2407">
        <v>23.573699999999999</v>
      </c>
      <c r="BQ35" s="2407">
        <v>23.472000000000001</v>
      </c>
      <c r="BR35" s="2407">
        <v>23.108000000000001</v>
      </c>
      <c r="BS35" s="2407">
        <v>22.579000000000001</v>
      </c>
      <c r="BT35" s="2407">
        <v>22.976199999999999</v>
      </c>
      <c r="BU35" s="2407">
        <v>21.915099999999999</v>
      </c>
      <c r="BV35" s="2407">
        <v>21.020900000000001</v>
      </c>
      <c r="BW35" s="2409">
        <v>21.535699999999999</v>
      </c>
      <c r="BX35" s="2409">
        <v>21.2178</v>
      </c>
      <c r="BY35" s="2409">
        <v>20.662700000000001</v>
      </c>
      <c r="BZ35" s="2407">
        <v>19.956700000000001</v>
      </c>
      <c r="CA35" s="2407">
        <v>19.9053</v>
      </c>
      <c r="CB35" s="2407">
        <v>18.831800000000001</v>
      </c>
      <c r="CC35" s="2407">
        <v>18.3918</v>
      </c>
      <c r="CD35" s="2407">
        <v>18.1919</v>
      </c>
      <c r="CE35" s="2407">
        <v>18.204899999999999</v>
      </c>
      <c r="CF35" s="2407">
        <v>17.430399999999999</v>
      </c>
      <c r="CG35" s="2407">
        <v>18.282499999999999</v>
      </c>
      <c r="CH35" s="2407">
        <v>19.594899999999999</v>
      </c>
      <c r="CI35" s="2407">
        <v>20.31541</v>
      </c>
      <c r="CJ35" s="2407">
        <v>21.17899090909091</v>
      </c>
      <c r="CK35" s="2407">
        <v>21.218604347826087</v>
      </c>
      <c r="CL35" s="2403">
        <v>22.087624999999999</v>
      </c>
      <c r="CM35" s="2403">
        <v>23.580414285714284</v>
      </c>
      <c r="CN35" s="2403">
        <v>23.163427272727272</v>
      </c>
      <c r="CO35" s="2403">
        <v>22.614079999999998</v>
      </c>
      <c r="CP35" s="2403">
        <v>23.228000000000002</v>
      </c>
      <c r="CQ35" s="2403">
        <v>22.79133266136451</v>
      </c>
      <c r="CR35" s="2403">
        <v>22.424207013579487</v>
      </c>
      <c r="CS35" s="2403">
        <v>22.823253841367944</v>
      </c>
      <c r="CT35" s="2403">
        <v>22.973056234598953</v>
      </c>
      <c r="CU35" s="2403">
        <v>23.822062415806265</v>
      </c>
      <c r="CV35" s="2403">
        <v>23.589311083054984</v>
      </c>
      <c r="CW35" s="2403">
        <v>23.793835037775153</v>
      </c>
      <c r="CX35" s="2403">
        <v>23.274291373665559</v>
      </c>
      <c r="CY35" s="2403">
        <v>22.112259899809359</v>
      </c>
      <c r="CZ35" s="2403">
        <v>22.785644805416275</v>
      </c>
      <c r="DA35" s="2403">
        <v>22.792081135036174</v>
      </c>
      <c r="DB35" s="2403">
        <v>23.442328186606861</v>
      </c>
      <c r="DC35" s="2403">
        <v>24.460672710278985</v>
      </c>
      <c r="DD35" s="2403">
        <v>24.120391648367526</v>
      </c>
      <c r="DE35" s="2403">
        <v>23.750727086432804</v>
      </c>
      <c r="DF35" s="2403">
        <v>23.363209777267983</v>
      </c>
      <c r="DG35" s="2403">
        <v>22.861925431318667</v>
      </c>
      <c r="DH35" s="2403">
        <v>23.097784775065428</v>
      </c>
      <c r="DI35" s="2403">
        <v>24.042255927728966</v>
      </c>
      <c r="DJ35" s="2403">
        <v>24.806628818071388</v>
      </c>
      <c r="DK35" s="2403">
        <v>24.389100847014763</v>
      </c>
      <c r="DL35" s="2403">
        <v>24.333652215716523</v>
      </c>
      <c r="DM35" s="2403">
        <v>23.295605160487639</v>
      </c>
      <c r="DN35" s="2403">
        <v>24.137815669503901</v>
      </c>
      <c r="DO35" s="2403">
        <v>25.319302708733598</v>
      </c>
      <c r="DP35" s="2403">
        <v>25.489887082763506</v>
      </c>
      <c r="DQ35" s="2403">
        <v>25.361603913014918</v>
      </c>
      <c r="DR35" s="2403">
        <v>25.718963731262924</v>
      </c>
      <c r="DS35" s="2403">
        <v>25.892300488251333</v>
      </c>
      <c r="DT35" s="2403">
        <v>26.020411039298885</v>
      </c>
      <c r="DU35" s="2403">
        <v>26.029166852436511</v>
      </c>
      <c r="DV35" s="2403">
        <v>26.038909275979535</v>
      </c>
    </row>
    <row r="36" spans="1:126" s="323" customFormat="1" ht="21" customHeight="1">
      <c r="A36" s="2386" t="s">
        <v>3294</v>
      </c>
      <c r="B36" s="2442">
        <v>16.757999999999999</v>
      </c>
      <c r="C36" s="2442">
        <v>16.849</v>
      </c>
      <c r="D36" s="2442">
        <v>17.078181818181818</v>
      </c>
      <c r="E36" s="2442">
        <v>17.166499999999999</v>
      </c>
      <c r="F36" s="2448">
        <v>17.343478260869563</v>
      </c>
      <c r="G36" s="2448">
        <v>17.231428571428573</v>
      </c>
      <c r="H36" s="2448">
        <v>17.103999999999999</v>
      </c>
      <c r="I36" s="2448">
        <v>16.911999999999999</v>
      </c>
      <c r="J36" s="2448">
        <v>17.032</v>
      </c>
      <c r="K36" s="2451">
        <v>17.073</v>
      </c>
      <c r="L36" s="2451">
        <v>16.913</v>
      </c>
      <c r="M36" s="2451">
        <v>16.271000000000001</v>
      </c>
      <c r="N36" s="2451">
        <v>16.052</v>
      </c>
      <c r="O36" s="2451">
        <v>15.747999999999999</v>
      </c>
      <c r="P36" s="2451">
        <v>16.222999999999999</v>
      </c>
      <c r="Q36" s="2451">
        <v>16.672000000000001</v>
      </c>
      <c r="R36" s="2451">
        <v>17.152999999999999</v>
      </c>
      <c r="S36" s="2451">
        <v>16.992000000000001</v>
      </c>
      <c r="T36" s="2451">
        <v>17.003</v>
      </c>
      <c r="U36" s="2448">
        <v>16.86</v>
      </c>
      <c r="V36" s="2448">
        <v>16.742000000000001</v>
      </c>
      <c r="W36" s="2448">
        <v>16.170999999999999</v>
      </c>
      <c r="X36" s="2449">
        <v>15.781000000000001</v>
      </c>
      <c r="Y36" s="2403">
        <v>15.609</v>
      </c>
      <c r="Z36" s="2446">
        <v>15.728999999999999</v>
      </c>
      <c r="AA36" s="2403">
        <v>16.440999999999999</v>
      </c>
      <c r="AB36" s="2446">
        <v>16.666</v>
      </c>
      <c r="AC36" s="2403">
        <v>16.776</v>
      </c>
      <c r="AD36" s="2446">
        <v>16.826000000000001</v>
      </c>
      <c r="AE36" s="2403">
        <v>16.875</v>
      </c>
      <c r="AF36" s="2446">
        <v>17.148</v>
      </c>
      <c r="AG36" s="2403">
        <v>17.349</v>
      </c>
      <c r="AH36" s="2446">
        <v>17.59</v>
      </c>
      <c r="AI36" s="2403">
        <v>17.577000000000002</v>
      </c>
      <c r="AJ36" s="2446">
        <v>17.684999999999999</v>
      </c>
      <c r="AK36" s="2406">
        <v>18.064</v>
      </c>
      <c r="AL36" s="2406">
        <v>17.914999999999999</v>
      </c>
      <c r="AM36" s="2403">
        <v>17.977</v>
      </c>
      <c r="AN36" s="2406">
        <v>17.850000000000001</v>
      </c>
      <c r="AO36" s="2403">
        <v>17.839500000000001</v>
      </c>
      <c r="AP36" s="2446">
        <v>18.196999999999999</v>
      </c>
      <c r="AQ36" s="2403">
        <v>18.1129</v>
      </c>
      <c r="AR36" s="2446">
        <v>18.2514</v>
      </c>
      <c r="AS36" s="2406">
        <v>18.247900000000001</v>
      </c>
      <c r="AT36" s="2406">
        <v>18.5914</v>
      </c>
      <c r="AU36" s="2406">
        <v>19.083300000000001</v>
      </c>
      <c r="AV36" s="2403">
        <v>19.158000000000001</v>
      </c>
      <c r="AW36" s="2403">
        <v>19.287700000000001</v>
      </c>
      <c r="AX36" s="2446">
        <v>19.578499999999998</v>
      </c>
      <c r="AY36" s="2406">
        <v>19.8873</v>
      </c>
      <c r="AZ36" s="2403">
        <v>19.724499999999999</v>
      </c>
      <c r="BA36" s="2446">
        <v>19.9786</v>
      </c>
      <c r="BB36" s="2406">
        <v>20.5943</v>
      </c>
      <c r="BC36" s="2406">
        <v>20.898599999999998</v>
      </c>
      <c r="BD36" s="2403">
        <v>21.0367</v>
      </c>
      <c r="BE36" s="2446">
        <v>21.553999999999998</v>
      </c>
      <c r="BF36" s="2406">
        <v>21.919499999999999</v>
      </c>
      <c r="BG36" s="2407">
        <v>22.117100000000001</v>
      </c>
      <c r="BH36" s="2408">
        <v>22.1433</v>
      </c>
      <c r="BI36" s="2409">
        <v>22.0395</v>
      </c>
      <c r="BJ36" s="2409">
        <v>21.8886</v>
      </c>
      <c r="BK36" s="2409">
        <v>21.153199999999998</v>
      </c>
      <c r="BL36" s="2409">
        <v>21.01</v>
      </c>
      <c r="BM36" s="2409">
        <v>21.225899999999999</v>
      </c>
      <c r="BN36" s="2407">
        <v>20.894200000000001</v>
      </c>
      <c r="BO36" s="2407">
        <v>21.465299999999999</v>
      </c>
      <c r="BP36" s="2407">
        <v>21.276299999999999</v>
      </c>
      <c r="BQ36" s="2407">
        <v>21.388999999999999</v>
      </c>
      <c r="BR36" s="2407">
        <v>20.832899999999999</v>
      </c>
      <c r="BS36" s="2407">
        <v>20.564599999999999</v>
      </c>
      <c r="BT36" s="2407">
        <v>20.558299999999999</v>
      </c>
      <c r="BU36" s="2407">
        <v>19.863900000000001</v>
      </c>
      <c r="BV36" s="2407">
        <v>19.6126</v>
      </c>
      <c r="BW36" s="2409">
        <v>20.411899999999999</v>
      </c>
      <c r="BX36" s="2409">
        <v>20.4846</v>
      </c>
      <c r="BY36" s="2409">
        <v>20.2439</v>
      </c>
      <c r="BZ36" s="2407">
        <v>20.189399999999999</v>
      </c>
      <c r="CA36" s="2407">
        <v>20.8127</v>
      </c>
      <c r="CB36" s="2407">
        <v>21.0563</v>
      </c>
      <c r="CC36" s="2407">
        <v>21.779499999999999</v>
      </c>
      <c r="CD36" s="2407">
        <v>22.167999999999999</v>
      </c>
      <c r="CE36" s="2407">
        <v>22.247699999999998</v>
      </c>
      <c r="CF36" s="2407">
        <v>22.4574</v>
      </c>
      <c r="CG36" s="2407">
        <v>22.666899999999998</v>
      </c>
      <c r="CH36" s="2407">
        <v>22.898499999999999</v>
      </c>
      <c r="CI36" s="2407">
        <v>23.215869999999999</v>
      </c>
      <c r="CJ36" s="2407">
        <v>22.954350000000002</v>
      </c>
      <c r="CK36" s="2407">
        <v>22.818152173913049</v>
      </c>
      <c r="CL36" s="2403">
        <v>22.783004999999996</v>
      </c>
      <c r="CM36" s="2403">
        <v>22.594742857142858</v>
      </c>
      <c r="CN36" s="2403">
        <v>22.541172727272723</v>
      </c>
      <c r="CO36" s="2403">
        <v>22.381464999999999</v>
      </c>
      <c r="CP36" s="2403">
        <v>23.966999999999999</v>
      </c>
      <c r="CQ36" s="2403">
        <v>23.347333854197903</v>
      </c>
      <c r="CR36" s="2403">
        <v>23.213315276628052</v>
      </c>
      <c r="CS36" s="2403">
        <v>23.588268337462242</v>
      </c>
      <c r="CT36" s="2403">
        <v>23.53592334704534</v>
      </c>
      <c r="CU36" s="2403">
        <v>23.854944206084522</v>
      </c>
      <c r="CV36" s="2403">
        <v>24.07279162376156</v>
      </c>
      <c r="CW36" s="2403">
        <v>24.189805222839485</v>
      </c>
      <c r="CX36" s="2403">
        <v>23.893700864554116</v>
      </c>
      <c r="CY36" s="2403">
        <v>23.566285037901615</v>
      </c>
      <c r="CZ36" s="2403">
        <v>23.226114483969496</v>
      </c>
      <c r="DA36" s="2403">
        <v>23.169147918580606</v>
      </c>
      <c r="DB36" s="2403">
        <v>23.371055412151382</v>
      </c>
      <c r="DC36" s="2403">
        <v>23.85356089154978</v>
      </c>
      <c r="DD36" s="2403">
        <v>23.889470006024052</v>
      </c>
      <c r="DE36" s="2403">
        <v>23.466031210343861</v>
      </c>
      <c r="DF36" s="2403">
        <v>23.277916811514093</v>
      </c>
      <c r="DG36" s="2403">
        <v>23.110842372836608</v>
      </c>
      <c r="DH36" s="2403">
        <v>23.224538301593022</v>
      </c>
      <c r="DI36" s="2403">
        <v>23.557940008873796</v>
      </c>
      <c r="DJ36" s="2403">
        <v>23.797147204984149</v>
      </c>
      <c r="DK36" s="2403">
        <v>23.699091445814247</v>
      </c>
      <c r="DL36" s="2403">
        <v>23.850673088793659</v>
      </c>
      <c r="DM36" s="2403">
        <v>23.930066896625945</v>
      </c>
      <c r="DN36" s="2403">
        <v>24.308335586712388</v>
      </c>
      <c r="DO36" s="2403">
        <v>25.203501901616331</v>
      </c>
      <c r="DP36" s="2403">
        <v>25.252874906252195</v>
      </c>
      <c r="DQ36" s="2403">
        <v>25.2243074770089</v>
      </c>
      <c r="DR36" s="2403">
        <v>25.681510317583857</v>
      </c>
      <c r="DS36" s="2403">
        <v>25.893608547441836</v>
      </c>
      <c r="DT36" s="2403">
        <v>25.684079968573769</v>
      </c>
      <c r="DU36" s="2403">
        <v>25.335873914899469</v>
      </c>
      <c r="DV36" s="2403">
        <v>25.115911757682849</v>
      </c>
    </row>
    <row r="37" spans="1:126" s="323" customFormat="1" ht="21" customHeight="1">
      <c r="A37" s="2386" t="s">
        <v>3295</v>
      </c>
      <c r="B37" s="2442">
        <v>2.6720000000000002</v>
      </c>
      <c r="C37" s="2442">
        <v>2.702</v>
      </c>
      <c r="D37" s="2442">
        <v>3.0422727272727275</v>
      </c>
      <c r="E37" s="2448">
        <v>3.0305</v>
      </c>
      <c r="F37" s="2448">
        <v>3.0239130434782608</v>
      </c>
      <c r="G37" s="2448">
        <v>2.8757142857142859</v>
      </c>
      <c r="H37" s="2448">
        <v>2.8624999999999998</v>
      </c>
      <c r="I37" s="2448">
        <v>2.9369999999999998</v>
      </c>
      <c r="J37" s="2448">
        <v>3.1240000000000001</v>
      </c>
      <c r="K37" s="2451">
        <v>3.3494999999999999</v>
      </c>
      <c r="L37" s="2451">
        <v>3.3849999999999998</v>
      </c>
      <c r="M37" s="2451">
        <v>3.4329999999999998</v>
      </c>
      <c r="N37" s="2448">
        <v>3.5055000000000001</v>
      </c>
      <c r="O37" s="2448">
        <v>3.66</v>
      </c>
      <c r="P37" s="2448">
        <v>3.7010000000000001</v>
      </c>
      <c r="Q37" s="2448">
        <v>3.6739999999999999</v>
      </c>
      <c r="R37" s="2448">
        <v>4.0049999999999999</v>
      </c>
      <c r="S37" s="2448">
        <v>4.0469999999999997</v>
      </c>
      <c r="T37" s="2448">
        <v>4.0629999999999997</v>
      </c>
      <c r="U37" s="2448">
        <v>4.2080000000000002</v>
      </c>
      <c r="V37" s="2448">
        <v>4.306</v>
      </c>
      <c r="W37" s="2448">
        <v>4.2640000000000002</v>
      </c>
      <c r="X37" s="2449">
        <v>3.8959999999999999</v>
      </c>
      <c r="Y37" s="2403">
        <v>3.915</v>
      </c>
      <c r="Z37" s="2446">
        <v>4.0659999999999998</v>
      </c>
      <c r="AA37" s="2403">
        <v>4.2729999999999997</v>
      </c>
      <c r="AB37" s="2446">
        <v>4.2290000000000001</v>
      </c>
      <c r="AC37" s="2403">
        <v>4.5</v>
      </c>
      <c r="AD37" s="2446">
        <v>4.7439999999999998</v>
      </c>
      <c r="AE37" s="2403">
        <v>4.5369999999999999</v>
      </c>
      <c r="AF37" s="2446">
        <v>4.4969999999999999</v>
      </c>
      <c r="AG37" s="2403">
        <v>4.6037999999999997</v>
      </c>
      <c r="AH37" s="2446">
        <v>4.8570000000000002</v>
      </c>
      <c r="AI37" s="2403">
        <v>5.0869999999999997</v>
      </c>
      <c r="AJ37" s="2446">
        <v>4.899</v>
      </c>
      <c r="AK37" s="2406">
        <v>4.931</v>
      </c>
      <c r="AL37" s="2406">
        <v>4.8499999999999996</v>
      </c>
      <c r="AM37" s="2403">
        <v>4.7480000000000002</v>
      </c>
      <c r="AN37" s="2406">
        <v>4.4618000000000002</v>
      </c>
      <c r="AO37" s="2403">
        <v>4.5190000000000001</v>
      </c>
      <c r="AP37" s="2446">
        <v>4.7126000000000001</v>
      </c>
      <c r="AQ37" s="2403">
        <v>4.8304999999999998</v>
      </c>
      <c r="AR37" s="2446">
        <v>4.7476000000000003</v>
      </c>
      <c r="AS37" s="2406">
        <v>4.7031999999999998</v>
      </c>
      <c r="AT37" s="2406">
        <v>4.9432</v>
      </c>
      <c r="AU37" s="2406">
        <v>5.1862000000000004</v>
      </c>
      <c r="AV37" s="2403">
        <v>5.1719999999999997</v>
      </c>
      <c r="AW37" s="2403">
        <v>5.0731999999999999</v>
      </c>
      <c r="AX37" s="2446">
        <v>5.21</v>
      </c>
      <c r="AY37" s="2406">
        <v>5.0294999999999996</v>
      </c>
      <c r="AZ37" s="2403">
        <v>4.5781999999999998</v>
      </c>
      <c r="BA37" s="2446">
        <v>4.5313999999999997</v>
      </c>
      <c r="BB37" s="2406">
        <v>4.7542999999999997</v>
      </c>
      <c r="BC37" s="2406">
        <v>4.54</v>
      </c>
      <c r="BD37" s="2403">
        <v>4.4432999999999998</v>
      </c>
      <c r="BE37" s="2446">
        <v>4.7389999999999999</v>
      </c>
      <c r="BF37" s="2406">
        <v>4.9080000000000004</v>
      </c>
      <c r="BG37" s="2407">
        <v>4.8367000000000004</v>
      </c>
      <c r="BH37" s="2408">
        <v>4.8316999999999997</v>
      </c>
      <c r="BI37" s="2409">
        <v>4.6425000000000001</v>
      </c>
      <c r="BJ37" s="2409">
        <v>4.7004999999999999</v>
      </c>
      <c r="BK37" s="2409">
        <v>4.6285999999999996</v>
      </c>
      <c r="BL37" s="2409">
        <v>4.5510000000000002</v>
      </c>
      <c r="BM37" s="2409">
        <v>4.6664000000000003</v>
      </c>
      <c r="BN37" s="2407">
        <v>4.4466999999999999</v>
      </c>
      <c r="BO37" s="2407">
        <v>4.5033000000000003</v>
      </c>
      <c r="BP37" s="2407">
        <v>4.6576000000000004</v>
      </c>
      <c r="BQ37" s="2407">
        <v>4.6500000000000004</v>
      </c>
      <c r="BR37" s="2407">
        <v>4.4543999999999997</v>
      </c>
      <c r="BS37" s="2407">
        <v>4.2629000000000001</v>
      </c>
      <c r="BT37" s="2407">
        <v>3.8361999999999998</v>
      </c>
      <c r="BU37" s="2407">
        <v>3.4605999999999999</v>
      </c>
      <c r="BV37" s="2407">
        <v>3.4661</v>
      </c>
      <c r="BW37" s="2409">
        <v>3.6922000000000001</v>
      </c>
      <c r="BX37" s="2409">
        <v>3.5630999999999999</v>
      </c>
      <c r="BY37" s="2409">
        <v>3.6261999999999999</v>
      </c>
      <c r="BZ37" s="2407">
        <v>3.7364999999999999</v>
      </c>
      <c r="CA37" s="2407">
        <v>3.7227999999999999</v>
      </c>
      <c r="CB37" s="2407">
        <v>3.2473000000000001</v>
      </c>
      <c r="CC37" s="2407">
        <v>3.2812999999999999</v>
      </c>
      <c r="CD37" s="2407">
        <v>3.3353000000000002</v>
      </c>
      <c r="CE37" s="2407">
        <v>3.3984000000000001</v>
      </c>
      <c r="CF37" s="2407">
        <v>3.4552999999999998</v>
      </c>
      <c r="CG37" s="2407">
        <v>3.5225</v>
      </c>
      <c r="CH37" s="2407">
        <v>3.8546999999999998</v>
      </c>
      <c r="CI37" s="2407">
        <v>4.0790649999999999</v>
      </c>
      <c r="CJ37" s="2407">
        <v>4.1658772727272737</v>
      </c>
      <c r="CK37" s="2407">
        <v>4.1837086956521743</v>
      </c>
      <c r="CL37" s="2403">
        <v>4.1656550000000001</v>
      </c>
      <c r="CM37" s="2403">
        <v>4.30397619047619</v>
      </c>
      <c r="CN37" s="2403">
        <v>4.2520727272727266</v>
      </c>
      <c r="CO37" s="2403">
        <v>4.1721850000000007</v>
      </c>
      <c r="CP37" s="2403">
        <v>4.3959999999999999</v>
      </c>
      <c r="CQ37" s="2403">
        <v>4.2772433017535469</v>
      </c>
      <c r="CR37" s="2403">
        <v>4.3295198587026569</v>
      </c>
      <c r="CS37" s="2403">
        <v>4.4357190662529149</v>
      </c>
      <c r="CT37" s="2403">
        <v>4.4624094718396288</v>
      </c>
      <c r="CU37" s="2403">
        <v>4.4655108426880306</v>
      </c>
      <c r="CV37" s="2403">
        <v>4.6267038636392366</v>
      </c>
      <c r="CW37" s="2403">
        <v>4.5356470210893081</v>
      </c>
      <c r="CX37" s="2403">
        <v>4.2620224636081163</v>
      </c>
      <c r="CY37" s="2403">
        <v>4.3386433542192933</v>
      </c>
      <c r="CZ37" s="2403">
        <v>4.3238891020413135</v>
      </c>
      <c r="DA37" s="2403">
        <v>4.208836395000211</v>
      </c>
      <c r="DB37" s="2403">
        <v>4.2697037917046785</v>
      </c>
      <c r="DC37" s="2403">
        <v>4.300147130799755</v>
      </c>
      <c r="DD37" s="2403">
        <v>4.1081725569487864</v>
      </c>
      <c r="DE37" s="2403">
        <v>3.909848208732813</v>
      </c>
      <c r="DF37" s="2403">
        <v>3.7625954346183024</v>
      </c>
      <c r="DG37" s="2403">
        <v>3.6827117070059883</v>
      </c>
      <c r="DH37" s="2403">
        <v>3.6979842359907096</v>
      </c>
      <c r="DI37" s="2403">
        <v>3.7828404874052901</v>
      </c>
      <c r="DJ37" s="2403">
        <v>3.9191637932017236</v>
      </c>
      <c r="DK37" s="2403">
        <v>3.9514543026214488</v>
      </c>
      <c r="DL37" s="2403">
        <v>3.8359853005092184</v>
      </c>
      <c r="DM37" s="2403">
        <v>3.7274638806544615</v>
      </c>
      <c r="DN37" s="2403">
        <v>3.7306375348746883</v>
      </c>
      <c r="DO37" s="2403">
        <v>3.8802480426309258</v>
      </c>
      <c r="DP37" s="2403">
        <v>3.8329099385933123</v>
      </c>
      <c r="DQ37" s="2403">
        <v>3.7804619281712579</v>
      </c>
      <c r="DR37" s="2403">
        <v>3.6630073893087989</v>
      </c>
      <c r="DS37" s="2403">
        <v>3.6192437040455188</v>
      </c>
      <c r="DT37" s="2403">
        <v>3.6527415832442087</v>
      </c>
      <c r="DU37" s="2403">
        <v>3.5576262187028851</v>
      </c>
      <c r="DV37" s="2403">
        <v>3.5266240813225913</v>
      </c>
    </row>
    <row r="38" spans="1:126" s="323" customFormat="1" ht="21" customHeight="1">
      <c r="A38" s="2386" t="s">
        <v>3296</v>
      </c>
      <c r="B38" s="2442">
        <v>18.302</v>
      </c>
      <c r="C38" s="2442">
        <v>17.972999999999999</v>
      </c>
      <c r="D38" s="2442">
        <v>19.152272727272727</v>
      </c>
      <c r="E38" s="2448">
        <v>19.6465</v>
      </c>
      <c r="F38" s="2448">
        <v>20.420000000000002</v>
      </c>
      <c r="G38" s="2448">
        <v>20.020476190476192</v>
      </c>
      <c r="H38" s="2448">
        <v>20.015999999999998</v>
      </c>
      <c r="I38" s="2448">
        <v>20.027000000000001</v>
      </c>
      <c r="J38" s="2448">
        <v>20.305</v>
      </c>
      <c r="K38" s="2451">
        <v>20.577999999999999</v>
      </c>
      <c r="L38" s="2451">
        <v>21.103000000000002</v>
      </c>
      <c r="M38" s="2451">
        <v>20.626000000000001</v>
      </c>
      <c r="N38" s="2451">
        <v>20.436</v>
      </c>
      <c r="O38" s="2448">
        <v>20.059999999999999</v>
      </c>
      <c r="P38" s="2448">
        <v>21.216000000000001</v>
      </c>
      <c r="Q38" s="2448">
        <v>21.661999999999999</v>
      </c>
      <c r="R38" s="2448">
        <v>21.852</v>
      </c>
      <c r="S38" s="2448">
        <v>21.306000000000001</v>
      </c>
      <c r="T38" s="2448">
        <v>21.279</v>
      </c>
      <c r="U38" s="2448">
        <v>21.818999999999999</v>
      </c>
      <c r="V38" s="2448">
        <v>21.428000000000001</v>
      </c>
      <c r="W38" s="2448">
        <v>21.501000000000001</v>
      </c>
      <c r="X38" s="2449">
        <v>21.24</v>
      </c>
      <c r="Y38" s="2403">
        <v>20.849</v>
      </c>
      <c r="Z38" s="2446">
        <v>20.655999999999999</v>
      </c>
      <c r="AA38" s="2403">
        <v>21.132999999999999</v>
      </c>
      <c r="AB38" s="2446">
        <v>21.975999999999999</v>
      </c>
      <c r="AC38" s="2403">
        <v>22.724</v>
      </c>
      <c r="AD38" s="2446">
        <v>22.913</v>
      </c>
      <c r="AE38" s="2403">
        <v>22.687000000000001</v>
      </c>
      <c r="AF38" s="2446">
        <v>22.805</v>
      </c>
      <c r="AG38" s="2403">
        <v>23.326000000000001</v>
      </c>
      <c r="AH38" s="2446">
        <v>24.552</v>
      </c>
      <c r="AI38" s="2403">
        <v>24.945</v>
      </c>
      <c r="AJ38" s="2446">
        <v>24.318999999999999</v>
      </c>
      <c r="AK38" s="2406">
        <v>24.84</v>
      </c>
      <c r="AL38" s="2406">
        <v>24.512</v>
      </c>
      <c r="AM38" s="2403">
        <v>24.161000000000001</v>
      </c>
      <c r="AN38" s="2406">
        <v>23.3691</v>
      </c>
      <c r="AO38" s="2403">
        <v>22.993300000000001</v>
      </c>
      <c r="AP38" s="2446">
        <v>23.687000000000001</v>
      </c>
      <c r="AQ38" s="2403">
        <v>23.834299999999999</v>
      </c>
      <c r="AR38" s="2446">
        <v>23.723800000000001</v>
      </c>
      <c r="AS38" s="2406">
        <v>23.371600000000001</v>
      </c>
      <c r="AT38" s="2406">
        <v>23.5977</v>
      </c>
      <c r="AU38" s="2406">
        <v>24.1252</v>
      </c>
      <c r="AV38" s="2403">
        <v>23.677</v>
      </c>
      <c r="AW38" s="2403">
        <v>23.735499999999998</v>
      </c>
      <c r="AX38" s="2446">
        <v>24.166</v>
      </c>
      <c r="AY38" s="2406">
        <v>25.488199999999999</v>
      </c>
      <c r="AZ38" s="2403">
        <v>25.234999999999999</v>
      </c>
      <c r="BA38" s="2446">
        <v>25.367100000000001</v>
      </c>
      <c r="BB38" s="2406">
        <v>26.208100000000002</v>
      </c>
      <c r="BC38" s="2406">
        <v>26.445699999999999</v>
      </c>
      <c r="BD38" s="2403">
        <v>26.268999999999998</v>
      </c>
      <c r="BE38" s="2446">
        <v>27.004000000000001</v>
      </c>
      <c r="BF38" s="2406">
        <v>27.774000000000001</v>
      </c>
      <c r="BG38" s="2407">
        <v>27.1538</v>
      </c>
      <c r="BH38" s="2408">
        <v>27.171099999999999</v>
      </c>
      <c r="BI38" s="2409">
        <v>27.3325</v>
      </c>
      <c r="BJ38" s="2409">
        <v>27.041899999999998</v>
      </c>
      <c r="BK38" s="2409">
        <v>26.09</v>
      </c>
      <c r="BL38" s="2409">
        <v>25.984000000000002</v>
      </c>
      <c r="BM38" s="2409">
        <v>26.453199999999999</v>
      </c>
      <c r="BN38" s="2407">
        <v>26.263100000000001</v>
      </c>
      <c r="BO38" s="2407">
        <v>26.5534</v>
      </c>
      <c r="BP38" s="2407">
        <v>26.389800000000001</v>
      </c>
      <c r="BQ38" s="2407">
        <v>27.465</v>
      </c>
      <c r="BR38" s="2407">
        <v>26.335699999999999</v>
      </c>
      <c r="BS38" s="2407">
        <v>26.551400000000001</v>
      </c>
      <c r="BT38" s="2407">
        <v>26.3902</v>
      </c>
      <c r="BU38" s="2407">
        <v>27.081</v>
      </c>
      <c r="BV38" s="2407">
        <v>26.2255</v>
      </c>
      <c r="BW38" s="2409">
        <v>26.531300000000002</v>
      </c>
      <c r="BX38" s="2409">
        <v>26.857700000000001</v>
      </c>
      <c r="BY38" s="2409">
        <v>26.646899999999999</v>
      </c>
      <c r="BZ38" s="2407">
        <v>26.029499999999999</v>
      </c>
      <c r="CA38" s="2407">
        <v>26.732299999999999</v>
      </c>
      <c r="CB38" s="2407">
        <v>27.132200000000001</v>
      </c>
      <c r="CC38" s="2407">
        <v>27.476199999999999</v>
      </c>
      <c r="CD38" s="2407">
        <v>28.6631</v>
      </c>
      <c r="CE38" s="2407">
        <v>29.387</v>
      </c>
      <c r="CF38" s="2407">
        <v>28.995799999999999</v>
      </c>
      <c r="CG38" s="2407">
        <v>29.960799999999999</v>
      </c>
      <c r="CH38" s="2407">
        <v>29.9358</v>
      </c>
      <c r="CI38" s="2407">
        <v>30.529914999999999</v>
      </c>
      <c r="CJ38" s="2407">
        <v>30.758495454545457</v>
      </c>
      <c r="CK38" s="2407">
        <v>30.491508695652168</v>
      </c>
      <c r="CL38" s="2403">
        <v>30.580559999999998</v>
      </c>
      <c r="CM38" s="2403">
        <v>30.739638095238092</v>
      </c>
      <c r="CN38" s="2403">
        <v>30.574972727272733</v>
      </c>
      <c r="CO38" s="2403">
        <v>30.526254999999999</v>
      </c>
      <c r="CP38" s="2403">
        <v>29.404</v>
      </c>
      <c r="CQ38" s="2403">
        <v>30.367096466572946</v>
      </c>
      <c r="CR38" s="2403">
        <v>30.101642702534516</v>
      </c>
      <c r="CS38" s="2403">
        <v>31.318911415157316</v>
      </c>
      <c r="CT38" s="2403">
        <v>31.560772432947495</v>
      </c>
      <c r="CU38" s="2403">
        <v>31.333431707080347</v>
      </c>
      <c r="CV38" s="2403">
        <v>32.34166974693634</v>
      </c>
      <c r="CW38" s="2403">
        <v>32.424401345729812</v>
      </c>
      <c r="CX38" s="2403">
        <v>31.98539608510147</v>
      </c>
      <c r="CY38" s="2403">
        <v>32.540519347357375</v>
      </c>
      <c r="CZ38" s="2403">
        <v>32.143370290013429</v>
      </c>
      <c r="DA38" s="2403">
        <v>32.687098743326437</v>
      </c>
      <c r="DB38" s="2403">
        <v>34.164880077421074</v>
      </c>
      <c r="DC38" s="2403">
        <v>35.073493335868726</v>
      </c>
      <c r="DD38" s="2403">
        <v>36.938373618955467</v>
      </c>
      <c r="DE38" s="2403">
        <v>33.522896861722046</v>
      </c>
      <c r="DF38" s="2403">
        <v>32.940132570404089</v>
      </c>
      <c r="DG38" s="2403">
        <v>32.631981889323313</v>
      </c>
      <c r="DH38" s="2403">
        <v>32.12002594736542</v>
      </c>
      <c r="DI38" s="2403">
        <v>32.008933689835402</v>
      </c>
      <c r="DJ38" s="2403">
        <v>32.584446394653597</v>
      </c>
      <c r="DK38" s="2403">
        <v>32.544198005631692</v>
      </c>
      <c r="DL38" s="2403">
        <v>32.547496948851574</v>
      </c>
      <c r="DM38" s="2403">
        <v>32.045384894727938</v>
      </c>
      <c r="DN38" s="2403">
        <v>32.326526565066331</v>
      </c>
      <c r="DO38" s="2403">
        <v>32.446190471738937</v>
      </c>
      <c r="DP38" s="2403">
        <v>32.349890677758879</v>
      </c>
      <c r="DQ38" s="2403">
        <v>32.921402274366635</v>
      </c>
      <c r="DR38" s="2403">
        <v>33.56317891110902</v>
      </c>
      <c r="DS38" s="2403">
        <v>33.620944286596142</v>
      </c>
      <c r="DT38" s="2403">
        <v>33.87942714991911</v>
      </c>
      <c r="DU38" s="2403">
        <v>33.482000641837146</v>
      </c>
      <c r="DV38" s="2403">
        <v>33.644336495333903</v>
      </c>
    </row>
    <row r="39" spans="1:126" s="323" customFormat="1" ht="21" customHeight="1">
      <c r="A39" s="2386" t="s">
        <v>3297</v>
      </c>
      <c r="B39" s="2442">
        <v>30.48</v>
      </c>
      <c r="C39" s="2442">
        <v>30.515999999999998</v>
      </c>
      <c r="D39" s="2448">
        <v>30.411568181818176</v>
      </c>
      <c r="E39" s="2448">
        <v>30.28931</v>
      </c>
      <c r="F39" s="2448">
        <v>30.076565217391302</v>
      </c>
      <c r="G39" s="2448">
        <v>29.938290476190474</v>
      </c>
      <c r="H39" s="2448">
        <v>29.885439999999999</v>
      </c>
      <c r="I39" s="2448">
        <v>29.876999999999999</v>
      </c>
      <c r="J39" s="2448">
        <v>29.739000000000001</v>
      </c>
      <c r="K39" s="2448">
        <v>29.605989999999998</v>
      </c>
      <c r="L39" s="2448">
        <v>29.05</v>
      </c>
      <c r="M39" s="2448">
        <v>28.125</v>
      </c>
      <c r="N39" s="2448">
        <v>27.860099999999999</v>
      </c>
      <c r="O39" s="2448">
        <v>27.677</v>
      </c>
      <c r="P39" s="2448">
        <v>27.815000000000001</v>
      </c>
      <c r="Q39" s="2448">
        <v>28.588999999999999</v>
      </c>
      <c r="R39" s="2448">
        <v>29.77</v>
      </c>
      <c r="S39" s="2448">
        <v>29.466000000000001</v>
      </c>
      <c r="T39" s="2448">
        <v>29.350999999999999</v>
      </c>
      <c r="U39" s="2448">
        <v>28.904</v>
      </c>
      <c r="V39" s="2448">
        <v>28.623999999999999</v>
      </c>
      <c r="W39" s="2448">
        <v>27.271999999999998</v>
      </c>
      <c r="X39" s="2449">
        <v>26.442</v>
      </c>
      <c r="Y39" s="2403">
        <v>26.079000000000001</v>
      </c>
      <c r="Z39" s="2446">
        <v>26.469000000000001</v>
      </c>
      <c r="AA39" s="2403">
        <v>27.405999999999999</v>
      </c>
      <c r="AB39" s="2446">
        <v>28.221</v>
      </c>
      <c r="AC39" s="2403">
        <v>28.42</v>
      </c>
      <c r="AD39" s="2446">
        <v>28.491</v>
      </c>
      <c r="AE39" s="2403">
        <v>28.62</v>
      </c>
      <c r="AF39" s="2446">
        <v>28.780999999999999</v>
      </c>
      <c r="AG39" s="2403">
        <v>28.814</v>
      </c>
      <c r="AH39" s="2446">
        <v>28.745000000000001</v>
      </c>
      <c r="AI39" s="2403">
        <v>28.565000000000001</v>
      </c>
      <c r="AJ39" s="2446">
        <v>28.663</v>
      </c>
      <c r="AK39" s="2406">
        <v>29.161000000000001</v>
      </c>
      <c r="AL39" s="2406">
        <v>29.311199999999999</v>
      </c>
      <c r="AM39" s="2403">
        <v>29.378299999999999</v>
      </c>
      <c r="AN39" s="2406">
        <v>29.5322</v>
      </c>
      <c r="AO39" s="2403">
        <v>29.7195</v>
      </c>
      <c r="AP39" s="2446">
        <v>29.929600000000001</v>
      </c>
      <c r="AQ39" s="2403">
        <v>30.129200000000001</v>
      </c>
      <c r="AR39" s="2446">
        <v>30.528500000000001</v>
      </c>
      <c r="AS39" s="2406">
        <v>30.6585</v>
      </c>
      <c r="AT39" s="2406">
        <v>30.772099999999998</v>
      </c>
      <c r="AU39" s="2406">
        <v>30.7911</v>
      </c>
      <c r="AV39" s="2403">
        <v>30.849599999999999</v>
      </c>
      <c r="AW39" s="2403">
        <v>30.909300000000002</v>
      </c>
      <c r="AX39" s="2446">
        <v>30.974599999999999</v>
      </c>
      <c r="AY39" s="2406">
        <v>30.979399999999998</v>
      </c>
      <c r="AZ39" s="2403">
        <v>30.987500000000001</v>
      </c>
      <c r="BA39" s="2446">
        <v>31.266999999999999</v>
      </c>
      <c r="BB39" s="2406">
        <v>32.0807</v>
      </c>
      <c r="BC39" s="2406">
        <v>32.616700000000002</v>
      </c>
      <c r="BD39" s="2403">
        <v>32.846499999999999</v>
      </c>
      <c r="BE39" s="2446">
        <v>33.113</v>
      </c>
      <c r="BF39" s="2406">
        <v>33.304900000000004</v>
      </c>
      <c r="BG39" s="2407">
        <v>33.567799999999998</v>
      </c>
      <c r="BH39" s="2408">
        <v>33.511099999999999</v>
      </c>
      <c r="BI39" s="2409">
        <v>33.086199999999998</v>
      </c>
      <c r="BJ39" s="2409">
        <v>32.654699999999998</v>
      </c>
      <c r="BK39" s="2409">
        <v>31.895800000000001</v>
      </c>
      <c r="BL39" s="2409">
        <v>31.992000000000001</v>
      </c>
      <c r="BM39" s="2409">
        <v>31.892700000000001</v>
      </c>
      <c r="BN39" s="2407">
        <v>31.524799999999999</v>
      </c>
      <c r="BO39" s="2407">
        <v>31.4406</v>
      </c>
      <c r="BP39" s="2407">
        <v>30.9251</v>
      </c>
      <c r="BQ39" s="2407">
        <v>30.692</v>
      </c>
      <c r="BR39" s="2407">
        <v>29.962800000000001</v>
      </c>
      <c r="BS39" s="2407">
        <v>29.1815</v>
      </c>
      <c r="BT39" s="2407">
        <v>28.791699999999999</v>
      </c>
      <c r="BU39" s="2407">
        <v>27.340900000000001</v>
      </c>
      <c r="BV39" s="2407">
        <v>26.566099999999999</v>
      </c>
      <c r="BW39" s="2409">
        <v>27.6828</v>
      </c>
      <c r="BX39" s="2409">
        <v>27.789100000000001</v>
      </c>
      <c r="BY39" s="2409">
        <v>27.296099999999999</v>
      </c>
      <c r="BZ39" s="2407">
        <v>28.122499999999999</v>
      </c>
      <c r="CA39" s="2407">
        <v>29.536000000000001</v>
      </c>
      <c r="CB39" s="2407">
        <v>30.868200000000002</v>
      </c>
      <c r="CC39" s="2407">
        <v>32.529899999999998</v>
      </c>
      <c r="CD39" s="2407">
        <v>32.531300000000002</v>
      </c>
      <c r="CE39" s="2407">
        <v>32.883299999999998</v>
      </c>
      <c r="CF39" s="2407">
        <v>33.808900000000001</v>
      </c>
      <c r="CG39" s="2407">
        <v>34.463099999999997</v>
      </c>
      <c r="CH39" s="2407">
        <v>34.204099999999997</v>
      </c>
      <c r="CI39" s="2407">
        <v>33.680095000000001</v>
      </c>
      <c r="CJ39" s="2407">
        <v>33.103550000000006</v>
      </c>
      <c r="CK39" s="2407">
        <v>32.852173913043487</v>
      </c>
      <c r="CL39" s="2403">
        <v>32.630909999999993</v>
      </c>
      <c r="CM39" s="2403">
        <v>31.966957142857144</v>
      </c>
      <c r="CN39" s="2403">
        <v>31.282936363636363</v>
      </c>
      <c r="CO39" s="2403">
        <v>30.84427500000001</v>
      </c>
      <c r="CP39" s="2403">
        <v>33.222999999999999</v>
      </c>
      <c r="CQ39" s="2403">
        <v>31.974693871171336</v>
      </c>
      <c r="CR39" s="2403">
        <v>31.276929178596401</v>
      </c>
      <c r="CS39" s="2403">
        <v>31.332206832108845</v>
      </c>
      <c r="CT39" s="2403">
        <v>30.540046698956036</v>
      </c>
      <c r="CU39" s="2403">
        <v>30.823271424995873</v>
      </c>
      <c r="CV39" s="2403">
        <v>31.312730052763982</v>
      </c>
      <c r="CW39" s="2403">
        <v>31.000889127687969</v>
      </c>
      <c r="CX39" s="2403">
        <v>30.356005798710314</v>
      </c>
      <c r="CY39" s="2403">
        <v>29.754140958782465</v>
      </c>
      <c r="CZ39" s="2403">
        <v>28.813938185803568</v>
      </c>
      <c r="DA39" s="2403">
        <v>28.525412085357139</v>
      </c>
      <c r="DB39" s="2403">
        <v>28.716500147500007</v>
      </c>
      <c r="DC39" s="2403">
        <v>28.880026576496601</v>
      </c>
      <c r="DD39" s="2403">
        <v>28.72296722483766</v>
      </c>
      <c r="DE39" s="2403">
        <v>29.207330984829934</v>
      </c>
      <c r="DF39" s="2403">
        <v>29.596017442714281</v>
      </c>
      <c r="DG39" s="2403">
        <v>29.678089665821425</v>
      </c>
      <c r="DH39" s="2403">
        <v>29.934107816980518</v>
      </c>
      <c r="DI39" s="2403">
        <v>30.005328842285714</v>
      </c>
      <c r="DJ39" s="2403">
        <v>29.693063409722228</v>
      </c>
      <c r="DK39" s="2403">
        <v>29.680604799999998</v>
      </c>
      <c r="DL39" s="2403">
        <v>29.716380008707482</v>
      </c>
      <c r="DM39" s="2403">
        <v>30.05609916402598</v>
      </c>
      <c r="DN39" s="2403">
        <v>30.932721267006801</v>
      </c>
      <c r="DO39" s="2403">
        <v>31.653170896103902</v>
      </c>
      <c r="DP39" s="2403">
        <v>31.337346506802717</v>
      </c>
      <c r="DQ39" s="2403">
        <v>30.914747535714284</v>
      </c>
      <c r="DR39" s="2403">
        <v>31.306451739130431</v>
      </c>
      <c r="DS39" s="2403">
        <v>31.525007057142865</v>
      </c>
      <c r="DT39" s="2403">
        <v>31.171176964285706</v>
      </c>
      <c r="DU39" s="2403">
        <v>30.936054421768702</v>
      </c>
      <c r="DV39" s="2403">
        <v>30.917318646616536</v>
      </c>
    </row>
    <row r="40" spans="1:126" s="323" customFormat="1" ht="21" customHeight="1">
      <c r="A40" s="2386" t="s">
        <v>3298</v>
      </c>
      <c r="B40" s="2442">
        <v>43.728999999999999</v>
      </c>
      <c r="C40" s="2442">
        <v>43.457000000000001</v>
      </c>
      <c r="D40" s="2448">
        <v>44.411136363636359</v>
      </c>
      <c r="E40" s="2448">
        <v>44.873800000000003</v>
      </c>
      <c r="F40" s="2448">
        <v>46.786782608695653</v>
      </c>
      <c r="G40" s="2448">
        <v>46.077190476190474</v>
      </c>
      <c r="H40" s="2448">
        <v>46.498899999999992</v>
      </c>
      <c r="I40" s="2448">
        <v>46.552999999999997</v>
      </c>
      <c r="J40" s="2448">
        <v>46.753</v>
      </c>
      <c r="K40" s="2448">
        <v>46.969099999999997</v>
      </c>
      <c r="L40" s="2448">
        <v>46.94</v>
      </c>
      <c r="M40" s="2448">
        <v>45.247999999999998</v>
      </c>
      <c r="N40" s="2448">
        <v>44.021799999999999</v>
      </c>
      <c r="O40" s="2448">
        <v>43.539000000000001</v>
      </c>
      <c r="P40" s="2448">
        <v>45.064999999999998</v>
      </c>
      <c r="Q40" s="2448">
        <v>47.393999999999998</v>
      </c>
      <c r="R40" s="2448">
        <v>48.311999999999998</v>
      </c>
      <c r="S40" s="2448">
        <v>46.908999999999999</v>
      </c>
      <c r="T40" s="2448">
        <v>47.237000000000002</v>
      </c>
      <c r="U40" s="2448">
        <v>48.387</v>
      </c>
      <c r="V40" s="2448">
        <v>48.26</v>
      </c>
      <c r="W40" s="2448">
        <v>47.637999999999998</v>
      </c>
      <c r="X40" s="2449">
        <v>48.09</v>
      </c>
      <c r="Y40" s="2403">
        <v>48.585000000000001</v>
      </c>
      <c r="Z40" s="2446">
        <v>48.39</v>
      </c>
      <c r="AA40" s="2403">
        <v>49.530999999999999</v>
      </c>
      <c r="AB40" s="2446">
        <v>50.45</v>
      </c>
      <c r="AC40" s="2403">
        <v>52.070999999999998</v>
      </c>
      <c r="AD40" s="2446">
        <v>52.654000000000003</v>
      </c>
      <c r="AE40" s="2403">
        <v>52.191000000000003</v>
      </c>
      <c r="AF40" s="2446">
        <v>51.664999999999999</v>
      </c>
      <c r="AG40" s="2403">
        <v>52.084000000000003</v>
      </c>
      <c r="AH40" s="2446">
        <v>53.478999999999999</v>
      </c>
      <c r="AI40" s="2403">
        <v>55.128999999999998</v>
      </c>
      <c r="AJ40" s="2446">
        <v>53.886000000000003</v>
      </c>
      <c r="AK40" s="2406">
        <v>55.552</v>
      </c>
      <c r="AL40" s="2406">
        <v>55.546999999999997</v>
      </c>
      <c r="AM40" s="2403">
        <v>54.582000000000001</v>
      </c>
      <c r="AN40" s="2406">
        <v>53.764400000000002</v>
      </c>
      <c r="AO40" s="2403">
        <v>52.118899999999996</v>
      </c>
      <c r="AP40" s="2446">
        <v>53.663699999999999</v>
      </c>
      <c r="AQ40" s="2403">
        <v>54.507399999999997</v>
      </c>
      <c r="AR40" s="2446">
        <v>53.908099999999997</v>
      </c>
      <c r="AS40" s="2406">
        <v>53.1374</v>
      </c>
      <c r="AT40" s="2406">
        <v>53.831800000000001</v>
      </c>
      <c r="AU40" s="2406">
        <v>54.496600000000001</v>
      </c>
      <c r="AV40" s="2403">
        <v>54.075000000000003</v>
      </c>
      <c r="AW40" s="2403">
        <v>54.119</v>
      </c>
      <c r="AX40" s="2446">
        <v>54.866999999999997</v>
      </c>
      <c r="AY40" s="2406">
        <v>58.089300000000001</v>
      </c>
      <c r="AZ40" s="2403">
        <v>57.344499999999996</v>
      </c>
      <c r="BA40" s="2446">
        <v>57.874600000000001</v>
      </c>
      <c r="BB40" s="2406">
        <v>61.101599999999998</v>
      </c>
      <c r="BC40" s="2406">
        <v>62.146799999999999</v>
      </c>
      <c r="BD40" s="2403">
        <v>62.403399999999998</v>
      </c>
      <c r="BE40" s="2446">
        <v>64.438999999999993</v>
      </c>
      <c r="BF40" s="2406">
        <v>66.757000000000005</v>
      </c>
      <c r="BG40" s="2407">
        <v>66.881399999999999</v>
      </c>
      <c r="BH40" s="2408">
        <v>66.0886</v>
      </c>
      <c r="BI40" s="2409">
        <v>64.609800000000007</v>
      </c>
      <c r="BJ40" s="2409">
        <v>64.9114</v>
      </c>
      <c r="BK40" s="2409">
        <v>63.135199999999998</v>
      </c>
      <c r="BL40" s="2409">
        <v>63.54</v>
      </c>
      <c r="BM40" s="2409">
        <v>64.853700000000003</v>
      </c>
      <c r="BN40" s="2407">
        <v>63.315199999999997</v>
      </c>
      <c r="BO40" s="2407">
        <v>63.431899999999999</v>
      </c>
      <c r="BP40" s="2407">
        <v>63.187199999999997</v>
      </c>
      <c r="BQ40" s="2407">
        <v>63.508000000000003</v>
      </c>
      <c r="BR40" s="2407">
        <v>60.499299999999998</v>
      </c>
      <c r="BS40" s="2407">
        <v>57.462400000000002</v>
      </c>
      <c r="BT40" s="2407">
        <v>56.447699999999998</v>
      </c>
      <c r="BU40" s="2407">
        <v>54.580100000000002</v>
      </c>
      <c r="BV40" s="2407">
        <v>52.476599999999998</v>
      </c>
      <c r="BW40" s="2409">
        <v>54.421500000000002</v>
      </c>
      <c r="BX40" s="2409">
        <v>54.688000000000002</v>
      </c>
      <c r="BY40" s="2409">
        <v>54.360100000000003</v>
      </c>
      <c r="BZ40" s="2407">
        <v>53.308599999999998</v>
      </c>
      <c r="CA40" s="2407">
        <v>53.242800000000003</v>
      </c>
      <c r="CB40" s="2407">
        <v>52.551699999999997</v>
      </c>
      <c r="CC40" s="2407">
        <v>50.118400000000001</v>
      </c>
      <c r="CD40" s="2407">
        <v>48.8065</v>
      </c>
      <c r="CE40" s="2407">
        <v>47.9435</v>
      </c>
      <c r="CF40" s="2407">
        <v>48.941099999999999</v>
      </c>
      <c r="CG40" s="2407">
        <v>49.177199999999999</v>
      </c>
      <c r="CH40" s="2407">
        <v>50.3904</v>
      </c>
      <c r="CI40" s="2407">
        <v>51.997425000000007</v>
      </c>
      <c r="CJ40" s="2407">
        <v>54.15423636363635</v>
      </c>
      <c r="CK40" s="2407">
        <v>53.77383913043478</v>
      </c>
      <c r="CL40" s="2403">
        <v>54.015855000000002</v>
      </c>
      <c r="CM40" s="2403">
        <v>52.218390476190471</v>
      </c>
      <c r="CN40" s="2403">
        <v>50.61692272727273</v>
      </c>
      <c r="CO40" s="2403">
        <v>51.228165000000004</v>
      </c>
      <c r="CP40" s="2403">
        <v>48.692999999999998</v>
      </c>
      <c r="CQ40" s="2403">
        <v>48.806878729562932</v>
      </c>
      <c r="CR40" s="2403">
        <v>48.958594615396649</v>
      </c>
      <c r="CS40" s="2403">
        <v>48.77421588518299</v>
      </c>
      <c r="CT40" s="2403">
        <v>48.390693699980176</v>
      </c>
      <c r="CU40" s="2403">
        <v>49.170999878195829</v>
      </c>
      <c r="CV40" s="2403">
        <v>48.849220701302791</v>
      </c>
      <c r="CW40" s="2403">
        <v>48.859723931757514</v>
      </c>
      <c r="CX40" s="2403">
        <v>48.967660895773207</v>
      </c>
      <c r="CY40" s="2403">
        <v>48.04873846943795</v>
      </c>
      <c r="CZ40" s="2403">
        <v>47.140436357137055</v>
      </c>
      <c r="DA40" s="2403">
        <v>46.644883418231572</v>
      </c>
      <c r="DB40" s="2403">
        <v>46.601999999999997</v>
      </c>
      <c r="DC40" s="2403">
        <v>46.606915109975475</v>
      </c>
      <c r="DD40" s="2403">
        <v>47.038349551055369</v>
      </c>
      <c r="DE40" s="2403">
        <v>46.102613001097964</v>
      </c>
      <c r="DF40" s="2403">
        <v>46.540730881416351</v>
      </c>
      <c r="DG40" s="2403">
        <v>46.851776451724426</v>
      </c>
      <c r="DH40" s="2403">
        <v>46.65938320057856</v>
      </c>
      <c r="DI40" s="2403">
        <v>46.506041449670001</v>
      </c>
      <c r="DJ40" s="2403">
        <v>46.882226647117442</v>
      </c>
      <c r="DK40" s="2403">
        <v>46.976751921753575</v>
      </c>
      <c r="DL40" s="2403">
        <v>47.515788821065975</v>
      </c>
      <c r="DM40" s="2403">
        <v>47.847977443803892</v>
      </c>
      <c r="DN40" s="2403">
        <v>48.074325805291835</v>
      </c>
      <c r="DO40" s="2403">
        <v>49.318251485604875</v>
      </c>
      <c r="DP40" s="2403">
        <v>49.198320199061222</v>
      </c>
      <c r="DQ40" s="2403">
        <v>49.769450572677449</v>
      </c>
      <c r="DR40" s="2403">
        <v>50.296109249531675</v>
      </c>
      <c r="DS40" s="2403">
        <v>50.357271021734284</v>
      </c>
      <c r="DT40" s="2403">
        <v>50.296383674850873</v>
      </c>
      <c r="DU40" s="2403">
        <v>49.329138781198374</v>
      </c>
      <c r="DV40" s="2403">
        <v>47.838994520413159</v>
      </c>
    </row>
    <row r="41" spans="1:126" s="323" customFormat="1" ht="21" customHeight="1">
      <c r="A41" s="2386" t="s">
        <v>2738</v>
      </c>
      <c r="B41" s="2442">
        <v>26.988</v>
      </c>
      <c r="C41" s="2442">
        <v>26.56</v>
      </c>
      <c r="D41" s="2448">
        <v>27.893154545454539</v>
      </c>
      <c r="E41" s="2449">
        <v>28.911529999999992</v>
      </c>
      <c r="F41" s="2448">
        <v>29.871547826086953</v>
      </c>
      <c r="G41" s="2448">
        <v>29.293201428571429</v>
      </c>
      <c r="H41" s="2448">
        <v>29.332744999999999</v>
      </c>
      <c r="I41" s="2448">
        <v>29.332999999999998</v>
      </c>
      <c r="J41" s="2448">
        <v>29.795999999999999</v>
      </c>
      <c r="K41" s="2448">
        <v>30.186250000000001</v>
      </c>
      <c r="L41" s="2448">
        <v>30.849</v>
      </c>
      <c r="M41" s="2448">
        <v>30.256</v>
      </c>
      <c r="N41" s="2448">
        <v>30.021699999999999</v>
      </c>
      <c r="O41" s="2448">
        <v>30.023</v>
      </c>
      <c r="P41" s="2448">
        <v>32.133000000000003</v>
      </c>
      <c r="Q41" s="2448">
        <v>33.326000000000001</v>
      </c>
      <c r="R41" s="2448">
        <v>33.813000000000002</v>
      </c>
      <c r="S41" s="2448">
        <v>32.808999999999997</v>
      </c>
      <c r="T41" s="2448">
        <v>32.93</v>
      </c>
      <c r="U41" s="2448">
        <v>33.767000000000003</v>
      </c>
      <c r="V41" s="2448">
        <v>33.417999999999999</v>
      </c>
      <c r="W41" s="2448">
        <v>33.418999999999997</v>
      </c>
      <c r="X41" s="2449">
        <v>33.226999999999997</v>
      </c>
      <c r="Y41" s="2403">
        <v>32.749000000000002</v>
      </c>
      <c r="Z41" s="2446">
        <v>32.326000000000001</v>
      </c>
      <c r="AA41" s="2403">
        <v>32.841000000000001</v>
      </c>
      <c r="AB41" s="2446">
        <v>33.851999999999997</v>
      </c>
      <c r="AC41" s="2403">
        <v>34.515999999999998</v>
      </c>
      <c r="AD41" s="2446">
        <v>35.011000000000003</v>
      </c>
      <c r="AE41" s="2403">
        <v>34.917999999999999</v>
      </c>
      <c r="AF41" s="2446">
        <v>35.198999999999998</v>
      </c>
      <c r="AG41" s="2403">
        <v>36.01</v>
      </c>
      <c r="AH41" s="2446">
        <v>37.374000000000002</v>
      </c>
      <c r="AI41" s="2403">
        <v>38.311</v>
      </c>
      <c r="AJ41" s="2446">
        <v>37.639000000000003</v>
      </c>
      <c r="AK41" s="2406">
        <v>38.488</v>
      </c>
      <c r="AL41" s="2406">
        <v>37.937100000000001</v>
      </c>
      <c r="AM41" s="2403">
        <v>37.3324</v>
      </c>
      <c r="AN41" s="2406">
        <v>35.9617</v>
      </c>
      <c r="AO41" s="2403">
        <v>35.831400000000002</v>
      </c>
      <c r="AP41" s="2446">
        <v>36.8018</v>
      </c>
      <c r="AQ41" s="2403">
        <v>36.947200000000002</v>
      </c>
      <c r="AR41" s="2446">
        <v>36.759</v>
      </c>
      <c r="AS41" s="2406">
        <v>36.128300000000003</v>
      </c>
      <c r="AT41" s="2406">
        <v>36.570300000000003</v>
      </c>
      <c r="AU41" s="2406">
        <v>37.427500000000002</v>
      </c>
      <c r="AV41" s="2403">
        <v>36.978200000000001</v>
      </c>
      <c r="AW41" s="2403">
        <v>37.3033</v>
      </c>
      <c r="AX41" s="2446">
        <v>38.146900000000002</v>
      </c>
      <c r="AY41" s="2406">
        <v>39.7316</v>
      </c>
      <c r="AZ41" s="2403">
        <v>39.474299999999999</v>
      </c>
      <c r="BA41" s="2446">
        <v>40.032299999999999</v>
      </c>
      <c r="BB41" s="2406">
        <v>41.585099999999997</v>
      </c>
      <c r="BC41" s="2406">
        <v>42.183900000000001</v>
      </c>
      <c r="BD41" s="2403">
        <v>42.297400000000003</v>
      </c>
      <c r="BE41" s="2446">
        <v>43.722000000000001</v>
      </c>
      <c r="BF41" s="2406">
        <v>45.226199999999999</v>
      </c>
      <c r="BG41" s="2407">
        <v>44.5914</v>
      </c>
      <c r="BH41" s="2408">
        <v>44.027700000000003</v>
      </c>
      <c r="BI41" s="2409">
        <v>43.876100000000001</v>
      </c>
      <c r="BJ41" s="2409">
        <v>44.061399999999999</v>
      </c>
      <c r="BK41" s="2409">
        <v>42.864899999999999</v>
      </c>
      <c r="BL41" s="2409">
        <v>42.908000000000001</v>
      </c>
      <c r="BM41" s="2409">
        <v>43.735300000000002</v>
      </c>
      <c r="BN41" s="2407">
        <v>42.918399999999998</v>
      </c>
      <c r="BO41" s="2407">
        <v>43.683599999999998</v>
      </c>
      <c r="BP41" s="2407">
        <v>44.004899999999999</v>
      </c>
      <c r="BQ41" s="2407">
        <v>45.140999999999998</v>
      </c>
      <c r="BR41" s="2407">
        <v>43.5959</v>
      </c>
      <c r="BS41" s="2407">
        <v>42.938000000000002</v>
      </c>
      <c r="BT41" s="2407">
        <v>42.346400000000003</v>
      </c>
      <c r="BU41" s="2407">
        <v>42.311100000000003</v>
      </c>
      <c r="BV41" s="2407">
        <v>41.720599999999997</v>
      </c>
      <c r="BW41" s="2409">
        <v>43.08</v>
      </c>
      <c r="BX41" s="2409">
        <v>43.280200000000001</v>
      </c>
      <c r="BY41" s="2409">
        <v>43.126800000000003</v>
      </c>
      <c r="BZ41" s="2407">
        <v>42.257300000000001</v>
      </c>
      <c r="CA41" s="2407">
        <v>42.547600000000003</v>
      </c>
      <c r="CB41" s="2407">
        <v>41.288400000000003</v>
      </c>
      <c r="CC41" s="2407">
        <v>41.592799999999997</v>
      </c>
      <c r="CD41" s="2407">
        <v>44.098999999999997</v>
      </c>
      <c r="CE41" s="2407">
        <v>43.933900000000001</v>
      </c>
      <c r="CF41" s="2407">
        <v>43.467500000000001</v>
      </c>
      <c r="CG41" s="2407">
        <v>45.121200000000002</v>
      </c>
      <c r="CH41" s="2407">
        <v>45.264800000000001</v>
      </c>
      <c r="CI41" s="2407">
        <v>46.021804999999993</v>
      </c>
      <c r="CJ41" s="2407">
        <v>46.389254545454556</v>
      </c>
      <c r="CK41" s="2407">
        <v>46.219386956521745</v>
      </c>
      <c r="CL41" s="2403">
        <v>46.508844999999994</v>
      </c>
      <c r="CM41" s="2403">
        <v>46.451747619047616</v>
      </c>
      <c r="CN41" s="2403">
        <v>46.273659090909085</v>
      </c>
      <c r="CO41" s="2403">
        <v>45.969035000000005</v>
      </c>
      <c r="CP41" s="2403">
        <v>41.761000000000003</v>
      </c>
      <c r="CQ41" s="2403">
        <v>40.788937688107772</v>
      </c>
      <c r="CR41" s="2403">
        <v>40.353235643284414</v>
      </c>
      <c r="CS41" s="2403">
        <v>40.898157033266315</v>
      </c>
      <c r="CT41" s="2403">
        <v>42.381500572960199</v>
      </c>
      <c r="CU41" s="2403">
        <v>42.029289971006563</v>
      </c>
      <c r="CV41" s="2403">
        <v>41.376235680734169</v>
      </c>
      <c r="CW41" s="2403">
        <v>41.382492427934586</v>
      </c>
      <c r="CX41" s="2403">
        <v>41.454518391591272</v>
      </c>
      <c r="CY41" s="2403">
        <v>41.653467054852328</v>
      </c>
      <c r="CZ41" s="2403">
        <v>41.62362382545107</v>
      </c>
      <c r="DA41" s="2403">
        <v>40.920233868964353</v>
      </c>
      <c r="DB41" s="2403">
        <v>41.322000000000003</v>
      </c>
      <c r="DC41" s="2403">
        <v>41.295400092087753</v>
      </c>
      <c r="DD41" s="2403">
        <v>41.190157325024842</v>
      </c>
      <c r="DE41" s="2403">
        <v>40.171026975144891</v>
      </c>
      <c r="DF41" s="2403">
        <v>40.513264656413895</v>
      </c>
      <c r="DG41" s="2403">
        <v>40.215295007276538</v>
      </c>
      <c r="DH41" s="2403">
        <v>39.430396342392854</v>
      </c>
      <c r="DI41" s="2403">
        <v>38.731369771281429</v>
      </c>
      <c r="DJ41" s="2403">
        <v>39.324573475240669</v>
      </c>
      <c r="DK41" s="2403">
        <v>39.262034004392312</v>
      </c>
      <c r="DL41" s="2403">
        <v>39.130394517650693</v>
      </c>
      <c r="DM41" s="2403">
        <v>38.469562545023344</v>
      </c>
      <c r="DN41" s="2403">
        <v>38.816736706118711</v>
      </c>
      <c r="DO41" s="2403">
        <v>38.953894707309182</v>
      </c>
      <c r="DP41" s="2403">
        <v>38.853427035586158</v>
      </c>
      <c r="DQ41" s="2403">
        <v>39.746504392379592</v>
      </c>
      <c r="DR41" s="2403">
        <v>40.567579824156667</v>
      </c>
      <c r="DS41" s="2403">
        <v>40.48995420486964</v>
      </c>
      <c r="DT41" s="2403">
        <v>40.874716756091793</v>
      </c>
      <c r="DU41" s="2403">
        <v>41.070415856300805</v>
      </c>
      <c r="DV41" s="2403">
        <v>41.243199117533813</v>
      </c>
    </row>
    <row r="42" spans="1:126" s="323" customFormat="1" ht="9" customHeight="1" thickBot="1">
      <c r="A42" s="2414"/>
      <c r="B42" s="2452"/>
      <c r="C42" s="2452"/>
      <c r="D42" s="2453"/>
      <c r="E42" s="2453"/>
      <c r="F42" s="2453"/>
      <c r="G42" s="2454"/>
      <c r="H42" s="2453"/>
      <c r="I42" s="2453"/>
      <c r="J42" s="2453"/>
      <c r="K42" s="2453"/>
      <c r="L42" s="2453"/>
      <c r="M42" s="2453"/>
      <c r="N42" s="2453"/>
      <c r="O42" s="2453"/>
      <c r="P42" s="2453"/>
      <c r="Q42" s="2453"/>
      <c r="R42" s="2453"/>
      <c r="S42" s="2453"/>
      <c r="T42" s="2453"/>
      <c r="U42" s="2453"/>
      <c r="V42" s="2453"/>
      <c r="W42" s="2453"/>
      <c r="X42" s="2455"/>
      <c r="Y42" s="2425"/>
      <c r="Z42" s="2367"/>
      <c r="AA42" s="2425"/>
      <c r="AB42" s="2367"/>
      <c r="AC42" s="2425"/>
      <c r="AD42" s="2367"/>
      <c r="AE42" s="2425"/>
      <c r="AF42" s="2367"/>
      <c r="AG42" s="2425"/>
      <c r="AH42" s="2367"/>
      <c r="AI42" s="2425"/>
      <c r="AJ42" s="2425"/>
      <c r="AK42" s="2456"/>
      <c r="AL42" s="2456"/>
      <c r="AM42" s="2425"/>
      <c r="AN42" s="2419"/>
      <c r="AO42" s="2418"/>
      <c r="AP42" s="2420"/>
      <c r="AQ42" s="2418"/>
      <c r="AR42" s="2420"/>
      <c r="AS42" s="2419"/>
      <c r="AT42" s="2419"/>
      <c r="AU42" s="2457"/>
      <c r="AV42" s="2458"/>
      <c r="AW42" s="2458"/>
      <c r="AX42" s="2459"/>
      <c r="AY42" s="2457"/>
      <c r="AZ42" s="2458"/>
      <c r="BA42" s="2459"/>
      <c r="BB42" s="2457"/>
      <c r="BC42" s="2457"/>
      <c r="BD42" s="2458"/>
      <c r="BE42" s="2459"/>
      <c r="BF42" s="2457"/>
      <c r="BG42" s="2422"/>
      <c r="BH42" s="2424"/>
      <c r="BI42" s="2460"/>
      <c r="BJ42" s="2421"/>
      <c r="BK42" s="2421"/>
      <c r="BL42" s="2421"/>
      <c r="BM42" s="2419"/>
      <c r="BN42" s="2418"/>
      <c r="BO42" s="2418"/>
      <c r="BP42" s="2418"/>
      <c r="BQ42" s="2418"/>
      <c r="BR42" s="2418"/>
      <c r="BS42" s="2418"/>
      <c r="BT42" s="2418"/>
      <c r="BU42" s="2418"/>
      <c r="BV42" s="2418"/>
      <c r="BW42" s="2419"/>
      <c r="BX42" s="2419"/>
      <c r="BY42" s="2419"/>
      <c r="BZ42" s="2418"/>
      <c r="CA42" s="2418"/>
      <c r="CB42" s="2418"/>
      <c r="CC42" s="2418"/>
      <c r="CD42" s="2418"/>
      <c r="CE42" s="2418"/>
      <c r="CF42" s="2418"/>
      <c r="CG42" s="2418"/>
      <c r="CH42" s="2418"/>
      <c r="CI42" s="2418"/>
      <c r="CJ42" s="2418"/>
      <c r="CK42" s="2418"/>
      <c r="CL42" s="2425"/>
      <c r="CM42" s="2425"/>
      <c r="CN42" s="2425"/>
      <c r="CO42" s="2425"/>
      <c r="CP42" s="2425"/>
      <c r="CQ42" s="2425"/>
      <c r="CR42" s="2425"/>
      <c r="CS42" s="2425"/>
      <c r="CT42" s="2425"/>
      <c r="CU42" s="2425"/>
      <c r="CV42" s="2425"/>
      <c r="CW42" s="2425"/>
      <c r="CX42" s="2425"/>
      <c r="CY42" s="2425"/>
      <c r="CZ42" s="2425"/>
      <c r="DA42" s="2425"/>
      <c r="DB42" s="2425"/>
      <c r="DC42" s="2425"/>
      <c r="DD42" s="2425"/>
      <c r="DE42" s="2425"/>
      <c r="DF42" s="2425"/>
      <c r="DG42" s="2425"/>
      <c r="DH42" s="2425"/>
      <c r="DI42" s="2425"/>
      <c r="DJ42" s="2425"/>
      <c r="DK42" s="2425"/>
      <c r="DL42" s="2425"/>
      <c r="DM42" s="2425"/>
      <c r="DN42" s="2425"/>
      <c r="DO42" s="2425"/>
      <c r="DP42" s="2425"/>
      <c r="DQ42" s="2425"/>
      <c r="DR42" s="2425"/>
      <c r="DS42" s="2425"/>
      <c r="DT42" s="2425"/>
      <c r="DU42" s="2425"/>
      <c r="DV42" s="2425"/>
    </row>
    <row r="43" spans="1:126" s="323" customFormat="1" ht="24" thickTop="1">
      <c r="A43" s="2426" t="s">
        <v>3299</v>
      </c>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row>
    <row r="44" spans="1:126" s="323" customFormat="1">
      <c r="A44" s="2429" t="s">
        <v>3300</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row>
    <row r="45" spans="1:126" s="323" customFormat="1"/>
    <row r="46" spans="1:126" s="323" customFormat="1"/>
    <row r="47" spans="1:126" s="323" customFormat="1"/>
    <row r="48" spans="1:126" s="323" customFormat="1"/>
    <row r="49" s="323" customFormat="1"/>
    <row r="50" s="323" customFormat="1"/>
    <row r="51" s="323" customFormat="1"/>
    <row r="52" s="323" customFormat="1"/>
    <row r="53" s="323" customFormat="1"/>
    <row r="54" s="323" customFormat="1"/>
    <row r="55" s="323" customFormat="1"/>
    <row r="56" s="323" customFormat="1"/>
    <row r="57" s="323" customFormat="1"/>
    <row r="58" s="323" customFormat="1"/>
    <row r="59" s="323" customFormat="1"/>
    <row r="60" s="323" customFormat="1"/>
    <row r="61" s="323" customFormat="1"/>
    <row r="62" s="323" customFormat="1"/>
    <row r="63" s="323" customFormat="1"/>
    <row r="64" s="323" customFormat="1"/>
    <row r="65" s="323" customFormat="1"/>
    <row r="66" s="323" customFormat="1"/>
    <row r="67" s="323" customFormat="1"/>
    <row r="68" s="323" customFormat="1"/>
    <row r="69" s="323" customFormat="1"/>
    <row r="70" s="323" customFormat="1"/>
    <row r="71" s="323" customFormat="1"/>
    <row r="72" s="323" customFormat="1"/>
    <row r="73" s="323" customFormat="1"/>
    <row r="74" s="323" customFormat="1"/>
    <row r="75" s="323" customFormat="1"/>
    <row r="76" s="323" customFormat="1"/>
    <row r="77" s="323" customFormat="1"/>
    <row r="78" s="323" customFormat="1"/>
    <row r="79" s="323" customFormat="1"/>
    <row r="80" s="323" customFormat="1"/>
    <row r="81" s="323" customFormat="1"/>
    <row r="82" s="323" customFormat="1"/>
    <row r="83" s="323" customFormat="1"/>
    <row r="84" s="323" customFormat="1"/>
    <row r="85" s="323" customFormat="1"/>
    <row r="86" s="323" customFormat="1"/>
    <row r="87" s="323" customFormat="1"/>
    <row r="88" s="323" customFormat="1"/>
    <row r="89" s="323" customFormat="1"/>
    <row r="90" s="323" customFormat="1"/>
    <row r="91" s="323" customFormat="1"/>
    <row r="92" s="323" customFormat="1"/>
    <row r="93" s="323" customFormat="1"/>
    <row r="94" s="323" customFormat="1"/>
    <row r="95" s="323" customFormat="1"/>
    <row r="96" s="323" customFormat="1"/>
    <row r="97" s="323" customFormat="1"/>
    <row r="98" s="323" customFormat="1"/>
    <row r="99" s="323" customFormat="1"/>
    <row r="100" s="323" customFormat="1"/>
    <row r="101" s="323" customFormat="1"/>
    <row r="102" s="323" customFormat="1"/>
    <row r="103" s="323" customFormat="1"/>
    <row r="104" s="323" customFormat="1"/>
    <row r="105" s="323" customFormat="1"/>
    <row r="106" s="323" customFormat="1"/>
    <row r="107" s="323" customFormat="1"/>
    <row r="108" s="323" customFormat="1"/>
    <row r="109" s="323" customFormat="1"/>
    <row r="110" s="323" customFormat="1"/>
    <row r="111" s="323" customFormat="1"/>
    <row r="112" s="323" customFormat="1"/>
    <row r="113" s="323" customFormat="1"/>
    <row r="114" s="323" customFormat="1"/>
    <row r="115" s="323" customFormat="1"/>
    <row r="116" s="323" customFormat="1"/>
    <row r="117" s="323" customFormat="1"/>
    <row r="118" s="323" customFormat="1"/>
    <row r="119" s="323" customFormat="1"/>
    <row r="120" s="323" customFormat="1"/>
    <row r="121" s="323" customFormat="1"/>
    <row r="122" s="323" customFormat="1"/>
    <row r="123" s="323" customFormat="1"/>
    <row r="124" s="323" customFormat="1"/>
    <row r="125" s="323" customFormat="1"/>
    <row r="126" s="323" customFormat="1"/>
    <row r="127" s="323" customFormat="1"/>
    <row r="128" s="323" customFormat="1"/>
    <row r="129" s="323" customFormat="1"/>
    <row r="130" s="323" customFormat="1"/>
    <row r="131" s="323" customFormat="1"/>
    <row r="132" s="323" customFormat="1"/>
    <row r="133" s="323" customFormat="1"/>
    <row r="134" s="323" customFormat="1"/>
    <row r="135" s="323" customFormat="1"/>
    <row r="136" s="323" customFormat="1"/>
    <row r="137" s="323" customFormat="1"/>
    <row r="138" s="323" customFormat="1"/>
    <row r="139" s="323" customFormat="1"/>
    <row r="140" s="323" customFormat="1"/>
    <row r="141" s="323" customFormat="1"/>
    <row r="142" s="323" customFormat="1"/>
    <row r="143" s="323" customFormat="1"/>
    <row r="144" s="323" customFormat="1"/>
    <row r="145" s="323" customFormat="1"/>
    <row r="146" s="323" customFormat="1"/>
    <row r="147" s="323" customFormat="1"/>
    <row r="148" s="323" customFormat="1"/>
    <row r="149" s="323" customFormat="1"/>
    <row r="150" s="323" customFormat="1"/>
    <row r="151" s="323" customFormat="1"/>
    <row r="152" s="323" customFormat="1"/>
    <row r="153" s="323" customFormat="1"/>
    <row r="154" s="323" customFormat="1"/>
    <row r="155" s="323" customFormat="1"/>
    <row r="156" s="323" customFormat="1"/>
    <row r="157" s="323" customFormat="1"/>
    <row r="158" s="323" customFormat="1"/>
    <row r="159" s="323" customFormat="1"/>
    <row r="160" s="323" customFormat="1"/>
    <row r="161" s="323" customFormat="1"/>
    <row r="162" s="323" customFormat="1"/>
    <row r="163" s="323" customFormat="1"/>
    <row r="164" s="323" customFormat="1"/>
    <row r="165" s="323" customFormat="1"/>
    <row r="166" s="323" customFormat="1"/>
    <row r="167" s="323" customFormat="1"/>
    <row r="168" s="323" customFormat="1"/>
    <row r="169" s="323" customFormat="1"/>
    <row r="170" s="323" customFormat="1"/>
    <row r="171" s="323" customFormat="1"/>
    <row r="172" s="323" customFormat="1"/>
    <row r="173" s="323" customFormat="1"/>
    <row r="174" s="323" customFormat="1"/>
    <row r="175" s="323" customFormat="1"/>
    <row r="176" s="323" customFormat="1"/>
    <row r="177" s="323" customFormat="1"/>
    <row r="178" s="323" customFormat="1"/>
    <row r="179" s="323" customFormat="1"/>
    <row r="180" s="323" customFormat="1"/>
    <row r="181" s="323" customFormat="1"/>
    <row r="182" s="323" customFormat="1"/>
    <row r="183" s="323" customFormat="1"/>
    <row r="184" s="323" customFormat="1"/>
    <row r="185" s="323" customFormat="1"/>
    <row r="186" s="323" customFormat="1"/>
    <row r="187" s="323" customFormat="1"/>
    <row r="188" s="323" customFormat="1"/>
    <row r="189" s="323" customFormat="1"/>
    <row r="190" s="323" customFormat="1"/>
    <row r="191" s="323" customFormat="1"/>
    <row r="192" s="323" customFormat="1"/>
    <row r="193" s="323" customFormat="1"/>
    <row r="194" s="323" customFormat="1"/>
    <row r="195" s="323" customFormat="1"/>
    <row r="196" s="323" customFormat="1"/>
    <row r="197" s="323" customFormat="1"/>
    <row r="198" s="323" customFormat="1"/>
    <row r="199" s="323" customFormat="1"/>
    <row r="200" s="323" customFormat="1"/>
    <row r="201" s="323" customFormat="1"/>
    <row r="202" s="323" customFormat="1"/>
    <row r="203" s="323" customFormat="1"/>
    <row r="204" s="323" customFormat="1"/>
    <row r="205" s="323" customFormat="1"/>
    <row r="206" s="323" customFormat="1"/>
    <row r="207" s="323" customFormat="1"/>
    <row r="208" s="323" customFormat="1"/>
    <row r="209" s="323" customFormat="1"/>
    <row r="210" s="323" customFormat="1"/>
    <row r="211" s="323" customFormat="1"/>
    <row r="212" s="323" customFormat="1"/>
    <row r="213" s="323" customFormat="1"/>
    <row r="214" s="323" customFormat="1"/>
    <row r="215" s="323" customFormat="1"/>
    <row r="216" s="323" customFormat="1"/>
    <row r="217" s="323" customFormat="1"/>
    <row r="218" s="323" customFormat="1"/>
    <row r="219" s="323" customFormat="1"/>
    <row r="220" s="323" customFormat="1"/>
    <row r="221" s="323" customFormat="1"/>
    <row r="222" s="323" customFormat="1"/>
    <row r="223" s="323" customFormat="1"/>
    <row r="224" s="323" customFormat="1"/>
    <row r="225" s="323" customFormat="1"/>
    <row r="226" s="323" customFormat="1"/>
    <row r="227" s="323" customFormat="1"/>
    <row r="228" s="323" customFormat="1"/>
    <row r="229" s="323" customFormat="1"/>
    <row r="230" s="323" customFormat="1"/>
    <row r="231" s="323" customFormat="1"/>
    <row r="232" s="323" customFormat="1"/>
    <row r="233" s="323" customFormat="1"/>
    <row r="234" s="323" customFormat="1"/>
    <row r="235" s="323" customFormat="1"/>
    <row r="236" s="323" customFormat="1"/>
    <row r="237" s="323" customFormat="1"/>
    <row r="238" s="323" customFormat="1"/>
    <row r="239" s="323" customFormat="1"/>
    <row r="240" s="323" customFormat="1"/>
    <row r="241" s="323" customFormat="1"/>
    <row r="242" s="323" customFormat="1"/>
    <row r="243" s="323" customFormat="1"/>
    <row r="244" s="323" customFormat="1"/>
    <row r="245" s="323" customFormat="1"/>
    <row r="246" s="323" customFormat="1"/>
    <row r="247" s="323" customFormat="1"/>
    <row r="248" s="323" customFormat="1"/>
    <row r="249" s="323" customFormat="1"/>
    <row r="250" s="323" customFormat="1"/>
    <row r="251" s="323" customFormat="1"/>
    <row r="252" s="323" customFormat="1"/>
    <row r="253" s="323" customFormat="1"/>
    <row r="254" s="323" customFormat="1"/>
    <row r="255" s="323" customFormat="1"/>
    <row r="256" s="323" customFormat="1"/>
    <row r="257" s="323" customFormat="1"/>
    <row r="258" s="323" customFormat="1"/>
    <row r="259" s="323" customFormat="1"/>
    <row r="260" s="323" customFormat="1"/>
    <row r="261" s="323" customFormat="1"/>
    <row r="262" s="323" customFormat="1"/>
    <row r="263" s="323" customFormat="1"/>
    <row r="264" s="323" customFormat="1"/>
    <row r="265" s="323" customFormat="1"/>
    <row r="266" s="323" customFormat="1"/>
    <row r="267" s="323" customFormat="1"/>
    <row r="268" s="323" customFormat="1"/>
    <row r="269" s="323" customFormat="1"/>
    <row r="270" s="323" customFormat="1"/>
    <row r="271" s="323" customFormat="1"/>
    <row r="272" s="323" customFormat="1"/>
    <row r="273" s="323" customFormat="1"/>
    <row r="274" s="323" customFormat="1"/>
    <row r="275" s="323" customFormat="1"/>
    <row r="276" s="323" customFormat="1"/>
    <row r="277" s="323" customFormat="1"/>
    <row r="278" s="323" customFormat="1"/>
    <row r="279" s="323" customFormat="1"/>
    <row r="280" s="323" customFormat="1"/>
    <row r="281" s="323" customFormat="1"/>
    <row r="282" s="323" customFormat="1"/>
    <row r="283" s="323" customFormat="1"/>
    <row r="284" s="323" customFormat="1"/>
    <row r="285" s="323" customFormat="1"/>
    <row r="286" s="323" customFormat="1"/>
    <row r="287" s="323" customFormat="1"/>
    <row r="288" s="323" customFormat="1"/>
    <row r="289" spans="8:9" s="323" customFormat="1"/>
    <row r="290" spans="8:9" s="323" customFormat="1"/>
    <row r="291" spans="8:9" s="323" customFormat="1">
      <c r="H291" s="280"/>
      <c r="I291" s="280"/>
    </row>
    <row r="292" spans="8:9" s="323" customFormat="1">
      <c r="H292" s="280"/>
      <c r="I292" s="280"/>
    </row>
    <row r="293" spans="8:9" s="323" customFormat="1">
      <c r="H293" s="280"/>
      <c r="I293" s="280"/>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6"/>
  <sheetViews>
    <sheetView topLeftCell="A39" zoomScaleNormal="100" workbookViewId="0">
      <pane xSplit="1" topLeftCell="B1" activePane="topRight" state="frozen"/>
      <selection pane="topRight" activeCell="D11" sqref="D11"/>
    </sheetView>
  </sheetViews>
  <sheetFormatPr defaultRowHeight="12.75"/>
  <cols>
    <col min="1" max="1" width="31.85546875" style="280" customWidth="1"/>
    <col min="2" max="2" width="22.28515625" style="280" bestFit="1" customWidth="1"/>
    <col min="3" max="3" width="22.28515625" style="348" bestFit="1" customWidth="1"/>
    <col min="4" max="4" width="22" style="280" customWidth="1"/>
    <col min="5" max="5" width="10.5703125" style="280" customWidth="1"/>
    <col min="6" max="256" width="9.140625" style="280"/>
    <col min="257" max="257" width="31.85546875" style="280" customWidth="1"/>
    <col min="258" max="259" width="22.28515625" style="280" bestFit="1" customWidth="1"/>
    <col min="260" max="260" width="22" style="280" customWidth="1"/>
    <col min="261" max="261" width="10.5703125" style="280" customWidth="1"/>
    <col min="262" max="512" width="9.140625" style="280"/>
    <col min="513" max="513" width="31.85546875" style="280" customWidth="1"/>
    <col min="514" max="515" width="22.28515625" style="280" bestFit="1" customWidth="1"/>
    <col min="516" max="516" width="22" style="280" customWidth="1"/>
    <col min="517" max="517" width="10.5703125" style="280" customWidth="1"/>
    <col min="518" max="768" width="9.140625" style="280"/>
    <col min="769" max="769" width="31.85546875" style="280" customWidth="1"/>
    <col min="770" max="771" width="22.28515625" style="280" bestFit="1" customWidth="1"/>
    <col min="772" max="772" width="22" style="280" customWidth="1"/>
    <col min="773" max="773" width="10.5703125" style="280" customWidth="1"/>
    <col min="774" max="1024" width="9.140625" style="280"/>
    <col min="1025" max="1025" width="31.85546875" style="280" customWidth="1"/>
    <col min="1026" max="1027" width="22.28515625" style="280" bestFit="1" customWidth="1"/>
    <col min="1028" max="1028" width="22" style="280" customWidth="1"/>
    <col min="1029" max="1029" width="10.5703125" style="280" customWidth="1"/>
    <col min="1030" max="1280" width="9.140625" style="280"/>
    <col min="1281" max="1281" width="31.85546875" style="280" customWidth="1"/>
    <col min="1282" max="1283" width="22.28515625" style="280" bestFit="1" customWidth="1"/>
    <col min="1284" max="1284" width="22" style="280" customWidth="1"/>
    <col min="1285" max="1285" width="10.5703125" style="280" customWidth="1"/>
    <col min="1286" max="1536" width="9.140625" style="280"/>
    <col min="1537" max="1537" width="31.85546875" style="280" customWidth="1"/>
    <col min="1538" max="1539" width="22.28515625" style="280" bestFit="1" customWidth="1"/>
    <col min="1540" max="1540" width="22" style="280" customWidth="1"/>
    <col min="1541" max="1541" width="10.5703125" style="280" customWidth="1"/>
    <col min="1542" max="1792" width="9.140625" style="280"/>
    <col min="1793" max="1793" width="31.85546875" style="280" customWidth="1"/>
    <col min="1794" max="1795" width="22.28515625" style="280" bestFit="1" customWidth="1"/>
    <col min="1796" max="1796" width="22" style="280" customWidth="1"/>
    <col min="1797" max="1797" width="10.5703125" style="280" customWidth="1"/>
    <col min="1798" max="2048" width="9.140625" style="280"/>
    <col min="2049" max="2049" width="31.85546875" style="280" customWidth="1"/>
    <col min="2050" max="2051" width="22.28515625" style="280" bestFit="1" customWidth="1"/>
    <col min="2052" max="2052" width="22" style="280" customWidth="1"/>
    <col min="2053" max="2053" width="10.5703125" style="280" customWidth="1"/>
    <col min="2054" max="2304" width="9.140625" style="280"/>
    <col min="2305" max="2305" width="31.85546875" style="280" customWidth="1"/>
    <col min="2306" max="2307" width="22.28515625" style="280" bestFit="1" customWidth="1"/>
    <col min="2308" max="2308" width="22" style="280" customWidth="1"/>
    <col min="2309" max="2309" width="10.5703125" style="280" customWidth="1"/>
    <col min="2310" max="2560" width="9.140625" style="280"/>
    <col min="2561" max="2561" width="31.85546875" style="280" customWidth="1"/>
    <col min="2562" max="2563" width="22.28515625" style="280" bestFit="1" customWidth="1"/>
    <col min="2564" max="2564" width="22" style="280" customWidth="1"/>
    <col min="2565" max="2565" width="10.5703125" style="280" customWidth="1"/>
    <col min="2566" max="2816" width="9.140625" style="280"/>
    <col min="2817" max="2817" width="31.85546875" style="280" customWidth="1"/>
    <col min="2818" max="2819" width="22.28515625" style="280" bestFit="1" customWidth="1"/>
    <col min="2820" max="2820" width="22" style="280" customWidth="1"/>
    <col min="2821" max="2821" width="10.5703125" style="280" customWidth="1"/>
    <col min="2822" max="3072" width="9.140625" style="280"/>
    <col min="3073" max="3073" width="31.85546875" style="280" customWidth="1"/>
    <col min="3074" max="3075" width="22.28515625" style="280" bestFit="1" customWidth="1"/>
    <col min="3076" max="3076" width="22" style="280" customWidth="1"/>
    <col min="3077" max="3077" width="10.5703125" style="280" customWidth="1"/>
    <col min="3078" max="3328" width="9.140625" style="280"/>
    <col min="3329" max="3329" width="31.85546875" style="280" customWidth="1"/>
    <col min="3330" max="3331" width="22.28515625" style="280" bestFit="1" customWidth="1"/>
    <col min="3332" max="3332" width="22" style="280" customWidth="1"/>
    <col min="3333" max="3333" width="10.5703125" style="280" customWidth="1"/>
    <col min="3334" max="3584" width="9.140625" style="280"/>
    <col min="3585" max="3585" width="31.85546875" style="280" customWidth="1"/>
    <col min="3586" max="3587" width="22.28515625" style="280" bestFit="1" customWidth="1"/>
    <col min="3588" max="3588" width="22" style="280" customWidth="1"/>
    <col min="3589" max="3589" width="10.5703125" style="280" customWidth="1"/>
    <col min="3590" max="3840" width="9.140625" style="280"/>
    <col min="3841" max="3841" width="31.85546875" style="280" customWidth="1"/>
    <col min="3842" max="3843" width="22.28515625" style="280" bestFit="1" customWidth="1"/>
    <col min="3844" max="3844" width="22" style="280" customWidth="1"/>
    <col min="3845" max="3845" width="10.5703125" style="280" customWidth="1"/>
    <col min="3846" max="4096" width="9.140625" style="280"/>
    <col min="4097" max="4097" width="31.85546875" style="280" customWidth="1"/>
    <col min="4098" max="4099" width="22.28515625" style="280" bestFit="1" customWidth="1"/>
    <col min="4100" max="4100" width="22" style="280" customWidth="1"/>
    <col min="4101" max="4101" width="10.5703125" style="280" customWidth="1"/>
    <col min="4102" max="4352" width="9.140625" style="280"/>
    <col min="4353" max="4353" width="31.85546875" style="280" customWidth="1"/>
    <col min="4354" max="4355" width="22.28515625" style="280" bestFit="1" customWidth="1"/>
    <col min="4356" max="4356" width="22" style="280" customWidth="1"/>
    <col min="4357" max="4357" width="10.5703125" style="280" customWidth="1"/>
    <col min="4358" max="4608" width="9.140625" style="280"/>
    <col min="4609" max="4609" width="31.85546875" style="280" customWidth="1"/>
    <col min="4610" max="4611" width="22.28515625" style="280" bestFit="1" customWidth="1"/>
    <col min="4612" max="4612" width="22" style="280" customWidth="1"/>
    <col min="4613" max="4613" width="10.5703125" style="280" customWidth="1"/>
    <col min="4614" max="4864" width="9.140625" style="280"/>
    <col min="4865" max="4865" width="31.85546875" style="280" customWidth="1"/>
    <col min="4866" max="4867" width="22.28515625" style="280" bestFit="1" customWidth="1"/>
    <col min="4868" max="4868" width="22" style="280" customWidth="1"/>
    <col min="4869" max="4869" width="10.5703125" style="280" customWidth="1"/>
    <col min="4870" max="5120" width="9.140625" style="280"/>
    <col min="5121" max="5121" width="31.85546875" style="280" customWidth="1"/>
    <col min="5122" max="5123" width="22.28515625" style="280" bestFit="1" customWidth="1"/>
    <col min="5124" max="5124" width="22" style="280" customWidth="1"/>
    <col min="5125" max="5125" width="10.5703125" style="280" customWidth="1"/>
    <col min="5126" max="5376" width="9.140625" style="280"/>
    <col min="5377" max="5377" width="31.85546875" style="280" customWidth="1"/>
    <col min="5378" max="5379" width="22.28515625" style="280" bestFit="1" customWidth="1"/>
    <col min="5380" max="5380" width="22" style="280" customWidth="1"/>
    <col min="5381" max="5381" width="10.5703125" style="280" customWidth="1"/>
    <col min="5382" max="5632" width="9.140625" style="280"/>
    <col min="5633" max="5633" width="31.85546875" style="280" customWidth="1"/>
    <col min="5634" max="5635" width="22.28515625" style="280" bestFit="1" customWidth="1"/>
    <col min="5636" max="5636" width="22" style="280" customWidth="1"/>
    <col min="5637" max="5637" width="10.5703125" style="280" customWidth="1"/>
    <col min="5638" max="5888" width="9.140625" style="280"/>
    <col min="5889" max="5889" width="31.85546875" style="280" customWidth="1"/>
    <col min="5890" max="5891" width="22.28515625" style="280" bestFit="1" customWidth="1"/>
    <col min="5892" max="5892" width="22" style="280" customWidth="1"/>
    <col min="5893" max="5893" width="10.5703125" style="280" customWidth="1"/>
    <col min="5894" max="6144" width="9.140625" style="280"/>
    <col min="6145" max="6145" width="31.85546875" style="280" customWidth="1"/>
    <col min="6146" max="6147" width="22.28515625" style="280" bestFit="1" customWidth="1"/>
    <col min="6148" max="6148" width="22" style="280" customWidth="1"/>
    <col min="6149" max="6149" width="10.5703125" style="280" customWidth="1"/>
    <col min="6150" max="6400" width="9.140625" style="280"/>
    <col min="6401" max="6401" width="31.85546875" style="280" customWidth="1"/>
    <col min="6402" max="6403" width="22.28515625" style="280" bestFit="1" customWidth="1"/>
    <col min="6404" max="6404" width="22" style="280" customWidth="1"/>
    <col min="6405" max="6405" width="10.5703125" style="280" customWidth="1"/>
    <col min="6406" max="6656" width="9.140625" style="280"/>
    <col min="6657" max="6657" width="31.85546875" style="280" customWidth="1"/>
    <col min="6658" max="6659" width="22.28515625" style="280" bestFit="1" customWidth="1"/>
    <col min="6660" max="6660" width="22" style="280" customWidth="1"/>
    <col min="6661" max="6661" width="10.5703125" style="280" customWidth="1"/>
    <col min="6662" max="6912" width="9.140625" style="280"/>
    <col min="6913" max="6913" width="31.85546875" style="280" customWidth="1"/>
    <col min="6914" max="6915" width="22.28515625" style="280" bestFit="1" customWidth="1"/>
    <col min="6916" max="6916" width="22" style="280" customWidth="1"/>
    <col min="6917" max="6917" width="10.5703125" style="280" customWidth="1"/>
    <col min="6918" max="7168" width="9.140625" style="280"/>
    <col min="7169" max="7169" width="31.85546875" style="280" customWidth="1"/>
    <col min="7170" max="7171" width="22.28515625" style="280" bestFit="1" customWidth="1"/>
    <col min="7172" max="7172" width="22" style="280" customWidth="1"/>
    <col min="7173" max="7173" width="10.5703125" style="280" customWidth="1"/>
    <col min="7174" max="7424" width="9.140625" style="280"/>
    <col min="7425" max="7425" width="31.85546875" style="280" customWidth="1"/>
    <col min="7426" max="7427" width="22.28515625" style="280" bestFit="1" customWidth="1"/>
    <col min="7428" max="7428" width="22" style="280" customWidth="1"/>
    <col min="7429" max="7429" width="10.5703125" style="280" customWidth="1"/>
    <col min="7430" max="7680" width="9.140625" style="280"/>
    <col min="7681" max="7681" width="31.85546875" style="280" customWidth="1"/>
    <col min="7682" max="7683" width="22.28515625" style="280" bestFit="1" customWidth="1"/>
    <col min="7684" max="7684" width="22" style="280" customWidth="1"/>
    <col min="7685" max="7685" width="10.5703125" style="280" customWidth="1"/>
    <col min="7686" max="7936" width="9.140625" style="280"/>
    <col min="7937" max="7937" width="31.85546875" style="280" customWidth="1"/>
    <col min="7938" max="7939" width="22.28515625" style="280" bestFit="1" customWidth="1"/>
    <col min="7940" max="7940" width="22" style="280" customWidth="1"/>
    <col min="7941" max="7941" width="10.5703125" style="280" customWidth="1"/>
    <col min="7942" max="8192" width="9.140625" style="280"/>
    <col min="8193" max="8193" width="31.85546875" style="280" customWidth="1"/>
    <col min="8194" max="8195" width="22.28515625" style="280" bestFit="1" customWidth="1"/>
    <col min="8196" max="8196" width="22" style="280" customWidth="1"/>
    <col min="8197" max="8197" width="10.5703125" style="280" customWidth="1"/>
    <col min="8198" max="8448" width="9.140625" style="280"/>
    <col min="8449" max="8449" width="31.85546875" style="280" customWidth="1"/>
    <col min="8450" max="8451" width="22.28515625" style="280" bestFit="1" customWidth="1"/>
    <col min="8452" max="8452" width="22" style="280" customWidth="1"/>
    <col min="8453" max="8453" width="10.5703125" style="280" customWidth="1"/>
    <col min="8454" max="8704" width="9.140625" style="280"/>
    <col min="8705" max="8705" width="31.85546875" style="280" customWidth="1"/>
    <col min="8706" max="8707" width="22.28515625" style="280" bestFit="1" customWidth="1"/>
    <col min="8708" max="8708" width="22" style="280" customWidth="1"/>
    <col min="8709" max="8709" width="10.5703125" style="280" customWidth="1"/>
    <col min="8710" max="8960" width="9.140625" style="280"/>
    <col min="8961" max="8961" width="31.85546875" style="280" customWidth="1"/>
    <col min="8962" max="8963" width="22.28515625" style="280" bestFit="1" customWidth="1"/>
    <col min="8964" max="8964" width="22" style="280" customWidth="1"/>
    <col min="8965" max="8965" width="10.5703125" style="280" customWidth="1"/>
    <col min="8966" max="9216" width="9.140625" style="280"/>
    <col min="9217" max="9217" width="31.85546875" style="280" customWidth="1"/>
    <col min="9218" max="9219" width="22.28515625" style="280" bestFit="1" customWidth="1"/>
    <col min="9220" max="9220" width="22" style="280" customWidth="1"/>
    <col min="9221" max="9221" width="10.5703125" style="280" customWidth="1"/>
    <col min="9222" max="9472" width="9.140625" style="280"/>
    <col min="9473" max="9473" width="31.85546875" style="280" customWidth="1"/>
    <col min="9474" max="9475" width="22.28515625" style="280" bestFit="1" customWidth="1"/>
    <col min="9476" max="9476" width="22" style="280" customWidth="1"/>
    <col min="9477" max="9477" width="10.5703125" style="280" customWidth="1"/>
    <col min="9478" max="9728" width="9.140625" style="280"/>
    <col min="9729" max="9729" width="31.85546875" style="280" customWidth="1"/>
    <col min="9730" max="9731" width="22.28515625" style="280" bestFit="1" customWidth="1"/>
    <col min="9732" max="9732" width="22" style="280" customWidth="1"/>
    <col min="9733" max="9733" width="10.5703125" style="280" customWidth="1"/>
    <col min="9734" max="9984" width="9.140625" style="280"/>
    <col min="9985" max="9985" width="31.85546875" style="280" customWidth="1"/>
    <col min="9986" max="9987" width="22.28515625" style="280" bestFit="1" customWidth="1"/>
    <col min="9988" max="9988" width="22" style="280" customWidth="1"/>
    <col min="9989" max="9989" width="10.5703125" style="280" customWidth="1"/>
    <col min="9990" max="10240" width="9.140625" style="280"/>
    <col min="10241" max="10241" width="31.85546875" style="280" customWidth="1"/>
    <col min="10242" max="10243" width="22.28515625" style="280" bestFit="1" customWidth="1"/>
    <col min="10244" max="10244" width="22" style="280" customWidth="1"/>
    <col min="10245" max="10245" width="10.5703125" style="280" customWidth="1"/>
    <col min="10246" max="10496" width="9.140625" style="280"/>
    <col min="10497" max="10497" width="31.85546875" style="280" customWidth="1"/>
    <col min="10498" max="10499" width="22.28515625" style="280" bestFit="1" customWidth="1"/>
    <col min="10500" max="10500" width="22" style="280" customWidth="1"/>
    <col min="10501" max="10501" width="10.5703125" style="280" customWidth="1"/>
    <col min="10502" max="10752" width="9.140625" style="280"/>
    <col min="10753" max="10753" width="31.85546875" style="280" customWidth="1"/>
    <col min="10754" max="10755" width="22.28515625" style="280" bestFit="1" customWidth="1"/>
    <col min="10756" max="10756" width="22" style="280" customWidth="1"/>
    <col min="10757" max="10757" width="10.5703125" style="280" customWidth="1"/>
    <col min="10758" max="11008" width="9.140625" style="280"/>
    <col min="11009" max="11009" width="31.85546875" style="280" customWidth="1"/>
    <col min="11010" max="11011" width="22.28515625" style="280" bestFit="1" customWidth="1"/>
    <col min="11012" max="11012" width="22" style="280" customWidth="1"/>
    <col min="11013" max="11013" width="10.5703125" style="280" customWidth="1"/>
    <col min="11014" max="11264" width="9.140625" style="280"/>
    <col min="11265" max="11265" width="31.85546875" style="280" customWidth="1"/>
    <col min="11266" max="11267" width="22.28515625" style="280" bestFit="1" customWidth="1"/>
    <col min="11268" max="11268" width="22" style="280" customWidth="1"/>
    <col min="11269" max="11269" width="10.5703125" style="280" customWidth="1"/>
    <col min="11270" max="11520" width="9.140625" style="280"/>
    <col min="11521" max="11521" width="31.85546875" style="280" customWidth="1"/>
    <col min="11522" max="11523" width="22.28515625" style="280" bestFit="1" customWidth="1"/>
    <col min="11524" max="11524" width="22" style="280" customWidth="1"/>
    <col min="11525" max="11525" width="10.5703125" style="280" customWidth="1"/>
    <col min="11526" max="11776" width="9.140625" style="280"/>
    <col min="11777" max="11777" width="31.85546875" style="280" customWidth="1"/>
    <col min="11778" max="11779" width="22.28515625" style="280" bestFit="1" customWidth="1"/>
    <col min="11780" max="11780" width="22" style="280" customWidth="1"/>
    <col min="11781" max="11781" width="10.5703125" style="280" customWidth="1"/>
    <col min="11782" max="12032" width="9.140625" style="280"/>
    <col min="12033" max="12033" width="31.85546875" style="280" customWidth="1"/>
    <col min="12034" max="12035" width="22.28515625" style="280" bestFit="1" customWidth="1"/>
    <col min="12036" max="12036" width="22" style="280" customWidth="1"/>
    <col min="12037" max="12037" width="10.5703125" style="280" customWidth="1"/>
    <col min="12038" max="12288" width="9.140625" style="280"/>
    <col min="12289" max="12289" width="31.85546875" style="280" customWidth="1"/>
    <col min="12290" max="12291" width="22.28515625" style="280" bestFit="1" customWidth="1"/>
    <col min="12292" max="12292" width="22" style="280" customWidth="1"/>
    <col min="12293" max="12293" width="10.5703125" style="280" customWidth="1"/>
    <col min="12294" max="12544" width="9.140625" style="280"/>
    <col min="12545" max="12545" width="31.85546875" style="280" customWidth="1"/>
    <col min="12546" max="12547" width="22.28515625" style="280" bestFit="1" customWidth="1"/>
    <col min="12548" max="12548" width="22" style="280" customWidth="1"/>
    <col min="12549" max="12549" width="10.5703125" style="280" customWidth="1"/>
    <col min="12550" max="12800" width="9.140625" style="280"/>
    <col min="12801" max="12801" width="31.85546875" style="280" customWidth="1"/>
    <col min="12802" max="12803" width="22.28515625" style="280" bestFit="1" customWidth="1"/>
    <col min="12804" max="12804" width="22" style="280" customWidth="1"/>
    <col min="12805" max="12805" width="10.5703125" style="280" customWidth="1"/>
    <col min="12806" max="13056" width="9.140625" style="280"/>
    <col min="13057" max="13057" width="31.85546875" style="280" customWidth="1"/>
    <col min="13058" max="13059" width="22.28515625" style="280" bestFit="1" customWidth="1"/>
    <col min="13060" max="13060" width="22" style="280" customWidth="1"/>
    <col min="13061" max="13061" width="10.5703125" style="280" customWidth="1"/>
    <col min="13062" max="13312" width="9.140625" style="280"/>
    <col min="13313" max="13313" width="31.85546875" style="280" customWidth="1"/>
    <col min="13314" max="13315" width="22.28515625" style="280" bestFit="1" customWidth="1"/>
    <col min="13316" max="13316" width="22" style="280" customWidth="1"/>
    <col min="13317" max="13317" width="10.5703125" style="280" customWidth="1"/>
    <col min="13318" max="13568" width="9.140625" style="280"/>
    <col min="13569" max="13569" width="31.85546875" style="280" customWidth="1"/>
    <col min="13570" max="13571" width="22.28515625" style="280" bestFit="1" customWidth="1"/>
    <col min="13572" max="13572" width="22" style="280" customWidth="1"/>
    <col min="13573" max="13573" width="10.5703125" style="280" customWidth="1"/>
    <col min="13574" max="13824" width="9.140625" style="280"/>
    <col min="13825" max="13825" width="31.85546875" style="280" customWidth="1"/>
    <col min="13826" max="13827" width="22.28515625" style="280" bestFit="1" customWidth="1"/>
    <col min="13828" max="13828" width="22" style="280" customWidth="1"/>
    <col min="13829" max="13829" width="10.5703125" style="280" customWidth="1"/>
    <col min="13830" max="14080" width="9.140625" style="280"/>
    <col min="14081" max="14081" width="31.85546875" style="280" customWidth="1"/>
    <col min="14082" max="14083" width="22.28515625" style="280" bestFit="1" customWidth="1"/>
    <col min="14084" max="14084" width="22" style="280" customWidth="1"/>
    <col min="14085" max="14085" width="10.5703125" style="280" customWidth="1"/>
    <col min="14086" max="14336" width="9.140625" style="280"/>
    <col min="14337" max="14337" width="31.85546875" style="280" customWidth="1"/>
    <col min="14338" max="14339" width="22.28515625" style="280" bestFit="1" customWidth="1"/>
    <col min="14340" max="14340" width="22" style="280" customWidth="1"/>
    <col min="14341" max="14341" width="10.5703125" style="280" customWidth="1"/>
    <col min="14342" max="14592" width="9.140625" style="280"/>
    <col min="14593" max="14593" width="31.85546875" style="280" customWidth="1"/>
    <col min="14594" max="14595" width="22.28515625" style="280" bestFit="1" customWidth="1"/>
    <col min="14596" max="14596" width="22" style="280" customWidth="1"/>
    <col min="14597" max="14597" width="10.5703125" style="280" customWidth="1"/>
    <col min="14598" max="14848" width="9.140625" style="280"/>
    <col min="14849" max="14849" width="31.85546875" style="280" customWidth="1"/>
    <col min="14850" max="14851" width="22.28515625" style="280" bestFit="1" customWidth="1"/>
    <col min="14852" max="14852" width="22" style="280" customWidth="1"/>
    <col min="14853" max="14853" width="10.5703125" style="280" customWidth="1"/>
    <col min="14854" max="15104" width="9.140625" style="280"/>
    <col min="15105" max="15105" width="31.85546875" style="280" customWidth="1"/>
    <col min="15106" max="15107" width="22.28515625" style="280" bestFit="1" customWidth="1"/>
    <col min="15108" max="15108" width="22" style="280" customWidth="1"/>
    <col min="15109" max="15109" width="10.5703125" style="280" customWidth="1"/>
    <col min="15110" max="15360" width="9.140625" style="280"/>
    <col min="15361" max="15361" width="31.85546875" style="280" customWidth="1"/>
    <col min="15362" max="15363" width="22.28515625" style="280" bestFit="1" customWidth="1"/>
    <col min="15364" max="15364" width="22" style="280" customWidth="1"/>
    <col min="15365" max="15365" width="10.5703125" style="280" customWidth="1"/>
    <col min="15366" max="15616" width="9.140625" style="280"/>
    <col min="15617" max="15617" width="31.85546875" style="280" customWidth="1"/>
    <col min="15618" max="15619" width="22.28515625" style="280" bestFit="1" customWidth="1"/>
    <col min="15620" max="15620" width="22" style="280" customWidth="1"/>
    <col min="15621" max="15621" width="10.5703125" style="280" customWidth="1"/>
    <col min="15622" max="15872" width="9.140625" style="280"/>
    <col min="15873" max="15873" width="31.85546875" style="280" customWidth="1"/>
    <col min="15874" max="15875" width="22.28515625" style="280" bestFit="1" customWidth="1"/>
    <col min="15876" max="15876" width="22" style="280" customWidth="1"/>
    <col min="15877" max="15877" width="10.5703125" style="280" customWidth="1"/>
    <col min="15878" max="16128" width="9.140625" style="280"/>
    <col min="16129" max="16129" width="31.85546875" style="280" customWidth="1"/>
    <col min="16130" max="16131" width="22.28515625" style="280" bestFit="1" customWidth="1"/>
    <col min="16132" max="16132" width="22" style="280" customWidth="1"/>
    <col min="16133" max="16133" width="10.5703125" style="280" customWidth="1"/>
    <col min="16134" max="16384" width="9.140625" style="280"/>
  </cols>
  <sheetData>
    <row r="1" spans="1:4" ht="15.75">
      <c r="A1" s="2461" t="s">
        <v>3302</v>
      </c>
      <c r="B1" s="2462"/>
      <c r="C1" s="2463"/>
      <c r="D1" s="2464"/>
    </row>
    <row r="2" spans="1:4" ht="15.75">
      <c r="A2" s="2461" t="s">
        <v>3303</v>
      </c>
      <c r="B2" s="2465"/>
      <c r="C2" s="2463"/>
      <c r="D2" s="2464"/>
    </row>
    <row r="3" spans="1:4" ht="4.5" customHeight="1" thickBot="1">
      <c r="B3" s="2466"/>
      <c r="C3" s="2467"/>
    </row>
    <row r="4" spans="1:4" ht="13.5" customHeight="1" thickTop="1">
      <c r="A4" s="2468" t="s">
        <v>3286</v>
      </c>
      <c r="B4" s="2469" t="s">
        <v>3304</v>
      </c>
      <c r="C4" s="2470" t="s">
        <v>3304</v>
      </c>
      <c r="D4" s="2471" t="s">
        <v>3305</v>
      </c>
    </row>
    <row r="5" spans="1:4" ht="13.5" customHeight="1">
      <c r="A5" s="2472" t="s">
        <v>3287</v>
      </c>
      <c r="B5" s="2473" t="s">
        <v>3306</v>
      </c>
      <c r="C5" s="2473" t="s">
        <v>3306</v>
      </c>
      <c r="D5" s="2474" t="s">
        <v>3307</v>
      </c>
    </row>
    <row r="6" spans="1:4" ht="13.5" customHeight="1">
      <c r="A6" s="2475"/>
      <c r="B6" s="2473" t="s">
        <v>3308</v>
      </c>
      <c r="C6" s="2473" t="s">
        <v>3309</v>
      </c>
      <c r="D6" s="2474" t="s">
        <v>3310</v>
      </c>
    </row>
    <row r="7" spans="1:4" ht="13.5" customHeight="1">
      <c r="A7" s="2475"/>
      <c r="B7" s="2473"/>
      <c r="C7" s="2473"/>
      <c r="D7" s="2474" t="s">
        <v>3311</v>
      </c>
    </row>
    <row r="8" spans="1:4" ht="13.5" customHeight="1">
      <c r="A8" s="2475"/>
      <c r="B8" s="2473" t="s">
        <v>3312</v>
      </c>
      <c r="C8" s="2473" t="s">
        <v>3313</v>
      </c>
      <c r="D8" s="2474" t="s">
        <v>3314</v>
      </c>
    </row>
    <row r="9" spans="1:4" ht="3.75" customHeight="1" thickBot="1">
      <c r="A9" s="2476"/>
      <c r="B9" s="2477"/>
      <c r="C9" s="2478"/>
      <c r="D9" s="2479"/>
    </row>
    <row r="10" spans="1:4" ht="21" customHeight="1" thickTop="1">
      <c r="A10" s="2386" t="s">
        <v>3288</v>
      </c>
      <c r="B10" s="2480">
        <v>30.6098</v>
      </c>
      <c r="C10" s="2480">
        <v>32.149099999999997</v>
      </c>
      <c r="D10" s="2481">
        <f>((B10/C10)-1)*100</f>
        <v>-4.7880033966736129</v>
      </c>
    </row>
    <row r="11" spans="1:4" ht="19.5" customHeight="1">
      <c r="A11" s="2386" t="s">
        <v>3315</v>
      </c>
      <c r="B11" s="2480">
        <v>3.7797999999999998</v>
      </c>
      <c r="C11" s="2480">
        <v>4.0095999999999998</v>
      </c>
      <c r="D11" s="2481">
        <f t="shared" ref="D11:D21" si="0">((B11/C11)-1)*100</f>
        <v>-5.7312450119712643</v>
      </c>
    </row>
    <row r="12" spans="1:4" ht="19.5" customHeight="1">
      <c r="A12" s="2386" t="s">
        <v>3290</v>
      </c>
      <c r="B12" s="2480">
        <v>62.5002</v>
      </c>
      <c r="C12" s="2480">
        <v>57.903799999999997</v>
      </c>
      <c r="D12" s="2481">
        <f t="shared" si="0"/>
        <v>7.9379937068033479</v>
      </c>
    </row>
    <row r="13" spans="1:4" ht="19.5" customHeight="1">
      <c r="A13" s="2386" t="s">
        <v>3291</v>
      </c>
      <c r="B13" s="2480">
        <v>37.284300000000002</v>
      </c>
      <c r="C13" s="2480">
        <v>38.1128</v>
      </c>
      <c r="D13" s="2481">
        <f t="shared" si="0"/>
        <v>-2.1738103734178504</v>
      </c>
    </row>
    <row r="14" spans="1:4" ht="20.100000000000001" customHeight="1">
      <c r="A14" s="2386" t="s">
        <v>3292</v>
      </c>
      <c r="B14" s="2480">
        <v>33.348500000000001</v>
      </c>
      <c r="C14" s="2480">
        <v>36.904699999999998</v>
      </c>
      <c r="D14" s="2481">
        <f t="shared" si="0"/>
        <v>-9.6361710026094176</v>
      </c>
    </row>
    <row r="15" spans="1:4" ht="20.100000000000001" customHeight="1">
      <c r="A15" s="2386" t="s">
        <v>3293</v>
      </c>
      <c r="B15" s="2480">
        <v>23.4498</v>
      </c>
      <c r="C15" s="2480">
        <v>25.2561</v>
      </c>
      <c r="D15" s="2481">
        <f t="shared" si="0"/>
        <v>-7.1519355720004345</v>
      </c>
    </row>
    <row r="16" spans="1:4" ht="20.100000000000001" customHeight="1">
      <c r="A16" s="2386" t="s">
        <v>3294</v>
      </c>
      <c r="B16" s="2480">
        <v>23.4575</v>
      </c>
      <c r="C16" s="2480">
        <v>25.029499999999999</v>
      </c>
      <c r="D16" s="2481">
        <f t="shared" si="0"/>
        <v>-6.2805889050919887</v>
      </c>
    </row>
    <row r="17" spans="1:4" ht="20.100000000000001" customHeight="1">
      <c r="A17" s="2386" t="s">
        <v>3295</v>
      </c>
      <c r="B17" s="2480">
        <v>4.0308000000000002</v>
      </c>
      <c r="C17" s="2480">
        <v>3.7461000000000002</v>
      </c>
      <c r="D17" s="2481">
        <f t="shared" si="0"/>
        <v>7.5999039000560487</v>
      </c>
    </row>
    <row r="18" spans="1:4" ht="20.100000000000001" customHeight="1">
      <c r="A18" s="2386" t="s">
        <v>3296</v>
      </c>
      <c r="B18" s="2480">
        <v>33.309800000000003</v>
      </c>
      <c r="C18" s="2480">
        <v>33.069499999999998</v>
      </c>
      <c r="D18" s="2481">
        <f t="shared" si="0"/>
        <v>0.72665144619665778</v>
      </c>
    </row>
    <row r="19" spans="1:4" ht="20.100000000000001" customHeight="1">
      <c r="A19" s="2386" t="s">
        <v>3297</v>
      </c>
      <c r="B19" s="2480">
        <v>29.2822</v>
      </c>
      <c r="C19" s="2480">
        <v>30.973299999999998</v>
      </c>
      <c r="D19" s="2481">
        <f t="shared" si="0"/>
        <v>-5.4598638181917902</v>
      </c>
    </row>
    <row r="20" spans="1:4" ht="20.100000000000001" customHeight="1">
      <c r="A20" s="2386" t="s">
        <v>3298</v>
      </c>
      <c r="B20" s="2480">
        <v>46.805599999999998</v>
      </c>
      <c r="C20" s="2480">
        <v>49.1053</v>
      </c>
      <c r="D20" s="2482">
        <f t="shared" si="0"/>
        <v>-4.6832012023142138</v>
      </c>
    </row>
    <row r="21" spans="1:4" ht="20.100000000000001" customHeight="1">
      <c r="A21" s="2386" t="s">
        <v>2738</v>
      </c>
      <c r="B21" s="2480">
        <v>40.558599999999998</v>
      </c>
      <c r="C21" s="2480">
        <v>39.931399999999996</v>
      </c>
      <c r="D21" s="2481">
        <f t="shared" si="0"/>
        <v>1.5706937397637066</v>
      </c>
    </row>
    <row r="22" spans="1:4" ht="6.75" customHeight="1" thickBot="1">
      <c r="A22" s="2414"/>
      <c r="B22" s="2483"/>
      <c r="C22" s="2484"/>
      <c r="D22" s="2485"/>
    </row>
    <row r="23" spans="1:4" ht="15" customHeight="1" thickTop="1">
      <c r="A23" s="2430" t="s">
        <v>3316</v>
      </c>
      <c r="B23" s="2486"/>
      <c r="C23" s="2467"/>
      <c r="D23" s="2487"/>
    </row>
    <row r="24" spans="1:4" ht="11.25" customHeight="1">
      <c r="A24" s="2430" t="s">
        <v>3317</v>
      </c>
      <c r="B24" s="2488"/>
      <c r="C24" s="2467"/>
      <c r="D24" s="348"/>
    </row>
    <row r="25" spans="1:4" ht="11.25" customHeight="1">
      <c r="A25" s="2430" t="s">
        <v>3318</v>
      </c>
      <c r="B25" s="2488"/>
      <c r="C25" s="2467"/>
      <c r="D25" s="348"/>
    </row>
    <row r="26" spans="1:4" ht="11.25" customHeight="1">
      <c r="A26" s="2430" t="s">
        <v>3319</v>
      </c>
      <c r="B26" s="2488"/>
      <c r="C26" s="2467"/>
      <c r="D26" s="348"/>
    </row>
    <row r="27" spans="1:4" ht="11.25" customHeight="1">
      <c r="A27" s="2430" t="s">
        <v>3320</v>
      </c>
      <c r="B27" s="2488"/>
      <c r="C27" s="2467"/>
      <c r="D27" s="348"/>
    </row>
    <row r="28" spans="1:4" ht="11.25" customHeight="1">
      <c r="A28" s="2429" t="s">
        <v>3300</v>
      </c>
      <c r="B28" s="2488"/>
      <c r="C28" s="2467"/>
      <c r="D28" s="348"/>
    </row>
    <row r="29" spans="1:4" ht="27" customHeight="1"/>
    <row r="30" spans="1:4" ht="15.75">
      <c r="A30" s="2461" t="s">
        <v>3321</v>
      </c>
      <c r="B30" s="2461"/>
      <c r="C30" s="2461"/>
      <c r="D30" s="2461"/>
    </row>
    <row r="31" spans="1:4" ht="15.75">
      <c r="A31" s="2461" t="s">
        <v>3322</v>
      </c>
      <c r="B31" s="608"/>
      <c r="C31" s="2461"/>
      <c r="D31" s="2461"/>
    </row>
    <row r="32" spans="1:4" ht="9" customHeight="1" thickBot="1">
      <c r="A32" s="163"/>
      <c r="B32" s="100"/>
      <c r="C32" s="100"/>
      <c r="D32" s="100"/>
    </row>
    <row r="33" spans="1:4" ht="13.5" thickTop="1">
      <c r="A33" s="2489"/>
      <c r="B33" s="2490"/>
      <c r="C33" s="2376"/>
      <c r="D33" s="2491" t="s">
        <v>3323</v>
      </c>
    </row>
    <row r="34" spans="1:4">
      <c r="A34" s="2492"/>
      <c r="B34" s="2493" t="s">
        <v>3324</v>
      </c>
      <c r="C34" s="2494">
        <v>41306</v>
      </c>
      <c r="D34" s="2495" t="s">
        <v>3307</v>
      </c>
    </row>
    <row r="35" spans="1:4">
      <c r="A35" s="2492"/>
      <c r="B35" s="2496"/>
      <c r="C35" s="2494"/>
      <c r="D35" s="2495" t="s">
        <v>3325</v>
      </c>
    </row>
    <row r="36" spans="1:4">
      <c r="A36" s="2492"/>
      <c r="B36" s="2496" t="s">
        <v>3312</v>
      </c>
      <c r="C36" s="2497" t="s">
        <v>3313</v>
      </c>
      <c r="D36" s="2495" t="s">
        <v>3311</v>
      </c>
    </row>
    <row r="37" spans="1:4" ht="13.5" thickBot="1">
      <c r="A37" s="2498"/>
      <c r="B37" s="2499"/>
      <c r="C37" s="2500"/>
      <c r="D37" s="2501" t="s">
        <v>16</v>
      </c>
    </row>
    <row r="38" spans="1:4" ht="19.5" customHeight="1" thickTop="1">
      <c r="A38" s="2502" t="s">
        <v>3315</v>
      </c>
      <c r="B38" s="2503">
        <v>8.9688999999999997</v>
      </c>
      <c r="C38" s="2503">
        <v>10.3443</v>
      </c>
      <c r="D38" s="2504">
        <f>((B38/C38)-1)*100</f>
        <v>-13.296211440116789</v>
      </c>
    </row>
    <row r="39" spans="1:4" ht="19.5" customHeight="1">
      <c r="A39" s="2502" t="s">
        <v>3326</v>
      </c>
      <c r="B39" s="2505">
        <v>9961.02</v>
      </c>
      <c r="C39" s="2505">
        <v>12921.32</v>
      </c>
      <c r="D39" s="2504">
        <f t="shared" ref="D39:D46" si="1">((B39/C39)-1)*100</f>
        <v>-22.910198029303508</v>
      </c>
    </row>
    <row r="40" spans="1:4" ht="19.5" customHeight="1">
      <c r="A40" s="2502" t="s">
        <v>3327</v>
      </c>
      <c r="B40" s="2505">
        <v>1358.76</v>
      </c>
      <c r="C40" s="2505">
        <v>1448.14</v>
      </c>
      <c r="D40" s="2504">
        <f t="shared" si="1"/>
        <v>-6.1720551880343084</v>
      </c>
    </row>
    <row r="41" spans="1:4" ht="19.5" customHeight="1">
      <c r="A41" s="2502" t="s">
        <v>3328</v>
      </c>
      <c r="B41" s="2506">
        <v>28.986999999999998</v>
      </c>
      <c r="C41" s="2506">
        <v>41.243000000000002</v>
      </c>
      <c r="D41" s="2504">
        <f t="shared" si="1"/>
        <v>-29.716557961351022</v>
      </c>
    </row>
    <row r="42" spans="1:4" ht="19.5" customHeight="1">
      <c r="A42" s="2502" t="s">
        <v>3329</v>
      </c>
      <c r="B42" s="2506">
        <v>44.395000000000003</v>
      </c>
      <c r="C42" s="2506">
        <v>54.238</v>
      </c>
      <c r="D42" s="2504">
        <f t="shared" si="1"/>
        <v>-18.147793060216078</v>
      </c>
    </row>
    <row r="43" spans="1:4" ht="19.5" customHeight="1">
      <c r="A43" s="2502" t="s">
        <v>3294</v>
      </c>
      <c r="B43" s="2507">
        <v>1.9453</v>
      </c>
      <c r="C43" s="2508">
        <v>1.6511</v>
      </c>
      <c r="D43" s="2504">
        <f t="shared" si="1"/>
        <v>17.818424080915761</v>
      </c>
    </row>
    <row r="44" spans="1:4" ht="19.5" customHeight="1">
      <c r="A44" s="2502" t="s">
        <v>3295</v>
      </c>
      <c r="B44" s="2507">
        <v>6.9690000000000003</v>
      </c>
      <c r="C44" s="2508">
        <v>11.8139</v>
      </c>
      <c r="D44" s="2504">
        <f t="shared" si="1"/>
        <v>-41.010165990909009</v>
      </c>
    </row>
    <row r="45" spans="1:4" ht="19.5" customHeight="1">
      <c r="A45" s="2502" t="s">
        <v>3330</v>
      </c>
      <c r="B45" s="2506">
        <v>37.332999999999998</v>
      </c>
      <c r="C45" s="2506">
        <v>39.488</v>
      </c>
      <c r="D45" s="2504">
        <f t="shared" si="1"/>
        <v>-5.4573541329011377</v>
      </c>
    </row>
    <row r="46" spans="1:4" ht="19.5" customHeight="1">
      <c r="A46" s="2502" t="s">
        <v>3331</v>
      </c>
      <c r="B46" s="2503">
        <v>42.365499999999997</v>
      </c>
      <c r="C46" s="2503">
        <v>39.7149</v>
      </c>
      <c r="D46" s="2504">
        <f t="shared" si="1"/>
        <v>6.674069429861329</v>
      </c>
    </row>
    <row r="47" spans="1:4" ht="6" customHeight="1" thickBot="1">
      <c r="A47" s="2509"/>
      <c r="B47" s="2510"/>
      <c r="C47" s="2511"/>
      <c r="D47" s="2512"/>
    </row>
    <row r="48" spans="1:4" ht="13.5" thickTop="1">
      <c r="A48" s="2429" t="s">
        <v>3332</v>
      </c>
      <c r="B48" s="2513"/>
      <c r="C48" s="2514"/>
      <c r="D48" s="2515"/>
    </row>
    <row r="49" spans="1:5" ht="10.5" customHeight="1">
      <c r="A49" s="2429" t="s">
        <v>3333</v>
      </c>
      <c r="B49" s="2516"/>
      <c r="C49" s="100"/>
      <c r="D49" s="100"/>
    </row>
    <row r="50" spans="1:5" ht="10.5" customHeight="1">
      <c r="A50" s="2429" t="s">
        <v>3300</v>
      </c>
      <c r="B50" s="2516"/>
      <c r="C50" s="100"/>
      <c r="D50" s="100"/>
    </row>
    <row r="51" spans="1:5" ht="27" customHeight="1">
      <c r="D51" s="280" t="s">
        <v>148</v>
      </c>
    </row>
    <row r="52" spans="1:5" ht="15.75">
      <c r="A52" s="2517" t="s">
        <v>3334</v>
      </c>
      <c r="B52" s="2518"/>
      <c r="C52" s="2519"/>
      <c r="D52" s="2519"/>
      <c r="E52" s="2520"/>
    </row>
    <row r="53" spans="1:5" ht="6.75" customHeight="1" thickBot="1">
      <c r="A53" s="2521"/>
      <c r="B53" s="2521"/>
      <c r="C53" s="2521"/>
      <c r="D53" s="2521"/>
      <c r="E53" s="2520"/>
    </row>
    <row r="54" spans="1:5" ht="13.5" thickTop="1">
      <c r="A54" s="2522"/>
      <c r="B54" s="2490">
        <v>41306</v>
      </c>
      <c r="C54" s="2370">
        <f>B54</f>
        <v>41306</v>
      </c>
      <c r="D54" s="2370">
        <f>C54</f>
        <v>41306</v>
      </c>
      <c r="E54" s="2370">
        <v>41275</v>
      </c>
    </row>
    <row r="55" spans="1:5">
      <c r="A55" s="2523"/>
      <c r="B55" s="2496" t="s">
        <v>3335</v>
      </c>
      <c r="C55" s="2524" t="s">
        <v>3336</v>
      </c>
      <c r="D55" s="2524" t="s">
        <v>1255</v>
      </c>
      <c r="E55" s="2524" t="s">
        <v>1255</v>
      </c>
    </row>
    <row r="56" spans="1:5" ht="3" customHeight="1" thickBot="1">
      <c r="A56" s="2498"/>
      <c r="B56" s="2499"/>
      <c r="C56" s="2525"/>
      <c r="D56" s="2525"/>
      <c r="E56" s="2525"/>
    </row>
    <row r="57" spans="1:5" ht="18.75" customHeight="1" thickTop="1">
      <c r="A57" s="2526" t="s">
        <v>3337</v>
      </c>
      <c r="B57" s="2527" t="s">
        <v>3338</v>
      </c>
      <c r="C57" s="2528" t="s">
        <v>3339</v>
      </c>
      <c r="D57" s="2528" t="s">
        <v>3340</v>
      </c>
      <c r="E57" s="2528" t="s">
        <v>3341</v>
      </c>
    </row>
    <row r="58" spans="1:5" ht="18.75" customHeight="1">
      <c r="A58" s="2526" t="s">
        <v>3342</v>
      </c>
      <c r="B58" s="2528" t="s">
        <v>3343</v>
      </c>
      <c r="C58" s="2529" t="s">
        <v>3344</v>
      </c>
      <c r="D58" s="2528" t="s">
        <v>3345</v>
      </c>
      <c r="E58" s="2528" t="s">
        <v>3346</v>
      </c>
    </row>
    <row r="59" spans="1:5" ht="18.75" customHeight="1">
      <c r="A59" s="2526" t="s">
        <v>3347</v>
      </c>
      <c r="B59" s="2528" t="s">
        <v>3348</v>
      </c>
      <c r="C59" s="2530" t="s">
        <v>3349</v>
      </c>
      <c r="D59" s="2528" t="s">
        <v>3350</v>
      </c>
      <c r="E59" s="2528" t="s">
        <v>3351</v>
      </c>
    </row>
    <row r="60" spans="1:5" ht="7.5" customHeight="1" thickBot="1">
      <c r="A60" s="2476"/>
      <c r="B60" s="2531"/>
      <c r="C60" s="2532"/>
      <c r="D60" s="2532"/>
      <c r="E60" s="2532"/>
    </row>
    <row r="61" spans="1:5" ht="14.25" thickTop="1">
      <c r="A61" s="2430" t="s">
        <v>3352</v>
      </c>
      <c r="B61" s="2430"/>
      <c r="C61" s="2533"/>
      <c r="D61" s="2533"/>
      <c r="E61" s="2520"/>
    </row>
    <row r="62" spans="1:5">
      <c r="D62" s="2534"/>
    </row>
    <row r="63" spans="1:5">
      <c r="B63" s="2534"/>
      <c r="C63" s="2534"/>
      <c r="D63" s="323"/>
    </row>
    <row r="64" spans="1:5">
      <c r="B64" s="2534"/>
      <c r="C64" s="2534"/>
      <c r="D64" s="323"/>
    </row>
    <row r="65" spans="2:4">
      <c r="B65" s="2534"/>
      <c r="C65" s="2534"/>
      <c r="D65" s="323"/>
    </row>
    <row r="66" spans="2:4">
      <c r="B66" s="323"/>
      <c r="C66" s="345"/>
      <c r="D66" s="323"/>
    </row>
  </sheetData>
  <printOptions horizontalCentered="1"/>
  <pageMargins left="0" right="0" top="0.19685039370078741" bottom="0.19685039370078741" header="0" footer="0"/>
  <pageSetup paperSize="9" scale="87"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115"/>
  <sheetViews>
    <sheetView workbookViewId="0">
      <pane xSplit="1" ySplit="5" topLeftCell="B35" activePane="bottomRight" state="frozen"/>
      <selection pane="topRight" activeCell="B1" sqref="B1"/>
      <selection pane="bottomLeft" activeCell="A5" sqref="A5"/>
      <selection pane="bottomRight" activeCell="K21" sqref="K21"/>
    </sheetView>
  </sheetViews>
  <sheetFormatPr defaultRowHeight="12.75"/>
  <cols>
    <col min="1" max="1" width="17.28515625" style="615" customWidth="1"/>
    <col min="2" max="9" width="8.7109375" style="615" customWidth="1"/>
    <col min="10" max="10" width="9.140625" style="600"/>
    <col min="11" max="256" width="9.140625" style="615"/>
    <col min="257" max="257" width="17.28515625" style="615" customWidth="1"/>
    <col min="258" max="265" width="8.7109375" style="615" customWidth="1"/>
    <col min="266" max="512" width="9.140625" style="615"/>
    <col min="513" max="513" width="17.28515625" style="615" customWidth="1"/>
    <col min="514" max="521" width="8.7109375" style="615" customWidth="1"/>
    <col min="522" max="768" width="9.140625" style="615"/>
    <col min="769" max="769" width="17.28515625" style="615" customWidth="1"/>
    <col min="770" max="777" width="8.7109375" style="615" customWidth="1"/>
    <col min="778" max="1024" width="9.140625" style="615"/>
    <col min="1025" max="1025" width="17.28515625" style="615" customWidth="1"/>
    <col min="1026" max="1033" width="8.7109375" style="615" customWidth="1"/>
    <col min="1034" max="1280" width="9.140625" style="615"/>
    <col min="1281" max="1281" width="17.28515625" style="615" customWidth="1"/>
    <col min="1282" max="1289" width="8.7109375" style="615" customWidth="1"/>
    <col min="1290" max="1536" width="9.140625" style="615"/>
    <col min="1537" max="1537" width="17.28515625" style="615" customWidth="1"/>
    <col min="1538" max="1545" width="8.7109375" style="615" customWidth="1"/>
    <col min="1546" max="1792" width="9.140625" style="615"/>
    <col min="1793" max="1793" width="17.28515625" style="615" customWidth="1"/>
    <col min="1794" max="1801" width="8.7109375" style="615" customWidth="1"/>
    <col min="1802" max="2048" width="9.140625" style="615"/>
    <col min="2049" max="2049" width="17.28515625" style="615" customWidth="1"/>
    <col min="2050" max="2057" width="8.7109375" style="615" customWidth="1"/>
    <col min="2058" max="2304" width="9.140625" style="615"/>
    <col min="2305" max="2305" width="17.28515625" style="615" customWidth="1"/>
    <col min="2306" max="2313" width="8.7109375" style="615" customWidth="1"/>
    <col min="2314" max="2560" width="9.140625" style="615"/>
    <col min="2561" max="2561" width="17.28515625" style="615" customWidth="1"/>
    <col min="2562" max="2569" width="8.7109375" style="615" customWidth="1"/>
    <col min="2570" max="2816" width="9.140625" style="615"/>
    <col min="2817" max="2817" width="17.28515625" style="615" customWidth="1"/>
    <col min="2818" max="2825" width="8.7109375" style="615" customWidth="1"/>
    <col min="2826" max="3072" width="9.140625" style="615"/>
    <col min="3073" max="3073" width="17.28515625" style="615" customWidth="1"/>
    <col min="3074" max="3081" width="8.7109375" style="615" customWidth="1"/>
    <col min="3082" max="3328" width="9.140625" style="615"/>
    <col min="3329" max="3329" width="17.28515625" style="615" customWidth="1"/>
    <col min="3330" max="3337" width="8.7109375" style="615" customWidth="1"/>
    <col min="3338" max="3584" width="9.140625" style="615"/>
    <col min="3585" max="3585" width="17.28515625" style="615" customWidth="1"/>
    <col min="3586" max="3593" width="8.7109375" style="615" customWidth="1"/>
    <col min="3594" max="3840" width="9.140625" style="615"/>
    <col min="3841" max="3841" width="17.28515625" style="615" customWidth="1"/>
    <col min="3842" max="3849" width="8.7109375" style="615" customWidth="1"/>
    <col min="3850" max="4096" width="9.140625" style="615"/>
    <col min="4097" max="4097" width="17.28515625" style="615" customWidth="1"/>
    <col min="4098" max="4105" width="8.7109375" style="615" customWidth="1"/>
    <col min="4106" max="4352" width="9.140625" style="615"/>
    <col min="4353" max="4353" width="17.28515625" style="615" customWidth="1"/>
    <col min="4354" max="4361" width="8.7109375" style="615" customWidth="1"/>
    <col min="4362" max="4608" width="9.140625" style="615"/>
    <col min="4609" max="4609" width="17.28515625" style="615" customWidth="1"/>
    <col min="4610" max="4617" width="8.7109375" style="615" customWidth="1"/>
    <col min="4618" max="4864" width="9.140625" style="615"/>
    <col min="4865" max="4865" width="17.28515625" style="615" customWidth="1"/>
    <col min="4866" max="4873" width="8.7109375" style="615" customWidth="1"/>
    <col min="4874" max="5120" width="9.140625" style="615"/>
    <col min="5121" max="5121" width="17.28515625" style="615" customWidth="1"/>
    <col min="5122" max="5129" width="8.7109375" style="615" customWidth="1"/>
    <col min="5130" max="5376" width="9.140625" style="615"/>
    <col min="5377" max="5377" width="17.28515625" style="615" customWidth="1"/>
    <col min="5378" max="5385" width="8.7109375" style="615" customWidth="1"/>
    <col min="5386" max="5632" width="9.140625" style="615"/>
    <col min="5633" max="5633" width="17.28515625" style="615" customWidth="1"/>
    <col min="5634" max="5641" width="8.7109375" style="615" customWidth="1"/>
    <col min="5642" max="5888" width="9.140625" style="615"/>
    <col min="5889" max="5889" width="17.28515625" style="615" customWidth="1"/>
    <col min="5890" max="5897" width="8.7109375" style="615" customWidth="1"/>
    <col min="5898" max="6144" width="9.140625" style="615"/>
    <col min="6145" max="6145" width="17.28515625" style="615" customWidth="1"/>
    <col min="6146" max="6153" width="8.7109375" style="615" customWidth="1"/>
    <col min="6154" max="6400" width="9.140625" style="615"/>
    <col min="6401" max="6401" width="17.28515625" style="615" customWidth="1"/>
    <col min="6402" max="6409" width="8.7109375" style="615" customWidth="1"/>
    <col min="6410" max="6656" width="9.140625" style="615"/>
    <col min="6657" max="6657" width="17.28515625" style="615" customWidth="1"/>
    <col min="6658" max="6665" width="8.7109375" style="615" customWidth="1"/>
    <col min="6666" max="6912" width="9.140625" style="615"/>
    <col min="6913" max="6913" width="17.28515625" style="615" customWidth="1"/>
    <col min="6914" max="6921" width="8.7109375" style="615" customWidth="1"/>
    <col min="6922" max="7168" width="9.140625" style="615"/>
    <col min="7169" max="7169" width="17.28515625" style="615" customWidth="1"/>
    <col min="7170" max="7177" width="8.7109375" style="615" customWidth="1"/>
    <col min="7178" max="7424" width="9.140625" style="615"/>
    <col min="7425" max="7425" width="17.28515625" style="615" customWidth="1"/>
    <col min="7426" max="7433" width="8.7109375" style="615" customWidth="1"/>
    <col min="7434" max="7680" width="9.140625" style="615"/>
    <col min="7681" max="7681" width="17.28515625" style="615" customWidth="1"/>
    <col min="7682" max="7689" width="8.7109375" style="615" customWidth="1"/>
    <col min="7690" max="7936" width="9.140625" style="615"/>
    <col min="7937" max="7937" width="17.28515625" style="615" customWidth="1"/>
    <col min="7938" max="7945" width="8.7109375" style="615" customWidth="1"/>
    <col min="7946" max="8192" width="9.140625" style="615"/>
    <col min="8193" max="8193" width="17.28515625" style="615" customWidth="1"/>
    <col min="8194" max="8201" width="8.7109375" style="615" customWidth="1"/>
    <col min="8202" max="8448" width="9.140625" style="615"/>
    <col min="8449" max="8449" width="17.28515625" style="615" customWidth="1"/>
    <col min="8450" max="8457" width="8.7109375" style="615" customWidth="1"/>
    <col min="8458" max="8704" width="9.140625" style="615"/>
    <col min="8705" max="8705" width="17.28515625" style="615" customWidth="1"/>
    <col min="8706" max="8713" width="8.7109375" style="615" customWidth="1"/>
    <col min="8714" max="8960" width="9.140625" style="615"/>
    <col min="8961" max="8961" width="17.28515625" style="615" customWidth="1"/>
    <col min="8962" max="8969" width="8.7109375" style="615" customWidth="1"/>
    <col min="8970" max="9216" width="9.140625" style="615"/>
    <col min="9217" max="9217" width="17.28515625" style="615" customWidth="1"/>
    <col min="9218" max="9225" width="8.7109375" style="615" customWidth="1"/>
    <col min="9226" max="9472" width="9.140625" style="615"/>
    <col min="9473" max="9473" width="17.28515625" style="615" customWidth="1"/>
    <col min="9474" max="9481" width="8.7109375" style="615" customWidth="1"/>
    <col min="9482" max="9728" width="9.140625" style="615"/>
    <col min="9729" max="9729" width="17.28515625" style="615" customWidth="1"/>
    <col min="9730" max="9737" width="8.7109375" style="615" customWidth="1"/>
    <col min="9738" max="9984" width="9.140625" style="615"/>
    <col min="9985" max="9985" width="17.28515625" style="615" customWidth="1"/>
    <col min="9986" max="9993" width="8.7109375" style="615" customWidth="1"/>
    <col min="9994" max="10240" width="9.140625" style="615"/>
    <col min="10241" max="10241" width="17.28515625" style="615" customWidth="1"/>
    <col min="10242" max="10249" width="8.7109375" style="615" customWidth="1"/>
    <col min="10250" max="10496" width="9.140625" style="615"/>
    <col min="10497" max="10497" width="17.28515625" style="615" customWidth="1"/>
    <col min="10498" max="10505" width="8.7109375" style="615" customWidth="1"/>
    <col min="10506" max="10752" width="9.140625" style="615"/>
    <col min="10753" max="10753" width="17.28515625" style="615" customWidth="1"/>
    <col min="10754" max="10761" width="8.7109375" style="615" customWidth="1"/>
    <col min="10762" max="11008" width="9.140625" style="615"/>
    <col min="11009" max="11009" width="17.28515625" style="615" customWidth="1"/>
    <col min="11010" max="11017" width="8.7109375" style="615" customWidth="1"/>
    <col min="11018" max="11264" width="9.140625" style="615"/>
    <col min="11265" max="11265" width="17.28515625" style="615" customWidth="1"/>
    <col min="11266" max="11273" width="8.7109375" style="615" customWidth="1"/>
    <col min="11274" max="11520" width="9.140625" style="615"/>
    <col min="11521" max="11521" width="17.28515625" style="615" customWidth="1"/>
    <col min="11522" max="11529" width="8.7109375" style="615" customWidth="1"/>
    <col min="11530" max="11776" width="9.140625" style="615"/>
    <col min="11777" max="11777" width="17.28515625" style="615" customWidth="1"/>
    <col min="11778" max="11785" width="8.7109375" style="615" customWidth="1"/>
    <col min="11786" max="12032" width="9.140625" style="615"/>
    <col min="12033" max="12033" width="17.28515625" style="615" customWidth="1"/>
    <col min="12034" max="12041" width="8.7109375" style="615" customWidth="1"/>
    <col min="12042" max="12288" width="9.140625" style="615"/>
    <col min="12289" max="12289" width="17.28515625" style="615" customWidth="1"/>
    <col min="12290" max="12297" width="8.7109375" style="615" customWidth="1"/>
    <col min="12298" max="12544" width="9.140625" style="615"/>
    <col min="12545" max="12545" width="17.28515625" style="615" customWidth="1"/>
    <col min="12546" max="12553" width="8.7109375" style="615" customWidth="1"/>
    <col min="12554" max="12800" width="9.140625" style="615"/>
    <col min="12801" max="12801" width="17.28515625" style="615" customWidth="1"/>
    <col min="12802" max="12809" width="8.7109375" style="615" customWidth="1"/>
    <col min="12810" max="13056" width="9.140625" style="615"/>
    <col min="13057" max="13057" width="17.28515625" style="615" customWidth="1"/>
    <col min="13058" max="13065" width="8.7109375" style="615" customWidth="1"/>
    <col min="13066" max="13312" width="9.140625" style="615"/>
    <col min="13313" max="13313" width="17.28515625" style="615" customWidth="1"/>
    <col min="13314" max="13321" width="8.7109375" style="615" customWidth="1"/>
    <col min="13322" max="13568" width="9.140625" style="615"/>
    <col min="13569" max="13569" width="17.28515625" style="615" customWidth="1"/>
    <col min="13570" max="13577" width="8.7109375" style="615" customWidth="1"/>
    <col min="13578" max="13824" width="9.140625" style="615"/>
    <col min="13825" max="13825" width="17.28515625" style="615" customWidth="1"/>
    <col min="13826" max="13833" width="8.7109375" style="615" customWidth="1"/>
    <col min="13834" max="14080" width="9.140625" style="615"/>
    <col min="14081" max="14081" width="17.28515625" style="615" customWidth="1"/>
    <col min="14082" max="14089" width="8.7109375" style="615" customWidth="1"/>
    <col min="14090" max="14336" width="9.140625" style="615"/>
    <col min="14337" max="14337" width="17.28515625" style="615" customWidth="1"/>
    <col min="14338" max="14345" width="8.7109375" style="615" customWidth="1"/>
    <col min="14346" max="14592" width="9.140625" style="615"/>
    <col min="14593" max="14593" width="17.28515625" style="615" customWidth="1"/>
    <col min="14594" max="14601" width="8.7109375" style="615" customWidth="1"/>
    <col min="14602" max="14848" width="9.140625" style="615"/>
    <col min="14849" max="14849" width="17.28515625" style="615" customWidth="1"/>
    <col min="14850" max="14857" width="8.7109375" style="615" customWidth="1"/>
    <col min="14858" max="15104" width="9.140625" style="615"/>
    <col min="15105" max="15105" width="17.28515625" style="615" customWidth="1"/>
    <col min="15106" max="15113" width="8.7109375" style="615" customWidth="1"/>
    <col min="15114" max="15360" width="9.140625" style="615"/>
    <col min="15361" max="15361" width="17.28515625" style="615" customWidth="1"/>
    <col min="15362" max="15369" width="8.7109375" style="615" customWidth="1"/>
    <col min="15370" max="15616" width="9.140625" style="615"/>
    <col min="15617" max="15617" width="17.28515625" style="615" customWidth="1"/>
    <col min="15618" max="15625" width="8.7109375" style="615" customWidth="1"/>
    <col min="15626" max="15872" width="9.140625" style="615"/>
    <col min="15873" max="15873" width="17.28515625" style="615" customWidth="1"/>
    <col min="15874" max="15881" width="8.7109375" style="615" customWidth="1"/>
    <col min="15882" max="16128" width="9.140625" style="615"/>
    <col min="16129" max="16129" width="17.28515625" style="615" customWidth="1"/>
    <col min="16130" max="16137" width="8.7109375" style="615" customWidth="1"/>
    <col min="16138" max="16384" width="9.140625" style="615"/>
  </cols>
  <sheetData>
    <row r="1" spans="1:40" ht="15">
      <c r="A1" s="2535" t="s">
        <v>3353</v>
      </c>
      <c r="B1" s="387"/>
      <c r="C1" s="2536"/>
      <c r="D1" s="2536"/>
      <c r="E1" s="2537"/>
      <c r="F1" s="387"/>
      <c r="G1" s="387"/>
      <c r="H1" s="387"/>
      <c r="I1" s="387"/>
      <c r="J1" s="387"/>
      <c r="K1" s="135"/>
      <c r="L1" s="135"/>
      <c r="M1" s="135"/>
      <c r="N1" s="135"/>
      <c r="O1" s="135"/>
      <c r="P1" s="135"/>
      <c r="Q1" s="135"/>
      <c r="R1" s="135"/>
      <c r="S1" s="135"/>
      <c r="T1" s="135"/>
      <c r="U1" s="135"/>
      <c r="V1" s="135"/>
      <c r="W1" s="135"/>
      <c r="X1" s="135"/>
      <c r="Y1" s="135"/>
      <c r="Z1" s="135"/>
      <c r="AA1" s="135"/>
      <c r="AB1" s="135"/>
      <c r="AC1" s="135"/>
      <c r="AD1" s="135"/>
      <c r="AE1" s="135"/>
      <c r="AF1" s="135"/>
      <c r="AG1" s="135"/>
    </row>
    <row r="2" spans="1:40" ht="15">
      <c r="A2" s="2535" t="s">
        <v>3354</v>
      </c>
      <c r="B2" s="387"/>
      <c r="C2" s="2536"/>
      <c r="D2" s="2536"/>
      <c r="E2" s="2537"/>
      <c r="F2" s="387"/>
      <c r="G2" s="387"/>
      <c r="H2" s="387"/>
      <c r="I2" s="387"/>
      <c r="J2" s="387"/>
      <c r="K2" s="135"/>
      <c r="L2" s="135"/>
      <c r="M2" s="135"/>
      <c r="N2" s="135"/>
      <c r="O2" s="135"/>
      <c r="P2" s="135"/>
      <c r="Q2" s="135"/>
      <c r="R2" s="135"/>
      <c r="S2" s="135"/>
      <c r="T2" s="135"/>
      <c r="U2" s="135"/>
      <c r="V2" s="135"/>
      <c r="W2" s="135"/>
      <c r="X2" s="135"/>
      <c r="Y2" s="135"/>
      <c r="Z2" s="135"/>
      <c r="AA2" s="135"/>
      <c r="AB2" s="135"/>
      <c r="AC2" s="135"/>
      <c r="AD2" s="135"/>
      <c r="AE2" s="135"/>
      <c r="AF2" s="135"/>
      <c r="AG2" s="135"/>
    </row>
    <row r="3" spans="1:40" ht="16.5" thickBot="1">
      <c r="A3" s="2538"/>
      <c r="B3" s="2536"/>
      <c r="C3" s="2536"/>
      <c r="D3" s="2536"/>
      <c r="E3" s="387"/>
      <c r="F3" s="387"/>
      <c r="G3" s="387"/>
      <c r="H3" s="387"/>
      <c r="I3" s="387"/>
      <c r="J3" s="387"/>
      <c r="K3" s="135"/>
      <c r="L3" s="135"/>
      <c r="M3" s="135"/>
      <c r="N3" s="135"/>
      <c r="O3" s="135"/>
      <c r="P3" s="135"/>
      <c r="Q3" s="135"/>
      <c r="R3" s="135"/>
      <c r="S3" s="135"/>
      <c r="T3" s="135"/>
      <c r="U3" s="135"/>
      <c r="V3" s="135"/>
      <c r="W3" s="135"/>
      <c r="X3" s="135"/>
      <c r="Y3" s="135"/>
      <c r="Z3" s="135"/>
      <c r="AA3" s="135"/>
      <c r="AB3" s="135"/>
      <c r="AC3" s="135"/>
      <c r="AD3" s="135"/>
      <c r="AE3" s="135"/>
      <c r="AF3" s="135"/>
      <c r="AG3" s="135"/>
    </row>
    <row r="4" spans="1:40">
      <c r="A4" s="2539"/>
      <c r="B4" s="3483" t="s">
        <v>3355</v>
      </c>
      <c r="C4" s="3484"/>
      <c r="D4" s="3485"/>
      <c r="E4" s="3486" t="s">
        <v>3356</v>
      </c>
      <c r="F4" s="3487"/>
      <c r="G4" s="3488"/>
      <c r="H4" s="3486" t="s">
        <v>3357</v>
      </c>
      <c r="I4" s="3487"/>
      <c r="J4" s="3489"/>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row>
    <row r="5" spans="1:40">
      <c r="A5" s="2540" t="s">
        <v>1</v>
      </c>
      <c r="B5" s="2541">
        <v>2011</v>
      </c>
      <c r="C5" s="2541">
        <v>2012</v>
      </c>
      <c r="D5" s="2542">
        <v>2013</v>
      </c>
      <c r="E5" s="2541">
        <v>2011</v>
      </c>
      <c r="F5" s="2543">
        <v>2012</v>
      </c>
      <c r="G5" s="2542">
        <v>2013</v>
      </c>
      <c r="H5" s="2541">
        <v>2011</v>
      </c>
      <c r="I5" s="2543">
        <v>2012</v>
      </c>
      <c r="J5" s="2544">
        <v>2013</v>
      </c>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row>
    <row r="6" spans="1:40" ht="15.75" customHeight="1">
      <c r="A6" s="2545" t="s">
        <v>2811</v>
      </c>
      <c r="B6" s="2546" t="s">
        <v>3358</v>
      </c>
      <c r="C6" s="2546" t="s">
        <v>3359</v>
      </c>
      <c r="D6" s="2547" t="s">
        <v>3346</v>
      </c>
      <c r="E6" s="2548" t="s">
        <v>3360</v>
      </c>
      <c r="F6" s="2546" t="s">
        <v>3361</v>
      </c>
      <c r="G6" s="2547" t="s">
        <v>3351</v>
      </c>
      <c r="H6" s="2548" t="s">
        <v>3362</v>
      </c>
      <c r="I6" s="2549" t="s">
        <v>3363</v>
      </c>
      <c r="J6" s="2550" t="s">
        <v>3341</v>
      </c>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row>
    <row r="7" spans="1:40" ht="15.75" customHeight="1">
      <c r="A7" s="2551" t="s">
        <v>2812</v>
      </c>
      <c r="B7" s="2552" t="s">
        <v>3364</v>
      </c>
      <c r="C7" s="2552" t="s">
        <v>3365</v>
      </c>
      <c r="D7" s="2547" t="s">
        <v>3345</v>
      </c>
      <c r="E7" s="2553" t="s">
        <v>3366</v>
      </c>
      <c r="F7" s="2554" t="s">
        <v>3367</v>
      </c>
      <c r="G7" s="2547" t="s">
        <v>3350</v>
      </c>
      <c r="H7" s="2553" t="s">
        <v>3368</v>
      </c>
      <c r="I7" s="2554" t="s">
        <v>3369</v>
      </c>
      <c r="J7" s="2555" t="s">
        <v>3340</v>
      </c>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row>
    <row r="8" spans="1:40" ht="15.75" customHeight="1">
      <c r="A8" s="2551" t="s">
        <v>2813</v>
      </c>
      <c r="B8" s="2552" t="s">
        <v>3370</v>
      </c>
      <c r="C8" s="2552" t="s">
        <v>3371</v>
      </c>
      <c r="D8" s="2556"/>
      <c r="E8" s="2553" t="s">
        <v>3372</v>
      </c>
      <c r="F8" s="2554" t="s">
        <v>3373</v>
      </c>
      <c r="G8" s="2556"/>
      <c r="H8" s="2553" t="s">
        <v>3374</v>
      </c>
      <c r="I8" s="2554" t="s">
        <v>3375</v>
      </c>
      <c r="J8" s="255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row>
    <row r="9" spans="1:40" ht="15.75" customHeight="1">
      <c r="A9" s="2551" t="s">
        <v>2814</v>
      </c>
      <c r="B9" s="2552" t="s">
        <v>3376</v>
      </c>
      <c r="C9" s="2552" t="s">
        <v>3377</v>
      </c>
      <c r="D9" s="2557"/>
      <c r="E9" s="2552" t="s">
        <v>3378</v>
      </c>
      <c r="F9" s="2554" t="s">
        <v>3379</v>
      </c>
      <c r="G9" s="2557"/>
      <c r="H9" s="2552" t="s">
        <v>3380</v>
      </c>
      <c r="I9" s="2554" t="s">
        <v>3381</v>
      </c>
      <c r="J9" s="255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row>
    <row r="10" spans="1:40" ht="15.75" customHeight="1">
      <c r="A10" s="2551" t="s">
        <v>2815</v>
      </c>
      <c r="B10" s="2552" t="s">
        <v>3382</v>
      </c>
      <c r="C10" s="2552" t="s">
        <v>3383</v>
      </c>
      <c r="D10" s="2558"/>
      <c r="E10" s="2552" t="s">
        <v>3384</v>
      </c>
      <c r="F10" s="2554" t="s">
        <v>3385</v>
      </c>
      <c r="G10" s="2558"/>
      <c r="H10" s="2552" t="s">
        <v>3386</v>
      </c>
      <c r="I10" s="2554" t="s">
        <v>3387</v>
      </c>
      <c r="J10" s="255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row>
    <row r="11" spans="1:40" ht="15.75" customHeight="1">
      <c r="A11" s="2551" t="s">
        <v>2816</v>
      </c>
      <c r="B11" s="2552" t="s">
        <v>3388</v>
      </c>
      <c r="C11" s="2552" t="s">
        <v>3389</v>
      </c>
      <c r="D11" s="2558"/>
      <c r="E11" s="2552" t="s">
        <v>3390</v>
      </c>
      <c r="F11" s="2554" t="s">
        <v>3391</v>
      </c>
      <c r="G11" s="2558"/>
      <c r="H11" s="2552" t="s">
        <v>3392</v>
      </c>
      <c r="I11" s="2554" t="s">
        <v>3393</v>
      </c>
      <c r="J11" s="255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row>
    <row r="12" spans="1:40" ht="15.75" customHeight="1">
      <c r="A12" s="2551" t="s">
        <v>2817</v>
      </c>
      <c r="B12" s="2552" t="s">
        <v>3394</v>
      </c>
      <c r="C12" s="2552" t="s">
        <v>3395</v>
      </c>
      <c r="D12" s="2558"/>
      <c r="E12" s="2552" t="s">
        <v>3396</v>
      </c>
      <c r="F12" s="2554" t="s">
        <v>3397</v>
      </c>
      <c r="G12" s="2558"/>
      <c r="H12" s="2552" t="s">
        <v>3398</v>
      </c>
      <c r="I12" s="2554" t="s">
        <v>3399</v>
      </c>
      <c r="J12" s="255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row>
    <row r="13" spans="1:40" ht="15.75" customHeight="1">
      <c r="A13" s="2551" t="s">
        <v>2818</v>
      </c>
      <c r="B13" s="2552" t="s">
        <v>3400</v>
      </c>
      <c r="C13" s="2552" t="s">
        <v>3401</v>
      </c>
      <c r="D13" s="2558"/>
      <c r="E13" s="2552" t="s">
        <v>3402</v>
      </c>
      <c r="F13" s="2554" t="s">
        <v>3403</v>
      </c>
      <c r="G13" s="2558"/>
      <c r="H13" s="2552" t="s">
        <v>3404</v>
      </c>
      <c r="I13" s="2554" t="s">
        <v>3405</v>
      </c>
      <c r="J13" s="255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row>
    <row r="14" spans="1:40" ht="15.75" customHeight="1">
      <c r="A14" s="2551" t="s">
        <v>2819</v>
      </c>
      <c r="B14" s="2552" t="s">
        <v>3406</v>
      </c>
      <c r="C14" s="2552" t="s">
        <v>3407</v>
      </c>
      <c r="D14" s="2558"/>
      <c r="E14" s="2552" t="s">
        <v>3408</v>
      </c>
      <c r="F14" s="2554" t="s">
        <v>3409</v>
      </c>
      <c r="G14" s="2558"/>
      <c r="H14" s="2552" t="s">
        <v>3410</v>
      </c>
      <c r="I14" s="2554" t="s">
        <v>3411</v>
      </c>
      <c r="J14" s="255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row>
    <row r="15" spans="1:40" ht="15.75" customHeight="1">
      <c r="A15" s="2551" t="s">
        <v>2820</v>
      </c>
      <c r="B15" s="2552" t="s">
        <v>3412</v>
      </c>
      <c r="C15" s="2552" t="s">
        <v>3413</v>
      </c>
      <c r="D15" s="2558"/>
      <c r="E15" s="2552" t="s">
        <v>3414</v>
      </c>
      <c r="F15" s="2554" t="s">
        <v>3415</v>
      </c>
      <c r="G15" s="2558"/>
      <c r="H15" s="2552" t="s">
        <v>3410</v>
      </c>
      <c r="I15" s="2554" t="s">
        <v>3416</v>
      </c>
      <c r="J15" s="255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row>
    <row r="16" spans="1:40" ht="15.75" customHeight="1">
      <c r="A16" s="2551" t="s">
        <v>2821</v>
      </c>
      <c r="B16" s="2552" t="s">
        <v>3417</v>
      </c>
      <c r="C16" s="2552" t="s">
        <v>3418</v>
      </c>
      <c r="D16" s="2558"/>
      <c r="E16" s="2552" t="s">
        <v>3419</v>
      </c>
      <c r="F16" s="2554" t="s">
        <v>3420</v>
      </c>
      <c r="G16" s="2558"/>
      <c r="H16" s="2552" t="s">
        <v>3421</v>
      </c>
      <c r="I16" s="2554" t="s">
        <v>3422</v>
      </c>
      <c r="J16" s="255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row>
    <row r="17" spans="1:40" ht="15.75" customHeight="1" thickBot="1">
      <c r="A17" s="2559" t="s">
        <v>2822</v>
      </c>
      <c r="B17" s="2560" t="s">
        <v>3423</v>
      </c>
      <c r="C17" s="2560" t="s">
        <v>3424</v>
      </c>
      <c r="D17" s="2561"/>
      <c r="E17" s="2560" t="s">
        <v>3425</v>
      </c>
      <c r="F17" s="2562" t="s">
        <v>3426</v>
      </c>
      <c r="G17" s="2561"/>
      <c r="H17" s="2560" t="s">
        <v>3427</v>
      </c>
      <c r="I17" s="2562" t="s">
        <v>3428</v>
      </c>
      <c r="J17" s="2563"/>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row>
    <row r="18" spans="1:40">
      <c r="A18" s="237" t="s">
        <v>3352</v>
      </c>
      <c r="B18" s="387"/>
      <c r="C18" s="387"/>
      <c r="D18" s="387"/>
      <c r="E18" s="387"/>
      <c r="F18" s="387"/>
      <c r="G18" s="387"/>
      <c r="H18" s="387"/>
      <c r="I18" s="387"/>
      <c r="J18" s="387"/>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row>
    <row r="19" spans="1:40">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row>
    <row r="20" spans="1:40">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row>
    <row r="21" spans="1:40" s="1087" customFormat="1" ht="15">
      <c r="A21" s="2564" t="s">
        <v>3429</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row>
    <row r="22" spans="1:40" s="1087" customFormat="1" ht="13.5" thickBo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row>
    <row r="23" spans="1:40" s="2567" customFormat="1">
      <c r="A23" s="2565"/>
      <c r="B23" s="3490" t="s">
        <v>3430</v>
      </c>
      <c r="C23" s="3490"/>
      <c r="D23" s="3490"/>
      <c r="E23" s="3491"/>
      <c r="F23" s="3492" t="s">
        <v>3431</v>
      </c>
      <c r="G23" s="3490"/>
      <c r="H23" s="3490"/>
      <c r="I23" s="3493"/>
      <c r="J23" s="2566"/>
      <c r="K23" s="2566"/>
      <c r="L23" s="2566"/>
      <c r="M23" s="2566"/>
      <c r="N23" s="2566"/>
      <c r="O23" s="2566"/>
      <c r="P23" s="2566"/>
      <c r="Q23" s="2566"/>
      <c r="R23" s="2566"/>
      <c r="S23" s="2566"/>
      <c r="T23" s="2566"/>
      <c r="U23" s="2566"/>
      <c r="V23" s="2566"/>
      <c r="W23" s="2566"/>
      <c r="X23" s="2566"/>
      <c r="Y23" s="2566"/>
      <c r="Z23" s="2566"/>
      <c r="AA23" s="2566"/>
      <c r="AB23" s="2566"/>
      <c r="AC23" s="2566"/>
      <c r="AD23" s="2566"/>
      <c r="AE23" s="2566"/>
      <c r="AF23" s="2566"/>
      <c r="AG23" s="2566"/>
      <c r="AH23" s="2566"/>
      <c r="AI23" s="2566"/>
      <c r="AJ23" s="2566"/>
      <c r="AK23" s="2566"/>
      <c r="AL23" s="2566"/>
      <c r="AM23" s="2566"/>
      <c r="AN23" s="2566"/>
    </row>
    <row r="24" spans="1:40" s="2567" customFormat="1">
      <c r="A24" s="2540" t="s">
        <v>1</v>
      </c>
      <c r="B24" s="2541">
        <v>2010</v>
      </c>
      <c r="C24" s="2541">
        <v>2011</v>
      </c>
      <c r="D24" s="2541">
        <v>2012</v>
      </c>
      <c r="E24" s="2542">
        <v>2013</v>
      </c>
      <c r="F24" s="2541">
        <v>2010</v>
      </c>
      <c r="G24" s="2541">
        <v>2011</v>
      </c>
      <c r="H24" s="2541">
        <v>2012</v>
      </c>
      <c r="I24" s="2568">
        <v>2013</v>
      </c>
      <c r="J24" s="2566"/>
      <c r="K24" s="2566"/>
      <c r="L24" s="2566"/>
      <c r="M24" s="2566"/>
      <c r="N24" s="2566"/>
      <c r="O24" s="2566"/>
      <c r="P24" s="2566"/>
      <c r="Q24" s="2566"/>
      <c r="R24" s="2566"/>
      <c r="S24" s="2566"/>
      <c r="T24" s="2566"/>
      <c r="U24" s="2566"/>
      <c r="V24" s="2566"/>
      <c r="W24" s="2566"/>
      <c r="X24" s="2566"/>
      <c r="Y24" s="2566"/>
      <c r="Z24" s="2566"/>
      <c r="AA24" s="2566"/>
      <c r="AB24" s="2566"/>
      <c r="AC24" s="2566"/>
      <c r="AD24" s="2566"/>
      <c r="AE24" s="2566"/>
      <c r="AF24" s="2566"/>
      <c r="AG24" s="2566"/>
      <c r="AH24" s="2566"/>
      <c r="AI24" s="2566"/>
      <c r="AJ24" s="2566"/>
      <c r="AK24" s="2566"/>
      <c r="AL24" s="2566"/>
      <c r="AM24" s="2566"/>
      <c r="AN24" s="2566"/>
    </row>
    <row r="25" spans="1:40" ht="15.75" customHeight="1">
      <c r="A25" s="2569" t="s">
        <v>2811</v>
      </c>
      <c r="B25" s="2570">
        <v>96.27512319102884</v>
      </c>
      <c r="C25" s="2570">
        <v>95.578748612012305</v>
      </c>
      <c r="D25" s="2570">
        <v>91.347245999240428</v>
      </c>
      <c r="E25" s="2571">
        <v>94.692517119598691</v>
      </c>
      <c r="F25" s="2570">
        <v>96.262786418758424</v>
      </c>
      <c r="G25" s="2570">
        <v>95.436334078058323</v>
      </c>
      <c r="H25" s="2570">
        <v>91.061961629820729</v>
      </c>
      <c r="I25" s="2572">
        <v>94.444426266810893</v>
      </c>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row>
    <row r="26" spans="1:40" ht="15.75" customHeight="1">
      <c r="A26" s="2573" t="s">
        <v>2812</v>
      </c>
      <c r="B26" s="2574">
        <v>96.110828838324863</v>
      </c>
      <c r="C26" s="2574">
        <v>94.273058476868684</v>
      </c>
      <c r="D26" s="2574">
        <v>91.300299999999993</v>
      </c>
      <c r="E26" s="2557">
        <v>94.431747229610565</v>
      </c>
      <c r="F26" s="2574">
        <v>95.962576009715448</v>
      </c>
      <c r="G26" s="2574">
        <v>94.176857701921861</v>
      </c>
      <c r="H26" s="2574">
        <v>91.107699999999994</v>
      </c>
      <c r="I26" s="2575">
        <v>94.183388343504049</v>
      </c>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row>
    <row r="27" spans="1:40" ht="15.75" customHeight="1">
      <c r="A27" s="2573" t="s">
        <v>2813</v>
      </c>
      <c r="B27" s="2574">
        <v>96.17412651508441</v>
      </c>
      <c r="C27" s="2574">
        <v>93.201209374830555</v>
      </c>
      <c r="D27" s="2574">
        <v>91.180300000000003</v>
      </c>
      <c r="E27" s="2557"/>
      <c r="F27" s="2574">
        <v>96.010912097744409</v>
      </c>
      <c r="G27" s="2574">
        <v>93.182886575280634</v>
      </c>
      <c r="H27" s="2574">
        <v>90.992199999999997</v>
      </c>
      <c r="I27" s="257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row>
    <row r="28" spans="1:40" ht="15.75" customHeight="1">
      <c r="A28" s="2573" t="s">
        <v>2814</v>
      </c>
      <c r="B28" s="2574">
        <v>96.620921186996398</v>
      </c>
      <c r="C28" s="2574">
        <v>91.222335407479278</v>
      </c>
      <c r="D28" s="2574">
        <v>91.191784734763147</v>
      </c>
      <c r="E28" s="2557"/>
      <c r="F28" s="2574">
        <v>96.450409527023467</v>
      </c>
      <c r="G28" s="2574">
        <v>91.301588162389393</v>
      </c>
      <c r="H28" s="2574">
        <v>90.979056237729807</v>
      </c>
      <c r="I28" s="257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row>
    <row r="29" spans="1:40" ht="15.75" customHeight="1">
      <c r="A29" s="2573" t="s">
        <v>2815</v>
      </c>
      <c r="B29" s="2574">
        <v>99.414321158049418</v>
      </c>
      <c r="C29" s="2574">
        <v>90.171000000000006</v>
      </c>
      <c r="D29" s="2574">
        <v>91.374991074682171</v>
      </c>
      <c r="E29" s="2558"/>
      <c r="F29" s="2574">
        <v>99.023439265605376</v>
      </c>
      <c r="G29" s="2574">
        <v>90.225999999999999</v>
      </c>
      <c r="H29" s="2576">
        <v>91.069846593529618</v>
      </c>
      <c r="I29" s="257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row>
    <row r="30" spans="1:40" ht="15.75" customHeight="1">
      <c r="A30" s="2573" t="s">
        <v>2816</v>
      </c>
      <c r="B30" s="2574">
        <v>99.698833831006738</v>
      </c>
      <c r="C30" s="2574">
        <v>90.867004130888688</v>
      </c>
      <c r="D30" s="2574">
        <v>93.262246652502469</v>
      </c>
      <c r="E30" s="2558"/>
      <c r="F30" s="2574">
        <v>99.237181940199676</v>
      </c>
      <c r="G30" s="2574">
        <v>90.931301673187505</v>
      </c>
      <c r="H30" s="2576">
        <v>92.882310940286018</v>
      </c>
      <c r="I30" s="257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row>
    <row r="31" spans="1:40" ht="15.75" customHeight="1">
      <c r="A31" s="2573" t="s">
        <v>2817</v>
      </c>
      <c r="B31" s="2574">
        <v>96.583271235549333</v>
      </c>
      <c r="C31" s="2574">
        <v>91.246856474485497</v>
      </c>
      <c r="D31" s="2574">
        <v>94.984022334123139</v>
      </c>
      <c r="E31" s="2558"/>
      <c r="F31" s="2574">
        <v>96.259102963869708</v>
      </c>
      <c r="G31" s="2574">
        <v>91.297742637865724</v>
      </c>
      <c r="H31" s="2576">
        <v>94.562138512615945</v>
      </c>
      <c r="I31" s="257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row>
    <row r="32" spans="1:40" ht="15.75" customHeight="1">
      <c r="A32" s="2573" t="s">
        <v>2818</v>
      </c>
      <c r="B32" s="2574">
        <v>95.124074753917398</v>
      </c>
      <c r="C32" s="2574">
        <v>90.940640361002238</v>
      </c>
      <c r="D32" s="2574">
        <v>94.311017667356026</v>
      </c>
      <c r="E32" s="2558"/>
      <c r="F32" s="2574">
        <v>94.85882571824331</v>
      </c>
      <c r="G32" s="2574">
        <v>90.982324077069805</v>
      </c>
      <c r="H32" s="2576">
        <v>93.913290131499821</v>
      </c>
      <c r="I32" s="257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row>
    <row r="33" spans="1:40" ht="15.75" customHeight="1">
      <c r="A33" s="2573" t="s">
        <v>2819</v>
      </c>
      <c r="B33" s="2574">
        <v>95.699261873866277</v>
      </c>
      <c r="C33" s="2574">
        <v>90.847576257663107</v>
      </c>
      <c r="D33" s="2574">
        <v>94.213392269038039</v>
      </c>
      <c r="E33" s="2558"/>
      <c r="F33" s="2574">
        <v>95.475004736652096</v>
      </c>
      <c r="G33" s="2574">
        <v>90.741994697198677</v>
      </c>
      <c r="H33" s="2576">
        <v>93.909743201412198</v>
      </c>
      <c r="I33" s="257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row>
    <row r="34" spans="1:40" ht="15.75" customHeight="1">
      <c r="A34" s="2573" t="s">
        <v>2820</v>
      </c>
      <c r="B34" s="2574">
        <v>95.201687536467119</v>
      </c>
      <c r="C34" s="2574">
        <v>91.737813501423474</v>
      </c>
      <c r="D34" s="2574">
        <v>95.477636573912747</v>
      </c>
      <c r="E34" s="2558"/>
      <c r="F34" s="2574">
        <v>95.149562333918439</v>
      </c>
      <c r="G34" s="2574">
        <v>91.592340776049753</v>
      </c>
      <c r="H34" s="2576">
        <v>95.166698100757571</v>
      </c>
      <c r="I34" s="257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row>
    <row r="35" spans="1:40" ht="15.75" customHeight="1">
      <c r="A35" s="2573" t="s">
        <v>2821</v>
      </c>
      <c r="B35" s="2574">
        <v>95.621792626625478</v>
      </c>
      <c r="C35" s="2574">
        <v>91.671902211609947</v>
      </c>
      <c r="D35" s="2574">
        <v>95.773339710509688</v>
      </c>
      <c r="E35" s="2558"/>
      <c r="F35" s="2574">
        <v>95.526751975187935</v>
      </c>
      <c r="G35" s="2574">
        <v>91.493581655171511</v>
      </c>
      <c r="H35" s="2576">
        <v>95.432810470945299</v>
      </c>
      <c r="I35" s="257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row>
    <row r="36" spans="1:40" ht="15.75" customHeight="1" thickBot="1">
      <c r="A36" s="2577" t="s">
        <v>2822</v>
      </c>
      <c r="B36" s="2578">
        <v>96.180447973724625</v>
      </c>
      <c r="C36" s="2578">
        <v>91.605075863185419</v>
      </c>
      <c r="D36" s="2578">
        <v>95.337758206301316</v>
      </c>
      <c r="E36" s="2561"/>
      <c r="F36" s="2578">
        <v>96.013771967844534</v>
      </c>
      <c r="G36" s="2578">
        <v>91.355821437938559</v>
      </c>
      <c r="H36" s="2578">
        <v>95.066001293857241</v>
      </c>
      <c r="I36" s="2579"/>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row>
    <row r="37" spans="1:40" s="1087" customFormat="1">
      <c r="A37" s="2580" t="s">
        <v>3432</v>
      </c>
      <c r="C37" s="2581"/>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row>
    <row r="38" spans="1:40" s="1087" customFormat="1" ht="39.75" customHeight="1">
      <c r="A38" s="3482" t="s">
        <v>3433</v>
      </c>
      <c r="B38" s="3482"/>
      <c r="C38" s="3482"/>
      <c r="D38" s="3482"/>
      <c r="E38" s="3482"/>
      <c r="F38" s="3482"/>
      <c r="G38" s="3482"/>
      <c r="H38" s="3482"/>
      <c r="I38" s="3482"/>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row>
    <row r="39" spans="1:40" s="1087" customFormat="1" ht="26.25" customHeight="1">
      <c r="A39" s="3482" t="s">
        <v>3434</v>
      </c>
      <c r="B39" s="3482"/>
      <c r="C39" s="3482"/>
      <c r="D39" s="3482"/>
      <c r="E39" s="3482"/>
      <c r="F39" s="3482"/>
      <c r="G39" s="3482"/>
      <c r="H39" s="3482"/>
      <c r="I39" s="3482"/>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row>
    <row r="40" spans="1:40" s="1087" customFormat="1" ht="38.25" customHeight="1">
      <c r="A40" s="3482" t="s">
        <v>3435</v>
      </c>
      <c r="B40" s="3482"/>
      <c r="C40" s="3482"/>
      <c r="D40" s="3482"/>
      <c r="E40" s="3482"/>
      <c r="F40" s="3482"/>
      <c r="G40" s="3482"/>
      <c r="H40" s="3482"/>
      <c r="I40" s="3482"/>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row>
    <row r="41" spans="1:40" s="1087" customFormat="1" ht="15" customHeight="1">
      <c r="A41" s="3482" t="s">
        <v>3436</v>
      </c>
      <c r="B41" s="3482"/>
      <c r="C41" s="3482"/>
      <c r="D41" s="3482"/>
      <c r="E41" s="3482"/>
      <c r="F41" s="3482"/>
      <c r="G41" s="3482"/>
      <c r="H41" s="3482"/>
      <c r="I41" s="3482"/>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row>
    <row r="42" spans="1:40" s="1087" customFormat="1" ht="15" customHeight="1">
      <c r="A42" s="3482" t="s">
        <v>3437</v>
      </c>
      <c r="B42" s="3482"/>
      <c r="C42" s="3482"/>
      <c r="D42" s="3482"/>
      <c r="E42" s="3482"/>
      <c r="F42" s="3482"/>
      <c r="G42" s="3482"/>
      <c r="H42" s="3482"/>
      <c r="I42" s="3482"/>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row>
    <row r="43" spans="1:40" s="1087" customFormat="1" ht="7.5" customHeight="1">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row>
    <row r="44" spans="1:40" s="1087" customFormat="1">
      <c r="A44" s="2429" t="s">
        <v>3300</v>
      </c>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row>
    <row r="45" spans="1:40" s="1087" customForma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row>
    <row r="46" spans="1:40">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row>
    <row r="47" spans="1:40">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row>
    <row r="48" spans="1:40">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row>
    <row r="49" spans="1:40">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row>
    <row r="50" spans="1:40">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row>
    <row r="51" spans="1:40">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row>
    <row r="52" spans="1:40">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row>
    <row r="53" spans="1:40">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row>
    <row r="54" spans="1:40">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row>
    <row r="55" spans="1:40">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row>
    <row r="56" spans="1:40">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row>
    <row r="57" spans="1:40">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row>
    <row r="58" spans="1:40">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row>
    <row r="59" spans="1:40">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row>
    <row r="60" spans="1:40">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row>
    <row r="61" spans="1:40">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row>
    <row r="62" spans="1:40">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row>
    <row r="63" spans="1:40">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row>
    <row r="64" spans="1:40">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row>
    <row r="65" spans="1:33">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row>
    <row r="66" spans="1:33">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row>
    <row r="67" spans="1:33">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row>
    <row r="68" spans="1:33">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row>
    <row r="69" spans="1:33">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row>
    <row r="70" spans="1:33">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1:33">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row>
    <row r="72" spans="1:33">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73" spans="1:33">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row>
    <row r="74" spans="1:33">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row>
    <row r="75" spans="1:33">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row>
    <row r="76" spans="1:33">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row>
    <row r="77" spans="1:33">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row>
    <row r="78" spans="1:33">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row>
    <row r="79" spans="1:33">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row>
    <row r="80" spans="1:33">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row>
    <row r="81" spans="1:33">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row>
    <row r="82" spans="1:33">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row>
    <row r="83" spans="1:33">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row>
    <row r="84" spans="1:33">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row>
    <row r="85" spans="1:33">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row>
    <row r="86" spans="1:33">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row>
    <row r="87" spans="1:33">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row>
    <row r="88" spans="1:33">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row>
    <row r="89" spans="1:33">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row>
    <row r="90" spans="1:33">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row>
    <row r="91" spans="1:33">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row>
    <row r="92" spans="1:33">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row>
    <row r="93" spans="1:33">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row>
    <row r="94" spans="1:33">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row>
    <row r="95" spans="1:33">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row>
    <row r="96" spans="1:33">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row>
    <row r="97" spans="1:33">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row>
    <row r="98" spans="1:33">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row>
    <row r="99" spans="1:33">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row>
    <row r="100" spans="1:33">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row>
    <row r="101" spans="1:33">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row>
    <row r="102" spans="1:33">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row>
    <row r="103" spans="1:33">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row>
    <row r="104" spans="1:33">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row>
    <row r="105" spans="1:33">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row>
    <row r="106" spans="1:33">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row>
    <row r="107" spans="1:33">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row>
    <row r="108" spans="1:33">
      <c r="R108" s="135"/>
      <c r="S108" s="135"/>
      <c r="T108" s="135"/>
      <c r="U108" s="135"/>
      <c r="V108" s="135"/>
      <c r="W108" s="135"/>
      <c r="X108" s="135"/>
      <c r="Y108" s="135"/>
      <c r="Z108" s="135"/>
      <c r="AA108" s="135"/>
      <c r="AB108" s="135"/>
      <c r="AC108" s="135"/>
      <c r="AD108" s="135"/>
      <c r="AE108" s="135"/>
      <c r="AF108" s="135"/>
      <c r="AG108" s="135"/>
    </row>
    <row r="109" spans="1:33">
      <c r="R109" s="135"/>
      <c r="S109" s="135"/>
      <c r="T109" s="135"/>
      <c r="U109" s="135"/>
      <c r="V109" s="135"/>
      <c r="W109" s="135"/>
      <c r="X109" s="135"/>
      <c r="Y109" s="135"/>
      <c r="Z109" s="135"/>
      <c r="AA109" s="135"/>
      <c r="AB109" s="135"/>
      <c r="AC109" s="135"/>
      <c r="AD109" s="135"/>
      <c r="AE109" s="135"/>
      <c r="AF109" s="135"/>
      <c r="AG109" s="135"/>
    </row>
    <row r="110" spans="1:33">
      <c r="R110" s="135"/>
      <c r="S110" s="135"/>
      <c r="T110" s="135"/>
      <c r="U110" s="135"/>
      <c r="V110" s="135"/>
      <c r="W110" s="135"/>
      <c r="X110" s="135"/>
      <c r="Y110" s="135"/>
      <c r="Z110" s="135"/>
      <c r="AA110" s="135"/>
      <c r="AB110" s="135"/>
      <c r="AC110" s="135"/>
      <c r="AD110" s="135"/>
      <c r="AE110" s="135"/>
      <c r="AF110" s="135"/>
      <c r="AG110" s="135"/>
    </row>
    <row r="111" spans="1:33">
      <c r="R111" s="135"/>
      <c r="S111" s="135"/>
      <c r="T111" s="135"/>
      <c r="U111" s="135"/>
      <c r="V111" s="135"/>
      <c r="W111" s="135"/>
      <c r="X111" s="135"/>
      <c r="Y111" s="135"/>
      <c r="Z111" s="135"/>
      <c r="AA111" s="135"/>
      <c r="AB111" s="135"/>
      <c r="AC111" s="135"/>
      <c r="AD111" s="135"/>
      <c r="AE111" s="135"/>
      <c r="AF111" s="135"/>
      <c r="AG111" s="135"/>
    </row>
    <row r="112" spans="1:33">
      <c r="R112" s="135"/>
      <c r="S112" s="135"/>
      <c r="T112" s="135"/>
      <c r="U112" s="135"/>
      <c r="V112" s="135"/>
      <c r="W112" s="135"/>
      <c r="X112" s="135"/>
      <c r="Y112" s="135"/>
      <c r="Z112" s="135"/>
      <c r="AA112" s="135"/>
      <c r="AB112" s="135"/>
      <c r="AC112" s="135"/>
      <c r="AD112" s="135"/>
      <c r="AE112" s="135"/>
      <c r="AF112" s="135"/>
      <c r="AG112" s="135"/>
    </row>
    <row r="113" spans="18:33">
      <c r="R113" s="135"/>
      <c r="S113" s="135"/>
      <c r="T113" s="135"/>
      <c r="U113" s="135"/>
      <c r="V113" s="135"/>
      <c r="W113" s="135"/>
      <c r="X113" s="135"/>
      <c r="Y113" s="135"/>
      <c r="Z113" s="135"/>
      <c r="AA113" s="135"/>
      <c r="AB113" s="135"/>
      <c r="AC113" s="135"/>
      <c r="AD113" s="135"/>
      <c r="AE113" s="135"/>
      <c r="AF113" s="135"/>
      <c r="AG113" s="135"/>
    </row>
    <row r="114" spans="18:33">
      <c r="R114" s="135"/>
      <c r="S114" s="135"/>
      <c r="T114" s="135"/>
      <c r="U114" s="135"/>
      <c r="V114" s="135"/>
      <c r="W114" s="135"/>
      <c r="X114" s="135"/>
      <c r="Y114" s="135"/>
      <c r="Z114" s="135"/>
      <c r="AA114" s="135"/>
      <c r="AB114" s="135"/>
      <c r="AC114" s="135"/>
      <c r="AD114" s="135"/>
      <c r="AE114" s="135"/>
      <c r="AF114" s="135"/>
      <c r="AG114" s="135"/>
    </row>
    <row r="115" spans="18:33">
      <c r="R115" s="135"/>
      <c r="S115" s="135"/>
      <c r="T115" s="135"/>
      <c r="U115" s="135"/>
      <c r="V115" s="135"/>
      <c r="W115" s="135"/>
      <c r="X115" s="135"/>
      <c r="Y115" s="135"/>
      <c r="Z115" s="135"/>
      <c r="AA115" s="135"/>
      <c r="AB115" s="135"/>
      <c r="AC115" s="135"/>
      <c r="AD115" s="135"/>
      <c r="AE115" s="135"/>
      <c r="AF115" s="135"/>
      <c r="AG115" s="135"/>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F8" sqref="F8"/>
    </sheetView>
  </sheetViews>
  <sheetFormatPr defaultRowHeight="12.75"/>
  <cols>
    <col min="1" max="1" width="15.7109375" style="2582" customWidth="1"/>
    <col min="2" max="2" width="14.85546875" style="2582" customWidth="1"/>
    <col min="3" max="3" width="16.42578125" style="2582" customWidth="1"/>
    <col min="4" max="4" width="15" style="2582" customWidth="1"/>
    <col min="5" max="5" width="16.5703125" style="2582" customWidth="1"/>
    <col min="6" max="6" width="15" style="2582" customWidth="1"/>
    <col min="7" max="7" width="16.5703125" style="2582" customWidth="1"/>
    <col min="8" max="256" width="9.140625" style="2582"/>
    <col min="257" max="257" width="15.7109375" style="2582" customWidth="1"/>
    <col min="258" max="258" width="14.85546875" style="2582" customWidth="1"/>
    <col min="259" max="259" width="16.42578125" style="2582" customWidth="1"/>
    <col min="260" max="260" width="15" style="2582" customWidth="1"/>
    <col min="261" max="261" width="16.5703125" style="2582" customWidth="1"/>
    <col min="262" max="262" width="15" style="2582" customWidth="1"/>
    <col min="263" max="263" width="16.5703125" style="2582" customWidth="1"/>
    <col min="264" max="512" width="9.140625" style="2582"/>
    <col min="513" max="513" width="15.7109375" style="2582" customWidth="1"/>
    <col min="514" max="514" width="14.85546875" style="2582" customWidth="1"/>
    <col min="515" max="515" width="16.42578125" style="2582" customWidth="1"/>
    <col min="516" max="516" width="15" style="2582" customWidth="1"/>
    <col min="517" max="517" width="16.5703125" style="2582" customWidth="1"/>
    <col min="518" max="518" width="15" style="2582" customWidth="1"/>
    <col min="519" max="519" width="16.5703125" style="2582" customWidth="1"/>
    <col min="520" max="768" width="9.140625" style="2582"/>
    <col min="769" max="769" width="15.7109375" style="2582" customWidth="1"/>
    <col min="770" max="770" width="14.85546875" style="2582" customWidth="1"/>
    <col min="771" max="771" width="16.42578125" style="2582" customWidth="1"/>
    <col min="772" max="772" width="15" style="2582" customWidth="1"/>
    <col min="773" max="773" width="16.5703125" style="2582" customWidth="1"/>
    <col min="774" max="774" width="15" style="2582" customWidth="1"/>
    <col min="775" max="775" width="16.5703125" style="2582" customWidth="1"/>
    <col min="776" max="1024" width="9.140625" style="2582"/>
    <col min="1025" max="1025" width="15.7109375" style="2582" customWidth="1"/>
    <col min="1026" max="1026" width="14.85546875" style="2582" customWidth="1"/>
    <col min="1027" max="1027" width="16.42578125" style="2582" customWidth="1"/>
    <col min="1028" max="1028" width="15" style="2582" customWidth="1"/>
    <col min="1029" max="1029" width="16.5703125" style="2582" customWidth="1"/>
    <col min="1030" max="1030" width="15" style="2582" customWidth="1"/>
    <col min="1031" max="1031" width="16.5703125" style="2582" customWidth="1"/>
    <col min="1032" max="1280" width="9.140625" style="2582"/>
    <col min="1281" max="1281" width="15.7109375" style="2582" customWidth="1"/>
    <col min="1282" max="1282" width="14.85546875" style="2582" customWidth="1"/>
    <col min="1283" max="1283" width="16.42578125" style="2582" customWidth="1"/>
    <col min="1284" max="1284" width="15" style="2582" customWidth="1"/>
    <col min="1285" max="1285" width="16.5703125" style="2582" customWidth="1"/>
    <col min="1286" max="1286" width="15" style="2582" customWidth="1"/>
    <col min="1287" max="1287" width="16.5703125" style="2582" customWidth="1"/>
    <col min="1288" max="1536" width="9.140625" style="2582"/>
    <col min="1537" max="1537" width="15.7109375" style="2582" customWidth="1"/>
    <col min="1538" max="1538" width="14.85546875" style="2582" customWidth="1"/>
    <col min="1539" max="1539" width="16.42578125" style="2582" customWidth="1"/>
    <col min="1540" max="1540" width="15" style="2582" customWidth="1"/>
    <col min="1541" max="1541" width="16.5703125" style="2582" customWidth="1"/>
    <col min="1542" max="1542" width="15" style="2582" customWidth="1"/>
    <col min="1543" max="1543" width="16.5703125" style="2582" customWidth="1"/>
    <col min="1544" max="1792" width="9.140625" style="2582"/>
    <col min="1793" max="1793" width="15.7109375" style="2582" customWidth="1"/>
    <col min="1794" max="1794" width="14.85546875" style="2582" customWidth="1"/>
    <col min="1795" max="1795" width="16.42578125" style="2582" customWidth="1"/>
    <col min="1796" max="1796" width="15" style="2582" customWidth="1"/>
    <col min="1797" max="1797" width="16.5703125" style="2582" customWidth="1"/>
    <col min="1798" max="1798" width="15" style="2582" customWidth="1"/>
    <col min="1799" max="1799" width="16.5703125" style="2582" customWidth="1"/>
    <col min="1800" max="2048" width="9.140625" style="2582"/>
    <col min="2049" max="2049" width="15.7109375" style="2582" customWidth="1"/>
    <col min="2050" max="2050" width="14.85546875" style="2582" customWidth="1"/>
    <col min="2051" max="2051" width="16.42578125" style="2582" customWidth="1"/>
    <col min="2052" max="2052" width="15" style="2582" customWidth="1"/>
    <col min="2053" max="2053" width="16.5703125" style="2582" customWidth="1"/>
    <col min="2054" max="2054" width="15" style="2582" customWidth="1"/>
    <col min="2055" max="2055" width="16.5703125" style="2582" customWidth="1"/>
    <col min="2056" max="2304" width="9.140625" style="2582"/>
    <col min="2305" max="2305" width="15.7109375" style="2582" customWidth="1"/>
    <col min="2306" max="2306" width="14.85546875" style="2582" customWidth="1"/>
    <col min="2307" max="2307" width="16.42578125" style="2582" customWidth="1"/>
    <col min="2308" max="2308" width="15" style="2582" customWidth="1"/>
    <col min="2309" max="2309" width="16.5703125" style="2582" customWidth="1"/>
    <col min="2310" max="2310" width="15" style="2582" customWidth="1"/>
    <col min="2311" max="2311" width="16.5703125" style="2582" customWidth="1"/>
    <col min="2312" max="2560" width="9.140625" style="2582"/>
    <col min="2561" max="2561" width="15.7109375" style="2582" customWidth="1"/>
    <col min="2562" max="2562" width="14.85546875" style="2582" customWidth="1"/>
    <col min="2563" max="2563" width="16.42578125" style="2582" customWidth="1"/>
    <col min="2564" max="2564" width="15" style="2582" customWidth="1"/>
    <col min="2565" max="2565" width="16.5703125" style="2582" customWidth="1"/>
    <col min="2566" max="2566" width="15" style="2582" customWidth="1"/>
    <col min="2567" max="2567" width="16.5703125" style="2582" customWidth="1"/>
    <col min="2568" max="2816" width="9.140625" style="2582"/>
    <col min="2817" max="2817" width="15.7109375" style="2582" customWidth="1"/>
    <col min="2818" max="2818" width="14.85546875" style="2582" customWidth="1"/>
    <col min="2819" max="2819" width="16.42578125" style="2582" customWidth="1"/>
    <col min="2820" max="2820" width="15" style="2582" customWidth="1"/>
    <col min="2821" max="2821" width="16.5703125" style="2582" customWidth="1"/>
    <col min="2822" max="2822" width="15" style="2582" customWidth="1"/>
    <col min="2823" max="2823" width="16.5703125" style="2582" customWidth="1"/>
    <col min="2824" max="3072" width="9.140625" style="2582"/>
    <col min="3073" max="3073" width="15.7109375" style="2582" customWidth="1"/>
    <col min="3074" max="3074" width="14.85546875" style="2582" customWidth="1"/>
    <col min="3075" max="3075" width="16.42578125" style="2582" customWidth="1"/>
    <col min="3076" max="3076" width="15" style="2582" customWidth="1"/>
    <col min="3077" max="3077" width="16.5703125" style="2582" customWidth="1"/>
    <col min="3078" max="3078" width="15" style="2582" customWidth="1"/>
    <col min="3079" max="3079" width="16.5703125" style="2582" customWidth="1"/>
    <col min="3080" max="3328" width="9.140625" style="2582"/>
    <col min="3329" max="3329" width="15.7109375" style="2582" customWidth="1"/>
    <col min="3330" max="3330" width="14.85546875" style="2582" customWidth="1"/>
    <col min="3331" max="3331" width="16.42578125" style="2582" customWidth="1"/>
    <col min="3332" max="3332" width="15" style="2582" customWidth="1"/>
    <col min="3333" max="3333" width="16.5703125" style="2582" customWidth="1"/>
    <col min="3334" max="3334" width="15" style="2582" customWidth="1"/>
    <col min="3335" max="3335" width="16.5703125" style="2582" customWidth="1"/>
    <col min="3336" max="3584" width="9.140625" style="2582"/>
    <col min="3585" max="3585" width="15.7109375" style="2582" customWidth="1"/>
    <col min="3586" max="3586" width="14.85546875" style="2582" customWidth="1"/>
    <col min="3587" max="3587" width="16.42578125" style="2582" customWidth="1"/>
    <col min="3588" max="3588" width="15" style="2582" customWidth="1"/>
    <col min="3589" max="3589" width="16.5703125" style="2582" customWidth="1"/>
    <col min="3590" max="3590" width="15" style="2582" customWidth="1"/>
    <col min="3591" max="3591" width="16.5703125" style="2582" customWidth="1"/>
    <col min="3592" max="3840" width="9.140625" style="2582"/>
    <col min="3841" max="3841" width="15.7109375" style="2582" customWidth="1"/>
    <col min="3842" max="3842" width="14.85546875" style="2582" customWidth="1"/>
    <col min="3843" max="3843" width="16.42578125" style="2582" customWidth="1"/>
    <col min="3844" max="3844" width="15" style="2582" customWidth="1"/>
    <col min="3845" max="3845" width="16.5703125" style="2582" customWidth="1"/>
    <col min="3846" max="3846" width="15" style="2582" customWidth="1"/>
    <col min="3847" max="3847" width="16.5703125" style="2582" customWidth="1"/>
    <col min="3848" max="4096" width="9.140625" style="2582"/>
    <col min="4097" max="4097" width="15.7109375" style="2582" customWidth="1"/>
    <col min="4098" max="4098" width="14.85546875" style="2582" customWidth="1"/>
    <col min="4099" max="4099" width="16.42578125" style="2582" customWidth="1"/>
    <col min="4100" max="4100" width="15" style="2582" customWidth="1"/>
    <col min="4101" max="4101" width="16.5703125" style="2582" customWidth="1"/>
    <col min="4102" max="4102" width="15" style="2582" customWidth="1"/>
    <col min="4103" max="4103" width="16.5703125" style="2582" customWidth="1"/>
    <col min="4104" max="4352" width="9.140625" style="2582"/>
    <col min="4353" max="4353" width="15.7109375" style="2582" customWidth="1"/>
    <col min="4354" max="4354" width="14.85546875" style="2582" customWidth="1"/>
    <col min="4355" max="4355" width="16.42578125" style="2582" customWidth="1"/>
    <col min="4356" max="4356" width="15" style="2582" customWidth="1"/>
    <col min="4357" max="4357" width="16.5703125" style="2582" customWidth="1"/>
    <col min="4358" max="4358" width="15" style="2582" customWidth="1"/>
    <col min="4359" max="4359" width="16.5703125" style="2582" customWidth="1"/>
    <col min="4360" max="4608" width="9.140625" style="2582"/>
    <col min="4609" max="4609" width="15.7109375" style="2582" customWidth="1"/>
    <col min="4610" max="4610" width="14.85546875" style="2582" customWidth="1"/>
    <col min="4611" max="4611" width="16.42578125" style="2582" customWidth="1"/>
    <col min="4612" max="4612" width="15" style="2582" customWidth="1"/>
    <col min="4613" max="4613" width="16.5703125" style="2582" customWidth="1"/>
    <col min="4614" max="4614" width="15" style="2582" customWidth="1"/>
    <col min="4615" max="4615" width="16.5703125" style="2582" customWidth="1"/>
    <col min="4616" max="4864" width="9.140625" style="2582"/>
    <col min="4865" max="4865" width="15.7109375" style="2582" customWidth="1"/>
    <col min="4866" max="4866" width="14.85546875" style="2582" customWidth="1"/>
    <col min="4867" max="4867" width="16.42578125" style="2582" customWidth="1"/>
    <col min="4868" max="4868" width="15" style="2582" customWidth="1"/>
    <col min="4869" max="4869" width="16.5703125" style="2582" customWidth="1"/>
    <col min="4870" max="4870" width="15" style="2582" customWidth="1"/>
    <col min="4871" max="4871" width="16.5703125" style="2582" customWidth="1"/>
    <col min="4872" max="5120" width="9.140625" style="2582"/>
    <col min="5121" max="5121" width="15.7109375" style="2582" customWidth="1"/>
    <col min="5122" max="5122" width="14.85546875" style="2582" customWidth="1"/>
    <col min="5123" max="5123" width="16.42578125" style="2582" customWidth="1"/>
    <col min="5124" max="5124" width="15" style="2582" customWidth="1"/>
    <col min="5125" max="5125" width="16.5703125" style="2582" customWidth="1"/>
    <col min="5126" max="5126" width="15" style="2582" customWidth="1"/>
    <col min="5127" max="5127" width="16.5703125" style="2582" customWidth="1"/>
    <col min="5128" max="5376" width="9.140625" style="2582"/>
    <col min="5377" max="5377" width="15.7109375" style="2582" customWidth="1"/>
    <col min="5378" max="5378" width="14.85546875" style="2582" customWidth="1"/>
    <col min="5379" max="5379" width="16.42578125" style="2582" customWidth="1"/>
    <col min="5380" max="5380" width="15" style="2582" customWidth="1"/>
    <col min="5381" max="5381" width="16.5703125" style="2582" customWidth="1"/>
    <col min="5382" max="5382" width="15" style="2582" customWidth="1"/>
    <col min="5383" max="5383" width="16.5703125" style="2582" customWidth="1"/>
    <col min="5384" max="5632" width="9.140625" style="2582"/>
    <col min="5633" max="5633" width="15.7109375" style="2582" customWidth="1"/>
    <col min="5634" max="5634" width="14.85546875" style="2582" customWidth="1"/>
    <col min="5635" max="5635" width="16.42578125" style="2582" customWidth="1"/>
    <col min="5636" max="5636" width="15" style="2582" customWidth="1"/>
    <col min="5637" max="5637" width="16.5703125" style="2582" customWidth="1"/>
    <col min="5638" max="5638" width="15" style="2582" customWidth="1"/>
    <col min="5639" max="5639" width="16.5703125" style="2582" customWidth="1"/>
    <col min="5640" max="5888" width="9.140625" style="2582"/>
    <col min="5889" max="5889" width="15.7109375" style="2582" customWidth="1"/>
    <col min="5890" max="5890" width="14.85546875" style="2582" customWidth="1"/>
    <col min="5891" max="5891" width="16.42578125" style="2582" customWidth="1"/>
    <col min="5892" max="5892" width="15" style="2582" customWidth="1"/>
    <col min="5893" max="5893" width="16.5703125" style="2582" customWidth="1"/>
    <col min="5894" max="5894" width="15" style="2582" customWidth="1"/>
    <col min="5895" max="5895" width="16.5703125" style="2582" customWidth="1"/>
    <col min="5896" max="6144" width="9.140625" style="2582"/>
    <col min="6145" max="6145" width="15.7109375" style="2582" customWidth="1"/>
    <col min="6146" max="6146" width="14.85546875" style="2582" customWidth="1"/>
    <col min="6147" max="6147" width="16.42578125" style="2582" customWidth="1"/>
    <col min="6148" max="6148" width="15" style="2582" customWidth="1"/>
    <col min="6149" max="6149" width="16.5703125" style="2582" customWidth="1"/>
    <col min="6150" max="6150" width="15" style="2582" customWidth="1"/>
    <col min="6151" max="6151" width="16.5703125" style="2582" customWidth="1"/>
    <col min="6152" max="6400" width="9.140625" style="2582"/>
    <col min="6401" max="6401" width="15.7109375" style="2582" customWidth="1"/>
    <col min="6402" max="6402" width="14.85546875" style="2582" customWidth="1"/>
    <col min="6403" max="6403" width="16.42578125" style="2582" customWidth="1"/>
    <col min="6404" max="6404" width="15" style="2582" customWidth="1"/>
    <col min="6405" max="6405" width="16.5703125" style="2582" customWidth="1"/>
    <col min="6406" max="6406" width="15" style="2582" customWidth="1"/>
    <col min="6407" max="6407" width="16.5703125" style="2582" customWidth="1"/>
    <col min="6408" max="6656" width="9.140625" style="2582"/>
    <col min="6657" max="6657" width="15.7109375" style="2582" customWidth="1"/>
    <col min="6658" max="6658" width="14.85546875" style="2582" customWidth="1"/>
    <col min="6659" max="6659" width="16.42578125" style="2582" customWidth="1"/>
    <col min="6660" max="6660" width="15" style="2582" customWidth="1"/>
    <col min="6661" max="6661" width="16.5703125" style="2582" customWidth="1"/>
    <col min="6662" max="6662" width="15" style="2582" customWidth="1"/>
    <col min="6663" max="6663" width="16.5703125" style="2582" customWidth="1"/>
    <col min="6664" max="6912" width="9.140625" style="2582"/>
    <col min="6913" max="6913" width="15.7109375" style="2582" customWidth="1"/>
    <col min="6914" max="6914" width="14.85546875" style="2582" customWidth="1"/>
    <col min="6915" max="6915" width="16.42578125" style="2582" customWidth="1"/>
    <col min="6916" max="6916" width="15" style="2582" customWidth="1"/>
    <col min="6917" max="6917" width="16.5703125" style="2582" customWidth="1"/>
    <col min="6918" max="6918" width="15" style="2582" customWidth="1"/>
    <col min="6919" max="6919" width="16.5703125" style="2582" customWidth="1"/>
    <col min="6920" max="7168" width="9.140625" style="2582"/>
    <col min="7169" max="7169" width="15.7109375" style="2582" customWidth="1"/>
    <col min="7170" max="7170" width="14.85546875" style="2582" customWidth="1"/>
    <col min="7171" max="7171" width="16.42578125" style="2582" customWidth="1"/>
    <col min="7172" max="7172" width="15" style="2582" customWidth="1"/>
    <col min="7173" max="7173" width="16.5703125" style="2582" customWidth="1"/>
    <col min="7174" max="7174" width="15" style="2582" customWidth="1"/>
    <col min="7175" max="7175" width="16.5703125" style="2582" customWidth="1"/>
    <col min="7176" max="7424" width="9.140625" style="2582"/>
    <col min="7425" max="7425" width="15.7109375" style="2582" customWidth="1"/>
    <col min="7426" max="7426" width="14.85546875" style="2582" customWidth="1"/>
    <col min="7427" max="7427" width="16.42578125" style="2582" customWidth="1"/>
    <col min="7428" max="7428" width="15" style="2582" customWidth="1"/>
    <col min="7429" max="7429" width="16.5703125" style="2582" customWidth="1"/>
    <col min="7430" max="7430" width="15" style="2582" customWidth="1"/>
    <col min="7431" max="7431" width="16.5703125" style="2582" customWidth="1"/>
    <col min="7432" max="7680" width="9.140625" style="2582"/>
    <col min="7681" max="7681" width="15.7109375" style="2582" customWidth="1"/>
    <col min="7682" max="7682" width="14.85546875" style="2582" customWidth="1"/>
    <col min="7683" max="7683" width="16.42578125" style="2582" customWidth="1"/>
    <col min="7684" max="7684" width="15" style="2582" customWidth="1"/>
    <col min="7685" max="7685" width="16.5703125" style="2582" customWidth="1"/>
    <col min="7686" max="7686" width="15" style="2582" customWidth="1"/>
    <col min="7687" max="7687" width="16.5703125" style="2582" customWidth="1"/>
    <col min="7688" max="7936" width="9.140625" style="2582"/>
    <col min="7937" max="7937" width="15.7109375" style="2582" customWidth="1"/>
    <col min="7938" max="7938" width="14.85546875" style="2582" customWidth="1"/>
    <col min="7939" max="7939" width="16.42578125" style="2582" customWidth="1"/>
    <col min="7940" max="7940" width="15" style="2582" customWidth="1"/>
    <col min="7941" max="7941" width="16.5703125" style="2582" customWidth="1"/>
    <col min="7942" max="7942" width="15" style="2582" customWidth="1"/>
    <col min="7943" max="7943" width="16.5703125" style="2582" customWidth="1"/>
    <col min="7944" max="8192" width="9.140625" style="2582"/>
    <col min="8193" max="8193" width="15.7109375" style="2582" customWidth="1"/>
    <col min="8194" max="8194" width="14.85546875" style="2582" customWidth="1"/>
    <col min="8195" max="8195" width="16.42578125" style="2582" customWidth="1"/>
    <col min="8196" max="8196" width="15" style="2582" customWidth="1"/>
    <col min="8197" max="8197" width="16.5703125" style="2582" customWidth="1"/>
    <col min="8198" max="8198" width="15" style="2582" customWidth="1"/>
    <col min="8199" max="8199" width="16.5703125" style="2582" customWidth="1"/>
    <col min="8200" max="8448" width="9.140625" style="2582"/>
    <col min="8449" max="8449" width="15.7109375" style="2582" customWidth="1"/>
    <col min="8450" max="8450" width="14.85546875" style="2582" customWidth="1"/>
    <col min="8451" max="8451" width="16.42578125" style="2582" customWidth="1"/>
    <col min="8452" max="8452" width="15" style="2582" customWidth="1"/>
    <col min="8453" max="8453" width="16.5703125" style="2582" customWidth="1"/>
    <col min="8454" max="8454" width="15" style="2582" customWidth="1"/>
    <col min="8455" max="8455" width="16.5703125" style="2582" customWidth="1"/>
    <col min="8456" max="8704" width="9.140625" style="2582"/>
    <col min="8705" max="8705" width="15.7109375" style="2582" customWidth="1"/>
    <col min="8706" max="8706" width="14.85546875" style="2582" customWidth="1"/>
    <col min="8707" max="8707" width="16.42578125" style="2582" customWidth="1"/>
    <col min="8708" max="8708" width="15" style="2582" customWidth="1"/>
    <col min="8709" max="8709" width="16.5703125" style="2582" customWidth="1"/>
    <col min="8710" max="8710" width="15" style="2582" customWidth="1"/>
    <col min="8711" max="8711" width="16.5703125" style="2582" customWidth="1"/>
    <col min="8712" max="8960" width="9.140625" style="2582"/>
    <col min="8961" max="8961" width="15.7109375" style="2582" customWidth="1"/>
    <col min="8962" max="8962" width="14.85546875" style="2582" customWidth="1"/>
    <col min="8963" max="8963" width="16.42578125" style="2582" customWidth="1"/>
    <col min="8964" max="8964" width="15" style="2582" customWidth="1"/>
    <col min="8965" max="8965" width="16.5703125" style="2582" customWidth="1"/>
    <col min="8966" max="8966" width="15" style="2582" customWidth="1"/>
    <col min="8967" max="8967" width="16.5703125" style="2582" customWidth="1"/>
    <col min="8968" max="9216" width="9.140625" style="2582"/>
    <col min="9217" max="9217" width="15.7109375" style="2582" customWidth="1"/>
    <col min="9218" max="9218" width="14.85546875" style="2582" customWidth="1"/>
    <col min="9219" max="9219" width="16.42578125" style="2582" customWidth="1"/>
    <col min="9220" max="9220" width="15" style="2582" customWidth="1"/>
    <col min="9221" max="9221" width="16.5703125" style="2582" customWidth="1"/>
    <col min="9222" max="9222" width="15" style="2582" customWidth="1"/>
    <col min="9223" max="9223" width="16.5703125" style="2582" customWidth="1"/>
    <col min="9224" max="9472" width="9.140625" style="2582"/>
    <col min="9473" max="9473" width="15.7109375" style="2582" customWidth="1"/>
    <col min="9474" max="9474" width="14.85546875" style="2582" customWidth="1"/>
    <col min="9475" max="9475" width="16.42578125" style="2582" customWidth="1"/>
    <col min="9476" max="9476" width="15" style="2582" customWidth="1"/>
    <col min="9477" max="9477" width="16.5703125" style="2582" customWidth="1"/>
    <col min="9478" max="9478" width="15" style="2582" customWidth="1"/>
    <col min="9479" max="9479" width="16.5703125" style="2582" customWidth="1"/>
    <col min="9480" max="9728" width="9.140625" style="2582"/>
    <col min="9729" max="9729" width="15.7109375" style="2582" customWidth="1"/>
    <col min="9730" max="9730" width="14.85546875" style="2582" customWidth="1"/>
    <col min="9731" max="9731" width="16.42578125" style="2582" customWidth="1"/>
    <col min="9732" max="9732" width="15" style="2582" customWidth="1"/>
    <col min="9733" max="9733" width="16.5703125" style="2582" customWidth="1"/>
    <col min="9734" max="9734" width="15" style="2582" customWidth="1"/>
    <col min="9735" max="9735" width="16.5703125" style="2582" customWidth="1"/>
    <col min="9736" max="9984" width="9.140625" style="2582"/>
    <col min="9985" max="9985" width="15.7109375" style="2582" customWidth="1"/>
    <col min="9986" max="9986" width="14.85546875" style="2582" customWidth="1"/>
    <col min="9987" max="9987" width="16.42578125" style="2582" customWidth="1"/>
    <col min="9988" max="9988" width="15" style="2582" customWidth="1"/>
    <col min="9989" max="9989" width="16.5703125" style="2582" customWidth="1"/>
    <col min="9990" max="9990" width="15" style="2582" customWidth="1"/>
    <col min="9991" max="9991" width="16.5703125" style="2582" customWidth="1"/>
    <col min="9992" max="10240" width="9.140625" style="2582"/>
    <col min="10241" max="10241" width="15.7109375" style="2582" customWidth="1"/>
    <col min="10242" max="10242" width="14.85546875" style="2582" customWidth="1"/>
    <col min="10243" max="10243" width="16.42578125" style="2582" customWidth="1"/>
    <col min="10244" max="10244" width="15" style="2582" customWidth="1"/>
    <col min="10245" max="10245" width="16.5703125" style="2582" customWidth="1"/>
    <col min="10246" max="10246" width="15" style="2582" customWidth="1"/>
    <col min="10247" max="10247" width="16.5703125" style="2582" customWidth="1"/>
    <col min="10248" max="10496" width="9.140625" style="2582"/>
    <col min="10497" max="10497" width="15.7109375" style="2582" customWidth="1"/>
    <col min="10498" max="10498" width="14.85546875" style="2582" customWidth="1"/>
    <col min="10499" max="10499" width="16.42578125" style="2582" customWidth="1"/>
    <col min="10500" max="10500" width="15" style="2582" customWidth="1"/>
    <col min="10501" max="10501" width="16.5703125" style="2582" customWidth="1"/>
    <col min="10502" max="10502" width="15" style="2582" customWidth="1"/>
    <col min="10503" max="10503" width="16.5703125" style="2582" customWidth="1"/>
    <col min="10504" max="10752" width="9.140625" style="2582"/>
    <col min="10753" max="10753" width="15.7109375" style="2582" customWidth="1"/>
    <col min="10754" max="10754" width="14.85546875" style="2582" customWidth="1"/>
    <col min="10755" max="10755" width="16.42578125" style="2582" customWidth="1"/>
    <col min="10756" max="10756" width="15" style="2582" customWidth="1"/>
    <col min="10757" max="10757" width="16.5703125" style="2582" customWidth="1"/>
    <col min="10758" max="10758" width="15" style="2582" customWidth="1"/>
    <col min="10759" max="10759" width="16.5703125" style="2582" customWidth="1"/>
    <col min="10760" max="11008" width="9.140625" style="2582"/>
    <col min="11009" max="11009" width="15.7109375" style="2582" customWidth="1"/>
    <col min="11010" max="11010" width="14.85546875" style="2582" customWidth="1"/>
    <col min="11011" max="11011" width="16.42578125" style="2582" customWidth="1"/>
    <col min="11012" max="11012" width="15" style="2582" customWidth="1"/>
    <col min="11013" max="11013" width="16.5703125" style="2582" customWidth="1"/>
    <col min="11014" max="11014" width="15" style="2582" customWidth="1"/>
    <col min="11015" max="11015" width="16.5703125" style="2582" customWidth="1"/>
    <col min="11016" max="11264" width="9.140625" style="2582"/>
    <col min="11265" max="11265" width="15.7109375" style="2582" customWidth="1"/>
    <col min="11266" max="11266" width="14.85546875" style="2582" customWidth="1"/>
    <col min="11267" max="11267" width="16.42578125" style="2582" customWidth="1"/>
    <col min="11268" max="11268" width="15" style="2582" customWidth="1"/>
    <col min="11269" max="11269" width="16.5703125" style="2582" customWidth="1"/>
    <col min="11270" max="11270" width="15" style="2582" customWidth="1"/>
    <col min="11271" max="11271" width="16.5703125" style="2582" customWidth="1"/>
    <col min="11272" max="11520" width="9.140625" style="2582"/>
    <col min="11521" max="11521" width="15.7109375" style="2582" customWidth="1"/>
    <col min="11522" max="11522" width="14.85546875" style="2582" customWidth="1"/>
    <col min="11523" max="11523" width="16.42578125" style="2582" customWidth="1"/>
    <col min="11524" max="11524" width="15" style="2582" customWidth="1"/>
    <col min="11525" max="11525" width="16.5703125" style="2582" customWidth="1"/>
    <col min="11526" max="11526" width="15" style="2582" customWidth="1"/>
    <col min="11527" max="11527" width="16.5703125" style="2582" customWidth="1"/>
    <col min="11528" max="11776" width="9.140625" style="2582"/>
    <col min="11777" max="11777" width="15.7109375" style="2582" customWidth="1"/>
    <col min="11778" max="11778" width="14.85546875" style="2582" customWidth="1"/>
    <col min="11779" max="11779" width="16.42578125" style="2582" customWidth="1"/>
    <col min="11780" max="11780" width="15" style="2582" customWidth="1"/>
    <col min="11781" max="11781" width="16.5703125" style="2582" customWidth="1"/>
    <col min="11782" max="11782" width="15" style="2582" customWidth="1"/>
    <col min="11783" max="11783" width="16.5703125" style="2582" customWidth="1"/>
    <col min="11784" max="12032" width="9.140625" style="2582"/>
    <col min="12033" max="12033" width="15.7109375" style="2582" customWidth="1"/>
    <col min="12034" max="12034" width="14.85546875" style="2582" customWidth="1"/>
    <col min="12035" max="12035" width="16.42578125" style="2582" customWidth="1"/>
    <col min="12036" max="12036" width="15" style="2582" customWidth="1"/>
    <col min="12037" max="12037" width="16.5703125" style="2582" customWidth="1"/>
    <col min="12038" max="12038" width="15" style="2582" customWidth="1"/>
    <col min="12039" max="12039" width="16.5703125" style="2582" customWidth="1"/>
    <col min="12040" max="12288" width="9.140625" style="2582"/>
    <col min="12289" max="12289" width="15.7109375" style="2582" customWidth="1"/>
    <col min="12290" max="12290" width="14.85546875" style="2582" customWidth="1"/>
    <col min="12291" max="12291" width="16.42578125" style="2582" customWidth="1"/>
    <col min="12292" max="12292" width="15" style="2582" customWidth="1"/>
    <col min="12293" max="12293" width="16.5703125" style="2582" customWidth="1"/>
    <col min="12294" max="12294" width="15" style="2582" customWidth="1"/>
    <col min="12295" max="12295" width="16.5703125" style="2582" customWidth="1"/>
    <col min="12296" max="12544" width="9.140625" style="2582"/>
    <col min="12545" max="12545" width="15.7109375" style="2582" customWidth="1"/>
    <col min="12546" max="12546" width="14.85546875" style="2582" customWidth="1"/>
    <col min="12547" max="12547" width="16.42578125" style="2582" customWidth="1"/>
    <col min="12548" max="12548" width="15" style="2582" customWidth="1"/>
    <col min="12549" max="12549" width="16.5703125" style="2582" customWidth="1"/>
    <col min="12550" max="12550" width="15" style="2582" customWidth="1"/>
    <col min="12551" max="12551" width="16.5703125" style="2582" customWidth="1"/>
    <col min="12552" max="12800" width="9.140625" style="2582"/>
    <col min="12801" max="12801" width="15.7109375" style="2582" customWidth="1"/>
    <col min="12802" max="12802" width="14.85546875" style="2582" customWidth="1"/>
    <col min="12803" max="12803" width="16.42578125" style="2582" customWidth="1"/>
    <col min="12804" max="12804" width="15" style="2582" customWidth="1"/>
    <col min="12805" max="12805" width="16.5703125" style="2582" customWidth="1"/>
    <col min="12806" max="12806" width="15" style="2582" customWidth="1"/>
    <col min="12807" max="12807" width="16.5703125" style="2582" customWidth="1"/>
    <col min="12808" max="13056" width="9.140625" style="2582"/>
    <col min="13057" max="13057" width="15.7109375" style="2582" customWidth="1"/>
    <col min="13058" max="13058" width="14.85546875" style="2582" customWidth="1"/>
    <col min="13059" max="13059" width="16.42578125" style="2582" customWidth="1"/>
    <col min="13060" max="13060" width="15" style="2582" customWidth="1"/>
    <col min="13061" max="13061" width="16.5703125" style="2582" customWidth="1"/>
    <col min="13062" max="13062" width="15" style="2582" customWidth="1"/>
    <col min="13063" max="13063" width="16.5703125" style="2582" customWidth="1"/>
    <col min="13064" max="13312" width="9.140625" style="2582"/>
    <col min="13313" max="13313" width="15.7109375" style="2582" customWidth="1"/>
    <col min="13314" max="13314" width="14.85546875" style="2582" customWidth="1"/>
    <col min="13315" max="13315" width="16.42578125" style="2582" customWidth="1"/>
    <col min="13316" max="13316" width="15" style="2582" customWidth="1"/>
    <col min="13317" max="13317" width="16.5703125" style="2582" customWidth="1"/>
    <col min="13318" max="13318" width="15" style="2582" customWidth="1"/>
    <col min="13319" max="13319" width="16.5703125" style="2582" customWidth="1"/>
    <col min="13320" max="13568" width="9.140625" style="2582"/>
    <col min="13569" max="13569" width="15.7109375" style="2582" customWidth="1"/>
    <col min="13570" max="13570" width="14.85546875" style="2582" customWidth="1"/>
    <col min="13571" max="13571" width="16.42578125" style="2582" customWidth="1"/>
    <col min="13572" max="13572" width="15" style="2582" customWidth="1"/>
    <col min="13573" max="13573" width="16.5703125" style="2582" customWidth="1"/>
    <col min="13574" max="13574" width="15" style="2582" customWidth="1"/>
    <col min="13575" max="13575" width="16.5703125" style="2582" customWidth="1"/>
    <col min="13576" max="13824" width="9.140625" style="2582"/>
    <col min="13825" max="13825" width="15.7109375" style="2582" customWidth="1"/>
    <col min="13826" max="13826" width="14.85546875" style="2582" customWidth="1"/>
    <col min="13827" max="13827" width="16.42578125" style="2582" customWidth="1"/>
    <col min="13828" max="13828" width="15" style="2582" customWidth="1"/>
    <col min="13829" max="13829" width="16.5703125" style="2582" customWidth="1"/>
    <col min="13830" max="13830" width="15" style="2582" customWidth="1"/>
    <col min="13831" max="13831" width="16.5703125" style="2582" customWidth="1"/>
    <col min="13832" max="14080" width="9.140625" style="2582"/>
    <col min="14081" max="14081" width="15.7109375" style="2582" customWidth="1"/>
    <col min="14082" max="14082" width="14.85546875" style="2582" customWidth="1"/>
    <col min="14083" max="14083" width="16.42578125" style="2582" customWidth="1"/>
    <col min="14084" max="14084" width="15" style="2582" customWidth="1"/>
    <col min="14085" max="14085" width="16.5703125" style="2582" customWidth="1"/>
    <col min="14086" max="14086" width="15" style="2582" customWidth="1"/>
    <col min="14087" max="14087" width="16.5703125" style="2582" customWidth="1"/>
    <col min="14088" max="14336" width="9.140625" style="2582"/>
    <col min="14337" max="14337" width="15.7109375" style="2582" customWidth="1"/>
    <col min="14338" max="14338" width="14.85546875" style="2582" customWidth="1"/>
    <col min="14339" max="14339" width="16.42578125" style="2582" customWidth="1"/>
    <col min="14340" max="14340" width="15" style="2582" customWidth="1"/>
    <col min="14341" max="14341" width="16.5703125" style="2582" customWidth="1"/>
    <col min="14342" max="14342" width="15" style="2582" customWidth="1"/>
    <col min="14343" max="14343" width="16.5703125" style="2582" customWidth="1"/>
    <col min="14344" max="14592" width="9.140625" style="2582"/>
    <col min="14593" max="14593" width="15.7109375" style="2582" customWidth="1"/>
    <col min="14594" max="14594" width="14.85546875" style="2582" customWidth="1"/>
    <col min="14595" max="14595" width="16.42578125" style="2582" customWidth="1"/>
    <col min="14596" max="14596" width="15" style="2582" customWidth="1"/>
    <col min="14597" max="14597" width="16.5703125" style="2582" customWidth="1"/>
    <col min="14598" max="14598" width="15" style="2582" customWidth="1"/>
    <col min="14599" max="14599" width="16.5703125" style="2582" customWidth="1"/>
    <col min="14600" max="14848" width="9.140625" style="2582"/>
    <col min="14849" max="14849" width="15.7109375" style="2582" customWidth="1"/>
    <col min="14850" max="14850" width="14.85546875" style="2582" customWidth="1"/>
    <col min="14851" max="14851" width="16.42578125" style="2582" customWidth="1"/>
    <col min="14852" max="14852" width="15" style="2582" customWidth="1"/>
    <col min="14853" max="14853" width="16.5703125" style="2582" customWidth="1"/>
    <col min="14854" max="14854" width="15" style="2582" customWidth="1"/>
    <col min="14855" max="14855" width="16.5703125" style="2582" customWidth="1"/>
    <col min="14856" max="15104" width="9.140625" style="2582"/>
    <col min="15105" max="15105" width="15.7109375" style="2582" customWidth="1"/>
    <col min="15106" max="15106" width="14.85546875" style="2582" customWidth="1"/>
    <col min="15107" max="15107" width="16.42578125" style="2582" customWidth="1"/>
    <col min="15108" max="15108" width="15" style="2582" customWidth="1"/>
    <col min="15109" max="15109" width="16.5703125" style="2582" customWidth="1"/>
    <col min="15110" max="15110" width="15" style="2582" customWidth="1"/>
    <col min="15111" max="15111" width="16.5703125" style="2582" customWidth="1"/>
    <col min="15112" max="15360" width="9.140625" style="2582"/>
    <col min="15361" max="15361" width="15.7109375" style="2582" customWidth="1"/>
    <col min="15362" max="15362" width="14.85546875" style="2582" customWidth="1"/>
    <col min="15363" max="15363" width="16.42578125" style="2582" customWidth="1"/>
    <col min="15364" max="15364" width="15" style="2582" customWidth="1"/>
    <col min="15365" max="15365" width="16.5703125" style="2582" customWidth="1"/>
    <col min="15366" max="15366" width="15" style="2582" customWidth="1"/>
    <col min="15367" max="15367" width="16.5703125" style="2582" customWidth="1"/>
    <col min="15368" max="15616" width="9.140625" style="2582"/>
    <col min="15617" max="15617" width="15.7109375" style="2582" customWidth="1"/>
    <col min="15618" max="15618" width="14.85546875" style="2582" customWidth="1"/>
    <col min="15619" max="15619" width="16.42578125" style="2582" customWidth="1"/>
    <col min="15620" max="15620" width="15" style="2582" customWidth="1"/>
    <col min="15621" max="15621" width="16.5703125" style="2582" customWidth="1"/>
    <col min="15622" max="15622" width="15" style="2582" customWidth="1"/>
    <col min="15623" max="15623" width="16.5703125" style="2582" customWidth="1"/>
    <col min="15624" max="15872" width="9.140625" style="2582"/>
    <col min="15873" max="15873" width="15.7109375" style="2582" customWidth="1"/>
    <col min="15874" max="15874" width="14.85546875" style="2582" customWidth="1"/>
    <col min="15875" max="15875" width="16.42578125" style="2582" customWidth="1"/>
    <col min="15876" max="15876" width="15" style="2582" customWidth="1"/>
    <col min="15877" max="15877" width="16.5703125" style="2582" customWidth="1"/>
    <col min="15878" max="15878" width="15" style="2582" customWidth="1"/>
    <col min="15879" max="15879" width="16.5703125" style="2582" customWidth="1"/>
    <col min="15880" max="16128" width="9.140625" style="2582"/>
    <col min="16129" max="16129" width="15.7109375" style="2582" customWidth="1"/>
    <col min="16130" max="16130" width="14.85546875" style="2582" customWidth="1"/>
    <col min="16131" max="16131" width="16.42578125" style="2582" customWidth="1"/>
    <col min="16132" max="16132" width="15" style="2582" customWidth="1"/>
    <col min="16133" max="16133" width="16.5703125" style="2582" customWidth="1"/>
    <col min="16134" max="16134" width="15" style="2582" customWidth="1"/>
    <col min="16135" max="16135" width="16.5703125" style="2582" customWidth="1"/>
    <col min="16136" max="16384" width="9.140625" style="2582"/>
  </cols>
  <sheetData>
    <row r="1" spans="1:7" ht="18" customHeight="1"/>
    <row r="2" spans="1:7" ht="15.75">
      <c r="A2" s="2583" t="s">
        <v>3438</v>
      </c>
      <c r="E2" s="2584"/>
      <c r="F2" s="2584"/>
      <c r="G2" s="2584"/>
    </row>
    <row r="3" spans="1:7" ht="13.5" thickBot="1">
      <c r="A3" s="2584"/>
      <c r="B3" s="2584"/>
      <c r="C3" s="2584"/>
      <c r="D3" s="2584"/>
      <c r="E3" s="2584"/>
      <c r="F3" s="2584"/>
      <c r="G3" s="2584"/>
    </row>
    <row r="4" spans="1:7" s="2586" customFormat="1" ht="14.25" thickTop="1" thickBot="1">
      <c r="A4" s="2585"/>
      <c r="B4" s="3494" t="s">
        <v>2885</v>
      </c>
      <c r="C4" s="3495"/>
      <c r="D4" s="3494" t="s">
        <v>2886</v>
      </c>
      <c r="E4" s="3495"/>
      <c r="F4" s="3494" t="s">
        <v>889</v>
      </c>
      <c r="G4" s="3495"/>
    </row>
    <row r="5" spans="1:7" s="2586" customFormat="1">
      <c r="A5" s="2587"/>
      <c r="B5" s="3496" t="s">
        <v>3439</v>
      </c>
      <c r="C5" s="2588" t="s">
        <v>3440</v>
      </c>
      <c r="D5" s="3496" t="s">
        <v>3441</v>
      </c>
      <c r="E5" s="2588" t="s">
        <v>3440</v>
      </c>
      <c r="F5" s="3496" t="s">
        <v>3441</v>
      </c>
      <c r="G5" s="2588" t="s">
        <v>3440</v>
      </c>
    </row>
    <row r="6" spans="1:7" ht="19.5" customHeight="1" thickBot="1">
      <c r="A6" s="2589"/>
      <c r="B6" s="3497"/>
      <c r="C6" s="2590" t="s">
        <v>3442</v>
      </c>
      <c r="D6" s="3497"/>
      <c r="E6" s="2590" t="s">
        <v>3442</v>
      </c>
      <c r="F6" s="3497"/>
      <c r="G6" s="2590" t="s">
        <v>3442</v>
      </c>
    </row>
    <row r="7" spans="1:7" ht="15" customHeight="1" thickTop="1">
      <c r="A7" s="2591" t="s">
        <v>2817</v>
      </c>
      <c r="B7" s="2592">
        <v>77009</v>
      </c>
      <c r="C7" s="2593">
        <v>2642</v>
      </c>
      <c r="D7" s="2592">
        <v>78034</v>
      </c>
      <c r="E7" s="2593">
        <v>3039</v>
      </c>
      <c r="F7" s="2592">
        <v>76166</v>
      </c>
      <c r="G7" s="2593" t="s">
        <v>3443</v>
      </c>
    </row>
    <row r="8" spans="1:7" ht="15" customHeight="1">
      <c r="A8" s="2591" t="s">
        <v>2818</v>
      </c>
      <c r="B8" s="2592">
        <v>65093</v>
      </c>
      <c r="C8" s="2593">
        <v>2858</v>
      </c>
      <c r="D8" s="2592">
        <v>66865</v>
      </c>
      <c r="E8" s="2593">
        <v>3033</v>
      </c>
      <c r="F8" s="2592">
        <v>65896</v>
      </c>
      <c r="G8" s="2593" t="s">
        <v>3444</v>
      </c>
    </row>
    <row r="9" spans="1:7" ht="15" customHeight="1">
      <c r="A9" s="2591" t="s">
        <v>2819</v>
      </c>
      <c r="B9" s="2592">
        <v>65404</v>
      </c>
      <c r="C9" s="2593">
        <v>2858</v>
      </c>
      <c r="D9" s="2592">
        <v>64880</v>
      </c>
      <c r="E9" s="2593">
        <v>2773</v>
      </c>
      <c r="F9" s="2592">
        <v>66369</v>
      </c>
      <c r="G9" s="2593" t="s">
        <v>3445</v>
      </c>
    </row>
    <row r="10" spans="1:7" ht="15" customHeight="1">
      <c r="A10" s="2591" t="s">
        <v>2820</v>
      </c>
      <c r="B10" s="2592">
        <v>87340</v>
      </c>
      <c r="C10" s="2593">
        <v>3373</v>
      </c>
      <c r="D10" s="2592">
        <v>90616</v>
      </c>
      <c r="E10" s="2593">
        <v>3422</v>
      </c>
      <c r="F10" s="2592">
        <v>89994</v>
      </c>
      <c r="G10" s="2593" t="s">
        <v>3446</v>
      </c>
    </row>
    <row r="11" spans="1:7" ht="15" customHeight="1">
      <c r="A11" s="2591" t="s">
        <v>2821</v>
      </c>
      <c r="B11" s="2592">
        <v>85982</v>
      </c>
      <c r="C11" s="2593">
        <v>3593</v>
      </c>
      <c r="D11" s="2592">
        <v>87348</v>
      </c>
      <c r="E11" s="2593">
        <v>4280</v>
      </c>
      <c r="F11" s="2592">
        <v>84398</v>
      </c>
      <c r="G11" s="2593" t="s">
        <v>3447</v>
      </c>
    </row>
    <row r="12" spans="1:7" ht="15" customHeight="1">
      <c r="A12" s="2591" t="s">
        <v>2822</v>
      </c>
      <c r="B12" s="2592">
        <v>114849</v>
      </c>
      <c r="C12" s="2593">
        <v>4323</v>
      </c>
      <c r="D12" s="2592">
        <v>112295</v>
      </c>
      <c r="E12" s="2593">
        <v>4866</v>
      </c>
      <c r="F12" s="2592">
        <v>115465</v>
      </c>
      <c r="G12" s="2593" t="s">
        <v>3448</v>
      </c>
    </row>
    <row r="13" spans="1:7" ht="15" customHeight="1">
      <c r="A13" s="2591" t="s">
        <v>2811</v>
      </c>
      <c r="B13" s="2592">
        <v>101887</v>
      </c>
      <c r="C13" s="2593">
        <v>4102</v>
      </c>
      <c r="D13" s="2592">
        <v>98837</v>
      </c>
      <c r="E13" s="2593" t="s">
        <v>3449</v>
      </c>
      <c r="F13" s="2592">
        <v>92894</v>
      </c>
      <c r="G13" s="2593" t="s">
        <v>3450</v>
      </c>
    </row>
    <row r="14" spans="1:7" ht="15" customHeight="1">
      <c r="A14" s="2591" t="s">
        <v>2812</v>
      </c>
      <c r="B14" s="2592">
        <v>77390</v>
      </c>
      <c r="C14" s="2593">
        <v>3660</v>
      </c>
      <c r="D14" s="2592">
        <v>79331</v>
      </c>
      <c r="E14" s="2593">
        <v>4102</v>
      </c>
      <c r="F14" s="2592"/>
      <c r="G14" s="2593"/>
    </row>
    <row r="15" spans="1:7" ht="15" customHeight="1">
      <c r="A15" s="2591" t="s">
        <v>2813</v>
      </c>
      <c r="B15" s="2592">
        <v>83349</v>
      </c>
      <c r="C15" s="2593">
        <v>4187</v>
      </c>
      <c r="D15" s="2592">
        <v>83827</v>
      </c>
      <c r="E15" s="2593" t="s">
        <v>3451</v>
      </c>
      <c r="F15" s="2592"/>
      <c r="G15" s="2593"/>
    </row>
    <row r="16" spans="1:7" ht="15" customHeight="1">
      <c r="A16" s="2591" t="s">
        <v>2814</v>
      </c>
      <c r="B16" s="2592">
        <v>79173</v>
      </c>
      <c r="C16" s="2593">
        <v>3361</v>
      </c>
      <c r="D16" s="2592">
        <v>79137</v>
      </c>
      <c r="E16" s="2593">
        <v>3778</v>
      </c>
      <c r="F16" s="2592"/>
      <c r="G16" s="2593"/>
    </row>
    <row r="17" spans="1:7" ht="15" customHeight="1">
      <c r="A17" s="2591" t="s">
        <v>2815</v>
      </c>
      <c r="B17" s="2592">
        <v>68214</v>
      </c>
      <c r="C17" s="2593">
        <v>3078</v>
      </c>
      <c r="D17" s="2592">
        <v>71396</v>
      </c>
      <c r="E17" s="2593">
        <v>3045</v>
      </c>
      <c r="F17" s="2592"/>
      <c r="G17" s="2593"/>
    </row>
    <row r="18" spans="1:7" ht="15" customHeight="1">
      <c r="A18" s="2591" t="s">
        <v>2816</v>
      </c>
      <c r="B18" s="2592">
        <v>54591</v>
      </c>
      <c r="C18" s="2593">
        <v>2916</v>
      </c>
      <c r="D18" s="2592">
        <v>54625</v>
      </c>
      <c r="E18" s="2593">
        <v>2957</v>
      </c>
      <c r="F18" s="2592"/>
      <c r="G18" s="2593"/>
    </row>
    <row r="19" spans="1:7" ht="13.5" customHeight="1" thickBot="1">
      <c r="A19" s="2594" t="s">
        <v>3452</v>
      </c>
      <c r="B19" s="2595">
        <f>SUM(B7:B18)</f>
        <v>960281</v>
      </c>
      <c r="C19" s="2595">
        <f>SUM(C7:C18)</f>
        <v>40951</v>
      </c>
      <c r="D19" s="2595">
        <f>SUM(D7:D18)</f>
        <v>967191</v>
      </c>
      <c r="E19" s="2596">
        <v>44961</v>
      </c>
      <c r="F19" s="2595">
        <f>SUM(F7:F18)</f>
        <v>591182</v>
      </c>
      <c r="G19" s="2596">
        <v>25531</v>
      </c>
    </row>
    <row r="20" spans="1:7" ht="13.5" customHeight="1" thickTop="1">
      <c r="A20" s="2584"/>
      <c r="B20" s="2584"/>
      <c r="C20" s="2584"/>
      <c r="D20" s="2597"/>
      <c r="E20" s="2597"/>
      <c r="F20" s="2584"/>
      <c r="G20" s="2584"/>
    </row>
    <row r="21" spans="1:7" ht="13.5" customHeight="1">
      <c r="A21" s="2598" t="s">
        <v>3453</v>
      </c>
      <c r="B21" s="2599">
        <v>2</v>
      </c>
      <c r="C21" s="2584" t="s">
        <v>3454</v>
      </c>
      <c r="D21" s="2597"/>
      <c r="E21" s="2597"/>
      <c r="F21" s="2597"/>
      <c r="G21" s="2597"/>
    </row>
    <row r="22" spans="1:7">
      <c r="A22" s="2600" t="s">
        <v>3455</v>
      </c>
      <c r="B22" s="2584"/>
      <c r="C22" s="2584"/>
      <c r="F22" s="2597"/>
      <c r="G22" s="2597"/>
    </row>
    <row r="23" spans="1:7">
      <c r="A23" s="2600" t="s">
        <v>3456</v>
      </c>
      <c r="B23" s="2584"/>
      <c r="C23" s="2584"/>
      <c r="D23" s="2601"/>
      <c r="F23" s="2597"/>
      <c r="G23" s="2597"/>
    </row>
    <row r="24" spans="1:7">
      <c r="B24" s="2601"/>
      <c r="C24" s="2601"/>
      <c r="D24" s="2601"/>
      <c r="E24" s="2601"/>
      <c r="F24" s="2601"/>
      <c r="G24" s="2601"/>
    </row>
    <row r="25" spans="1:7">
      <c r="B25" s="2601"/>
      <c r="C25" s="2601"/>
      <c r="D25" s="2601"/>
      <c r="E25" s="2601"/>
      <c r="F25" s="2601"/>
      <c r="G25" s="2601"/>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zoomScaleNormal="100" workbookViewId="0">
      <pane xSplit="2" ySplit="3" topLeftCell="C42" activePane="bottomRight" state="frozen"/>
      <selection pane="topRight" activeCell="E1" sqref="E1"/>
      <selection pane="bottomLeft" activeCell="A3" sqref="A3"/>
      <selection pane="bottomRight" activeCell="M16" sqref="M16"/>
    </sheetView>
  </sheetViews>
  <sheetFormatPr defaultRowHeight="11.25"/>
  <cols>
    <col min="1" max="1" width="11.28515625" style="2605" customWidth="1"/>
    <col min="2" max="2" width="35" style="2605" customWidth="1"/>
    <col min="3" max="4" width="8.7109375" style="2606" customWidth="1"/>
    <col min="5" max="8" width="8.7109375" style="2605" customWidth="1"/>
    <col min="9" max="9" width="8.7109375" style="2604" customWidth="1"/>
    <col min="10" max="256" width="9.140625" style="2605"/>
    <col min="257" max="257" width="11.28515625" style="2605" customWidth="1"/>
    <col min="258" max="258" width="35" style="2605" customWidth="1"/>
    <col min="259" max="265" width="8.7109375" style="2605" customWidth="1"/>
    <col min="266" max="512" width="9.140625" style="2605"/>
    <col min="513" max="513" width="11.28515625" style="2605" customWidth="1"/>
    <col min="514" max="514" width="35" style="2605" customWidth="1"/>
    <col min="515" max="521" width="8.7109375" style="2605" customWidth="1"/>
    <col min="522" max="768" width="9.140625" style="2605"/>
    <col min="769" max="769" width="11.28515625" style="2605" customWidth="1"/>
    <col min="770" max="770" width="35" style="2605" customWidth="1"/>
    <col min="771" max="777" width="8.7109375" style="2605" customWidth="1"/>
    <col min="778" max="1024" width="9.140625" style="2605"/>
    <col min="1025" max="1025" width="11.28515625" style="2605" customWidth="1"/>
    <col min="1026" max="1026" width="35" style="2605" customWidth="1"/>
    <col min="1027" max="1033" width="8.7109375" style="2605" customWidth="1"/>
    <col min="1034" max="1280" width="9.140625" style="2605"/>
    <col min="1281" max="1281" width="11.28515625" style="2605" customWidth="1"/>
    <col min="1282" max="1282" width="35" style="2605" customWidth="1"/>
    <col min="1283" max="1289" width="8.7109375" style="2605" customWidth="1"/>
    <col min="1290" max="1536" width="9.140625" style="2605"/>
    <col min="1537" max="1537" width="11.28515625" style="2605" customWidth="1"/>
    <col min="1538" max="1538" width="35" style="2605" customWidth="1"/>
    <col min="1539" max="1545" width="8.7109375" style="2605" customWidth="1"/>
    <col min="1546" max="1792" width="9.140625" style="2605"/>
    <col min="1793" max="1793" width="11.28515625" style="2605" customWidth="1"/>
    <col min="1794" max="1794" width="35" style="2605" customWidth="1"/>
    <col min="1795" max="1801" width="8.7109375" style="2605" customWidth="1"/>
    <col min="1802" max="2048" width="9.140625" style="2605"/>
    <col min="2049" max="2049" width="11.28515625" style="2605" customWidth="1"/>
    <col min="2050" max="2050" width="35" style="2605" customWidth="1"/>
    <col min="2051" max="2057" width="8.7109375" style="2605" customWidth="1"/>
    <col min="2058" max="2304" width="9.140625" style="2605"/>
    <col min="2305" max="2305" width="11.28515625" style="2605" customWidth="1"/>
    <col min="2306" max="2306" width="35" style="2605" customWidth="1"/>
    <col min="2307" max="2313" width="8.7109375" style="2605" customWidth="1"/>
    <col min="2314" max="2560" width="9.140625" style="2605"/>
    <col min="2561" max="2561" width="11.28515625" style="2605" customWidth="1"/>
    <col min="2562" max="2562" width="35" style="2605" customWidth="1"/>
    <col min="2563" max="2569" width="8.7109375" style="2605" customWidth="1"/>
    <col min="2570" max="2816" width="9.140625" style="2605"/>
    <col min="2817" max="2817" width="11.28515625" style="2605" customWidth="1"/>
    <col min="2818" max="2818" width="35" style="2605" customWidth="1"/>
    <col min="2819" max="2825" width="8.7109375" style="2605" customWidth="1"/>
    <col min="2826" max="3072" width="9.140625" style="2605"/>
    <col min="3073" max="3073" width="11.28515625" style="2605" customWidth="1"/>
    <col min="3074" max="3074" width="35" style="2605" customWidth="1"/>
    <col min="3075" max="3081" width="8.7109375" style="2605" customWidth="1"/>
    <col min="3082" max="3328" width="9.140625" style="2605"/>
    <col min="3329" max="3329" width="11.28515625" style="2605" customWidth="1"/>
    <col min="3330" max="3330" width="35" style="2605" customWidth="1"/>
    <col min="3331" max="3337" width="8.7109375" style="2605" customWidth="1"/>
    <col min="3338" max="3584" width="9.140625" style="2605"/>
    <col min="3585" max="3585" width="11.28515625" style="2605" customWidth="1"/>
    <col min="3586" max="3586" width="35" style="2605" customWidth="1"/>
    <col min="3587" max="3593" width="8.7109375" style="2605" customWidth="1"/>
    <col min="3594" max="3840" width="9.140625" style="2605"/>
    <col min="3841" max="3841" width="11.28515625" style="2605" customWidth="1"/>
    <col min="3842" max="3842" width="35" style="2605" customWidth="1"/>
    <col min="3843" max="3849" width="8.7109375" style="2605" customWidth="1"/>
    <col min="3850" max="4096" width="9.140625" style="2605"/>
    <col min="4097" max="4097" width="11.28515625" style="2605" customWidth="1"/>
    <col min="4098" max="4098" width="35" style="2605" customWidth="1"/>
    <col min="4099" max="4105" width="8.7109375" style="2605" customWidth="1"/>
    <col min="4106" max="4352" width="9.140625" style="2605"/>
    <col min="4353" max="4353" width="11.28515625" style="2605" customWidth="1"/>
    <col min="4354" max="4354" width="35" style="2605" customWidth="1"/>
    <col min="4355" max="4361" width="8.7109375" style="2605" customWidth="1"/>
    <col min="4362" max="4608" width="9.140625" style="2605"/>
    <col min="4609" max="4609" width="11.28515625" style="2605" customWidth="1"/>
    <col min="4610" max="4610" width="35" style="2605" customWidth="1"/>
    <col min="4611" max="4617" width="8.7109375" style="2605" customWidth="1"/>
    <col min="4618" max="4864" width="9.140625" style="2605"/>
    <col min="4865" max="4865" width="11.28515625" style="2605" customWidth="1"/>
    <col min="4866" max="4866" width="35" style="2605" customWidth="1"/>
    <col min="4867" max="4873" width="8.7109375" style="2605" customWidth="1"/>
    <col min="4874" max="5120" width="9.140625" style="2605"/>
    <col min="5121" max="5121" width="11.28515625" style="2605" customWidth="1"/>
    <col min="5122" max="5122" width="35" style="2605" customWidth="1"/>
    <col min="5123" max="5129" width="8.7109375" style="2605" customWidth="1"/>
    <col min="5130" max="5376" width="9.140625" style="2605"/>
    <col min="5377" max="5377" width="11.28515625" style="2605" customWidth="1"/>
    <col min="5378" max="5378" width="35" style="2605" customWidth="1"/>
    <col min="5379" max="5385" width="8.7109375" style="2605" customWidth="1"/>
    <col min="5386" max="5632" width="9.140625" style="2605"/>
    <col min="5633" max="5633" width="11.28515625" style="2605" customWidth="1"/>
    <col min="5634" max="5634" width="35" style="2605" customWidth="1"/>
    <col min="5635" max="5641" width="8.7109375" style="2605" customWidth="1"/>
    <col min="5642" max="5888" width="9.140625" style="2605"/>
    <col min="5889" max="5889" width="11.28515625" style="2605" customWidth="1"/>
    <col min="5890" max="5890" width="35" style="2605" customWidth="1"/>
    <col min="5891" max="5897" width="8.7109375" style="2605" customWidth="1"/>
    <col min="5898" max="6144" width="9.140625" style="2605"/>
    <col min="6145" max="6145" width="11.28515625" style="2605" customWidth="1"/>
    <col min="6146" max="6146" width="35" style="2605" customWidth="1"/>
    <col min="6147" max="6153" width="8.7109375" style="2605" customWidth="1"/>
    <col min="6154" max="6400" width="9.140625" style="2605"/>
    <col min="6401" max="6401" width="11.28515625" style="2605" customWidth="1"/>
    <col min="6402" max="6402" width="35" style="2605" customWidth="1"/>
    <col min="6403" max="6409" width="8.7109375" style="2605" customWidth="1"/>
    <col min="6410" max="6656" width="9.140625" style="2605"/>
    <col min="6657" max="6657" width="11.28515625" style="2605" customWidth="1"/>
    <col min="6658" max="6658" width="35" style="2605" customWidth="1"/>
    <col min="6659" max="6665" width="8.7109375" style="2605" customWidth="1"/>
    <col min="6666" max="6912" width="9.140625" style="2605"/>
    <col min="6913" max="6913" width="11.28515625" style="2605" customWidth="1"/>
    <col min="6914" max="6914" width="35" style="2605" customWidth="1"/>
    <col min="6915" max="6921" width="8.7109375" style="2605" customWidth="1"/>
    <col min="6922" max="7168" width="9.140625" style="2605"/>
    <col min="7169" max="7169" width="11.28515625" style="2605" customWidth="1"/>
    <col min="7170" max="7170" width="35" style="2605" customWidth="1"/>
    <col min="7171" max="7177" width="8.7109375" style="2605" customWidth="1"/>
    <col min="7178" max="7424" width="9.140625" style="2605"/>
    <col min="7425" max="7425" width="11.28515625" style="2605" customWidth="1"/>
    <col min="7426" max="7426" width="35" style="2605" customWidth="1"/>
    <col min="7427" max="7433" width="8.7109375" style="2605" customWidth="1"/>
    <col min="7434" max="7680" width="9.140625" style="2605"/>
    <col min="7681" max="7681" width="11.28515625" style="2605" customWidth="1"/>
    <col min="7682" max="7682" width="35" style="2605" customWidth="1"/>
    <col min="7683" max="7689" width="8.7109375" style="2605" customWidth="1"/>
    <col min="7690" max="7936" width="9.140625" style="2605"/>
    <col min="7937" max="7937" width="11.28515625" style="2605" customWidth="1"/>
    <col min="7938" max="7938" width="35" style="2605" customWidth="1"/>
    <col min="7939" max="7945" width="8.7109375" style="2605" customWidth="1"/>
    <col min="7946" max="8192" width="9.140625" style="2605"/>
    <col min="8193" max="8193" width="11.28515625" style="2605" customWidth="1"/>
    <col min="8194" max="8194" width="35" style="2605" customWidth="1"/>
    <col min="8195" max="8201" width="8.7109375" style="2605" customWidth="1"/>
    <col min="8202" max="8448" width="9.140625" style="2605"/>
    <col min="8449" max="8449" width="11.28515625" style="2605" customWidth="1"/>
    <col min="8450" max="8450" width="35" style="2605" customWidth="1"/>
    <col min="8451" max="8457" width="8.7109375" style="2605" customWidth="1"/>
    <col min="8458" max="8704" width="9.140625" style="2605"/>
    <col min="8705" max="8705" width="11.28515625" style="2605" customWidth="1"/>
    <col min="8706" max="8706" width="35" style="2605" customWidth="1"/>
    <col min="8707" max="8713" width="8.7109375" style="2605" customWidth="1"/>
    <col min="8714" max="8960" width="9.140625" style="2605"/>
    <col min="8961" max="8961" width="11.28515625" style="2605" customWidth="1"/>
    <col min="8962" max="8962" width="35" style="2605" customWidth="1"/>
    <col min="8963" max="8969" width="8.7109375" style="2605" customWidth="1"/>
    <col min="8970" max="9216" width="9.140625" style="2605"/>
    <col min="9217" max="9217" width="11.28515625" style="2605" customWidth="1"/>
    <col min="9218" max="9218" width="35" style="2605" customWidth="1"/>
    <col min="9219" max="9225" width="8.7109375" style="2605" customWidth="1"/>
    <col min="9226" max="9472" width="9.140625" style="2605"/>
    <col min="9473" max="9473" width="11.28515625" style="2605" customWidth="1"/>
    <col min="9474" max="9474" width="35" style="2605" customWidth="1"/>
    <col min="9475" max="9481" width="8.7109375" style="2605" customWidth="1"/>
    <col min="9482" max="9728" width="9.140625" style="2605"/>
    <col min="9729" max="9729" width="11.28515625" style="2605" customWidth="1"/>
    <col min="9730" max="9730" width="35" style="2605" customWidth="1"/>
    <col min="9731" max="9737" width="8.7109375" style="2605" customWidth="1"/>
    <col min="9738" max="9984" width="9.140625" style="2605"/>
    <col min="9985" max="9985" width="11.28515625" style="2605" customWidth="1"/>
    <col min="9986" max="9986" width="35" style="2605" customWidth="1"/>
    <col min="9987" max="9993" width="8.7109375" style="2605" customWidth="1"/>
    <col min="9994" max="10240" width="9.140625" style="2605"/>
    <col min="10241" max="10241" width="11.28515625" style="2605" customWidth="1"/>
    <col min="10242" max="10242" width="35" style="2605" customWidth="1"/>
    <col min="10243" max="10249" width="8.7109375" style="2605" customWidth="1"/>
    <col min="10250" max="10496" width="9.140625" style="2605"/>
    <col min="10497" max="10497" width="11.28515625" style="2605" customWidth="1"/>
    <col min="10498" max="10498" width="35" style="2605" customWidth="1"/>
    <col min="10499" max="10505" width="8.7109375" style="2605" customWidth="1"/>
    <col min="10506" max="10752" width="9.140625" style="2605"/>
    <col min="10753" max="10753" width="11.28515625" style="2605" customWidth="1"/>
    <col min="10754" max="10754" width="35" style="2605" customWidth="1"/>
    <col min="10755" max="10761" width="8.7109375" style="2605" customWidth="1"/>
    <col min="10762" max="11008" width="9.140625" style="2605"/>
    <col min="11009" max="11009" width="11.28515625" style="2605" customWidth="1"/>
    <col min="11010" max="11010" width="35" style="2605" customWidth="1"/>
    <col min="11011" max="11017" width="8.7109375" style="2605" customWidth="1"/>
    <col min="11018" max="11264" width="9.140625" style="2605"/>
    <col min="11265" max="11265" width="11.28515625" style="2605" customWidth="1"/>
    <col min="11266" max="11266" width="35" style="2605" customWidth="1"/>
    <col min="11267" max="11273" width="8.7109375" style="2605" customWidth="1"/>
    <col min="11274" max="11520" width="9.140625" style="2605"/>
    <col min="11521" max="11521" width="11.28515625" style="2605" customWidth="1"/>
    <col min="11522" max="11522" width="35" style="2605" customWidth="1"/>
    <col min="11523" max="11529" width="8.7109375" style="2605" customWidth="1"/>
    <col min="11530" max="11776" width="9.140625" style="2605"/>
    <col min="11777" max="11777" width="11.28515625" style="2605" customWidth="1"/>
    <col min="11778" max="11778" width="35" style="2605" customWidth="1"/>
    <col min="11779" max="11785" width="8.7109375" style="2605" customWidth="1"/>
    <col min="11786" max="12032" width="9.140625" style="2605"/>
    <col min="12033" max="12033" width="11.28515625" style="2605" customWidth="1"/>
    <col min="12034" max="12034" width="35" style="2605" customWidth="1"/>
    <col min="12035" max="12041" width="8.7109375" style="2605" customWidth="1"/>
    <col min="12042" max="12288" width="9.140625" style="2605"/>
    <col min="12289" max="12289" width="11.28515625" style="2605" customWidth="1"/>
    <col min="12290" max="12290" width="35" style="2605" customWidth="1"/>
    <col min="12291" max="12297" width="8.7109375" style="2605" customWidth="1"/>
    <col min="12298" max="12544" width="9.140625" style="2605"/>
    <col min="12545" max="12545" width="11.28515625" style="2605" customWidth="1"/>
    <col min="12546" max="12546" width="35" style="2605" customWidth="1"/>
    <col min="12547" max="12553" width="8.7109375" style="2605" customWidth="1"/>
    <col min="12554" max="12800" width="9.140625" style="2605"/>
    <col min="12801" max="12801" width="11.28515625" style="2605" customWidth="1"/>
    <col min="12802" max="12802" width="35" style="2605" customWidth="1"/>
    <col min="12803" max="12809" width="8.7109375" style="2605" customWidth="1"/>
    <col min="12810" max="13056" width="9.140625" style="2605"/>
    <col min="13057" max="13057" width="11.28515625" style="2605" customWidth="1"/>
    <col min="13058" max="13058" width="35" style="2605" customWidth="1"/>
    <col min="13059" max="13065" width="8.7109375" style="2605" customWidth="1"/>
    <col min="13066" max="13312" width="9.140625" style="2605"/>
    <col min="13313" max="13313" width="11.28515625" style="2605" customWidth="1"/>
    <col min="13314" max="13314" width="35" style="2605" customWidth="1"/>
    <col min="13315" max="13321" width="8.7109375" style="2605" customWidth="1"/>
    <col min="13322" max="13568" width="9.140625" style="2605"/>
    <col min="13569" max="13569" width="11.28515625" style="2605" customWidth="1"/>
    <col min="13570" max="13570" width="35" style="2605" customWidth="1"/>
    <col min="13571" max="13577" width="8.7109375" style="2605" customWidth="1"/>
    <col min="13578" max="13824" width="9.140625" style="2605"/>
    <col min="13825" max="13825" width="11.28515625" style="2605" customWidth="1"/>
    <col min="13826" max="13826" width="35" style="2605" customWidth="1"/>
    <col min="13827" max="13833" width="8.7109375" style="2605" customWidth="1"/>
    <col min="13834" max="14080" width="9.140625" style="2605"/>
    <col min="14081" max="14081" width="11.28515625" style="2605" customWidth="1"/>
    <col min="14082" max="14082" width="35" style="2605" customWidth="1"/>
    <col min="14083" max="14089" width="8.7109375" style="2605" customWidth="1"/>
    <col min="14090" max="14336" width="9.140625" style="2605"/>
    <col min="14337" max="14337" width="11.28515625" style="2605" customWidth="1"/>
    <col min="14338" max="14338" width="35" style="2605" customWidth="1"/>
    <col min="14339" max="14345" width="8.7109375" style="2605" customWidth="1"/>
    <col min="14346" max="14592" width="9.140625" style="2605"/>
    <col min="14593" max="14593" width="11.28515625" style="2605" customWidth="1"/>
    <col min="14594" max="14594" width="35" style="2605" customWidth="1"/>
    <col min="14595" max="14601" width="8.7109375" style="2605" customWidth="1"/>
    <col min="14602" max="14848" width="9.140625" style="2605"/>
    <col min="14849" max="14849" width="11.28515625" style="2605" customWidth="1"/>
    <col min="14850" max="14850" width="35" style="2605" customWidth="1"/>
    <col min="14851" max="14857" width="8.7109375" style="2605" customWidth="1"/>
    <col min="14858" max="15104" width="9.140625" style="2605"/>
    <col min="15105" max="15105" width="11.28515625" style="2605" customWidth="1"/>
    <col min="15106" max="15106" width="35" style="2605" customWidth="1"/>
    <col min="15107" max="15113" width="8.7109375" style="2605" customWidth="1"/>
    <col min="15114" max="15360" width="9.140625" style="2605"/>
    <col min="15361" max="15361" width="11.28515625" style="2605" customWidth="1"/>
    <col min="15362" max="15362" width="35" style="2605" customWidth="1"/>
    <col min="15363" max="15369" width="8.7109375" style="2605" customWidth="1"/>
    <col min="15370" max="15616" width="9.140625" style="2605"/>
    <col min="15617" max="15617" width="11.28515625" style="2605" customWidth="1"/>
    <col min="15618" max="15618" width="35" style="2605" customWidth="1"/>
    <col min="15619" max="15625" width="8.7109375" style="2605" customWidth="1"/>
    <col min="15626" max="15872" width="9.140625" style="2605"/>
    <col min="15873" max="15873" width="11.28515625" style="2605" customWidth="1"/>
    <col min="15874" max="15874" width="35" style="2605" customWidth="1"/>
    <col min="15875" max="15881" width="8.7109375" style="2605" customWidth="1"/>
    <col min="15882" max="16128" width="9.140625" style="2605"/>
    <col min="16129" max="16129" width="11.28515625" style="2605" customWidth="1"/>
    <col min="16130" max="16130" width="35" style="2605" customWidth="1"/>
    <col min="16131" max="16137" width="8.7109375" style="2605" customWidth="1"/>
    <col min="16138" max="16384" width="9.140625" style="2605"/>
  </cols>
  <sheetData>
    <row r="1" spans="1:13" s="2603" customFormat="1" ht="16.5">
      <c r="A1" s="2602" t="s">
        <v>3457</v>
      </c>
      <c r="B1" s="2602"/>
      <c r="C1" s="2602"/>
      <c r="D1" s="2602"/>
      <c r="H1" s="2604"/>
    </row>
    <row r="2" spans="1:13" s="2603" customFormat="1" ht="16.5">
      <c r="A2" s="2602" t="s">
        <v>3458</v>
      </c>
      <c r="B2" s="2602"/>
      <c r="C2" s="2602"/>
      <c r="D2" s="2602"/>
    </row>
    <row r="3" spans="1:13" ht="12">
      <c r="D3" s="2607"/>
      <c r="E3" s="2607"/>
      <c r="I3" s="2608" t="s">
        <v>12</v>
      </c>
      <c r="J3" s="2609"/>
    </row>
    <row r="4" spans="1:13" s="2610" customFormat="1" ht="12" customHeight="1">
      <c r="A4" s="3502" t="s">
        <v>3459</v>
      </c>
      <c r="B4" s="3504" t="s">
        <v>3460</v>
      </c>
      <c r="C4" s="3506" t="s">
        <v>3461</v>
      </c>
      <c r="D4" s="3506" t="s">
        <v>3462</v>
      </c>
      <c r="E4" s="3506" t="s">
        <v>3463</v>
      </c>
      <c r="F4" s="3506" t="s">
        <v>3464</v>
      </c>
      <c r="G4" s="3506" t="s">
        <v>3465</v>
      </c>
      <c r="H4" s="3506" t="s">
        <v>3466</v>
      </c>
      <c r="I4" s="3506" t="s">
        <v>3467</v>
      </c>
    </row>
    <row r="5" spans="1:13" s="2611" customFormat="1" ht="12">
      <c r="A5" s="3503"/>
      <c r="B5" s="3505"/>
      <c r="C5" s="3507"/>
      <c r="D5" s="3507"/>
      <c r="E5" s="3507"/>
      <c r="F5" s="3507"/>
      <c r="G5" s="3507"/>
      <c r="H5" s="3507"/>
      <c r="I5" s="3507"/>
    </row>
    <row r="6" spans="1:13" s="2611" customFormat="1" ht="12">
      <c r="A6" s="2612" t="s">
        <v>3468</v>
      </c>
      <c r="B6" s="2613" t="s">
        <v>3469</v>
      </c>
      <c r="C6" s="2614">
        <v>25.5</v>
      </c>
      <c r="D6" s="2614">
        <v>18.399999999999999</v>
      </c>
      <c r="E6" s="2614">
        <v>447.4</v>
      </c>
      <c r="F6" s="2615" t="s">
        <v>3470</v>
      </c>
      <c r="G6" s="2615" t="s">
        <v>3470</v>
      </c>
      <c r="H6" s="2615">
        <v>177</v>
      </c>
      <c r="I6" s="2615">
        <v>9.08</v>
      </c>
      <c r="K6" s="2616"/>
    </row>
    <row r="7" spans="1:13" s="2611" customFormat="1" ht="12">
      <c r="A7" s="2612" t="s">
        <v>3471</v>
      </c>
      <c r="B7" s="2613" t="s">
        <v>408</v>
      </c>
      <c r="C7" s="2614">
        <v>180.9</v>
      </c>
      <c r="D7" s="2614">
        <v>270.7</v>
      </c>
      <c r="E7" s="2614">
        <v>148.6</v>
      </c>
      <c r="F7" s="2614">
        <v>485.4</v>
      </c>
      <c r="G7" s="2614">
        <v>63.3</v>
      </c>
      <c r="H7" s="2615">
        <v>54</v>
      </c>
      <c r="I7" s="2615">
        <v>426</v>
      </c>
      <c r="K7" s="2616"/>
      <c r="M7" s="2616"/>
    </row>
    <row r="8" spans="1:13" s="2611" customFormat="1" ht="24">
      <c r="A8" s="2612" t="s">
        <v>3472</v>
      </c>
      <c r="B8" s="2613" t="s">
        <v>3473</v>
      </c>
      <c r="C8" s="2614">
        <v>17.2</v>
      </c>
      <c r="D8" s="2615" t="s">
        <v>3470</v>
      </c>
      <c r="E8" s="2615" t="s">
        <v>3470</v>
      </c>
      <c r="F8" s="2615" t="s">
        <v>3470</v>
      </c>
      <c r="G8" s="2615">
        <v>2</v>
      </c>
      <c r="H8" s="2615">
        <v>1</v>
      </c>
      <c r="I8" s="2615">
        <v>0.307</v>
      </c>
      <c r="K8" s="2616"/>
      <c r="M8" s="2616"/>
    </row>
    <row r="9" spans="1:13" s="2611" customFormat="1" ht="12">
      <c r="A9" s="2612" t="s">
        <v>3474</v>
      </c>
      <c r="B9" s="2613" t="s">
        <v>436</v>
      </c>
      <c r="C9" s="2614">
        <v>11.5</v>
      </c>
      <c r="D9" s="2614">
        <v>44.9</v>
      </c>
      <c r="E9" s="2614">
        <v>67.8</v>
      </c>
      <c r="F9" s="2614">
        <v>211.2</v>
      </c>
      <c r="G9" s="2614">
        <v>1292.3</v>
      </c>
      <c r="H9" s="2615">
        <v>2094</v>
      </c>
      <c r="I9" s="2615">
        <v>1775.3</v>
      </c>
      <c r="K9" s="2616"/>
      <c r="M9" s="2616"/>
    </row>
    <row r="10" spans="1:13" s="2611" customFormat="1" ht="24">
      <c r="A10" s="2612" t="s">
        <v>3475</v>
      </c>
      <c r="B10" s="2613" t="s">
        <v>3476</v>
      </c>
      <c r="C10" s="2614">
        <v>198</v>
      </c>
      <c r="D10" s="2614">
        <v>38.299999999999997</v>
      </c>
      <c r="E10" s="2614">
        <v>103.3</v>
      </c>
      <c r="F10" s="2614">
        <v>290.89999999999998</v>
      </c>
      <c r="G10" s="2614">
        <v>125</v>
      </c>
      <c r="H10" s="2614">
        <v>21</v>
      </c>
      <c r="I10" s="2614">
        <v>221.3</v>
      </c>
      <c r="K10" s="2616"/>
      <c r="M10" s="2616"/>
    </row>
    <row r="11" spans="1:13" s="2611" customFormat="1" ht="12">
      <c r="A11" s="2612" t="s">
        <v>3477</v>
      </c>
      <c r="B11" s="2613" t="s">
        <v>3478</v>
      </c>
      <c r="C11" s="2614">
        <v>13.1</v>
      </c>
      <c r="D11" s="2615" t="s">
        <v>3470</v>
      </c>
      <c r="E11" s="2614">
        <v>14.2</v>
      </c>
      <c r="F11" s="2614">
        <v>9.5</v>
      </c>
      <c r="G11" s="2615">
        <v>110</v>
      </c>
      <c r="H11" s="2615">
        <v>3.589763</v>
      </c>
      <c r="I11" s="2615">
        <v>22.4</v>
      </c>
      <c r="K11" s="2616"/>
      <c r="M11" s="2616"/>
    </row>
    <row r="12" spans="1:13" s="2611" customFormat="1" ht="12">
      <c r="A12" s="2612" t="s">
        <v>3479</v>
      </c>
      <c r="B12" s="2613" t="s">
        <v>3480</v>
      </c>
      <c r="C12" s="2614">
        <v>1381.9</v>
      </c>
      <c r="D12" s="2614">
        <v>3188.6</v>
      </c>
      <c r="E12" s="2614">
        <v>1347.8</v>
      </c>
      <c r="F12" s="2614">
        <v>1849.7</v>
      </c>
      <c r="G12" s="2614">
        <v>836.3</v>
      </c>
      <c r="H12" s="2614">
        <v>579</v>
      </c>
      <c r="I12" s="2614">
        <v>644.5</v>
      </c>
      <c r="K12" s="2616"/>
      <c r="M12" s="2616"/>
    </row>
    <row r="13" spans="1:13" s="2611" customFormat="1" ht="13.5" customHeight="1">
      <c r="A13" s="2612" t="s">
        <v>3481</v>
      </c>
      <c r="B13" s="2613" t="s">
        <v>3482</v>
      </c>
      <c r="C13" s="2614">
        <v>42.7</v>
      </c>
      <c r="D13" s="2614">
        <v>18.2</v>
      </c>
      <c r="E13" s="2614">
        <v>7.8</v>
      </c>
      <c r="F13" s="2615" t="s">
        <v>3470</v>
      </c>
      <c r="G13" s="2615">
        <v>235.47</v>
      </c>
      <c r="H13" s="2615">
        <v>76</v>
      </c>
      <c r="I13" s="2615">
        <v>64</v>
      </c>
      <c r="K13" s="2616"/>
      <c r="M13" s="2616"/>
    </row>
    <row r="14" spans="1:13" s="2611" customFormat="1" ht="12">
      <c r="A14" s="2612" t="s">
        <v>3483</v>
      </c>
      <c r="B14" s="2613" t="s">
        <v>3484</v>
      </c>
      <c r="C14" s="2614">
        <v>3592.9</v>
      </c>
      <c r="D14" s="2614">
        <v>4055.6</v>
      </c>
      <c r="E14" s="2614">
        <v>4563.8999999999996</v>
      </c>
      <c r="F14" s="2614">
        <v>1371.4</v>
      </c>
      <c r="G14" s="2614">
        <f>2160.2+157.809+91.28+1131.944+1104.059</f>
        <v>4645.2920000000004</v>
      </c>
      <c r="H14" s="2614">
        <v>1646</v>
      </c>
      <c r="I14" s="2615">
        <v>4347.5</v>
      </c>
      <c r="J14" s="2617"/>
      <c r="K14" s="2616"/>
      <c r="M14" s="2616"/>
    </row>
    <row r="15" spans="1:13" s="2611" customFormat="1" ht="12">
      <c r="A15" s="2612" t="s">
        <v>3485</v>
      </c>
      <c r="B15" s="2613" t="s">
        <v>3486</v>
      </c>
      <c r="C15" s="2614">
        <v>1701.1</v>
      </c>
      <c r="D15" s="2614">
        <v>3820</v>
      </c>
      <c r="E15" s="2614">
        <v>4524.5</v>
      </c>
      <c r="F15" s="2614">
        <v>4304.9799999999996</v>
      </c>
      <c r="G15" s="2614">
        <v>3422.2</v>
      </c>
      <c r="H15" s="2614">
        <v>4580</v>
      </c>
      <c r="I15" s="2614">
        <v>5122.3</v>
      </c>
      <c r="J15" s="2617"/>
      <c r="K15" s="2616"/>
      <c r="M15" s="2616"/>
    </row>
    <row r="16" spans="1:13" s="2622" customFormat="1" ht="21.75" customHeight="1">
      <c r="A16" s="2612"/>
      <c r="B16" s="2618" t="s">
        <v>3487</v>
      </c>
      <c r="C16" s="2619">
        <v>1227.8</v>
      </c>
      <c r="D16" s="2619">
        <v>2790.5</v>
      </c>
      <c r="E16" s="2619">
        <v>2636.8</v>
      </c>
      <c r="F16" s="2620">
        <v>2073.69</v>
      </c>
      <c r="G16" s="2620">
        <v>2033</v>
      </c>
      <c r="H16" s="2620">
        <v>3352</v>
      </c>
      <c r="I16" s="2620">
        <v>4228.3999999999996</v>
      </c>
      <c r="J16" s="2621"/>
      <c r="K16" s="2616"/>
      <c r="M16" s="2616"/>
    </row>
    <row r="17" spans="1:13" s="2622" customFormat="1" ht="21.75" customHeight="1">
      <c r="A17" s="2612" t="s">
        <v>3488</v>
      </c>
      <c r="B17" s="2613" t="s">
        <v>3489</v>
      </c>
      <c r="C17" s="2615" t="s">
        <v>3470</v>
      </c>
      <c r="D17" s="2615" t="s">
        <v>3470</v>
      </c>
      <c r="E17" s="2615" t="s">
        <v>3470</v>
      </c>
      <c r="F17" s="2615" t="s">
        <v>3470</v>
      </c>
      <c r="G17" s="2614">
        <v>404.2</v>
      </c>
      <c r="H17" s="2614">
        <f>1+216</f>
        <v>217</v>
      </c>
      <c r="I17" s="2614">
        <v>36</v>
      </c>
      <c r="K17" s="2616"/>
      <c r="M17" s="2616"/>
    </row>
    <row r="18" spans="1:13" s="2622" customFormat="1" ht="21.75" customHeight="1">
      <c r="A18" s="2612" t="s">
        <v>3490</v>
      </c>
      <c r="B18" s="2613" t="s">
        <v>489</v>
      </c>
      <c r="C18" s="2614">
        <v>54.6</v>
      </c>
      <c r="D18" s="2614">
        <v>30.033999999999999</v>
      </c>
      <c r="E18" s="2614">
        <v>74.054000000000002</v>
      </c>
      <c r="F18" s="2614">
        <v>125</v>
      </c>
      <c r="G18" s="2615">
        <v>18</v>
      </c>
      <c r="H18" s="2615">
        <v>4</v>
      </c>
      <c r="I18" s="2615" t="s">
        <v>3470</v>
      </c>
    </row>
    <row r="19" spans="1:13" s="2622" customFormat="1" ht="21.75" customHeight="1">
      <c r="A19" s="2612" t="s">
        <v>3491</v>
      </c>
      <c r="B19" s="2613" t="s">
        <v>3492</v>
      </c>
      <c r="C19" s="2614">
        <v>2.2000000000000002</v>
      </c>
      <c r="D19" s="2614">
        <v>28.952000000000002</v>
      </c>
      <c r="E19" s="2614">
        <v>119.7</v>
      </c>
      <c r="F19" s="2614">
        <v>145.1</v>
      </c>
      <c r="G19" s="2614">
        <v>2732.2</v>
      </c>
      <c r="H19" s="2615" t="s">
        <v>3470</v>
      </c>
      <c r="I19" s="2615" t="s">
        <v>3470</v>
      </c>
    </row>
    <row r="20" spans="1:13" s="2622" customFormat="1" ht="21.75" customHeight="1">
      <c r="A20" s="2612" t="s">
        <v>3493</v>
      </c>
      <c r="B20" s="2613" t="s">
        <v>3494</v>
      </c>
      <c r="C20" s="2615" t="s">
        <v>3470</v>
      </c>
      <c r="D20" s="2615" t="s">
        <v>3470</v>
      </c>
      <c r="E20" s="2615" t="s">
        <v>3470</v>
      </c>
      <c r="F20" s="2615" t="s">
        <v>3470</v>
      </c>
      <c r="G20" s="2614">
        <v>61.8</v>
      </c>
      <c r="H20" s="2614">
        <v>3</v>
      </c>
      <c r="I20" s="2615" t="s">
        <v>3470</v>
      </c>
    </row>
    <row r="21" spans="1:13" s="2622" customFormat="1" ht="17.25" customHeight="1">
      <c r="A21" s="3508" t="s">
        <v>319</v>
      </c>
      <c r="B21" s="3509"/>
      <c r="C21" s="2623">
        <f>SUM(C6:C19)-C16</f>
        <v>7221.6000000000013</v>
      </c>
      <c r="D21" s="2623">
        <f>SUM(D6:D19)-D16</f>
        <v>11513.685999999998</v>
      </c>
      <c r="E21" s="2623">
        <f>SUM(E6:E19)-E16</f>
        <v>11419.054</v>
      </c>
      <c r="F21" s="2623">
        <f>SUM(F6:F19)-F16</f>
        <v>8793.18</v>
      </c>
      <c r="G21" s="2623">
        <f>SUM(G6:G20)-G16</f>
        <v>13948.062000000002</v>
      </c>
      <c r="H21" s="2623">
        <f>SUM(H6:H20)-H16</f>
        <v>9455.5897629999999</v>
      </c>
      <c r="I21" s="2623">
        <f>SUM(I6:I20)-I16</f>
        <v>12668.687</v>
      </c>
    </row>
    <row r="22" spans="1:13" s="2624" customFormat="1" ht="56.25" customHeight="1">
      <c r="A22" s="3510" t="s">
        <v>3495</v>
      </c>
      <c r="B22" s="3510"/>
      <c r="C22" s="3510"/>
      <c r="D22" s="3510"/>
      <c r="E22" s="3510"/>
      <c r="F22" s="3510"/>
      <c r="G22" s="3511"/>
      <c r="H22" s="3512"/>
      <c r="I22" s="1212"/>
    </row>
    <row r="23" spans="1:13" s="2625" customFormat="1" ht="12.75">
      <c r="A23" s="416"/>
      <c r="C23" s="2626"/>
      <c r="D23" s="2626"/>
      <c r="I23" s="2627"/>
    </row>
    <row r="24" spans="1:13" s="2603" customFormat="1" ht="16.5">
      <c r="A24" s="2602" t="s">
        <v>3496</v>
      </c>
      <c r="C24" s="2628"/>
      <c r="D24" s="2628"/>
    </row>
    <row r="25" spans="1:13" s="2603" customFormat="1" ht="16.5">
      <c r="A25" s="2602" t="s">
        <v>3458</v>
      </c>
      <c r="C25" s="2629"/>
      <c r="D25" s="2629"/>
      <c r="E25" s="2629"/>
      <c r="F25" s="2629"/>
      <c r="G25" s="2629"/>
      <c r="H25" s="2629"/>
      <c r="I25" s="2629"/>
    </row>
    <row r="26" spans="1:13" s="2604" customFormat="1" ht="12">
      <c r="B26" s="2630"/>
      <c r="C26" s="2631"/>
      <c r="D26" s="2631"/>
      <c r="E26" s="2631"/>
      <c r="F26" s="2631"/>
      <c r="G26" s="2631"/>
      <c r="H26" s="2631"/>
      <c r="I26" s="2608" t="s">
        <v>12</v>
      </c>
    </row>
    <row r="27" spans="1:13" s="2624" customFormat="1" ht="20.25" customHeight="1">
      <c r="A27" s="3500" t="s">
        <v>3497</v>
      </c>
      <c r="B27" s="3501"/>
      <c r="C27" s="2632" t="s">
        <v>3461</v>
      </c>
      <c r="D27" s="2633" t="s">
        <v>3462</v>
      </c>
      <c r="E27" s="2634" t="s">
        <v>3498</v>
      </c>
      <c r="F27" s="2634" t="s">
        <v>3464</v>
      </c>
      <c r="G27" s="2634" t="s">
        <v>3499</v>
      </c>
      <c r="H27" s="2634" t="s">
        <v>3500</v>
      </c>
      <c r="I27" s="2634" t="s">
        <v>3467</v>
      </c>
    </row>
    <row r="28" spans="1:13" s="2638" customFormat="1" ht="14.1" customHeight="1">
      <c r="A28" s="2635" t="s">
        <v>3501</v>
      </c>
      <c r="B28" s="2636"/>
      <c r="C28" s="2637">
        <f>C29+C41+C56</f>
        <v>7222.4856000000009</v>
      </c>
      <c r="D28" s="2637">
        <f>D29+D41+D56</f>
        <v>11513.725</v>
      </c>
      <c r="E28" s="2637">
        <f>E29+E41+E56</f>
        <v>11419.01</v>
      </c>
      <c r="F28" s="2637">
        <f>F29+F41+F56</f>
        <v>8792.7000000000007</v>
      </c>
      <c r="G28" s="2637">
        <f>G29+G41+G56-1</f>
        <v>13947.599999999999</v>
      </c>
      <c r="H28" s="2637">
        <f>H29+H41+H56</f>
        <v>9455.9920000000002</v>
      </c>
      <c r="I28" s="2637">
        <f>I29+I41+I56</f>
        <v>12669.491</v>
      </c>
      <c r="M28" s="2639"/>
    </row>
    <row r="29" spans="1:13" s="2624" customFormat="1" ht="14.1" customHeight="1">
      <c r="A29" s="2640" t="s">
        <v>3502</v>
      </c>
      <c r="B29" s="2641"/>
      <c r="C29" s="2637">
        <f>C30+C39</f>
        <v>5504.7936000000009</v>
      </c>
      <c r="D29" s="2637">
        <f>D30+D39</f>
        <v>8315.7540000000008</v>
      </c>
      <c r="E29" s="2637">
        <f>E30+E39</f>
        <v>5739.54</v>
      </c>
      <c r="F29" s="2637">
        <f>F30+F39</f>
        <v>6187.2000000000007</v>
      </c>
      <c r="G29" s="2637">
        <f>G30+G39+1</f>
        <v>7952.28</v>
      </c>
      <c r="H29" s="2637">
        <f>H30+H39</f>
        <v>5930.951</v>
      </c>
      <c r="I29" s="2637">
        <f>I30+I39</f>
        <v>7037.0929999999998</v>
      </c>
      <c r="M29" s="2639"/>
    </row>
    <row r="30" spans="1:13" s="2624" customFormat="1" ht="14.1" customHeight="1">
      <c r="A30" s="3498" t="s">
        <v>3503</v>
      </c>
      <c r="B30" s="3499"/>
      <c r="C30" s="2642">
        <f t="shared" ref="C30:I30" si="0">C31+C37+C38</f>
        <v>5338.2786000000006</v>
      </c>
      <c r="D30" s="2642">
        <f t="shared" si="0"/>
        <v>5936.2070000000012</v>
      </c>
      <c r="E30" s="2642">
        <f t="shared" si="0"/>
        <v>4676.33</v>
      </c>
      <c r="F30" s="2642">
        <f t="shared" si="0"/>
        <v>5500.1</v>
      </c>
      <c r="G30" s="2642">
        <f t="shared" si="0"/>
        <v>7819.28</v>
      </c>
      <c r="H30" s="2642">
        <f t="shared" si="0"/>
        <v>5700.7950000000001</v>
      </c>
      <c r="I30" s="2642">
        <f t="shared" si="0"/>
        <v>6642.326</v>
      </c>
      <c r="M30" s="2639"/>
    </row>
    <row r="31" spans="1:13" s="2624" customFormat="1" ht="14.1" customHeight="1">
      <c r="A31" s="3498" t="s">
        <v>3504</v>
      </c>
      <c r="B31" s="3499"/>
      <c r="C31" s="2642">
        <v>4680.8676000000005</v>
      </c>
      <c r="D31" s="2642">
        <v>4596.8270000000011</v>
      </c>
      <c r="E31" s="2642">
        <v>3747.21</v>
      </c>
      <c r="F31" s="2642">
        <v>4886.7</v>
      </c>
      <c r="G31" s="2642">
        <v>7169.5300000000007</v>
      </c>
      <c r="H31" s="2642">
        <v>5288.299</v>
      </c>
      <c r="I31" s="2642">
        <f>1.02+5.106+50+36+I32+I33+I34+I35+I36</f>
        <v>6339.326</v>
      </c>
      <c r="M31" s="2639"/>
    </row>
    <row r="32" spans="1:13" s="2624" customFormat="1" ht="14.1" customHeight="1">
      <c r="A32" s="2643" t="s">
        <v>3505</v>
      </c>
      <c r="B32" s="2641"/>
      <c r="C32" s="2642">
        <v>47.320000000000007</v>
      </c>
      <c r="D32" s="2642">
        <v>377.83799999999997</v>
      </c>
      <c r="E32" s="2642">
        <v>75.650000000000006</v>
      </c>
      <c r="F32" s="2642">
        <v>38.099999999999994</v>
      </c>
      <c r="G32" s="2642">
        <v>91.699999999999989</v>
      </c>
      <c r="H32" s="2642">
        <v>92.62</v>
      </c>
      <c r="I32" s="2642">
        <v>7</v>
      </c>
      <c r="M32" s="2639"/>
    </row>
    <row r="33" spans="1:13" s="2624" customFormat="1" ht="14.1" customHeight="1">
      <c r="A33" s="3498" t="s">
        <v>3506</v>
      </c>
      <c r="B33" s="3499"/>
      <c r="C33" s="2642">
        <v>34.097999999999999</v>
      </c>
      <c r="D33" s="2642">
        <v>69.441999999999993</v>
      </c>
      <c r="E33" s="2614">
        <v>208.98</v>
      </c>
      <c r="F33" s="2614">
        <v>64.7</v>
      </c>
      <c r="G33" s="2614">
        <v>256.01</v>
      </c>
      <c r="H33" s="2614">
        <v>50.512</v>
      </c>
      <c r="I33" s="2614">
        <v>4.2</v>
      </c>
      <c r="M33" s="2639"/>
    </row>
    <row r="34" spans="1:13" s="2624" customFormat="1" ht="14.1" customHeight="1">
      <c r="A34" s="3498" t="s">
        <v>3507</v>
      </c>
      <c r="B34" s="3499"/>
      <c r="C34" s="2642">
        <v>522.51099999999997</v>
      </c>
      <c r="D34" s="2642">
        <v>1175.7850000000001</v>
      </c>
      <c r="E34" s="2614">
        <v>1166.77</v>
      </c>
      <c r="F34" s="2614">
        <v>2332.9</v>
      </c>
      <c r="G34" s="2614">
        <v>1598.38</v>
      </c>
      <c r="H34" s="2614">
        <v>3290.7190000000001</v>
      </c>
      <c r="I34" s="2614">
        <v>2544</v>
      </c>
      <c r="M34" s="2639"/>
    </row>
    <row r="35" spans="1:13" s="2624" customFormat="1" ht="14.1" customHeight="1">
      <c r="A35" s="3498" t="s">
        <v>3508</v>
      </c>
      <c r="B35" s="3499"/>
      <c r="C35" s="2642">
        <v>177.024</v>
      </c>
      <c r="D35" s="2642">
        <v>58.642000000000003</v>
      </c>
      <c r="E35" s="2614">
        <v>172.48</v>
      </c>
      <c r="F35" s="2614">
        <v>26.7</v>
      </c>
      <c r="G35" s="2614">
        <v>3</v>
      </c>
      <c r="H35" s="2614">
        <v>10.17</v>
      </c>
      <c r="I35" s="2644">
        <v>0</v>
      </c>
      <c r="M35" s="2639"/>
    </row>
    <row r="36" spans="1:13" s="2624" customFormat="1" ht="14.1" customHeight="1">
      <c r="A36" s="3498" t="s">
        <v>3509</v>
      </c>
      <c r="B36" s="3499"/>
      <c r="C36" s="2642">
        <v>3821.4270000000001</v>
      </c>
      <c r="D36" s="2642">
        <v>2801.83</v>
      </c>
      <c r="E36" s="2614">
        <f>1740.46+260.64+43.01</f>
        <v>2044.11</v>
      </c>
      <c r="F36" s="2614">
        <f>1492.6</f>
        <v>1492.6</v>
      </c>
      <c r="G36" s="2614">
        <f>2396+1131.944+1104.059</f>
        <v>4632.0029999999997</v>
      </c>
      <c r="H36" s="2614">
        <v>1751.91</v>
      </c>
      <c r="I36" s="2614">
        <v>3692</v>
      </c>
      <c r="M36" s="2639"/>
    </row>
    <row r="37" spans="1:13" s="2624" customFormat="1" ht="14.1" customHeight="1">
      <c r="A37" s="3498" t="s">
        <v>3510</v>
      </c>
      <c r="B37" s="3499"/>
      <c r="C37" s="2642">
        <v>586.03899999999999</v>
      </c>
      <c r="D37" s="2642">
        <v>1286.931</v>
      </c>
      <c r="E37" s="2614">
        <v>606.26</v>
      </c>
      <c r="F37" s="2614">
        <v>448.1</v>
      </c>
      <c r="G37" s="2614">
        <v>590.49</v>
      </c>
      <c r="H37" s="2614">
        <v>49.49</v>
      </c>
      <c r="I37" s="2614">
        <v>149</v>
      </c>
      <c r="M37" s="2639"/>
    </row>
    <row r="38" spans="1:13" s="2624" customFormat="1" ht="14.1" customHeight="1">
      <c r="A38" s="3498" t="s">
        <v>3511</v>
      </c>
      <c r="B38" s="3499"/>
      <c r="C38" s="2642">
        <v>71.372000000000298</v>
      </c>
      <c r="D38" s="2642">
        <v>52.448999999999614</v>
      </c>
      <c r="E38" s="2614">
        <v>322.85999999999967</v>
      </c>
      <c r="F38" s="2614">
        <v>165.30000000000018</v>
      </c>
      <c r="G38" s="2614">
        <v>59.259999999999309</v>
      </c>
      <c r="H38" s="2614">
        <v>363.00600000000031</v>
      </c>
      <c r="I38" s="2614">
        <v>154</v>
      </c>
      <c r="M38" s="2639"/>
    </row>
    <row r="39" spans="1:13" s="2624" customFormat="1" ht="14.1" customHeight="1">
      <c r="A39" s="3498" t="s">
        <v>3512</v>
      </c>
      <c r="B39" s="3499"/>
      <c r="C39" s="2642">
        <v>166.51499999999999</v>
      </c>
      <c r="D39" s="2642">
        <v>2379.547</v>
      </c>
      <c r="E39" s="2614">
        <f>E40</f>
        <v>1063.21</v>
      </c>
      <c r="F39" s="2614">
        <f>F40+10.6</f>
        <v>687.1</v>
      </c>
      <c r="G39" s="2614">
        <v>132</v>
      </c>
      <c r="H39" s="2614">
        <v>230.15600000000001</v>
      </c>
      <c r="I39" s="2614">
        <f>6.967+I40</f>
        <v>394.767</v>
      </c>
      <c r="M39" s="2639"/>
    </row>
    <row r="40" spans="1:13" s="2624" customFormat="1" ht="14.1" customHeight="1">
      <c r="A40" s="3498" t="s">
        <v>3513</v>
      </c>
      <c r="B40" s="3499"/>
      <c r="C40" s="2642">
        <v>163.309</v>
      </c>
      <c r="D40" s="2642">
        <v>2379.547</v>
      </c>
      <c r="E40" s="2614">
        <v>1063.21</v>
      </c>
      <c r="F40" s="2614">
        <v>676.5</v>
      </c>
      <c r="G40" s="2614">
        <v>132</v>
      </c>
      <c r="H40" s="2614">
        <v>230.15600000000001</v>
      </c>
      <c r="I40" s="2614">
        <v>387.8</v>
      </c>
      <c r="M40" s="2639"/>
    </row>
    <row r="41" spans="1:13" s="2624" customFormat="1" ht="14.1" customHeight="1">
      <c r="A41" s="2640" t="s">
        <v>3514</v>
      </c>
      <c r="B41" s="2641"/>
      <c r="C41" s="2637">
        <f>C42+C46+C49</f>
        <v>1685.3969999999999</v>
      </c>
      <c r="D41" s="2637">
        <f>D42+D46+D49</f>
        <v>3196.002</v>
      </c>
      <c r="E41" s="2637">
        <f>E42+E46+E49</f>
        <v>5679.47</v>
      </c>
      <c r="F41" s="2637">
        <f>F42+F46+F49-1</f>
        <v>2605.5</v>
      </c>
      <c r="G41" s="2637">
        <f>G42+G46+G49</f>
        <v>5996.32</v>
      </c>
      <c r="H41" s="2637">
        <f>H42+H46+H49</f>
        <v>3525.0410000000002</v>
      </c>
      <c r="I41" s="2637">
        <f>I42+I46+I49</f>
        <v>5632.3980000000001</v>
      </c>
      <c r="M41" s="2639"/>
    </row>
    <row r="42" spans="1:13" s="2624" customFormat="1" ht="14.1" customHeight="1">
      <c r="A42" s="3498" t="s">
        <v>3515</v>
      </c>
      <c r="B42" s="3499"/>
      <c r="C42" s="2642">
        <f t="shared" ref="C42:I42" si="1">C43+C44+C45</f>
        <v>295.935</v>
      </c>
      <c r="D42" s="2642">
        <f t="shared" si="1"/>
        <v>1123.9349999999999</v>
      </c>
      <c r="E42" s="2642">
        <f t="shared" si="1"/>
        <v>1929.06</v>
      </c>
      <c r="F42" s="2642">
        <f t="shared" si="1"/>
        <v>1056.0999999999999</v>
      </c>
      <c r="G42" s="2642">
        <f t="shared" si="1"/>
        <v>2019.2</v>
      </c>
      <c r="H42" s="2642">
        <f t="shared" si="1"/>
        <v>2523.1930000000002</v>
      </c>
      <c r="I42" s="2642">
        <f t="shared" si="1"/>
        <v>3047.277</v>
      </c>
      <c r="M42" s="2639"/>
    </row>
    <row r="43" spans="1:13" s="2624" customFormat="1" ht="14.1" customHeight="1">
      <c r="A43" s="3498" t="s">
        <v>3516</v>
      </c>
      <c r="B43" s="3499"/>
      <c r="C43" s="2642">
        <v>126.605</v>
      </c>
      <c r="D43" s="2642">
        <v>577.41300000000001</v>
      </c>
      <c r="E43" s="2614">
        <v>48.98</v>
      </c>
      <c r="F43" s="2614">
        <v>196.3</v>
      </c>
      <c r="G43" s="2614">
        <v>135.30000000000001</v>
      </c>
      <c r="H43" s="2614">
        <v>84.16</v>
      </c>
      <c r="I43" s="2614">
        <v>17.277000000000001</v>
      </c>
      <c r="M43" s="2639"/>
    </row>
    <row r="44" spans="1:13" s="2624" customFormat="1" ht="14.1" customHeight="1">
      <c r="A44" s="3498" t="s">
        <v>3517</v>
      </c>
      <c r="B44" s="3499"/>
      <c r="C44" s="2642">
        <v>38.293999999999997</v>
      </c>
      <c r="D44" s="2642">
        <v>497.54300000000001</v>
      </c>
      <c r="E44" s="2614">
        <v>1414.77</v>
      </c>
      <c r="F44" s="2614">
        <v>509.7</v>
      </c>
      <c r="G44" s="2614">
        <v>1468.47</v>
      </c>
      <c r="H44" s="2614">
        <v>2169.4850000000001</v>
      </c>
      <c r="I44" s="2614">
        <v>2797</v>
      </c>
      <c r="M44" s="2639"/>
    </row>
    <row r="45" spans="1:13" s="2624" customFormat="1" ht="14.1" customHeight="1">
      <c r="A45" s="3498" t="s">
        <v>3518</v>
      </c>
      <c r="B45" s="3499"/>
      <c r="C45" s="2642">
        <v>131.036</v>
      </c>
      <c r="D45" s="2642">
        <v>48.978999999999928</v>
      </c>
      <c r="E45" s="2642">
        <v>465.30999999999995</v>
      </c>
      <c r="F45" s="2642">
        <v>350.09999999999997</v>
      </c>
      <c r="G45" s="2642">
        <v>415.43000000000006</v>
      </c>
      <c r="H45" s="2642">
        <v>269.54800000000023</v>
      </c>
      <c r="I45" s="2642">
        <v>233</v>
      </c>
      <c r="M45" s="2639"/>
    </row>
    <row r="46" spans="1:13" s="2624" customFormat="1" ht="14.1" customHeight="1">
      <c r="A46" s="3498" t="s">
        <v>3519</v>
      </c>
      <c r="B46" s="3499"/>
      <c r="C46" s="2642">
        <v>45.253</v>
      </c>
      <c r="D46" s="2642">
        <v>25.31</v>
      </c>
      <c r="E46" s="2614">
        <f>E47+43.56+52.26+E48</f>
        <v>553.04000000000008</v>
      </c>
      <c r="F46" s="2614">
        <f>F47+85.6+F48</f>
        <v>121.4</v>
      </c>
      <c r="G46" s="2614">
        <v>69</v>
      </c>
      <c r="H46" s="2614">
        <v>177.81</v>
      </c>
      <c r="I46" s="2614">
        <f>I47+I48</f>
        <v>9</v>
      </c>
      <c r="M46" s="2639"/>
    </row>
    <row r="47" spans="1:13" s="2624" customFormat="1" ht="14.1" customHeight="1">
      <c r="A47" s="3498" t="s">
        <v>3520</v>
      </c>
      <c r="B47" s="3499"/>
      <c r="C47" s="2642" t="s">
        <v>3470</v>
      </c>
      <c r="D47" s="2642" t="s">
        <v>3470</v>
      </c>
      <c r="E47" s="2614">
        <v>448</v>
      </c>
      <c r="F47" s="2614">
        <v>3</v>
      </c>
      <c r="G47" s="2642" t="s">
        <v>3470</v>
      </c>
      <c r="H47" s="2614">
        <v>175.98</v>
      </c>
      <c r="I47" s="2644">
        <v>0</v>
      </c>
      <c r="M47" s="2639"/>
    </row>
    <row r="48" spans="1:13" s="2624" customFormat="1" ht="14.1" customHeight="1">
      <c r="A48" s="3498" t="s">
        <v>3521</v>
      </c>
      <c r="B48" s="3499"/>
      <c r="C48" s="2642">
        <v>12.635999999999999</v>
      </c>
      <c r="D48" s="2642" t="s">
        <v>3470</v>
      </c>
      <c r="E48" s="2614">
        <v>9.2200000000000006</v>
      </c>
      <c r="F48" s="2614">
        <v>32.800000000000004</v>
      </c>
      <c r="G48" s="2614">
        <v>5</v>
      </c>
      <c r="H48" s="2644">
        <v>0</v>
      </c>
      <c r="I48" s="2614">
        <v>9</v>
      </c>
      <c r="M48" s="2639"/>
    </row>
    <row r="49" spans="1:13" s="2624" customFormat="1" ht="14.1" customHeight="1">
      <c r="A49" s="3498" t="s">
        <v>3522</v>
      </c>
      <c r="B49" s="3499"/>
      <c r="C49" s="2642">
        <v>1344.2090000000001</v>
      </c>
      <c r="D49" s="2642">
        <v>2046.7570000000001</v>
      </c>
      <c r="E49" s="2614">
        <f>E50+14.36+4.01</f>
        <v>3197.3700000000003</v>
      </c>
      <c r="F49" s="2614">
        <f>F50+2</f>
        <v>1429</v>
      </c>
      <c r="G49" s="2614">
        <v>3908.12</v>
      </c>
      <c r="H49" s="2614">
        <v>824.03800000000001</v>
      </c>
      <c r="I49" s="2614">
        <f>2.523+I50</f>
        <v>2576.1210000000001</v>
      </c>
      <c r="M49" s="2639"/>
    </row>
    <row r="50" spans="1:13" s="2624" customFormat="1" ht="14.1" customHeight="1">
      <c r="A50" s="3498" t="s">
        <v>3523</v>
      </c>
      <c r="B50" s="3499"/>
      <c r="C50" s="2642">
        <v>1322</v>
      </c>
      <c r="D50" s="2642">
        <v>1971</v>
      </c>
      <c r="E50" s="2642">
        <v>3179</v>
      </c>
      <c r="F50" s="2642">
        <v>1427</v>
      </c>
      <c r="G50" s="2642">
        <v>3905</v>
      </c>
      <c r="H50" s="2642">
        <v>673</v>
      </c>
      <c r="I50" s="2642">
        <f>I51+I53</f>
        <v>2573.598</v>
      </c>
      <c r="M50" s="2639"/>
    </row>
    <row r="51" spans="1:13" s="2624" customFormat="1" ht="14.1" customHeight="1">
      <c r="A51" s="3498" t="s">
        <v>3524</v>
      </c>
      <c r="B51" s="3499"/>
      <c r="C51" s="2642">
        <v>998.47400000000005</v>
      </c>
      <c r="D51" s="2642">
        <v>1284.694</v>
      </c>
      <c r="E51" s="2614">
        <f>E52+90.33</f>
        <v>937.30000000000007</v>
      </c>
      <c r="F51" s="2614">
        <f>F52</f>
        <v>382.1</v>
      </c>
      <c r="G51" s="2614">
        <v>338</v>
      </c>
      <c r="H51" s="2614">
        <v>368.57299999999998</v>
      </c>
      <c r="I51" s="2614">
        <f>24.598+I52</f>
        <v>356.59800000000001</v>
      </c>
      <c r="M51" s="2639"/>
    </row>
    <row r="52" spans="1:13" s="2624" customFormat="1" ht="14.1" customHeight="1">
      <c r="A52" s="3498" t="s">
        <v>3525</v>
      </c>
      <c r="B52" s="3499"/>
      <c r="C52" s="2642">
        <v>113.974</v>
      </c>
      <c r="D52" s="2642">
        <v>1284.694</v>
      </c>
      <c r="E52" s="2614">
        <v>846.97</v>
      </c>
      <c r="F52" s="2614">
        <v>382.1</v>
      </c>
      <c r="G52" s="2614">
        <v>338</v>
      </c>
      <c r="H52" s="2614">
        <v>368.57299999999998</v>
      </c>
      <c r="I52" s="2614">
        <v>332</v>
      </c>
      <c r="M52" s="2639"/>
    </row>
    <row r="53" spans="1:13" s="2624" customFormat="1" ht="14.1" customHeight="1">
      <c r="A53" s="3498" t="s">
        <v>3526</v>
      </c>
      <c r="B53" s="3499"/>
      <c r="C53" s="2642">
        <f t="shared" ref="C53:I53" si="2">C54+C55</f>
        <v>246</v>
      </c>
      <c r="D53" s="2642">
        <f t="shared" si="2"/>
        <v>669</v>
      </c>
      <c r="E53" s="2642">
        <f t="shared" si="2"/>
        <v>2126</v>
      </c>
      <c r="F53" s="2642">
        <f t="shared" si="2"/>
        <v>974</v>
      </c>
      <c r="G53" s="2642">
        <f t="shared" si="2"/>
        <v>3518</v>
      </c>
      <c r="H53" s="2642">
        <f t="shared" si="2"/>
        <v>304</v>
      </c>
      <c r="I53" s="2642">
        <f t="shared" si="2"/>
        <v>2217</v>
      </c>
      <c r="M53" s="2639"/>
    </row>
    <row r="54" spans="1:13" s="2624" customFormat="1" ht="14.1" customHeight="1">
      <c r="A54" s="3498" t="s">
        <v>3527</v>
      </c>
      <c r="B54" s="3499"/>
      <c r="C54" s="2642">
        <f>50+160</f>
        <v>210</v>
      </c>
      <c r="D54" s="2642">
        <v>610</v>
      </c>
      <c r="E54" s="2645">
        <v>1921</v>
      </c>
      <c r="F54" s="2645">
        <v>320</v>
      </c>
      <c r="G54" s="2645">
        <v>2887</v>
      </c>
      <c r="H54" s="2614">
        <v>99</v>
      </c>
      <c r="I54" s="2614">
        <v>266</v>
      </c>
      <c r="M54" s="2639"/>
    </row>
    <row r="55" spans="1:13" s="2624" customFormat="1" ht="14.1" customHeight="1">
      <c r="A55" s="3498" t="s">
        <v>3528</v>
      </c>
      <c r="B55" s="3499"/>
      <c r="C55" s="2642">
        <f>6+30</f>
        <v>36</v>
      </c>
      <c r="D55" s="2642">
        <f>18+17+23+1</f>
        <v>59</v>
      </c>
      <c r="E55" s="2645">
        <f>78+8+119</f>
        <v>205</v>
      </c>
      <c r="F55" s="2645">
        <f>348+2+304</f>
        <v>654</v>
      </c>
      <c r="G55" s="2645">
        <f>280+24+2+285+40</f>
        <v>631</v>
      </c>
      <c r="H55" s="2614">
        <f>64+8+133</f>
        <v>205</v>
      </c>
      <c r="I55" s="2614">
        <v>1951</v>
      </c>
      <c r="M55" s="2639"/>
    </row>
    <row r="56" spans="1:13" s="2624" customFormat="1" ht="14.1" customHeight="1">
      <c r="A56" s="3513" t="s">
        <v>3529</v>
      </c>
      <c r="B56" s="3514"/>
      <c r="C56" s="2646">
        <v>32.295000000000002</v>
      </c>
      <c r="D56" s="2646">
        <v>1.9690000000000001</v>
      </c>
      <c r="E56" s="2647">
        <v>0</v>
      </c>
      <c r="F56" s="2647">
        <v>0</v>
      </c>
      <c r="G56" s="2647">
        <v>0</v>
      </c>
      <c r="H56" s="2647">
        <v>0</v>
      </c>
      <c r="I56" s="2647">
        <v>0</v>
      </c>
    </row>
    <row r="57" spans="1:13" s="2624" customFormat="1" ht="6.75" customHeight="1">
      <c r="A57" s="2648"/>
      <c r="B57" s="2648"/>
      <c r="C57" s="2649"/>
      <c r="D57" s="2649"/>
    </row>
    <row r="58" spans="1:13" s="2624" customFormat="1" ht="13.5">
      <c r="A58" s="1208" t="s">
        <v>3530</v>
      </c>
      <c r="B58" s="2650" t="s">
        <v>3531</v>
      </c>
      <c r="C58" s="2651"/>
      <c r="D58" s="2651"/>
      <c r="E58" s="2651"/>
      <c r="F58" s="2651"/>
    </row>
    <row r="59" spans="1:13" s="2624" customFormat="1" ht="13.5">
      <c r="A59" s="1208" t="s">
        <v>3532</v>
      </c>
      <c r="B59" s="2650"/>
      <c r="C59" s="2651"/>
      <c r="D59" s="2651"/>
      <c r="E59" s="2651"/>
      <c r="F59" s="2651"/>
    </row>
    <row r="60" spans="1:13" s="2624" customFormat="1" ht="13.5">
      <c r="A60" s="2429" t="s">
        <v>361</v>
      </c>
      <c r="B60" s="2650"/>
      <c r="C60" s="2651"/>
      <c r="D60" s="2651"/>
      <c r="E60" s="2651"/>
      <c r="F60" s="2651"/>
    </row>
    <row r="61" spans="1:13" s="2624" customFormat="1" ht="12">
      <c r="A61" s="2429" t="s">
        <v>303</v>
      </c>
      <c r="C61" s="2652"/>
      <c r="D61" s="2652"/>
    </row>
    <row r="62" spans="1:13" s="2624" customFormat="1" ht="12">
      <c r="C62" s="2652"/>
      <c r="D62" s="2652"/>
    </row>
    <row r="63" spans="1:13" s="2624" customFormat="1" ht="12">
      <c r="C63" s="2652"/>
      <c r="D63" s="2652"/>
    </row>
    <row r="64" spans="1:13" s="2361" customFormat="1" ht="12">
      <c r="C64" s="2653"/>
      <c r="D64" s="2653"/>
      <c r="I64" s="2624"/>
    </row>
    <row r="65" spans="1:9" s="2361" customFormat="1" ht="12">
      <c r="C65" s="2654"/>
      <c r="D65" s="2654"/>
      <c r="I65" s="2624"/>
    </row>
    <row r="66" spans="1:9" s="2361" customFormat="1" ht="12">
      <c r="C66" s="2654"/>
      <c r="D66" s="2654"/>
      <c r="I66" s="2624"/>
    </row>
    <row r="67" spans="1:9">
      <c r="A67" s="2655"/>
    </row>
    <row r="68" spans="1:9">
      <c r="A68" s="2655"/>
    </row>
    <row r="69" spans="1:9">
      <c r="A69" s="2655"/>
    </row>
    <row r="70" spans="1:9">
      <c r="A70" s="2655"/>
    </row>
    <row r="71" spans="1:9">
      <c r="A71" s="2655"/>
    </row>
    <row r="72" spans="1:9">
      <c r="A72" s="2655"/>
    </row>
    <row r="73" spans="1:9">
      <c r="A73" s="2655"/>
    </row>
    <row r="74" spans="1:9">
      <c r="A74" s="2655"/>
    </row>
    <row r="75" spans="1:9">
      <c r="A75" s="2655"/>
    </row>
    <row r="76" spans="1:9">
      <c r="A76" s="2655"/>
    </row>
    <row r="77" spans="1:9">
      <c r="A77" s="2655"/>
    </row>
    <row r="78" spans="1:9">
      <c r="A78" s="2655"/>
    </row>
    <row r="79" spans="1:9">
      <c r="A79" s="2655"/>
    </row>
    <row r="80" spans="1:9">
      <c r="A80" s="2655"/>
    </row>
    <row r="81" spans="1:1">
      <c r="A81" s="2655"/>
    </row>
    <row r="82" spans="1:1">
      <c r="A82" s="2655"/>
    </row>
    <row r="83" spans="1:1">
      <c r="A83" s="2655"/>
    </row>
    <row r="84" spans="1:1">
      <c r="A84" s="2655"/>
    </row>
    <row r="85" spans="1:1">
      <c r="A85" s="2655"/>
    </row>
    <row r="86" spans="1:1">
      <c r="A86" s="2655"/>
    </row>
    <row r="87" spans="1:1">
      <c r="A87" s="2655"/>
    </row>
    <row r="88" spans="1:1">
      <c r="A88" s="2655"/>
    </row>
    <row r="89" spans="1:1">
      <c r="A89" s="2655"/>
    </row>
    <row r="90" spans="1:1">
      <c r="A90" s="2655"/>
    </row>
  </sheetData>
  <mergeCells count="37">
    <mergeCell ref="A56:B56"/>
    <mergeCell ref="A50:B50"/>
    <mergeCell ref="A51:B51"/>
    <mergeCell ref="A52:B52"/>
    <mergeCell ref="A53:B53"/>
    <mergeCell ref="A54:B54"/>
    <mergeCell ref="A55:B55"/>
    <mergeCell ref="A34:B34"/>
    <mergeCell ref="A35:B35"/>
    <mergeCell ref="A49:B49"/>
    <mergeCell ref="A37:B37"/>
    <mergeCell ref="A38:B38"/>
    <mergeCell ref="A39:B39"/>
    <mergeCell ref="A40:B40"/>
    <mergeCell ref="A42:B42"/>
    <mergeCell ref="A43:B43"/>
    <mergeCell ref="A44:B44"/>
    <mergeCell ref="A45:B45"/>
    <mergeCell ref="A46:B46"/>
    <mergeCell ref="A47:B47"/>
    <mergeCell ref="A48:B48"/>
    <mergeCell ref="A36:B36"/>
    <mergeCell ref="C4:C5"/>
    <mergeCell ref="D4:D5"/>
    <mergeCell ref="G4:G5"/>
    <mergeCell ref="H4:H5"/>
    <mergeCell ref="I4:I5"/>
    <mergeCell ref="E4:E5"/>
    <mergeCell ref="F4:F5"/>
    <mergeCell ref="A30:B30"/>
    <mergeCell ref="A31:B31"/>
    <mergeCell ref="A33:B33"/>
    <mergeCell ref="A27:B27"/>
    <mergeCell ref="A4:A5"/>
    <mergeCell ref="B4:B5"/>
    <mergeCell ref="A21:B21"/>
    <mergeCell ref="A22:H22"/>
  </mergeCells>
  <printOptions horizontalCentered="1" verticalCentered="1"/>
  <pageMargins left="0.55118110236220497" right="0" top="0.118110236220472" bottom="0" header="0" footer="0"/>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opLeftCell="A46" zoomScaleNormal="100" workbookViewId="0">
      <selection activeCell="L8" sqref="L8"/>
    </sheetView>
  </sheetViews>
  <sheetFormatPr defaultRowHeight="11.25"/>
  <cols>
    <col min="1" max="1" width="11.42578125" style="2660" customWidth="1"/>
    <col min="2" max="2" width="28.140625" style="2660" customWidth="1"/>
    <col min="3" max="9" width="8.7109375" style="2660" customWidth="1"/>
    <col min="10" max="256" width="9.140625" style="2660"/>
    <col min="257" max="257" width="11.42578125" style="2660" customWidth="1"/>
    <col min="258" max="258" width="28.140625" style="2660" customWidth="1"/>
    <col min="259" max="265" width="8.7109375" style="2660" customWidth="1"/>
    <col min="266" max="512" width="9.140625" style="2660"/>
    <col min="513" max="513" width="11.42578125" style="2660" customWidth="1"/>
    <col min="514" max="514" width="28.140625" style="2660" customWidth="1"/>
    <col min="515" max="521" width="8.7109375" style="2660" customWidth="1"/>
    <col min="522" max="768" width="9.140625" style="2660"/>
    <col min="769" max="769" width="11.42578125" style="2660" customWidth="1"/>
    <col min="770" max="770" width="28.140625" style="2660" customWidth="1"/>
    <col min="771" max="777" width="8.7109375" style="2660" customWidth="1"/>
    <col min="778" max="1024" width="9.140625" style="2660"/>
    <col min="1025" max="1025" width="11.42578125" style="2660" customWidth="1"/>
    <col min="1026" max="1026" width="28.140625" style="2660" customWidth="1"/>
    <col min="1027" max="1033" width="8.7109375" style="2660" customWidth="1"/>
    <col min="1034" max="1280" width="9.140625" style="2660"/>
    <col min="1281" max="1281" width="11.42578125" style="2660" customWidth="1"/>
    <col min="1282" max="1282" width="28.140625" style="2660" customWidth="1"/>
    <col min="1283" max="1289" width="8.7109375" style="2660" customWidth="1"/>
    <col min="1290" max="1536" width="9.140625" style="2660"/>
    <col min="1537" max="1537" width="11.42578125" style="2660" customWidth="1"/>
    <col min="1538" max="1538" width="28.140625" style="2660" customWidth="1"/>
    <col min="1539" max="1545" width="8.7109375" style="2660" customWidth="1"/>
    <col min="1546" max="1792" width="9.140625" style="2660"/>
    <col min="1793" max="1793" width="11.42578125" style="2660" customWidth="1"/>
    <col min="1794" max="1794" width="28.140625" style="2660" customWidth="1"/>
    <col min="1795" max="1801" width="8.7109375" style="2660" customWidth="1"/>
    <col min="1802" max="2048" width="9.140625" style="2660"/>
    <col min="2049" max="2049" width="11.42578125" style="2660" customWidth="1"/>
    <col min="2050" max="2050" width="28.140625" style="2660" customWidth="1"/>
    <col min="2051" max="2057" width="8.7109375" style="2660" customWidth="1"/>
    <col min="2058" max="2304" width="9.140625" style="2660"/>
    <col min="2305" max="2305" width="11.42578125" style="2660" customWidth="1"/>
    <col min="2306" max="2306" width="28.140625" style="2660" customWidth="1"/>
    <col min="2307" max="2313" width="8.7109375" style="2660" customWidth="1"/>
    <col min="2314" max="2560" width="9.140625" style="2660"/>
    <col min="2561" max="2561" width="11.42578125" style="2660" customWidth="1"/>
    <col min="2562" max="2562" width="28.140625" style="2660" customWidth="1"/>
    <col min="2563" max="2569" width="8.7109375" style="2660" customWidth="1"/>
    <col min="2570" max="2816" width="9.140625" style="2660"/>
    <col min="2817" max="2817" width="11.42578125" style="2660" customWidth="1"/>
    <col min="2818" max="2818" width="28.140625" style="2660" customWidth="1"/>
    <col min="2819" max="2825" width="8.7109375" style="2660" customWidth="1"/>
    <col min="2826" max="3072" width="9.140625" style="2660"/>
    <col min="3073" max="3073" width="11.42578125" style="2660" customWidth="1"/>
    <col min="3074" max="3074" width="28.140625" style="2660" customWidth="1"/>
    <col min="3075" max="3081" width="8.7109375" style="2660" customWidth="1"/>
    <col min="3082" max="3328" width="9.140625" style="2660"/>
    <col min="3329" max="3329" width="11.42578125" style="2660" customWidth="1"/>
    <col min="3330" max="3330" width="28.140625" style="2660" customWidth="1"/>
    <col min="3331" max="3337" width="8.7109375" style="2660" customWidth="1"/>
    <col min="3338" max="3584" width="9.140625" style="2660"/>
    <col min="3585" max="3585" width="11.42578125" style="2660" customWidth="1"/>
    <col min="3586" max="3586" width="28.140625" style="2660" customWidth="1"/>
    <col min="3587" max="3593" width="8.7109375" style="2660" customWidth="1"/>
    <col min="3594" max="3840" width="9.140625" style="2660"/>
    <col min="3841" max="3841" width="11.42578125" style="2660" customWidth="1"/>
    <col min="3842" max="3842" width="28.140625" style="2660" customWidth="1"/>
    <col min="3843" max="3849" width="8.7109375" style="2660" customWidth="1"/>
    <col min="3850" max="4096" width="9.140625" style="2660"/>
    <col min="4097" max="4097" width="11.42578125" style="2660" customWidth="1"/>
    <col min="4098" max="4098" width="28.140625" style="2660" customWidth="1"/>
    <col min="4099" max="4105" width="8.7109375" style="2660" customWidth="1"/>
    <col min="4106" max="4352" width="9.140625" style="2660"/>
    <col min="4353" max="4353" width="11.42578125" style="2660" customWidth="1"/>
    <col min="4354" max="4354" width="28.140625" style="2660" customWidth="1"/>
    <col min="4355" max="4361" width="8.7109375" style="2660" customWidth="1"/>
    <col min="4362" max="4608" width="9.140625" style="2660"/>
    <col min="4609" max="4609" width="11.42578125" style="2660" customWidth="1"/>
    <col min="4610" max="4610" width="28.140625" style="2660" customWidth="1"/>
    <col min="4611" max="4617" width="8.7109375" style="2660" customWidth="1"/>
    <col min="4618" max="4864" width="9.140625" style="2660"/>
    <col min="4865" max="4865" width="11.42578125" style="2660" customWidth="1"/>
    <col min="4866" max="4866" width="28.140625" style="2660" customWidth="1"/>
    <col min="4867" max="4873" width="8.7109375" style="2660" customWidth="1"/>
    <col min="4874" max="5120" width="9.140625" style="2660"/>
    <col min="5121" max="5121" width="11.42578125" style="2660" customWidth="1"/>
    <col min="5122" max="5122" width="28.140625" style="2660" customWidth="1"/>
    <col min="5123" max="5129" width="8.7109375" style="2660" customWidth="1"/>
    <col min="5130" max="5376" width="9.140625" style="2660"/>
    <col min="5377" max="5377" width="11.42578125" style="2660" customWidth="1"/>
    <col min="5378" max="5378" width="28.140625" style="2660" customWidth="1"/>
    <col min="5379" max="5385" width="8.7109375" style="2660" customWidth="1"/>
    <col min="5386" max="5632" width="9.140625" style="2660"/>
    <col min="5633" max="5633" width="11.42578125" style="2660" customWidth="1"/>
    <col min="5634" max="5634" width="28.140625" style="2660" customWidth="1"/>
    <col min="5635" max="5641" width="8.7109375" style="2660" customWidth="1"/>
    <col min="5642" max="5888" width="9.140625" style="2660"/>
    <col min="5889" max="5889" width="11.42578125" style="2660" customWidth="1"/>
    <col min="5890" max="5890" width="28.140625" style="2660" customWidth="1"/>
    <col min="5891" max="5897" width="8.7109375" style="2660" customWidth="1"/>
    <col min="5898" max="6144" width="9.140625" style="2660"/>
    <col min="6145" max="6145" width="11.42578125" style="2660" customWidth="1"/>
    <col min="6146" max="6146" width="28.140625" style="2660" customWidth="1"/>
    <col min="6147" max="6153" width="8.7109375" style="2660" customWidth="1"/>
    <col min="6154" max="6400" width="9.140625" style="2660"/>
    <col min="6401" max="6401" width="11.42578125" style="2660" customWidth="1"/>
    <col min="6402" max="6402" width="28.140625" style="2660" customWidth="1"/>
    <col min="6403" max="6409" width="8.7109375" style="2660" customWidth="1"/>
    <col min="6410" max="6656" width="9.140625" style="2660"/>
    <col min="6657" max="6657" width="11.42578125" style="2660" customWidth="1"/>
    <col min="6658" max="6658" width="28.140625" style="2660" customWidth="1"/>
    <col min="6659" max="6665" width="8.7109375" style="2660" customWidth="1"/>
    <col min="6666" max="6912" width="9.140625" style="2660"/>
    <col min="6913" max="6913" width="11.42578125" style="2660" customWidth="1"/>
    <col min="6914" max="6914" width="28.140625" style="2660" customWidth="1"/>
    <col min="6915" max="6921" width="8.7109375" style="2660" customWidth="1"/>
    <col min="6922" max="7168" width="9.140625" style="2660"/>
    <col min="7169" max="7169" width="11.42578125" style="2660" customWidth="1"/>
    <col min="7170" max="7170" width="28.140625" style="2660" customWidth="1"/>
    <col min="7171" max="7177" width="8.7109375" style="2660" customWidth="1"/>
    <col min="7178" max="7424" width="9.140625" style="2660"/>
    <col min="7425" max="7425" width="11.42578125" style="2660" customWidth="1"/>
    <col min="7426" max="7426" width="28.140625" style="2660" customWidth="1"/>
    <col min="7427" max="7433" width="8.7109375" style="2660" customWidth="1"/>
    <col min="7434" max="7680" width="9.140625" style="2660"/>
    <col min="7681" max="7681" width="11.42578125" style="2660" customWidth="1"/>
    <col min="7682" max="7682" width="28.140625" style="2660" customWidth="1"/>
    <col min="7683" max="7689" width="8.7109375" style="2660" customWidth="1"/>
    <col min="7690" max="7936" width="9.140625" style="2660"/>
    <col min="7937" max="7937" width="11.42578125" style="2660" customWidth="1"/>
    <col min="7938" max="7938" width="28.140625" style="2660" customWidth="1"/>
    <col min="7939" max="7945" width="8.7109375" style="2660" customWidth="1"/>
    <col min="7946" max="8192" width="9.140625" style="2660"/>
    <col min="8193" max="8193" width="11.42578125" style="2660" customWidth="1"/>
    <col min="8194" max="8194" width="28.140625" style="2660" customWidth="1"/>
    <col min="8195" max="8201" width="8.7109375" style="2660" customWidth="1"/>
    <col min="8202" max="8448" width="9.140625" style="2660"/>
    <col min="8449" max="8449" width="11.42578125" style="2660" customWidth="1"/>
    <col min="8450" max="8450" width="28.140625" style="2660" customWidth="1"/>
    <col min="8451" max="8457" width="8.7109375" style="2660" customWidth="1"/>
    <col min="8458" max="8704" width="9.140625" style="2660"/>
    <col min="8705" max="8705" width="11.42578125" style="2660" customWidth="1"/>
    <col min="8706" max="8706" width="28.140625" style="2660" customWidth="1"/>
    <col min="8707" max="8713" width="8.7109375" style="2660" customWidth="1"/>
    <col min="8714" max="8960" width="9.140625" style="2660"/>
    <col min="8961" max="8961" width="11.42578125" style="2660" customWidth="1"/>
    <col min="8962" max="8962" width="28.140625" style="2660" customWidth="1"/>
    <col min="8963" max="8969" width="8.7109375" style="2660" customWidth="1"/>
    <col min="8970" max="9216" width="9.140625" style="2660"/>
    <col min="9217" max="9217" width="11.42578125" style="2660" customWidth="1"/>
    <col min="9218" max="9218" width="28.140625" style="2660" customWidth="1"/>
    <col min="9219" max="9225" width="8.7109375" style="2660" customWidth="1"/>
    <col min="9226" max="9472" width="9.140625" style="2660"/>
    <col min="9473" max="9473" width="11.42578125" style="2660" customWidth="1"/>
    <col min="9474" max="9474" width="28.140625" style="2660" customWidth="1"/>
    <col min="9475" max="9481" width="8.7109375" style="2660" customWidth="1"/>
    <col min="9482" max="9728" width="9.140625" style="2660"/>
    <col min="9729" max="9729" width="11.42578125" style="2660" customWidth="1"/>
    <col min="9730" max="9730" width="28.140625" style="2660" customWidth="1"/>
    <col min="9731" max="9737" width="8.7109375" style="2660" customWidth="1"/>
    <col min="9738" max="9984" width="9.140625" style="2660"/>
    <col min="9985" max="9985" width="11.42578125" style="2660" customWidth="1"/>
    <col min="9986" max="9986" width="28.140625" style="2660" customWidth="1"/>
    <col min="9987" max="9993" width="8.7109375" style="2660" customWidth="1"/>
    <col min="9994" max="10240" width="9.140625" style="2660"/>
    <col min="10241" max="10241" width="11.42578125" style="2660" customWidth="1"/>
    <col min="10242" max="10242" width="28.140625" style="2660" customWidth="1"/>
    <col min="10243" max="10249" width="8.7109375" style="2660" customWidth="1"/>
    <col min="10250" max="10496" width="9.140625" style="2660"/>
    <col min="10497" max="10497" width="11.42578125" style="2660" customWidth="1"/>
    <col min="10498" max="10498" width="28.140625" style="2660" customWidth="1"/>
    <col min="10499" max="10505" width="8.7109375" style="2660" customWidth="1"/>
    <col min="10506" max="10752" width="9.140625" style="2660"/>
    <col min="10753" max="10753" width="11.42578125" style="2660" customWidth="1"/>
    <col min="10754" max="10754" width="28.140625" style="2660" customWidth="1"/>
    <col min="10755" max="10761" width="8.7109375" style="2660" customWidth="1"/>
    <col min="10762" max="11008" width="9.140625" style="2660"/>
    <col min="11009" max="11009" width="11.42578125" style="2660" customWidth="1"/>
    <col min="11010" max="11010" width="28.140625" style="2660" customWidth="1"/>
    <col min="11011" max="11017" width="8.7109375" style="2660" customWidth="1"/>
    <col min="11018" max="11264" width="9.140625" style="2660"/>
    <col min="11265" max="11265" width="11.42578125" style="2660" customWidth="1"/>
    <col min="11266" max="11266" width="28.140625" style="2660" customWidth="1"/>
    <col min="11267" max="11273" width="8.7109375" style="2660" customWidth="1"/>
    <col min="11274" max="11520" width="9.140625" style="2660"/>
    <col min="11521" max="11521" width="11.42578125" style="2660" customWidth="1"/>
    <col min="11522" max="11522" width="28.140625" style="2660" customWidth="1"/>
    <col min="11523" max="11529" width="8.7109375" style="2660" customWidth="1"/>
    <col min="11530" max="11776" width="9.140625" style="2660"/>
    <col min="11777" max="11777" width="11.42578125" style="2660" customWidth="1"/>
    <col min="11778" max="11778" width="28.140625" style="2660" customWidth="1"/>
    <col min="11779" max="11785" width="8.7109375" style="2660" customWidth="1"/>
    <col min="11786" max="12032" width="9.140625" style="2660"/>
    <col min="12033" max="12033" width="11.42578125" style="2660" customWidth="1"/>
    <col min="12034" max="12034" width="28.140625" style="2660" customWidth="1"/>
    <col min="12035" max="12041" width="8.7109375" style="2660" customWidth="1"/>
    <col min="12042" max="12288" width="9.140625" style="2660"/>
    <col min="12289" max="12289" width="11.42578125" style="2660" customWidth="1"/>
    <col min="12290" max="12290" width="28.140625" style="2660" customWidth="1"/>
    <col min="12291" max="12297" width="8.7109375" style="2660" customWidth="1"/>
    <col min="12298" max="12544" width="9.140625" style="2660"/>
    <col min="12545" max="12545" width="11.42578125" style="2660" customWidth="1"/>
    <col min="12546" max="12546" width="28.140625" style="2660" customWidth="1"/>
    <col min="12547" max="12553" width="8.7109375" style="2660" customWidth="1"/>
    <col min="12554" max="12800" width="9.140625" style="2660"/>
    <col min="12801" max="12801" width="11.42578125" style="2660" customWidth="1"/>
    <col min="12802" max="12802" width="28.140625" style="2660" customWidth="1"/>
    <col min="12803" max="12809" width="8.7109375" style="2660" customWidth="1"/>
    <col min="12810" max="13056" width="9.140625" style="2660"/>
    <col min="13057" max="13057" width="11.42578125" style="2660" customWidth="1"/>
    <col min="13058" max="13058" width="28.140625" style="2660" customWidth="1"/>
    <col min="13059" max="13065" width="8.7109375" style="2660" customWidth="1"/>
    <col min="13066" max="13312" width="9.140625" style="2660"/>
    <col min="13313" max="13313" width="11.42578125" style="2660" customWidth="1"/>
    <col min="13314" max="13314" width="28.140625" style="2660" customWidth="1"/>
    <col min="13315" max="13321" width="8.7109375" style="2660" customWidth="1"/>
    <col min="13322" max="13568" width="9.140625" style="2660"/>
    <col min="13569" max="13569" width="11.42578125" style="2660" customWidth="1"/>
    <col min="13570" max="13570" width="28.140625" style="2660" customWidth="1"/>
    <col min="13571" max="13577" width="8.7109375" style="2660" customWidth="1"/>
    <col min="13578" max="13824" width="9.140625" style="2660"/>
    <col min="13825" max="13825" width="11.42578125" style="2660" customWidth="1"/>
    <col min="13826" max="13826" width="28.140625" style="2660" customWidth="1"/>
    <col min="13827" max="13833" width="8.7109375" style="2660" customWidth="1"/>
    <col min="13834" max="14080" width="9.140625" style="2660"/>
    <col min="14081" max="14081" width="11.42578125" style="2660" customWidth="1"/>
    <col min="14082" max="14082" width="28.140625" style="2660" customWidth="1"/>
    <col min="14083" max="14089" width="8.7109375" style="2660" customWidth="1"/>
    <col min="14090" max="14336" width="9.140625" style="2660"/>
    <col min="14337" max="14337" width="11.42578125" style="2660" customWidth="1"/>
    <col min="14338" max="14338" width="28.140625" style="2660" customWidth="1"/>
    <col min="14339" max="14345" width="8.7109375" style="2660" customWidth="1"/>
    <col min="14346" max="14592" width="9.140625" style="2660"/>
    <col min="14593" max="14593" width="11.42578125" style="2660" customWidth="1"/>
    <col min="14594" max="14594" width="28.140625" style="2660" customWidth="1"/>
    <col min="14595" max="14601" width="8.7109375" style="2660" customWidth="1"/>
    <col min="14602" max="14848" width="9.140625" style="2660"/>
    <col min="14849" max="14849" width="11.42578125" style="2660" customWidth="1"/>
    <col min="14850" max="14850" width="28.140625" style="2660" customWidth="1"/>
    <col min="14851" max="14857" width="8.7109375" style="2660" customWidth="1"/>
    <col min="14858" max="15104" width="9.140625" style="2660"/>
    <col min="15105" max="15105" width="11.42578125" style="2660" customWidth="1"/>
    <col min="15106" max="15106" width="28.140625" style="2660" customWidth="1"/>
    <col min="15107" max="15113" width="8.7109375" style="2660" customWidth="1"/>
    <col min="15114" max="15360" width="9.140625" style="2660"/>
    <col min="15361" max="15361" width="11.42578125" style="2660" customWidth="1"/>
    <col min="15362" max="15362" width="28.140625" style="2660" customWidth="1"/>
    <col min="15363" max="15369" width="8.7109375" style="2660" customWidth="1"/>
    <col min="15370" max="15616" width="9.140625" style="2660"/>
    <col min="15617" max="15617" width="11.42578125" style="2660" customWidth="1"/>
    <col min="15618" max="15618" width="28.140625" style="2660" customWidth="1"/>
    <col min="15619" max="15625" width="8.7109375" style="2660" customWidth="1"/>
    <col min="15626" max="15872" width="9.140625" style="2660"/>
    <col min="15873" max="15873" width="11.42578125" style="2660" customWidth="1"/>
    <col min="15874" max="15874" width="28.140625" style="2660" customWidth="1"/>
    <col min="15875" max="15881" width="8.7109375" style="2660" customWidth="1"/>
    <col min="15882" max="16128" width="9.140625" style="2660"/>
    <col min="16129" max="16129" width="11.42578125" style="2660" customWidth="1"/>
    <col min="16130" max="16130" width="28.140625" style="2660" customWidth="1"/>
    <col min="16131" max="16137" width="8.7109375" style="2660" customWidth="1"/>
    <col min="16138" max="16384" width="9.140625" style="2660"/>
  </cols>
  <sheetData>
    <row r="1" spans="1:13" s="2658" customFormat="1" ht="16.5">
      <c r="A1" s="2656" t="s">
        <v>3533</v>
      </c>
      <c r="B1" s="2657"/>
      <c r="E1" s="2659"/>
      <c r="F1" s="2659"/>
    </row>
    <row r="2" spans="1:13" s="2658" customFormat="1" ht="16.5">
      <c r="A2" s="2656" t="s">
        <v>3458</v>
      </c>
      <c r="B2" s="2657"/>
      <c r="E2" s="2659"/>
      <c r="F2" s="2659"/>
    </row>
    <row r="3" spans="1:13" ht="11.25" customHeight="1">
      <c r="D3" s="2661"/>
      <c r="E3" s="2661"/>
      <c r="I3" s="2662" t="s">
        <v>12</v>
      </c>
    </row>
    <row r="4" spans="1:13" s="2663" customFormat="1" ht="12" customHeight="1">
      <c r="A4" s="3524" t="s">
        <v>3459</v>
      </c>
      <c r="B4" s="3526" t="s">
        <v>3460</v>
      </c>
      <c r="C4" s="3515" t="s">
        <v>3461</v>
      </c>
      <c r="D4" s="3515" t="s">
        <v>3462</v>
      </c>
      <c r="E4" s="3515" t="s">
        <v>3463</v>
      </c>
      <c r="F4" s="3515" t="s">
        <v>3534</v>
      </c>
      <c r="G4" s="3515" t="s">
        <v>3499</v>
      </c>
      <c r="H4" s="3515" t="s">
        <v>3500</v>
      </c>
      <c r="I4" s="3515" t="s">
        <v>3467</v>
      </c>
    </row>
    <row r="5" spans="1:13" s="2663" customFormat="1" ht="19.5" customHeight="1">
      <c r="A5" s="3525"/>
      <c r="B5" s="3527"/>
      <c r="C5" s="3516"/>
      <c r="D5" s="3516"/>
      <c r="E5" s="3516"/>
      <c r="F5" s="3516"/>
      <c r="G5" s="3516"/>
      <c r="H5" s="3516"/>
      <c r="I5" s="3516"/>
    </row>
    <row r="6" spans="1:13" s="2663" customFormat="1" ht="19.5" customHeight="1">
      <c r="A6" s="2664" t="s">
        <v>3468</v>
      </c>
      <c r="B6" s="2665" t="s">
        <v>3469</v>
      </c>
      <c r="C6" s="2666">
        <v>270.8</v>
      </c>
      <c r="D6" s="2666">
        <v>112.9</v>
      </c>
      <c r="E6" s="2666">
        <f>2.8+6.98</f>
        <v>9.7800000000000011</v>
      </c>
      <c r="F6" s="2666">
        <v>0.90500000000000003</v>
      </c>
      <c r="G6" s="2666">
        <v>10.1</v>
      </c>
      <c r="H6" s="2666">
        <v>531</v>
      </c>
      <c r="I6" s="2666">
        <v>81</v>
      </c>
      <c r="K6" s="2667"/>
      <c r="L6" s="2668"/>
      <c r="M6" s="2668"/>
    </row>
    <row r="7" spans="1:13" s="2663" customFormat="1" ht="19.5" customHeight="1">
      <c r="A7" s="2669" t="s">
        <v>3471</v>
      </c>
      <c r="B7" s="2670" t="s">
        <v>408</v>
      </c>
      <c r="C7" s="2671">
        <v>335.3</v>
      </c>
      <c r="D7" s="2671">
        <v>235.3</v>
      </c>
      <c r="E7" s="2671">
        <f>14.3+190.9</f>
        <v>205.20000000000002</v>
      </c>
      <c r="F7" s="2671">
        <v>114.2</v>
      </c>
      <c r="G7" s="2671">
        <v>347.4</v>
      </c>
      <c r="H7" s="2671">
        <f>192.5+592</f>
        <v>784.5</v>
      </c>
      <c r="I7" s="2671">
        <v>342</v>
      </c>
      <c r="K7" s="2667"/>
      <c r="L7" s="2668"/>
      <c r="M7" s="2668"/>
    </row>
    <row r="8" spans="1:13" s="2663" customFormat="1" ht="24.75" customHeight="1">
      <c r="A8" s="2669" t="s">
        <v>3472</v>
      </c>
      <c r="B8" s="2670" t="s">
        <v>3473</v>
      </c>
      <c r="C8" s="2671" t="s">
        <v>3470</v>
      </c>
      <c r="D8" s="2671" t="s">
        <v>3470</v>
      </c>
      <c r="E8" s="2671" t="s">
        <v>3470</v>
      </c>
      <c r="F8" s="2671" t="s">
        <v>3470</v>
      </c>
      <c r="G8" s="2671">
        <v>15.56</v>
      </c>
      <c r="H8" s="2671" t="s">
        <v>3470</v>
      </c>
      <c r="I8" s="2671" t="s">
        <v>3470</v>
      </c>
      <c r="K8" s="2667"/>
      <c r="M8" s="2668"/>
    </row>
    <row r="9" spans="1:13" s="2663" customFormat="1" ht="34.5" customHeight="1">
      <c r="A9" s="2669" t="s">
        <v>3535</v>
      </c>
      <c r="B9" s="2670" t="s">
        <v>3536</v>
      </c>
      <c r="C9" s="2671" t="s">
        <v>3470</v>
      </c>
      <c r="D9" s="2671" t="s">
        <v>3470</v>
      </c>
      <c r="E9" s="2671" t="s">
        <v>3470</v>
      </c>
      <c r="F9" s="2671" t="s">
        <v>3470</v>
      </c>
      <c r="G9" s="2671" t="s">
        <v>3470</v>
      </c>
      <c r="H9" s="2671">
        <v>1</v>
      </c>
      <c r="I9" s="2671">
        <v>6</v>
      </c>
      <c r="K9" s="2667"/>
      <c r="M9" s="2668"/>
    </row>
    <row r="10" spans="1:13" s="2663" customFormat="1" ht="19.5" customHeight="1">
      <c r="A10" s="2669" t="s">
        <v>3474</v>
      </c>
      <c r="B10" s="2670" t="s">
        <v>436</v>
      </c>
      <c r="C10" s="2666">
        <v>26</v>
      </c>
      <c r="D10" s="2666">
        <v>29.968</v>
      </c>
      <c r="E10" s="2666">
        <v>2.4710000000000001</v>
      </c>
      <c r="F10" s="2666">
        <v>3.8</v>
      </c>
      <c r="G10" s="2671" t="s">
        <v>3470</v>
      </c>
      <c r="H10" s="2671">
        <f>115.65+41</f>
        <v>156.65</v>
      </c>
      <c r="I10" s="2671">
        <v>114</v>
      </c>
      <c r="K10" s="2667"/>
      <c r="M10" s="2668"/>
    </row>
    <row r="11" spans="1:13" s="2663" customFormat="1" ht="23.25" customHeight="1">
      <c r="A11" s="2669" t="s">
        <v>3475</v>
      </c>
      <c r="B11" s="2670" t="s">
        <v>3476</v>
      </c>
      <c r="C11" s="2666">
        <v>5.508</v>
      </c>
      <c r="D11" s="2666">
        <v>17.231999999999999</v>
      </c>
      <c r="E11" s="2666">
        <f>3.388+18.834</f>
        <v>22.222000000000001</v>
      </c>
      <c r="F11" s="2666">
        <v>33.9</v>
      </c>
      <c r="G11" s="2666">
        <v>0.89</v>
      </c>
      <c r="H11" s="2666">
        <f>19+28.6819</f>
        <v>47.681899999999999</v>
      </c>
      <c r="I11" s="2666">
        <v>68</v>
      </c>
      <c r="K11" s="2667"/>
      <c r="M11" s="2668"/>
    </row>
    <row r="12" spans="1:13" s="2663" customFormat="1" ht="19.5" customHeight="1">
      <c r="A12" s="2669" t="s">
        <v>3477</v>
      </c>
      <c r="B12" s="2670" t="s">
        <v>3478</v>
      </c>
      <c r="C12" s="2666">
        <v>1.7749999999999999</v>
      </c>
      <c r="D12" s="2666">
        <v>5.2679999999999998</v>
      </c>
      <c r="E12" s="2666">
        <v>12.94</v>
      </c>
      <c r="F12" s="2666">
        <v>9</v>
      </c>
      <c r="G12" s="2671" t="s">
        <v>3470</v>
      </c>
      <c r="H12" s="2671">
        <f>0.45+7</f>
        <v>7.45</v>
      </c>
      <c r="I12" s="2671">
        <v>8</v>
      </c>
      <c r="K12" s="2667"/>
      <c r="M12" s="2668"/>
    </row>
    <row r="13" spans="1:13" s="2663" customFormat="1" ht="23.25" customHeight="1">
      <c r="A13" s="2669" t="s">
        <v>3479</v>
      </c>
      <c r="B13" s="2670" t="s">
        <v>3480</v>
      </c>
      <c r="C13" s="2666">
        <v>391</v>
      </c>
      <c r="D13" s="2666">
        <v>1068.3</v>
      </c>
      <c r="E13" s="2666">
        <f>32.489+887.884</f>
        <v>920.37300000000005</v>
      </c>
      <c r="F13" s="2666">
        <v>711.4</v>
      </c>
      <c r="G13" s="2666">
        <v>1002</v>
      </c>
      <c r="H13" s="2671">
        <v>411</v>
      </c>
      <c r="I13" s="2671">
        <v>909</v>
      </c>
      <c r="K13" s="2667"/>
      <c r="M13" s="2668"/>
    </row>
    <row r="14" spans="1:13" s="2663" customFormat="1" ht="22.5" customHeight="1">
      <c r="A14" s="2669" t="s">
        <v>3481</v>
      </c>
      <c r="B14" s="2670" t="s">
        <v>3482</v>
      </c>
      <c r="C14" s="2666" t="s">
        <v>3470</v>
      </c>
      <c r="D14" s="2666" t="s">
        <v>3470</v>
      </c>
      <c r="E14" s="2666">
        <v>0.48199999999999998</v>
      </c>
      <c r="F14" s="2671" t="s">
        <v>3470</v>
      </c>
      <c r="G14" s="2671" t="s">
        <v>3470</v>
      </c>
      <c r="H14" s="2671">
        <f>1.798+23</f>
        <v>24.798000000000002</v>
      </c>
      <c r="I14" s="2671">
        <v>19</v>
      </c>
      <c r="K14" s="2667"/>
      <c r="M14" s="2668"/>
    </row>
    <row r="15" spans="1:13" s="2663" customFormat="1" ht="22.5" customHeight="1">
      <c r="A15" s="2669" t="s">
        <v>3483</v>
      </c>
      <c r="B15" s="2670" t="s">
        <v>3537</v>
      </c>
      <c r="C15" s="2666">
        <v>12.14</v>
      </c>
      <c r="D15" s="2666">
        <v>113</v>
      </c>
      <c r="E15" s="2666">
        <v>209</v>
      </c>
      <c r="F15" s="2666">
        <v>209.2</v>
      </c>
      <c r="G15" s="2671">
        <v>1063</v>
      </c>
      <c r="H15" s="2671">
        <f>302+54+27.52</f>
        <v>383.52</v>
      </c>
      <c r="I15" s="2671">
        <v>804</v>
      </c>
      <c r="K15" s="2667"/>
      <c r="M15" s="2668"/>
    </row>
    <row r="16" spans="1:13" s="2672" customFormat="1" ht="24" customHeight="1">
      <c r="A16" s="2669" t="s">
        <v>3485</v>
      </c>
      <c r="B16" s="2670" t="s">
        <v>3486</v>
      </c>
      <c r="C16" s="2671">
        <v>90.756</v>
      </c>
      <c r="D16" s="2671">
        <v>245.41200000000001</v>
      </c>
      <c r="E16" s="2671">
        <v>213</v>
      </c>
      <c r="F16" s="2671">
        <v>329.8</v>
      </c>
      <c r="G16" s="2671">
        <v>124</v>
      </c>
      <c r="H16" s="2671">
        <v>164</v>
      </c>
      <c r="I16" s="2671">
        <v>253.6</v>
      </c>
      <c r="K16" s="2673"/>
      <c r="M16" s="2668"/>
    </row>
    <row r="17" spans="1:13" s="2672" customFormat="1" ht="24" customHeight="1">
      <c r="A17" s="2669" t="s">
        <v>3488</v>
      </c>
      <c r="B17" s="2670" t="s">
        <v>3489</v>
      </c>
      <c r="C17" s="2671" t="s">
        <v>3470</v>
      </c>
      <c r="D17" s="2671" t="s">
        <v>3470</v>
      </c>
      <c r="E17" s="2671" t="s">
        <v>3470</v>
      </c>
      <c r="F17" s="2671" t="s">
        <v>3470</v>
      </c>
      <c r="G17" s="2671">
        <v>71.3</v>
      </c>
      <c r="H17" s="2666">
        <f>22.22+1</f>
        <v>23.22</v>
      </c>
      <c r="I17" s="2666">
        <v>23.6</v>
      </c>
      <c r="K17" s="2673"/>
      <c r="M17" s="2668"/>
    </row>
    <row r="18" spans="1:13" s="2672" customFormat="1" ht="24" customHeight="1">
      <c r="A18" s="2669" t="s">
        <v>3538</v>
      </c>
      <c r="B18" s="2670" t="s">
        <v>3539</v>
      </c>
      <c r="C18" s="2671" t="s">
        <v>3470</v>
      </c>
      <c r="D18" s="2671" t="s">
        <v>3470</v>
      </c>
      <c r="E18" s="2671" t="s">
        <v>3470</v>
      </c>
      <c r="F18" s="2671" t="s">
        <v>3470</v>
      </c>
      <c r="G18" s="2671" t="s">
        <v>3470</v>
      </c>
      <c r="H18" s="2671">
        <v>6</v>
      </c>
      <c r="I18" s="2671">
        <v>8.9</v>
      </c>
      <c r="K18" s="2673"/>
      <c r="M18" s="2668"/>
    </row>
    <row r="19" spans="1:13" s="2672" customFormat="1" ht="24" customHeight="1">
      <c r="A19" s="2669" t="s">
        <v>3490</v>
      </c>
      <c r="B19" s="2670" t="s">
        <v>489</v>
      </c>
      <c r="C19" s="2671" t="s">
        <v>3470</v>
      </c>
      <c r="D19" s="2671" t="s">
        <v>3470</v>
      </c>
      <c r="E19" s="2671">
        <v>18.298999999999999</v>
      </c>
      <c r="F19" s="2671" t="s">
        <v>3470</v>
      </c>
      <c r="G19" s="2671" t="s">
        <v>3470</v>
      </c>
      <c r="H19" s="2671" t="s">
        <v>3470</v>
      </c>
      <c r="I19" s="2671" t="s">
        <v>3470</v>
      </c>
      <c r="K19" s="2673"/>
      <c r="M19" s="2668"/>
    </row>
    <row r="20" spans="1:13" s="2672" customFormat="1" ht="24" customHeight="1">
      <c r="A20" s="2669" t="s">
        <v>3491</v>
      </c>
      <c r="B20" s="2670" t="s">
        <v>3492</v>
      </c>
      <c r="C20" s="2671" t="s">
        <v>3470</v>
      </c>
      <c r="D20" s="2671" t="s">
        <v>3470</v>
      </c>
      <c r="E20" s="2671" t="s">
        <v>3470</v>
      </c>
      <c r="F20" s="2671" t="s">
        <v>3470</v>
      </c>
      <c r="G20" s="2671">
        <v>1374.999</v>
      </c>
      <c r="H20" s="2671" t="s">
        <v>3470</v>
      </c>
      <c r="I20" s="2671" t="s">
        <v>3470</v>
      </c>
      <c r="K20" s="2673"/>
      <c r="M20" s="2668"/>
    </row>
    <row r="21" spans="1:13" s="2672" customFormat="1" ht="24" customHeight="1">
      <c r="A21" s="2669" t="s">
        <v>3493</v>
      </c>
      <c r="B21" s="2670" t="s">
        <v>3494</v>
      </c>
      <c r="C21" s="2671" t="s">
        <v>3470</v>
      </c>
      <c r="D21" s="2671" t="s">
        <v>3470</v>
      </c>
      <c r="E21" s="2671" t="s">
        <v>3470</v>
      </c>
      <c r="F21" s="2671" t="s">
        <v>3470</v>
      </c>
      <c r="G21" s="2671" t="s">
        <v>3470</v>
      </c>
      <c r="H21" s="2671" t="s">
        <v>3470</v>
      </c>
      <c r="I21" s="2671">
        <v>20.6</v>
      </c>
      <c r="K21" s="2673"/>
      <c r="M21" s="2668"/>
    </row>
    <row r="22" spans="1:13" s="2672" customFormat="1" ht="24" customHeight="1">
      <c r="A22" s="2669" t="s">
        <v>3540</v>
      </c>
      <c r="B22" s="2670" t="s">
        <v>3541</v>
      </c>
      <c r="C22" s="2671" t="s">
        <v>3470</v>
      </c>
      <c r="D22" s="2671" t="s">
        <v>3470</v>
      </c>
      <c r="E22" s="2671" t="s">
        <v>3470</v>
      </c>
      <c r="F22" s="2671" t="s">
        <v>3470</v>
      </c>
      <c r="G22" s="2671" t="s">
        <v>3470</v>
      </c>
      <c r="H22" s="2671">
        <v>3</v>
      </c>
      <c r="I22" s="2671" t="s">
        <v>3470</v>
      </c>
      <c r="K22" s="2673"/>
    </row>
    <row r="23" spans="1:13" s="2672" customFormat="1" ht="16.5" hidden="1" customHeight="1">
      <c r="A23" s="2669"/>
      <c r="B23" s="2670"/>
      <c r="C23" s="2671"/>
      <c r="D23" s="2671"/>
      <c r="E23" s="2671"/>
      <c r="F23" s="2671"/>
      <c r="G23" s="2671"/>
      <c r="H23" s="2671"/>
      <c r="I23" s="2671"/>
      <c r="K23" s="2673"/>
    </row>
    <row r="24" spans="1:13" s="2675" customFormat="1" ht="15" customHeight="1">
      <c r="A24" s="3517" t="s">
        <v>3452</v>
      </c>
      <c r="B24" s="3518"/>
      <c r="C24" s="2674">
        <f>SUM(C6:C22)+1</f>
        <v>1134.2790000000002</v>
      </c>
      <c r="D24" s="2674">
        <f>SUM(D6:D22)-1</f>
        <v>1826.38</v>
      </c>
      <c r="E24" s="2674">
        <f>SUM(E6:E22)-2</f>
        <v>1611.7670000000001</v>
      </c>
      <c r="F24" s="2674">
        <f>SUM(F6:F22)</f>
        <v>1412.2049999999999</v>
      </c>
      <c r="G24" s="2674">
        <f>SUM(G6:G22)</f>
        <v>4009.2489999999998</v>
      </c>
      <c r="H24" s="2674">
        <f>SUM(H6:H22)+1</f>
        <v>2544.8199</v>
      </c>
      <c r="I24" s="2674">
        <f>SUM(I6:I22)+2-1</f>
        <v>2658.7</v>
      </c>
      <c r="K24" s="2676"/>
    </row>
    <row r="25" spans="1:13" ht="62.25" customHeight="1">
      <c r="A25" s="3519" t="s">
        <v>3542</v>
      </c>
      <c r="B25" s="3519"/>
      <c r="C25" s="3519"/>
      <c r="D25" s="3519"/>
      <c r="E25" s="3519"/>
      <c r="F25" s="3519"/>
      <c r="G25" s="3520"/>
      <c r="H25" s="3521"/>
    </row>
    <row r="26" spans="1:13" s="2658" customFormat="1">
      <c r="A26" s="2677"/>
      <c r="B26" s="2678"/>
      <c r="C26" s="2678"/>
      <c r="D26" s="2678"/>
      <c r="E26" s="2678"/>
      <c r="F26" s="2678"/>
      <c r="G26" s="2678"/>
      <c r="H26" s="2678"/>
      <c r="I26" s="2678"/>
    </row>
    <row r="27" spans="1:13" s="2658" customFormat="1" ht="16.5">
      <c r="A27" s="2679" t="s">
        <v>3543</v>
      </c>
      <c r="B27" s="2680"/>
      <c r="E27" s="2681"/>
      <c r="F27" s="2681"/>
    </row>
    <row r="28" spans="1:13" s="2658" customFormat="1" ht="16.5">
      <c r="A28" s="2656" t="s">
        <v>3458</v>
      </c>
      <c r="B28" s="2680"/>
      <c r="C28" s="2682"/>
      <c r="D28" s="2682"/>
      <c r="E28" s="2682"/>
      <c r="F28" s="2682"/>
      <c r="G28" s="2682"/>
      <c r="H28" s="2682"/>
      <c r="I28" s="2682"/>
    </row>
    <row r="29" spans="1:13" s="2683" customFormat="1" ht="12">
      <c r="A29" s="2660"/>
      <c r="B29" s="2660"/>
      <c r="C29" s="2660"/>
      <c r="D29" s="2661"/>
      <c r="E29" s="2661"/>
      <c r="F29" s="2660"/>
      <c r="I29" s="2684" t="s">
        <v>12</v>
      </c>
    </row>
    <row r="30" spans="1:13" s="2688" customFormat="1" ht="16.5" customHeight="1">
      <c r="A30" s="3522" t="s">
        <v>3544</v>
      </c>
      <c r="B30" s="3523"/>
      <c r="C30" s="2685" t="s">
        <v>3461</v>
      </c>
      <c r="D30" s="2686" t="s">
        <v>3462</v>
      </c>
      <c r="E30" s="2687" t="s">
        <v>3463</v>
      </c>
      <c r="F30" s="2687" t="s">
        <v>3464</v>
      </c>
      <c r="G30" s="2687" t="s">
        <v>3499</v>
      </c>
      <c r="H30" s="2687" t="s">
        <v>3500</v>
      </c>
      <c r="I30" s="2687" t="s">
        <v>3467</v>
      </c>
    </row>
    <row r="31" spans="1:13" s="2675" customFormat="1" ht="16.5" customHeight="1">
      <c r="A31" s="3530" t="s">
        <v>3501</v>
      </c>
      <c r="B31" s="3531"/>
      <c r="C31" s="2689">
        <f>C32+C40+C57</f>
        <v>1133.704</v>
      </c>
      <c r="D31" s="2689">
        <f>D32+D40+D57</f>
        <v>1826.2289999999996</v>
      </c>
      <c r="E31" s="2689">
        <f>E32+E40+E57</f>
        <v>1612.2700000000002</v>
      </c>
      <c r="F31" s="2689">
        <f>F32+F40+F57+1</f>
        <v>1412.1999999999998</v>
      </c>
      <c r="G31" s="2689">
        <f>G32+G40+G57</f>
        <v>4009.1</v>
      </c>
      <c r="H31" s="2689">
        <f>H32+H40+H57-1</f>
        <v>2544.6579999999999</v>
      </c>
      <c r="I31" s="2689">
        <f>I32+I40+I57</f>
        <v>2658.7219999999998</v>
      </c>
      <c r="K31" s="2676"/>
    </row>
    <row r="32" spans="1:13" s="2675" customFormat="1" ht="16.5" customHeight="1">
      <c r="A32" s="3532" t="s">
        <v>3545</v>
      </c>
      <c r="B32" s="3533"/>
      <c r="C32" s="2690">
        <v>13.042000000000002</v>
      </c>
      <c r="D32" s="2691">
        <f t="shared" ref="D32:I32" si="0">D33+D38</f>
        <v>243.16899999999998</v>
      </c>
      <c r="E32" s="2691">
        <f t="shared" si="0"/>
        <v>296.18</v>
      </c>
      <c r="F32" s="2691">
        <f t="shared" si="0"/>
        <v>381.5</v>
      </c>
      <c r="G32" s="2691">
        <f t="shared" si="0"/>
        <v>947.1</v>
      </c>
      <c r="H32" s="2691">
        <f t="shared" si="0"/>
        <v>290.47099999999995</v>
      </c>
      <c r="I32" s="2690">
        <f t="shared" si="0"/>
        <v>770.52699999999993</v>
      </c>
      <c r="K32" s="2676"/>
      <c r="L32" s="2676"/>
    </row>
    <row r="33" spans="1:12" s="2675" customFormat="1" ht="16.5" customHeight="1">
      <c r="A33" s="2692" t="s">
        <v>3546</v>
      </c>
      <c r="B33" s="2693"/>
      <c r="C33" s="2694">
        <v>13.042000000000002</v>
      </c>
      <c r="D33" s="2695">
        <v>148.74799999999999</v>
      </c>
      <c r="E33" s="2694">
        <f>E34+E36</f>
        <v>283.47000000000003</v>
      </c>
      <c r="F33" s="2694">
        <f>F34</f>
        <v>356.8</v>
      </c>
      <c r="G33" s="2694">
        <v>881.1</v>
      </c>
      <c r="H33" s="2694">
        <f>74+H34+3+0.2+1.4+0.8+0.195+20.649</f>
        <v>262.45799999999997</v>
      </c>
      <c r="I33" s="2694">
        <f>I34+I36+I37</f>
        <v>740.26099999999997</v>
      </c>
      <c r="K33" s="2676"/>
      <c r="L33" s="2676"/>
    </row>
    <row r="34" spans="1:12" s="2675" customFormat="1" ht="16.5" customHeight="1">
      <c r="A34" s="2692" t="s">
        <v>3547</v>
      </c>
      <c r="B34" s="2693"/>
      <c r="C34" s="2694">
        <v>13.042000000000002</v>
      </c>
      <c r="D34" s="2695">
        <v>148.74799999999999</v>
      </c>
      <c r="E34" s="2694">
        <v>282.3</v>
      </c>
      <c r="F34" s="2694">
        <v>356.8</v>
      </c>
      <c r="G34" s="2694">
        <v>94</v>
      </c>
      <c r="H34" s="2694">
        <v>162.214</v>
      </c>
      <c r="I34" s="2694">
        <f>8.968+239+0.188+25.759+57.388+8.26+144.506+60.192+I35</f>
        <v>620.26099999999997</v>
      </c>
      <c r="K34" s="2676"/>
      <c r="L34" s="2676"/>
    </row>
    <row r="35" spans="1:12" s="2675" customFormat="1" ht="16.5" customHeight="1">
      <c r="A35" s="2692" t="s">
        <v>3548</v>
      </c>
      <c r="B35" s="2693"/>
      <c r="C35" s="2694">
        <v>1.9730000000000001</v>
      </c>
      <c r="D35" s="2695">
        <v>65.108999999999995</v>
      </c>
      <c r="E35" s="2694">
        <v>150.26</v>
      </c>
      <c r="F35" s="2694">
        <v>288.3</v>
      </c>
      <c r="G35" s="2694">
        <v>10.1</v>
      </c>
      <c r="H35" s="2694">
        <f>31+9+3.88</f>
        <v>43.88</v>
      </c>
      <c r="I35" s="2694">
        <v>76</v>
      </c>
      <c r="K35" s="2676"/>
      <c r="L35" s="2676"/>
    </row>
    <row r="36" spans="1:12" s="2675" customFormat="1" ht="16.5" customHeight="1">
      <c r="A36" s="2692" t="s">
        <v>3549</v>
      </c>
      <c r="B36" s="2693"/>
      <c r="C36" s="2696">
        <v>0</v>
      </c>
      <c r="D36" s="2696">
        <v>0</v>
      </c>
      <c r="E36" s="2697">
        <v>1.17</v>
      </c>
      <c r="F36" s="2696">
        <v>0</v>
      </c>
      <c r="G36" s="2694">
        <v>787</v>
      </c>
      <c r="H36" s="2694">
        <f>28.249+23+10</f>
        <v>61.248999999999995</v>
      </c>
      <c r="I36" s="2696">
        <v>0</v>
      </c>
      <c r="K36" s="2676"/>
      <c r="L36" s="2676"/>
    </row>
    <row r="37" spans="1:12" s="2675" customFormat="1" ht="16.5" customHeight="1">
      <c r="A37" s="2692" t="s">
        <v>407</v>
      </c>
      <c r="B37" s="2693"/>
      <c r="C37" s="2698" t="s">
        <v>3470</v>
      </c>
      <c r="D37" s="2696" t="s">
        <v>3470</v>
      </c>
      <c r="E37" s="2696" t="s">
        <v>3470</v>
      </c>
      <c r="F37" s="2696" t="s">
        <v>3470</v>
      </c>
      <c r="G37" s="2696" t="s">
        <v>3470</v>
      </c>
      <c r="H37" s="2699">
        <v>39</v>
      </c>
      <c r="I37" s="2699">
        <v>120</v>
      </c>
      <c r="K37" s="2676"/>
      <c r="L37" s="2676"/>
    </row>
    <row r="38" spans="1:12" s="2675" customFormat="1" ht="16.5" customHeight="1">
      <c r="A38" s="2692" t="s">
        <v>3550</v>
      </c>
      <c r="B38" s="2693"/>
      <c r="C38" s="2696" t="s">
        <v>3470</v>
      </c>
      <c r="D38" s="2695">
        <v>94.421000000000006</v>
      </c>
      <c r="E38" s="2694">
        <f>E39</f>
        <v>12.71</v>
      </c>
      <c r="F38" s="2694">
        <f>F39</f>
        <v>24.7</v>
      </c>
      <c r="G38" s="2694">
        <v>66</v>
      </c>
      <c r="H38" s="2694">
        <f>0.445+H39+2.388</f>
        <v>28.012999999999998</v>
      </c>
      <c r="I38" s="2694">
        <f>24+I39</f>
        <v>30.265999999999998</v>
      </c>
      <c r="K38" s="2676"/>
      <c r="L38" s="2676"/>
    </row>
    <row r="39" spans="1:12" s="2675" customFormat="1" ht="16.5" customHeight="1">
      <c r="A39" s="2692" t="s">
        <v>3551</v>
      </c>
      <c r="B39" s="2693"/>
      <c r="C39" s="2696" t="s">
        <v>3470</v>
      </c>
      <c r="D39" s="2695">
        <v>94.421000000000006</v>
      </c>
      <c r="E39" s="2694">
        <v>12.71</v>
      </c>
      <c r="F39" s="2694">
        <v>24.7</v>
      </c>
      <c r="G39" s="2694">
        <v>56</v>
      </c>
      <c r="H39" s="2694">
        <f>1.18+1+23</f>
        <v>25.18</v>
      </c>
      <c r="I39" s="2694">
        <v>6.266</v>
      </c>
      <c r="K39" s="2676"/>
      <c r="L39" s="2676"/>
    </row>
    <row r="40" spans="1:12" s="2675" customFormat="1" ht="16.5" customHeight="1">
      <c r="A40" s="2700" t="s">
        <v>3552</v>
      </c>
      <c r="B40" s="2693"/>
      <c r="C40" s="2690">
        <f t="shared" ref="C40:I40" si="1">C41+C50</f>
        <v>1005.755</v>
      </c>
      <c r="D40" s="2690">
        <f t="shared" si="1"/>
        <v>1552.2489999999998</v>
      </c>
      <c r="E40" s="2690">
        <f t="shared" si="1"/>
        <v>1316.0900000000001</v>
      </c>
      <c r="F40" s="2690">
        <f t="shared" si="1"/>
        <v>1029.6999999999998</v>
      </c>
      <c r="G40" s="2690">
        <f t="shared" si="1"/>
        <v>3062</v>
      </c>
      <c r="H40" s="2690">
        <f t="shared" si="1"/>
        <v>2255.1869999999999</v>
      </c>
      <c r="I40" s="2690">
        <f t="shared" si="1"/>
        <v>1888.1949999999997</v>
      </c>
      <c r="K40" s="2676"/>
      <c r="L40" s="2676"/>
    </row>
    <row r="41" spans="1:12" s="2675" customFormat="1" ht="16.5" customHeight="1">
      <c r="A41" s="2692" t="s">
        <v>3553</v>
      </c>
      <c r="B41" s="2693"/>
      <c r="C41" s="2694">
        <f t="shared" ref="C41:H41" si="2">C42+C43+C44+C45+C46+C47+C48+C49</f>
        <v>862.04899999999998</v>
      </c>
      <c r="D41" s="2694">
        <f t="shared" si="2"/>
        <v>1186.0229999999999</v>
      </c>
      <c r="E41" s="2694">
        <f t="shared" si="2"/>
        <v>589.54000000000008</v>
      </c>
      <c r="F41" s="2694">
        <f t="shared" si="2"/>
        <v>669.3</v>
      </c>
      <c r="G41" s="2694">
        <f t="shared" si="2"/>
        <v>1288.0000000000002</v>
      </c>
      <c r="H41" s="2694">
        <f t="shared" si="2"/>
        <v>1406.7429999999999</v>
      </c>
      <c r="I41" s="2694">
        <f>SUM(I42:I49)</f>
        <v>1537.1949999999997</v>
      </c>
      <c r="J41" s="2701"/>
      <c r="K41" s="2676"/>
      <c r="L41" s="2676"/>
    </row>
    <row r="42" spans="1:12" s="2675" customFormat="1" ht="16.5" customHeight="1">
      <c r="A42" s="2692" t="s">
        <v>3554</v>
      </c>
      <c r="B42" s="2693"/>
      <c r="C42" s="2702">
        <v>0</v>
      </c>
      <c r="D42" s="2702">
        <v>0</v>
      </c>
      <c r="E42" s="2694">
        <v>4.47</v>
      </c>
      <c r="F42" s="2702">
        <v>0</v>
      </c>
      <c r="G42" s="2702">
        <v>0</v>
      </c>
      <c r="H42" s="2702">
        <v>0</v>
      </c>
      <c r="I42" s="2702">
        <v>0</v>
      </c>
      <c r="K42" s="2676"/>
      <c r="L42" s="2676"/>
    </row>
    <row r="43" spans="1:12" s="2675" customFormat="1" ht="16.5" customHeight="1">
      <c r="A43" s="2692" t="s">
        <v>3555</v>
      </c>
      <c r="B43" s="2693"/>
      <c r="C43" s="2702">
        <v>0</v>
      </c>
      <c r="D43" s="2702">
        <v>0</v>
      </c>
      <c r="E43" s="2702">
        <v>0</v>
      </c>
      <c r="F43" s="2702">
        <v>0</v>
      </c>
      <c r="G43" s="2702">
        <v>0</v>
      </c>
      <c r="H43" s="2694">
        <v>39</v>
      </c>
      <c r="I43" s="2694">
        <v>6.0620000000000003</v>
      </c>
      <c r="K43" s="2676"/>
      <c r="L43" s="2676"/>
    </row>
    <row r="44" spans="1:12" s="2675" customFormat="1" ht="16.5" customHeight="1">
      <c r="A44" s="2692" t="s">
        <v>3556</v>
      </c>
      <c r="B44" s="2693"/>
      <c r="C44" s="2694">
        <v>291.45299999999997</v>
      </c>
      <c r="D44" s="2695">
        <v>267.36399999999998</v>
      </c>
      <c r="E44" s="2694">
        <v>234.77</v>
      </c>
      <c r="F44" s="2694">
        <v>95</v>
      </c>
      <c r="G44" s="2694">
        <v>71.3</v>
      </c>
      <c r="H44" s="2694">
        <f>40+48+54+45.897</f>
        <v>187.89699999999999</v>
      </c>
      <c r="I44" s="2694">
        <v>151</v>
      </c>
      <c r="K44" s="2676"/>
      <c r="L44" s="2676"/>
    </row>
    <row r="45" spans="1:12" s="2675" customFormat="1" ht="16.5" customHeight="1">
      <c r="A45" s="2692" t="s">
        <v>3557</v>
      </c>
      <c r="B45" s="2693"/>
      <c r="C45" s="2694">
        <v>269.738</v>
      </c>
      <c r="D45" s="2695">
        <v>146.17500000000001</v>
      </c>
      <c r="E45" s="2694">
        <v>9.6</v>
      </c>
      <c r="F45" s="2694">
        <v>9</v>
      </c>
      <c r="G45" s="2694">
        <v>9</v>
      </c>
      <c r="H45" s="2694">
        <f>586+84</f>
        <v>670</v>
      </c>
      <c r="I45" s="2694">
        <v>78</v>
      </c>
      <c r="K45" s="2676"/>
      <c r="L45" s="2676"/>
    </row>
    <row r="46" spans="1:12" s="2675" customFormat="1" ht="16.5" customHeight="1">
      <c r="A46" s="2692" t="s">
        <v>3558</v>
      </c>
      <c r="B46" s="2693"/>
      <c r="C46" s="2694">
        <v>5.508</v>
      </c>
      <c r="D46" s="2695">
        <v>127.434</v>
      </c>
      <c r="E46" s="2694">
        <v>139.93</v>
      </c>
      <c r="F46" s="2694">
        <v>86</v>
      </c>
      <c r="G46" s="2694">
        <v>98.1</v>
      </c>
      <c r="H46" s="2694">
        <f>64+2+1.358</f>
        <v>67.358000000000004</v>
      </c>
      <c r="I46" s="2694">
        <v>55</v>
      </c>
      <c r="K46" s="2676"/>
      <c r="L46" s="2676"/>
    </row>
    <row r="47" spans="1:12" s="2675" customFormat="1" ht="16.5" customHeight="1">
      <c r="A47" s="2692" t="s">
        <v>3559</v>
      </c>
      <c r="B47" s="2693"/>
      <c r="C47" s="2694">
        <v>187.185</v>
      </c>
      <c r="D47" s="2695">
        <v>175.42099999999999</v>
      </c>
      <c r="E47" s="2694">
        <v>166.91</v>
      </c>
      <c r="F47" s="2694">
        <v>209.9</v>
      </c>
      <c r="G47" s="2694">
        <v>109</v>
      </c>
      <c r="H47" s="2666">
        <f>20+57</f>
        <v>77</v>
      </c>
      <c r="I47" s="2694">
        <v>5</v>
      </c>
      <c r="K47" s="2676"/>
      <c r="L47" s="2676"/>
    </row>
    <row r="48" spans="1:12" s="2675" customFormat="1" ht="16.5" customHeight="1">
      <c r="A48" s="2692" t="s">
        <v>3560</v>
      </c>
      <c r="B48" s="2693"/>
      <c r="C48" s="2694">
        <v>13.68</v>
      </c>
      <c r="D48" s="2695">
        <v>35.116</v>
      </c>
      <c r="E48" s="2694">
        <v>20.440000000000001</v>
      </c>
      <c r="F48" s="2694">
        <v>70.400000000000006</v>
      </c>
      <c r="G48" s="2694">
        <v>325.3</v>
      </c>
      <c r="H48" s="2694">
        <f>12+13+0.15+23.858</f>
        <v>49.007999999999996</v>
      </c>
      <c r="I48" s="2694">
        <v>77</v>
      </c>
      <c r="K48" s="2676"/>
      <c r="L48" s="2676"/>
    </row>
    <row r="49" spans="1:12" s="2675" customFormat="1" ht="16.5" customHeight="1">
      <c r="A49" s="2692" t="s">
        <v>3561</v>
      </c>
      <c r="B49" s="2693"/>
      <c r="C49" s="2694">
        <v>94.485000000000014</v>
      </c>
      <c r="D49" s="2694">
        <v>434.51299999999998</v>
      </c>
      <c r="E49" s="2694">
        <v>13.420000000000041</v>
      </c>
      <c r="F49" s="2694">
        <v>198.99999999999997</v>
      </c>
      <c r="G49" s="2694">
        <v>675.30000000000018</v>
      </c>
      <c r="H49" s="2694">
        <v>316.48</v>
      </c>
      <c r="I49" s="2694">
        <f>0.157+0.647+2.859+868+1.612+0.959+290.899</f>
        <v>1165.1329999999998</v>
      </c>
      <c r="K49" s="2676"/>
      <c r="L49" s="2676"/>
    </row>
    <row r="50" spans="1:12" s="2675" customFormat="1" ht="16.5" customHeight="1">
      <c r="A50" s="2692" t="s">
        <v>3562</v>
      </c>
      <c r="B50" s="2693"/>
      <c r="C50" s="2694">
        <v>143.70599999999999</v>
      </c>
      <c r="D50" s="2695">
        <v>366.226</v>
      </c>
      <c r="E50" s="2694">
        <f>E51+1.12+2.43</f>
        <v>726.55</v>
      </c>
      <c r="F50" s="2694">
        <f>F51+5.7+5.7</f>
        <v>360.4</v>
      </c>
      <c r="G50" s="2694">
        <v>1774</v>
      </c>
      <c r="H50" s="2694">
        <f>H51+25.5+1.214</f>
        <v>848.44400000000007</v>
      </c>
      <c r="I50" s="2694">
        <f>45+I51</f>
        <v>351</v>
      </c>
      <c r="K50" s="2676"/>
      <c r="L50" s="2676"/>
    </row>
    <row r="51" spans="1:12" s="2675" customFormat="1" ht="16.5" customHeight="1">
      <c r="A51" s="2692" t="s">
        <v>3563</v>
      </c>
      <c r="B51" s="2693"/>
      <c r="C51" s="2694">
        <f>134.39</f>
        <v>134.38999999999999</v>
      </c>
      <c r="D51" s="2695">
        <f>331.475</f>
        <v>331.47500000000002</v>
      </c>
      <c r="E51" s="2694">
        <v>723</v>
      </c>
      <c r="F51" s="2694">
        <v>349</v>
      </c>
      <c r="G51" s="2694">
        <f>1774</f>
        <v>1774</v>
      </c>
      <c r="H51" s="2694">
        <f>H52+H54+0.56+0.195</f>
        <v>821.73</v>
      </c>
      <c r="I51" s="2694">
        <f>I52+I54</f>
        <v>306</v>
      </c>
      <c r="K51" s="2676"/>
      <c r="L51" s="2676"/>
    </row>
    <row r="52" spans="1:12" s="2675" customFormat="1" ht="16.5" customHeight="1">
      <c r="A52" s="3528" t="s">
        <v>3564</v>
      </c>
      <c r="B52" s="3529"/>
      <c r="C52" s="2696">
        <v>0</v>
      </c>
      <c r="D52" s="2696">
        <v>0</v>
      </c>
      <c r="E52" s="2696">
        <v>0</v>
      </c>
      <c r="F52" s="2696">
        <v>0</v>
      </c>
      <c r="G52" s="2696">
        <v>0</v>
      </c>
      <c r="H52" s="2694">
        <f>H53</f>
        <v>23.975000000000001</v>
      </c>
      <c r="I52" s="2696">
        <f>I53</f>
        <v>0</v>
      </c>
      <c r="J52" s="2703"/>
      <c r="K52" s="2676"/>
      <c r="L52" s="2676"/>
    </row>
    <row r="53" spans="1:12" s="2675" customFormat="1" ht="16.5" customHeight="1">
      <c r="A53" s="3528" t="s">
        <v>3565</v>
      </c>
      <c r="B53" s="3529"/>
      <c r="C53" s="2696">
        <v>0</v>
      </c>
      <c r="D53" s="2696">
        <v>0</v>
      </c>
      <c r="E53" s="2696">
        <v>0</v>
      </c>
      <c r="F53" s="2696">
        <v>0</v>
      </c>
      <c r="G53" s="2696">
        <v>0</v>
      </c>
      <c r="H53" s="2694">
        <f>8+1.35+14.625</f>
        <v>23.975000000000001</v>
      </c>
      <c r="I53" s="2696">
        <v>0</v>
      </c>
      <c r="K53" s="2676"/>
      <c r="L53" s="2676"/>
    </row>
    <row r="54" spans="1:12" s="2675" customFormat="1" ht="16.5" customHeight="1">
      <c r="A54" s="2692" t="s">
        <v>3566</v>
      </c>
      <c r="B54" s="2693"/>
      <c r="C54" s="2694">
        <f t="shared" ref="C54:H54" si="3">C55+C56</f>
        <v>2</v>
      </c>
      <c r="D54" s="2694">
        <f t="shared" si="3"/>
        <v>31</v>
      </c>
      <c r="E54" s="2694">
        <f t="shared" si="3"/>
        <v>27</v>
      </c>
      <c r="F54" s="2694">
        <f t="shared" si="3"/>
        <v>12</v>
      </c>
      <c r="G54" s="2694">
        <f t="shared" si="3"/>
        <v>1027</v>
      </c>
      <c r="H54" s="2694">
        <f t="shared" si="3"/>
        <v>797</v>
      </c>
      <c r="I54" s="2694">
        <f>I55+I56</f>
        <v>306</v>
      </c>
      <c r="K54" s="2676"/>
      <c r="L54" s="2676"/>
    </row>
    <row r="55" spans="1:12" s="2675" customFormat="1" ht="16.5" customHeight="1">
      <c r="A55" s="3528" t="s">
        <v>3527</v>
      </c>
      <c r="B55" s="3529"/>
      <c r="C55" s="2694">
        <v>2</v>
      </c>
      <c r="D55" s="2695">
        <v>31</v>
      </c>
      <c r="E55" s="2694">
        <v>27</v>
      </c>
      <c r="F55" s="2694">
        <v>12</v>
      </c>
      <c r="G55" s="2694">
        <v>1027</v>
      </c>
      <c r="H55" s="2694">
        <v>632</v>
      </c>
      <c r="I55" s="2694">
        <f>154+34+15</f>
        <v>203</v>
      </c>
      <c r="K55" s="2676"/>
      <c r="L55" s="2676"/>
    </row>
    <row r="56" spans="1:12" s="2675" customFormat="1" ht="16.5" customHeight="1">
      <c r="A56" s="3528" t="s">
        <v>3528</v>
      </c>
      <c r="B56" s="3529"/>
      <c r="C56" s="2696">
        <v>0</v>
      </c>
      <c r="D56" s="2696">
        <v>0</v>
      </c>
      <c r="E56" s="2696">
        <v>0</v>
      </c>
      <c r="F56" s="2696">
        <v>0</v>
      </c>
      <c r="G56" s="2696">
        <v>0</v>
      </c>
      <c r="H56" s="2694">
        <v>165</v>
      </c>
      <c r="I56" s="2694">
        <f>31+67+3+2</f>
        <v>103</v>
      </c>
      <c r="J56" s="2703"/>
      <c r="K56" s="2676"/>
      <c r="L56" s="2676"/>
    </row>
    <row r="57" spans="1:12" s="2675" customFormat="1" ht="12.75" customHeight="1">
      <c r="A57" s="2704" t="s">
        <v>3567</v>
      </c>
      <c r="B57" s="2705"/>
      <c r="C57" s="2706">
        <v>114.907</v>
      </c>
      <c r="D57" s="2706">
        <v>30.811</v>
      </c>
      <c r="E57" s="2707">
        <v>0</v>
      </c>
      <c r="F57" s="2707">
        <v>0</v>
      </c>
      <c r="G57" s="2707">
        <v>0</v>
      </c>
      <c r="H57" s="2707">
        <v>0</v>
      </c>
      <c r="I57" s="2707">
        <v>0</v>
      </c>
      <c r="K57" s="2676"/>
      <c r="L57" s="2676"/>
    </row>
    <row r="58" spans="1:12" s="2675" customFormat="1" ht="13.5">
      <c r="A58" s="2708" t="s">
        <v>3530</v>
      </c>
      <c r="B58" s="2709" t="s">
        <v>3568</v>
      </c>
      <c r="C58" s="2710"/>
      <c r="D58" s="2710"/>
      <c r="E58" s="2710"/>
      <c r="F58" s="2710"/>
    </row>
    <row r="59" spans="1:12" s="2675" customFormat="1" ht="13.5">
      <c r="A59" s="2708" t="s">
        <v>3532</v>
      </c>
      <c r="B59" s="2709"/>
      <c r="C59" s="2710"/>
      <c r="D59" s="2710"/>
      <c r="E59" s="2710"/>
      <c r="F59" s="2710"/>
    </row>
    <row r="60" spans="1:12" s="2675" customFormat="1" ht="13.5">
      <c r="A60" s="2711" t="s">
        <v>361</v>
      </c>
      <c r="B60" s="2709"/>
      <c r="C60" s="2710"/>
      <c r="D60" s="2710"/>
      <c r="E60" s="2710"/>
      <c r="F60" s="2710"/>
    </row>
    <row r="61" spans="1:12" ht="12">
      <c r="A61" s="2711" t="s">
        <v>303</v>
      </c>
      <c r="E61" s="2712"/>
      <c r="F61" s="2712"/>
    </row>
    <row r="62" spans="1:12" ht="12">
      <c r="E62" s="2712"/>
      <c r="F62" s="2712"/>
    </row>
    <row r="63" spans="1:12" ht="12">
      <c r="E63" s="2712"/>
      <c r="F63" s="2712"/>
    </row>
    <row r="64" spans="1:12" ht="12">
      <c r="E64" s="2712"/>
      <c r="F64" s="2712"/>
    </row>
    <row r="65" spans="5:6" ht="12">
      <c r="E65" s="2712"/>
      <c r="F65" s="2712"/>
    </row>
    <row r="66" spans="5:6" ht="12">
      <c r="E66" s="2712"/>
      <c r="F66" s="2712"/>
    </row>
    <row r="67" spans="5:6" ht="12">
      <c r="E67" s="2712"/>
      <c r="F67" s="2712"/>
    </row>
    <row r="68" spans="5:6" ht="12">
      <c r="E68" s="2712"/>
      <c r="F68" s="2712"/>
    </row>
    <row r="69" spans="5:6" ht="12">
      <c r="E69" s="2675"/>
      <c r="F69" s="2675"/>
    </row>
    <row r="70" spans="5:6" ht="12">
      <c r="E70" s="2675"/>
      <c r="F70" s="2675"/>
    </row>
    <row r="71" spans="5:6" ht="12">
      <c r="E71" s="2675"/>
      <c r="F71" s="2675"/>
    </row>
    <row r="72" spans="5:6" ht="12">
      <c r="E72" s="2675"/>
      <c r="F72" s="2675"/>
    </row>
    <row r="73" spans="5:6" ht="12">
      <c r="E73" s="2663"/>
      <c r="F73" s="2663"/>
    </row>
    <row r="74" spans="5:6" ht="12">
      <c r="E74" s="2663"/>
      <c r="F74" s="2663"/>
    </row>
    <row r="75" spans="5:6" ht="12">
      <c r="E75" s="2663"/>
      <c r="F75" s="2663"/>
    </row>
  </sheetData>
  <mergeCells count="18">
    <mergeCell ref="A53:B53"/>
    <mergeCell ref="A55:B55"/>
    <mergeCell ref="A56:B56"/>
    <mergeCell ref="G4:G5"/>
    <mergeCell ref="H4:H5"/>
    <mergeCell ref="A31:B31"/>
    <mergeCell ref="A32:B32"/>
    <mergeCell ref="A52:B52"/>
    <mergeCell ref="I4:I5"/>
    <mergeCell ref="A24:B24"/>
    <mergeCell ref="A25:H25"/>
    <mergeCell ref="A30:B30"/>
    <mergeCell ref="A4:A5"/>
    <mergeCell ref="B4:B5"/>
    <mergeCell ref="C4:C5"/>
    <mergeCell ref="D4:D5"/>
    <mergeCell ref="E4:E5"/>
    <mergeCell ref="F4:F5"/>
  </mergeCells>
  <printOptions horizontalCentered="1" verticalCentered="1"/>
  <pageMargins left="0.85433070899999997" right="0.10433070899999999" top="0" bottom="0" header="0.511811023622047" footer="0.511811023622047"/>
  <pageSetup paperSize="9" scale="7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view="pageBreakPreview" zoomScale="60" zoomScaleNormal="75" workbookViewId="0">
      <pane xSplit="2" ySplit="5" topLeftCell="C108" activePane="bottomRight" state="frozen"/>
      <selection pane="topRight" activeCell="C1" sqref="C1"/>
      <selection pane="bottomLeft" activeCell="A5" sqref="A5"/>
      <selection pane="bottomRight" activeCell="I19" sqref="I19"/>
    </sheetView>
  </sheetViews>
  <sheetFormatPr defaultRowHeight="23.25"/>
  <cols>
    <col min="1" max="1" width="4.85546875" style="2811" customWidth="1"/>
    <col min="2" max="2" width="56.5703125" style="2727" customWidth="1"/>
    <col min="3" max="6" width="16.42578125" style="2809" customWidth="1"/>
    <col min="7" max="7" width="16.42578125" style="1689" customWidth="1"/>
    <col min="8" max="10" width="9.140625" style="1689"/>
    <col min="11" max="11" width="10.5703125" style="1689" bestFit="1" customWidth="1"/>
    <col min="12" max="256" width="9.140625" style="1689"/>
    <col min="257" max="257" width="4.85546875" style="1689" customWidth="1"/>
    <col min="258" max="258" width="56.5703125" style="1689" customWidth="1"/>
    <col min="259" max="263" width="16.42578125" style="1689" customWidth="1"/>
    <col min="264" max="266" width="9.140625" style="1689"/>
    <col min="267" max="267" width="10.5703125" style="1689" bestFit="1" customWidth="1"/>
    <col min="268" max="512" width="9.140625" style="1689"/>
    <col min="513" max="513" width="4.85546875" style="1689" customWidth="1"/>
    <col min="514" max="514" width="56.5703125" style="1689" customWidth="1"/>
    <col min="515" max="519" width="16.42578125" style="1689" customWidth="1"/>
    <col min="520" max="522" width="9.140625" style="1689"/>
    <col min="523" max="523" width="10.5703125" style="1689" bestFit="1" customWidth="1"/>
    <col min="524" max="768" width="9.140625" style="1689"/>
    <col min="769" max="769" width="4.85546875" style="1689" customWidth="1"/>
    <col min="770" max="770" width="56.5703125" style="1689" customWidth="1"/>
    <col min="771" max="775" width="16.42578125" style="1689" customWidth="1"/>
    <col min="776" max="778" width="9.140625" style="1689"/>
    <col min="779" max="779" width="10.5703125" style="1689" bestFit="1" customWidth="1"/>
    <col min="780" max="1024" width="9.140625" style="1689"/>
    <col min="1025" max="1025" width="4.85546875" style="1689" customWidth="1"/>
    <col min="1026" max="1026" width="56.5703125" style="1689" customWidth="1"/>
    <col min="1027" max="1031" width="16.42578125" style="1689" customWidth="1"/>
    <col min="1032" max="1034" width="9.140625" style="1689"/>
    <col min="1035" max="1035" width="10.5703125" style="1689" bestFit="1" customWidth="1"/>
    <col min="1036" max="1280" width="9.140625" style="1689"/>
    <col min="1281" max="1281" width="4.85546875" style="1689" customWidth="1"/>
    <col min="1282" max="1282" width="56.5703125" style="1689" customWidth="1"/>
    <col min="1283" max="1287" width="16.42578125" style="1689" customWidth="1"/>
    <col min="1288" max="1290" width="9.140625" style="1689"/>
    <col min="1291" max="1291" width="10.5703125" style="1689" bestFit="1" customWidth="1"/>
    <col min="1292" max="1536" width="9.140625" style="1689"/>
    <col min="1537" max="1537" width="4.85546875" style="1689" customWidth="1"/>
    <col min="1538" max="1538" width="56.5703125" style="1689" customWidth="1"/>
    <col min="1539" max="1543" width="16.42578125" style="1689" customWidth="1"/>
    <col min="1544" max="1546" width="9.140625" style="1689"/>
    <col min="1547" max="1547" width="10.5703125" style="1689" bestFit="1" customWidth="1"/>
    <col min="1548" max="1792" width="9.140625" style="1689"/>
    <col min="1793" max="1793" width="4.85546875" style="1689" customWidth="1"/>
    <col min="1794" max="1794" width="56.5703125" style="1689" customWidth="1"/>
    <col min="1795" max="1799" width="16.42578125" style="1689" customWidth="1"/>
    <col min="1800" max="1802" width="9.140625" style="1689"/>
    <col min="1803" max="1803" width="10.5703125" style="1689" bestFit="1" customWidth="1"/>
    <col min="1804" max="2048" width="9.140625" style="1689"/>
    <col min="2049" max="2049" width="4.85546875" style="1689" customWidth="1"/>
    <col min="2050" max="2050" width="56.5703125" style="1689" customWidth="1"/>
    <col min="2051" max="2055" width="16.42578125" style="1689" customWidth="1"/>
    <col min="2056" max="2058" width="9.140625" style="1689"/>
    <col min="2059" max="2059" width="10.5703125" style="1689" bestFit="1" customWidth="1"/>
    <col min="2060" max="2304" width="9.140625" style="1689"/>
    <col min="2305" max="2305" width="4.85546875" style="1689" customWidth="1"/>
    <col min="2306" max="2306" width="56.5703125" style="1689" customWidth="1"/>
    <col min="2307" max="2311" width="16.42578125" style="1689" customWidth="1"/>
    <col min="2312" max="2314" width="9.140625" style="1689"/>
    <col min="2315" max="2315" width="10.5703125" style="1689" bestFit="1" customWidth="1"/>
    <col min="2316" max="2560" width="9.140625" style="1689"/>
    <col min="2561" max="2561" width="4.85546875" style="1689" customWidth="1"/>
    <col min="2562" max="2562" width="56.5703125" style="1689" customWidth="1"/>
    <col min="2563" max="2567" width="16.42578125" style="1689" customWidth="1"/>
    <col min="2568" max="2570" width="9.140625" style="1689"/>
    <col min="2571" max="2571" width="10.5703125" style="1689" bestFit="1" customWidth="1"/>
    <col min="2572" max="2816" width="9.140625" style="1689"/>
    <col min="2817" max="2817" width="4.85546875" style="1689" customWidth="1"/>
    <col min="2818" max="2818" width="56.5703125" style="1689" customWidth="1"/>
    <col min="2819" max="2823" width="16.42578125" style="1689" customWidth="1"/>
    <col min="2824" max="2826" width="9.140625" style="1689"/>
    <col min="2827" max="2827" width="10.5703125" style="1689" bestFit="1" customWidth="1"/>
    <col min="2828" max="3072" width="9.140625" style="1689"/>
    <col min="3073" max="3073" width="4.85546875" style="1689" customWidth="1"/>
    <col min="3074" max="3074" width="56.5703125" style="1689" customWidth="1"/>
    <col min="3075" max="3079" width="16.42578125" style="1689" customWidth="1"/>
    <col min="3080" max="3082" width="9.140625" style="1689"/>
    <col min="3083" max="3083" width="10.5703125" style="1689" bestFit="1" customWidth="1"/>
    <col min="3084" max="3328" width="9.140625" style="1689"/>
    <col min="3329" max="3329" width="4.85546875" style="1689" customWidth="1"/>
    <col min="3330" max="3330" width="56.5703125" style="1689" customWidth="1"/>
    <col min="3331" max="3335" width="16.42578125" style="1689" customWidth="1"/>
    <col min="3336" max="3338" width="9.140625" style="1689"/>
    <col min="3339" max="3339" width="10.5703125" style="1689" bestFit="1" customWidth="1"/>
    <col min="3340" max="3584" width="9.140625" style="1689"/>
    <col min="3585" max="3585" width="4.85546875" style="1689" customWidth="1"/>
    <col min="3586" max="3586" width="56.5703125" style="1689" customWidth="1"/>
    <col min="3587" max="3591" width="16.42578125" style="1689" customWidth="1"/>
    <col min="3592" max="3594" width="9.140625" style="1689"/>
    <col min="3595" max="3595" width="10.5703125" style="1689" bestFit="1" customWidth="1"/>
    <col min="3596" max="3840" width="9.140625" style="1689"/>
    <col min="3841" max="3841" width="4.85546875" style="1689" customWidth="1"/>
    <col min="3842" max="3842" width="56.5703125" style="1689" customWidth="1"/>
    <col min="3843" max="3847" width="16.42578125" style="1689" customWidth="1"/>
    <col min="3848" max="3850" width="9.140625" style="1689"/>
    <col min="3851" max="3851" width="10.5703125" style="1689" bestFit="1" customWidth="1"/>
    <col min="3852" max="4096" width="9.140625" style="1689"/>
    <col min="4097" max="4097" width="4.85546875" style="1689" customWidth="1"/>
    <col min="4098" max="4098" width="56.5703125" style="1689" customWidth="1"/>
    <col min="4099" max="4103" width="16.42578125" style="1689" customWidth="1"/>
    <col min="4104" max="4106" width="9.140625" style="1689"/>
    <col min="4107" max="4107" width="10.5703125" style="1689" bestFit="1" customWidth="1"/>
    <col min="4108" max="4352" width="9.140625" style="1689"/>
    <col min="4353" max="4353" width="4.85546875" style="1689" customWidth="1"/>
    <col min="4354" max="4354" width="56.5703125" style="1689" customWidth="1"/>
    <col min="4355" max="4359" width="16.42578125" style="1689" customWidth="1"/>
    <col min="4360" max="4362" width="9.140625" style="1689"/>
    <col min="4363" max="4363" width="10.5703125" style="1689" bestFit="1" customWidth="1"/>
    <col min="4364" max="4608" width="9.140625" style="1689"/>
    <col min="4609" max="4609" width="4.85546875" style="1689" customWidth="1"/>
    <col min="4610" max="4610" width="56.5703125" style="1689" customWidth="1"/>
    <col min="4611" max="4615" width="16.42578125" style="1689" customWidth="1"/>
    <col min="4616" max="4618" width="9.140625" style="1689"/>
    <col min="4619" max="4619" width="10.5703125" style="1689" bestFit="1" customWidth="1"/>
    <col min="4620" max="4864" width="9.140625" style="1689"/>
    <col min="4865" max="4865" width="4.85546875" style="1689" customWidth="1"/>
    <col min="4866" max="4866" width="56.5703125" style="1689" customWidth="1"/>
    <col min="4867" max="4871" width="16.42578125" style="1689" customWidth="1"/>
    <col min="4872" max="4874" width="9.140625" style="1689"/>
    <col min="4875" max="4875" width="10.5703125" style="1689" bestFit="1" customWidth="1"/>
    <col min="4876" max="5120" width="9.140625" style="1689"/>
    <col min="5121" max="5121" width="4.85546875" style="1689" customWidth="1"/>
    <col min="5122" max="5122" width="56.5703125" style="1689" customWidth="1"/>
    <col min="5123" max="5127" width="16.42578125" style="1689" customWidth="1"/>
    <col min="5128" max="5130" width="9.140625" style="1689"/>
    <col min="5131" max="5131" width="10.5703125" style="1689" bestFit="1" customWidth="1"/>
    <col min="5132" max="5376" width="9.140625" style="1689"/>
    <col min="5377" max="5377" width="4.85546875" style="1689" customWidth="1"/>
    <col min="5378" max="5378" width="56.5703125" style="1689" customWidth="1"/>
    <col min="5379" max="5383" width="16.42578125" style="1689" customWidth="1"/>
    <col min="5384" max="5386" width="9.140625" style="1689"/>
    <col min="5387" max="5387" width="10.5703125" style="1689" bestFit="1" customWidth="1"/>
    <col min="5388" max="5632" width="9.140625" style="1689"/>
    <col min="5633" max="5633" width="4.85546875" style="1689" customWidth="1"/>
    <col min="5634" max="5634" width="56.5703125" style="1689" customWidth="1"/>
    <col min="5635" max="5639" width="16.42578125" style="1689" customWidth="1"/>
    <col min="5640" max="5642" width="9.140625" style="1689"/>
    <col min="5643" max="5643" width="10.5703125" style="1689" bestFit="1" customWidth="1"/>
    <col min="5644" max="5888" width="9.140625" style="1689"/>
    <col min="5889" max="5889" width="4.85546875" style="1689" customWidth="1"/>
    <col min="5890" max="5890" width="56.5703125" style="1689" customWidth="1"/>
    <col min="5891" max="5895" width="16.42578125" style="1689" customWidth="1"/>
    <col min="5896" max="5898" width="9.140625" style="1689"/>
    <col min="5899" max="5899" width="10.5703125" style="1689" bestFit="1" customWidth="1"/>
    <col min="5900" max="6144" width="9.140625" style="1689"/>
    <col min="6145" max="6145" width="4.85546875" style="1689" customWidth="1"/>
    <col min="6146" max="6146" width="56.5703125" style="1689" customWidth="1"/>
    <col min="6147" max="6151" width="16.42578125" style="1689" customWidth="1"/>
    <col min="6152" max="6154" width="9.140625" style="1689"/>
    <col min="6155" max="6155" width="10.5703125" style="1689" bestFit="1" customWidth="1"/>
    <col min="6156" max="6400" width="9.140625" style="1689"/>
    <col min="6401" max="6401" width="4.85546875" style="1689" customWidth="1"/>
    <col min="6402" max="6402" width="56.5703125" style="1689" customWidth="1"/>
    <col min="6403" max="6407" width="16.42578125" style="1689" customWidth="1"/>
    <col min="6408" max="6410" width="9.140625" style="1689"/>
    <col min="6411" max="6411" width="10.5703125" style="1689" bestFit="1" customWidth="1"/>
    <col min="6412" max="6656" width="9.140625" style="1689"/>
    <col min="6657" max="6657" width="4.85546875" style="1689" customWidth="1"/>
    <col min="6658" max="6658" width="56.5703125" style="1689" customWidth="1"/>
    <col min="6659" max="6663" width="16.42578125" style="1689" customWidth="1"/>
    <col min="6664" max="6666" width="9.140625" style="1689"/>
    <col min="6667" max="6667" width="10.5703125" style="1689" bestFit="1" customWidth="1"/>
    <col min="6668" max="6912" width="9.140625" style="1689"/>
    <col min="6913" max="6913" width="4.85546875" style="1689" customWidth="1"/>
    <col min="6914" max="6914" width="56.5703125" style="1689" customWidth="1"/>
    <col min="6915" max="6919" width="16.42578125" style="1689" customWidth="1"/>
    <col min="6920" max="6922" width="9.140625" style="1689"/>
    <col min="6923" max="6923" width="10.5703125" style="1689" bestFit="1" customWidth="1"/>
    <col min="6924" max="7168" width="9.140625" style="1689"/>
    <col min="7169" max="7169" width="4.85546875" style="1689" customWidth="1"/>
    <col min="7170" max="7170" width="56.5703125" style="1689" customWidth="1"/>
    <col min="7171" max="7175" width="16.42578125" style="1689" customWidth="1"/>
    <col min="7176" max="7178" width="9.140625" style="1689"/>
    <col min="7179" max="7179" width="10.5703125" style="1689" bestFit="1" customWidth="1"/>
    <col min="7180" max="7424" width="9.140625" style="1689"/>
    <col min="7425" max="7425" width="4.85546875" style="1689" customWidth="1"/>
    <col min="7426" max="7426" width="56.5703125" style="1689" customWidth="1"/>
    <col min="7427" max="7431" width="16.42578125" style="1689" customWidth="1"/>
    <col min="7432" max="7434" width="9.140625" style="1689"/>
    <col min="7435" max="7435" width="10.5703125" style="1689" bestFit="1" customWidth="1"/>
    <col min="7436" max="7680" width="9.140625" style="1689"/>
    <col min="7681" max="7681" width="4.85546875" style="1689" customWidth="1"/>
    <col min="7682" max="7682" width="56.5703125" style="1689" customWidth="1"/>
    <col min="7683" max="7687" width="16.42578125" style="1689" customWidth="1"/>
    <col min="7688" max="7690" width="9.140625" style="1689"/>
    <col min="7691" max="7691" width="10.5703125" style="1689" bestFit="1" customWidth="1"/>
    <col min="7692" max="7936" width="9.140625" style="1689"/>
    <col min="7937" max="7937" width="4.85546875" style="1689" customWidth="1"/>
    <col min="7938" max="7938" width="56.5703125" style="1689" customWidth="1"/>
    <col min="7939" max="7943" width="16.42578125" style="1689" customWidth="1"/>
    <col min="7944" max="7946" width="9.140625" style="1689"/>
    <col min="7947" max="7947" width="10.5703125" style="1689" bestFit="1" customWidth="1"/>
    <col min="7948" max="8192" width="9.140625" style="1689"/>
    <col min="8193" max="8193" width="4.85546875" style="1689" customWidth="1"/>
    <col min="8194" max="8194" width="56.5703125" style="1689" customWidth="1"/>
    <col min="8195" max="8199" width="16.42578125" style="1689" customWidth="1"/>
    <col min="8200" max="8202" width="9.140625" style="1689"/>
    <col min="8203" max="8203" width="10.5703125" style="1689" bestFit="1" customWidth="1"/>
    <col min="8204" max="8448" width="9.140625" style="1689"/>
    <col min="8449" max="8449" width="4.85546875" style="1689" customWidth="1"/>
    <col min="8450" max="8450" width="56.5703125" style="1689" customWidth="1"/>
    <col min="8451" max="8455" width="16.42578125" style="1689" customWidth="1"/>
    <col min="8456" max="8458" width="9.140625" style="1689"/>
    <col min="8459" max="8459" width="10.5703125" style="1689" bestFit="1" customWidth="1"/>
    <col min="8460" max="8704" width="9.140625" style="1689"/>
    <col min="8705" max="8705" width="4.85546875" style="1689" customWidth="1"/>
    <col min="8706" max="8706" width="56.5703125" style="1689" customWidth="1"/>
    <col min="8707" max="8711" width="16.42578125" style="1689" customWidth="1"/>
    <col min="8712" max="8714" width="9.140625" style="1689"/>
    <col min="8715" max="8715" width="10.5703125" style="1689" bestFit="1" customWidth="1"/>
    <col min="8716" max="8960" width="9.140625" style="1689"/>
    <col min="8961" max="8961" width="4.85546875" style="1689" customWidth="1"/>
    <col min="8962" max="8962" width="56.5703125" style="1689" customWidth="1"/>
    <col min="8963" max="8967" width="16.42578125" style="1689" customWidth="1"/>
    <col min="8968" max="8970" width="9.140625" style="1689"/>
    <col min="8971" max="8971" width="10.5703125" style="1689" bestFit="1" customWidth="1"/>
    <col min="8972" max="9216" width="9.140625" style="1689"/>
    <col min="9217" max="9217" width="4.85546875" style="1689" customWidth="1"/>
    <col min="9218" max="9218" width="56.5703125" style="1689" customWidth="1"/>
    <col min="9219" max="9223" width="16.42578125" style="1689" customWidth="1"/>
    <col min="9224" max="9226" width="9.140625" style="1689"/>
    <col min="9227" max="9227" width="10.5703125" style="1689" bestFit="1" customWidth="1"/>
    <col min="9228" max="9472" width="9.140625" style="1689"/>
    <col min="9473" max="9473" width="4.85546875" style="1689" customWidth="1"/>
    <col min="9474" max="9474" width="56.5703125" style="1689" customWidth="1"/>
    <col min="9475" max="9479" width="16.42578125" style="1689" customWidth="1"/>
    <col min="9480" max="9482" width="9.140625" style="1689"/>
    <col min="9483" max="9483" width="10.5703125" style="1689" bestFit="1" customWidth="1"/>
    <col min="9484" max="9728" width="9.140625" style="1689"/>
    <col min="9729" max="9729" width="4.85546875" style="1689" customWidth="1"/>
    <col min="9730" max="9730" width="56.5703125" style="1689" customWidth="1"/>
    <col min="9731" max="9735" width="16.42578125" style="1689" customWidth="1"/>
    <col min="9736" max="9738" width="9.140625" style="1689"/>
    <col min="9739" max="9739" width="10.5703125" style="1689" bestFit="1" customWidth="1"/>
    <col min="9740" max="9984" width="9.140625" style="1689"/>
    <col min="9985" max="9985" width="4.85546875" style="1689" customWidth="1"/>
    <col min="9986" max="9986" width="56.5703125" style="1689" customWidth="1"/>
    <col min="9987" max="9991" width="16.42578125" style="1689" customWidth="1"/>
    <col min="9992" max="9994" width="9.140625" style="1689"/>
    <col min="9995" max="9995" width="10.5703125" style="1689" bestFit="1" customWidth="1"/>
    <col min="9996" max="10240" width="9.140625" style="1689"/>
    <col min="10241" max="10241" width="4.85546875" style="1689" customWidth="1"/>
    <col min="10242" max="10242" width="56.5703125" style="1689" customWidth="1"/>
    <col min="10243" max="10247" width="16.42578125" style="1689" customWidth="1"/>
    <col min="10248" max="10250" width="9.140625" style="1689"/>
    <col min="10251" max="10251" width="10.5703125" style="1689" bestFit="1" customWidth="1"/>
    <col min="10252" max="10496" width="9.140625" style="1689"/>
    <col min="10497" max="10497" width="4.85546875" style="1689" customWidth="1"/>
    <col min="10498" max="10498" width="56.5703125" style="1689" customWidth="1"/>
    <col min="10499" max="10503" width="16.42578125" style="1689" customWidth="1"/>
    <col min="10504" max="10506" width="9.140625" style="1689"/>
    <col min="10507" max="10507" width="10.5703125" style="1689" bestFit="1" customWidth="1"/>
    <col min="10508" max="10752" width="9.140625" style="1689"/>
    <col min="10753" max="10753" width="4.85546875" style="1689" customWidth="1"/>
    <col min="10754" max="10754" width="56.5703125" style="1689" customWidth="1"/>
    <col min="10755" max="10759" width="16.42578125" style="1689" customWidth="1"/>
    <col min="10760" max="10762" width="9.140625" style="1689"/>
    <col min="10763" max="10763" width="10.5703125" style="1689" bestFit="1" customWidth="1"/>
    <col min="10764" max="11008" width="9.140625" style="1689"/>
    <col min="11009" max="11009" width="4.85546875" style="1689" customWidth="1"/>
    <col min="11010" max="11010" width="56.5703125" style="1689" customWidth="1"/>
    <col min="11011" max="11015" width="16.42578125" style="1689" customWidth="1"/>
    <col min="11016" max="11018" width="9.140625" style="1689"/>
    <col min="11019" max="11019" width="10.5703125" style="1689" bestFit="1" customWidth="1"/>
    <col min="11020" max="11264" width="9.140625" style="1689"/>
    <col min="11265" max="11265" width="4.85546875" style="1689" customWidth="1"/>
    <col min="11266" max="11266" width="56.5703125" style="1689" customWidth="1"/>
    <col min="11267" max="11271" width="16.42578125" style="1689" customWidth="1"/>
    <col min="11272" max="11274" width="9.140625" style="1689"/>
    <col min="11275" max="11275" width="10.5703125" style="1689" bestFit="1" customWidth="1"/>
    <col min="11276" max="11520" width="9.140625" style="1689"/>
    <col min="11521" max="11521" width="4.85546875" style="1689" customWidth="1"/>
    <col min="11522" max="11522" width="56.5703125" style="1689" customWidth="1"/>
    <col min="11523" max="11527" width="16.42578125" style="1689" customWidth="1"/>
    <col min="11528" max="11530" width="9.140625" style="1689"/>
    <col min="11531" max="11531" width="10.5703125" style="1689" bestFit="1" customWidth="1"/>
    <col min="11532" max="11776" width="9.140625" style="1689"/>
    <col min="11777" max="11777" width="4.85546875" style="1689" customWidth="1"/>
    <col min="11778" max="11778" width="56.5703125" style="1689" customWidth="1"/>
    <col min="11779" max="11783" width="16.42578125" style="1689" customWidth="1"/>
    <col min="11784" max="11786" width="9.140625" style="1689"/>
    <col min="11787" max="11787" width="10.5703125" style="1689" bestFit="1" customWidth="1"/>
    <col min="11788" max="12032" width="9.140625" style="1689"/>
    <col min="12033" max="12033" width="4.85546875" style="1689" customWidth="1"/>
    <col min="12034" max="12034" width="56.5703125" style="1689" customWidth="1"/>
    <col min="12035" max="12039" width="16.42578125" style="1689" customWidth="1"/>
    <col min="12040" max="12042" width="9.140625" style="1689"/>
    <col min="12043" max="12043" width="10.5703125" style="1689" bestFit="1" customWidth="1"/>
    <col min="12044" max="12288" width="9.140625" style="1689"/>
    <col min="12289" max="12289" width="4.85546875" style="1689" customWidth="1"/>
    <col min="12290" max="12290" width="56.5703125" style="1689" customWidth="1"/>
    <col min="12291" max="12295" width="16.42578125" style="1689" customWidth="1"/>
    <col min="12296" max="12298" width="9.140625" style="1689"/>
    <col min="12299" max="12299" width="10.5703125" style="1689" bestFit="1" customWidth="1"/>
    <col min="12300" max="12544" width="9.140625" style="1689"/>
    <col min="12545" max="12545" width="4.85546875" style="1689" customWidth="1"/>
    <col min="12546" max="12546" width="56.5703125" style="1689" customWidth="1"/>
    <col min="12547" max="12551" width="16.42578125" style="1689" customWidth="1"/>
    <col min="12552" max="12554" width="9.140625" style="1689"/>
    <col min="12555" max="12555" width="10.5703125" style="1689" bestFit="1" customWidth="1"/>
    <col min="12556" max="12800" width="9.140625" style="1689"/>
    <col min="12801" max="12801" width="4.85546875" style="1689" customWidth="1"/>
    <col min="12802" max="12802" width="56.5703125" style="1689" customWidth="1"/>
    <col min="12803" max="12807" width="16.42578125" style="1689" customWidth="1"/>
    <col min="12808" max="12810" width="9.140625" style="1689"/>
    <col min="12811" max="12811" width="10.5703125" style="1689" bestFit="1" customWidth="1"/>
    <col min="12812" max="13056" width="9.140625" style="1689"/>
    <col min="13057" max="13057" width="4.85546875" style="1689" customWidth="1"/>
    <col min="13058" max="13058" width="56.5703125" style="1689" customWidth="1"/>
    <col min="13059" max="13063" width="16.42578125" style="1689" customWidth="1"/>
    <col min="13064" max="13066" width="9.140625" style="1689"/>
    <col min="13067" max="13067" width="10.5703125" style="1689" bestFit="1" customWidth="1"/>
    <col min="13068" max="13312" width="9.140625" style="1689"/>
    <col min="13313" max="13313" width="4.85546875" style="1689" customWidth="1"/>
    <col min="13314" max="13314" width="56.5703125" style="1689" customWidth="1"/>
    <col min="13315" max="13319" width="16.42578125" style="1689" customWidth="1"/>
    <col min="13320" max="13322" width="9.140625" style="1689"/>
    <col min="13323" max="13323" width="10.5703125" style="1689" bestFit="1" customWidth="1"/>
    <col min="13324" max="13568" width="9.140625" style="1689"/>
    <col min="13569" max="13569" width="4.85546875" style="1689" customWidth="1"/>
    <col min="13570" max="13570" width="56.5703125" style="1689" customWidth="1"/>
    <col min="13571" max="13575" width="16.42578125" style="1689" customWidth="1"/>
    <col min="13576" max="13578" width="9.140625" style="1689"/>
    <col min="13579" max="13579" width="10.5703125" style="1689" bestFit="1" customWidth="1"/>
    <col min="13580" max="13824" width="9.140625" style="1689"/>
    <col min="13825" max="13825" width="4.85546875" style="1689" customWidth="1"/>
    <col min="13826" max="13826" width="56.5703125" style="1689" customWidth="1"/>
    <col min="13827" max="13831" width="16.42578125" style="1689" customWidth="1"/>
    <col min="13832" max="13834" width="9.140625" style="1689"/>
    <col min="13835" max="13835" width="10.5703125" style="1689" bestFit="1" customWidth="1"/>
    <col min="13836" max="14080" width="9.140625" style="1689"/>
    <col min="14081" max="14081" width="4.85546875" style="1689" customWidth="1"/>
    <col min="14082" max="14082" width="56.5703125" style="1689" customWidth="1"/>
    <col min="14083" max="14087" width="16.42578125" style="1689" customWidth="1"/>
    <col min="14088" max="14090" width="9.140625" style="1689"/>
    <col min="14091" max="14091" width="10.5703125" style="1689" bestFit="1" customWidth="1"/>
    <col min="14092" max="14336" width="9.140625" style="1689"/>
    <col min="14337" max="14337" width="4.85546875" style="1689" customWidth="1"/>
    <col min="14338" max="14338" width="56.5703125" style="1689" customWidth="1"/>
    <col min="14339" max="14343" width="16.42578125" style="1689" customWidth="1"/>
    <col min="14344" max="14346" width="9.140625" style="1689"/>
    <col min="14347" max="14347" width="10.5703125" style="1689" bestFit="1" customWidth="1"/>
    <col min="14348" max="14592" width="9.140625" style="1689"/>
    <col min="14593" max="14593" width="4.85546875" style="1689" customWidth="1"/>
    <col min="14594" max="14594" width="56.5703125" style="1689" customWidth="1"/>
    <col min="14595" max="14599" width="16.42578125" style="1689" customWidth="1"/>
    <col min="14600" max="14602" width="9.140625" style="1689"/>
    <col min="14603" max="14603" width="10.5703125" style="1689" bestFit="1" customWidth="1"/>
    <col min="14604" max="14848" width="9.140625" style="1689"/>
    <col min="14849" max="14849" width="4.85546875" style="1689" customWidth="1"/>
    <col min="14850" max="14850" width="56.5703125" style="1689" customWidth="1"/>
    <col min="14851" max="14855" width="16.42578125" style="1689" customWidth="1"/>
    <col min="14856" max="14858" width="9.140625" style="1689"/>
    <col min="14859" max="14859" width="10.5703125" style="1689" bestFit="1" customWidth="1"/>
    <col min="14860" max="15104" width="9.140625" style="1689"/>
    <col min="15105" max="15105" width="4.85546875" style="1689" customWidth="1"/>
    <col min="15106" max="15106" width="56.5703125" style="1689" customWidth="1"/>
    <col min="15107" max="15111" width="16.42578125" style="1689" customWidth="1"/>
    <col min="15112" max="15114" width="9.140625" style="1689"/>
    <col min="15115" max="15115" width="10.5703125" style="1689" bestFit="1" customWidth="1"/>
    <col min="15116" max="15360" width="9.140625" style="1689"/>
    <col min="15361" max="15361" width="4.85546875" style="1689" customWidth="1"/>
    <col min="15362" max="15362" width="56.5703125" style="1689" customWidth="1"/>
    <col min="15363" max="15367" width="16.42578125" style="1689" customWidth="1"/>
    <col min="15368" max="15370" width="9.140625" style="1689"/>
    <col min="15371" max="15371" width="10.5703125" style="1689" bestFit="1" customWidth="1"/>
    <col min="15372" max="15616" width="9.140625" style="1689"/>
    <col min="15617" max="15617" width="4.85546875" style="1689" customWidth="1"/>
    <col min="15618" max="15618" width="56.5703125" style="1689" customWidth="1"/>
    <col min="15619" max="15623" width="16.42578125" style="1689" customWidth="1"/>
    <col min="15624" max="15626" width="9.140625" style="1689"/>
    <col min="15627" max="15627" width="10.5703125" style="1689" bestFit="1" customWidth="1"/>
    <col min="15628" max="15872" width="9.140625" style="1689"/>
    <col min="15873" max="15873" width="4.85546875" style="1689" customWidth="1"/>
    <col min="15874" max="15874" width="56.5703125" style="1689" customWidth="1"/>
    <col min="15875" max="15879" width="16.42578125" style="1689" customWidth="1"/>
    <col min="15880" max="15882" width="9.140625" style="1689"/>
    <col min="15883" max="15883" width="10.5703125" style="1689" bestFit="1" customWidth="1"/>
    <col min="15884" max="16128" width="9.140625" style="1689"/>
    <col min="16129" max="16129" width="4.85546875" style="1689" customWidth="1"/>
    <col min="16130" max="16130" width="56.5703125" style="1689" customWidth="1"/>
    <col min="16131" max="16135" width="16.42578125" style="1689" customWidth="1"/>
    <col min="16136" max="16138" width="9.140625" style="1689"/>
    <col min="16139" max="16139" width="10.5703125" style="1689" bestFit="1" customWidth="1"/>
    <col min="16140" max="16384" width="9.140625" style="1689"/>
  </cols>
  <sheetData>
    <row r="1" spans="1:7" ht="31.5" customHeight="1">
      <c r="A1" s="3543" t="s">
        <v>3569</v>
      </c>
      <c r="B1" s="3544"/>
      <c r="C1" s="3545"/>
      <c r="D1" s="3545"/>
      <c r="E1" s="3545"/>
      <c r="F1" s="3545"/>
      <c r="G1" s="3545"/>
    </row>
    <row r="2" spans="1:7" ht="30.75" customHeight="1">
      <c r="A2" s="3544"/>
      <c r="B2" s="3544"/>
      <c r="C2" s="3545"/>
      <c r="D2" s="3545"/>
      <c r="E2" s="3545"/>
      <c r="F2" s="3545"/>
      <c r="G2" s="3545"/>
    </row>
    <row r="3" spans="1:7" ht="51" customHeight="1" thickBot="1">
      <c r="A3" s="2713"/>
      <c r="B3" s="2714"/>
      <c r="C3" s="2715"/>
      <c r="D3" s="2715"/>
      <c r="E3" s="2715"/>
      <c r="F3" s="2715"/>
      <c r="G3" s="2716" t="s">
        <v>12</v>
      </c>
    </row>
    <row r="4" spans="1:7" s="2717" customFormat="1" ht="34.5" customHeight="1">
      <c r="A4" s="3546"/>
      <c r="B4" s="3548"/>
      <c r="C4" s="3538" t="s">
        <v>3570</v>
      </c>
      <c r="D4" s="3539"/>
      <c r="E4" s="3539"/>
      <c r="F4" s="3540"/>
      <c r="G4" s="3541" t="s">
        <v>3570</v>
      </c>
    </row>
    <row r="5" spans="1:7" s="2717" customFormat="1" ht="79.5" customHeight="1">
      <c r="A5" s="3547"/>
      <c r="B5" s="3549"/>
      <c r="C5" s="2718" t="s">
        <v>3571</v>
      </c>
      <c r="D5" s="2719" t="s">
        <v>3572</v>
      </c>
      <c r="E5" s="2719" t="s">
        <v>3573</v>
      </c>
      <c r="F5" s="2720" t="s">
        <v>3574</v>
      </c>
      <c r="G5" s="3542"/>
    </row>
    <row r="6" spans="1:7" s="2727" customFormat="1" ht="13.5" customHeight="1">
      <c r="A6" s="2721"/>
      <c r="B6" s="2722"/>
      <c r="C6" s="2723"/>
      <c r="D6" s="2724"/>
      <c r="E6" s="2724"/>
      <c r="F6" s="2725"/>
      <c r="G6" s="2726"/>
    </row>
    <row r="7" spans="1:7" s="2732" customFormat="1" ht="27.75" customHeight="1">
      <c r="A7" s="2721" t="s">
        <v>3575</v>
      </c>
      <c r="B7" s="2728" t="s">
        <v>3576</v>
      </c>
      <c r="C7" s="2729">
        <f>C8+C42+C72</f>
        <v>-4223</v>
      </c>
      <c r="D7" s="2730">
        <f>D8+D42+D72</f>
        <v>-8639.1999999999989</v>
      </c>
      <c r="E7" s="2730">
        <f>E8+E42+E72</f>
        <v>-10984.370930207573</v>
      </c>
      <c r="F7" s="2731">
        <f>F8+F42+F72</f>
        <v>-11703.192999999999</v>
      </c>
      <c r="G7" s="2731">
        <f>C7+D7+E7+F7</f>
        <v>-35549.76393020757</v>
      </c>
    </row>
    <row r="8" spans="1:7" s="2732" customFormat="1" ht="27.75" customHeight="1">
      <c r="A8" s="2721" t="s">
        <v>3577</v>
      </c>
      <c r="B8" s="2728" t="s">
        <v>3578</v>
      </c>
      <c r="C8" s="2729">
        <f>C9+C19</f>
        <v>-7562</v>
      </c>
      <c r="D8" s="2730">
        <f>D9+D19</f>
        <v>-10643</v>
      </c>
      <c r="E8" s="2730">
        <f>E9+E19</f>
        <v>-12674.370930207573</v>
      </c>
      <c r="F8" s="2731">
        <f>F9+F19</f>
        <v>-13233</v>
      </c>
      <c r="G8" s="2731">
        <f t="shared" ref="G8:G54" si="0">C8+D8+E8+F8</f>
        <v>-44112.370930207573</v>
      </c>
    </row>
    <row r="9" spans="1:7" s="2732" customFormat="1" ht="27.75" customHeight="1">
      <c r="A9" s="2721"/>
      <c r="B9" s="2728" t="s">
        <v>3579</v>
      </c>
      <c r="C9" s="2729">
        <f>C10+C11</f>
        <v>-17194</v>
      </c>
      <c r="D9" s="2730">
        <f>D10+D11</f>
        <v>-18095</v>
      </c>
      <c r="E9" s="2730">
        <f>E10+E11</f>
        <v>-17157</v>
      </c>
      <c r="F9" s="2731">
        <f>F10+F11</f>
        <v>-20652</v>
      </c>
      <c r="G9" s="2731">
        <f t="shared" si="0"/>
        <v>-73098</v>
      </c>
    </row>
    <row r="10" spans="1:7" s="2727" customFormat="1" ht="27.75" customHeight="1">
      <c r="A10" s="2721"/>
      <c r="B10" s="2733" t="s">
        <v>3580</v>
      </c>
      <c r="C10" s="2734">
        <f>C13+C16</f>
        <v>18402</v>
      </c>
      <c r="D10" s="2734">
        <f t="shared" ref="C10:E11" si="1">D13+D16</f>
        <v>20434</v>
      </c>
      <c r="E10" s="2734">
        <f t="shared" si="1"/>
        <v>19751</v>
      </c>
      <c r="F10" s="2735">
        <f>F13+F16</f>
        <v>21772</v>
      </c>
      <c r="G10" s="2735">
        <f t="shared" si="0"/>
        <v>80359</v>
      </c>
    </row>
    <row r="11" spans="1:7" s="2727" customFormat="1" ht="27.75" customHeight="1">
      <c r="A11" s="2721"/>
      <c r="B11" s="2733" t="s">
        <v>3581</v>
      </c>
      <c r="C11" s="2736">
        <f t="shared" si="1"/>
        <v>-35596</v>
      </c>
      <c r="D11" s="2737">
        <f t="shared" si="1"/>
        <v>-38529</v>
      </c>
      <c r="E11" s="2737">
        <f t="shared" si="1"/>
        <v>-36908</v>
      </c>
      <c r="F11" s="2738">
        <f>F14+F17</f>
        <v>-42424</v>
      </c>
      <c r="G11" s="2738">
        <f t="shared" si="0"/>
        <v>-153457</v>
      </c>
    </row>
    <row r="12" spans="1:7" s="2727" customFormat="1" ht="27.75" customHeight="1">
      <c r="A12" s="2721"/>
      <c r="B12" s="2733" t="s">
        <v>3582</v>
      </c>
      <c r="C12" s="2734">
        <f>C13+C14</f>
        <v>-18725</v>
      </c>
      <c r="D12" s="2734">
        <f>D13+D14</f>
        <v>-20672</v>
      </c>
      <c r="E12" s="2734">
        <f>E13+E14</f>
        <v>-18882</v>
      </c>
      <c r="F12" s="2735">
        <f>F13+F14</f>
        <v>-23434</v>
      </c>
      <c r="G12" s="2735">
        <f t="shared" si="0"/>
        <v>-81713</v>
      </c>
    </row>
    <row r="13" spans="1:7" s="2727" customFormat="1" ht="27.75" customHeight="1">
      <c r="A13" s="2721"/>
      <c r="B13" s="2733" t="s">
        <v>3583</v>
      </c>
      <c r="C13" s="2739">
        <v>15690</v>
      </c>
      <c r="D13" s="2734">
        <v>16928</v>
      </c>
      <c r="E13" s="2734">
        <v>17264</v>
      </c>
      <c r="F13" s="2735">
        <v>18190</v>
      </c>
      <c r="G13" s="2735">
        <f t="shared" si="0"/>
        <v>68072</v>
      </c>
    </row>
    <row r="14" spans="1:7" s="2727" customFormat="1" ht="27.75" customHeight="1">
      <c r="A14" s="2721"/>
      <c r="B14" s="2733" t="s">
        <v>3584</v>
      </c>
      <c r="C14" s="2739">
        <v>-34415</v>
      </c>
      <c r="D14" s="2734">
        <v>-37600</v>
      </c>
      <c r="E14" s="2734">
        <v>-36146</v>
      </c>
      <c r="F14" s="2735">
        <v>-41624</v>
      </c>
      <c r="G14" s="2735">
        <f t="shared" si="0"/>
        <v>-149785</v>
      </c>
    </row>
    <row r="15" spans="1:7" s="2727" customFormat="1" ht="27.75" customHeight="1">
      <c r="A15" s="2740"/>
      <c r="B15" s="2733" t="s">
        <v>3585</v>
      </c>
      <c r="C15" s="2736">
        <f>C16+C17</f>
        <v>1531</v>
      </c>
      <c r="D15" s="2737">
        <f>D16+D17</f>
        <v>2577</v>
      </c>
      <c r="E15" s="2737">
        <f>E16+E17</f>
        <v>1725</v>
      </c>
      <c r="F15" s="2738">
        <f>F16+F17</f>
        <v>2782</v>
      </c>
      <c r="G15" s="2738">
        <f t="shared" si="0"/>
        <v>8615</v>
      </c>
    </row>
    <row r="16" spans="1:7" s="2727" customFormat="1" ht="27.75" customHeight="1">
      <c r="A16" s="2721"/>
      <c r="B16" s="2733" t="s">
        <v>3583</v>
      </c>
      <c r="C16" s="2739">
        <v>2712</v>
      </c>
      <c r="D16" s="2734">
        <v>3506</v>
      </c>
      <c r="E16" s="2734">
        <v>2487</v>
      </c>
      <c r="F16" s="2735">
        <v>3582</v>
      </c>
      <c r="G16" s="2735">
        <f t="shared" si="0"/>
        <v>12287</v>
      </c>
    </row>
    <row r="17" spans="1:7" s="2727" customFormat="1" ht="27.75" customHeight="1">
      <c r="A17" s="2721"/>
      <c r="B17" s="2733" t="s">
        <v>3584</v>
      </c>
      <c r="C17" s="2736">
        <v>-1181</v>
      </c>
      <c r="D17" s="2737">
        <v>-929</v>
      </c>
      <c r="E17" s="2737">
        <v>-762</v>
      </c>
      <c r="F17" s="2738">
        <v>-800</v>
      </c>
      <c r="G17" s="2738">
        <f t="shared" si="0"/>
        <v>-3672</v>
      </c>
    </row>
    <row r="18" spans="1:7" s="2727" customFormat="1" ht="27.75" customHeight="1">
      <c r="A18" s="2721"/>
      <c r="B18" s="2733" t="s">
        <v>3586</v>
      </c>
      <c r="C18" s="2739">
        <v>-110</v>
      </c>
      <c r="D18" s="2734">
        <v>-139</v>
      </c>
      <c r="E18" s="2734">
        <v>-128</v>
      </c>
      <c r="F18" s="2735">
        <v>-359</v>
      </c>
      <c r="G18" s="2735">
        <f t="shared" si="0"/>
        <v>-736</v>
      </c>
    </row>
    <row r="19" spans="1:7" s="2732" customFormat="1" ht="27.75" customHeight="1">
      <c r="A19" s="2721"/>
      <c r="B19" s="2728" t="s">
        <v>3587</v>
      </c>
      <c r="C19" s="2741">
        <f>C20+C31</f>
        <v>9632</v>
      </c>
      <c r="D19" s="2742">
        <f>D20+D31</f>
        <v>7452</v>
      </c>
      <c r="E19" s="2742">
        <f>E20+E31</f>
        <v>4482.6290697924269</v>
      </c>
      <c r="F19" s="2743">
        <f>F20+F31</f>
        <v>7419</v>
      </c>
      <c r="G19" s="2743">
        <f t="shared" si="0"/>
        <v>28985.629069792427</v>
      </c>
    </row>
    <row r="20" spans="1:7" s="2727" customFormat="1" ht="27.75" customHeight="1">
      <c r="A20" s="2721"/>
      <c r="B20" s="2733" t="s">
        <v>3588</v>
      </c>
      <c r="C20" s="2736">
        <f>C21+C25+C28</f>
        <v>27831</v>
      </c>
      <c r="D20" s="2737">
        <f>D21+D25+D28</f>
        <v>26376</v>
      </c>
      <c r="E20" s="2737">
        <f>E21+E25+E28</f>
        <v>21589.629069792427</v>
      </c>
      <c r="F20" s="2738">
        <f>F21+F25+F28</f>
        <v>26416</v>
      </c>
      <c r="G20" s="2738">
        <f t="shared" si="0"/>
        <v>102212.62906979243</v>
      </c>
    </row>
    <row r="21" spans="1:7" s="2727" customFormat="1" ht="27.75" customHeight="1">
      <c r="A21" s="2721"/>
      <c r="B21" s="2733" t="s">
        <v>3589</v>
      </c>
      <c r="C21" s="2739">
        <f>C22+C23+C24</f>
        <v>3103</v>
      </c>
      <c r="D21" s="2734">
        <v>2930</v>
      </c>
      <c r="E21" s="2734">
        <f>E22+E23+E24</f>
        <v>2499</v>
      </c>
      <c r="F21" s="2735">
        <f>F22+F23+F24</f>
        <v>3035</v>
      </c>
      <c r="G21" s="2735">
        <f t="shared" si="0"/>
        <v>11567</v>
      </c>
    </row>
    <row r="22" spans="1:7" s="2749" customFormat="1" ht="27.75" customHeight="1">
      <c r="A22" s="2744"/>
      <c r="B22" s="2745" t="s">
        <v>3590</v>
      </c>
      <c r="C22" s="2746">
        <v>2402</v>
      </c>
      <c r="D22" s="2747">
        <v>2277</v>
      </c>
      <c r="E22" s="2747">
        <v>1875</v>
      </c>
      <c r="F22" s="2748">
        <v>2379</v>
      </c>
      <c r="G22" s="2748">
        <f t="shared" si="0"/>
        <v>8933</v>
      </c>
    </row>
    <row r="23" spans="1:7" s="2749" customFormat="1" ht="27.75" customHeight="1">
      <c r="A23" s="2744"/>
      <c r="B23" s="2745" t="s">
        <v>3591</v>
      </c>
      <c r="C23" s="2746">
        <v>151</v>
      </c>
      <c r="D23" s="2747">
        <v>144</v>
      </c>
      <c r="E23" s="2747">
        <v>149</v>
      </c>
      <c r="F23" s="2748">
        <v>183</v>
      </c>
      <c r="G23" s="2748">
        <f t="shared" si="0"/>
        <v>627</v>
      </c>
    </row>
    <row r="24" spans="1:7" s="2749" customFormat="1" ht="27.75" customHeight="1">
      <c r="A24" s="2744"/>
      <c r="B24" s="2745" t="s">
        <v>3592</v>
      </c>
      <c r="C24" s="2750">
        <v>550</v>
      </c>
      <c r="D24" s="2751">
        <f>D21-D22-D23</f>
        <v>509</v>
      </c>
      <c r="E24" s="2751">
        <v>475</v>
      </c>
      <c r="F24" s="2752">
        <v>473</v>
      </c>
      <c r="G24" s="2752">
        <f t="shared" si="0"/>
        <v>2007</v>
      </c>
    </row>
    <row r="25" spans="1:7" s="2727" customFormat="1" ht="27.75" customHeight="1">
      <c r="A25" s="2740"/>
      <c r="B25" s="2733" t="s">
        <v>3593</v>
      </c>
      <c r="C25" s="2736">
        <f>C26+C27</f>
        <v>13768</v>
      </c>
      <c r="D25" s="2737">
        <f>D26+D27</f>
        <v>9780</v>
      </c>
      <c r="E25" s="2737">
        <f>E26+E27</f>
        <v>8405.6290697924287</v>
      </c>
      <c r="F25" s="2738">
        <f>F26+F27</f>
        <v>12424</v>
      </c>
      <c r="G25" s="2738">
        <f t="shared" si="0"/>
        <v>44377.629069792427</v>
      </c>
    </row>
    <row r="26" spans="1:7" s="2749" customFormat="1" ht="27.75" customHeight="1">
      <c r="A26" s="2744"/>
      <c r="B26" s="2745" t="s">
        <v>3594</v>
      </c>
      <c r="C26" s="2746">
        <v>5079</v>
      </c>
      <c r="D26" s="2747">
        <v>3644</v>
      </c>
      <c r="E26" s="2747">
        <v>2612.696299937968</v>
      </c>
      <c r="F26" s="2748">
        <v>4240</v>
      </c>
      <c r="G26" s="2748">
        <f t="shared" si="0"/>
        <v>15575.696299937968</v>
      </c>
    </row>
    <row r="27" spans="1:7" s="2749" customFormat="1" ht="27.75" customHeight="1">
      <c r="A27" s="2753"/>
      <c r="B27" s="2745" t="s">
        <v>3595</v>
      </c>
      <c r="C27" s="2754">
        <v>8689</v>
      </c>
      <c r="D27" s="2751">
        <v>6136</v>
      </c>
      <c r="E27" s="2751">
        <v>5792.9327698544603</v>
      </c>
      <c r="F27" s="2752">
        <v>8184</v>
      </c>
      <c r="G27" s="2752">
        <f t="shared" si="0"/>
        <v>28801.932769854458</v>
      </c>
    </row>
    <row r="28" spans="1:7" s="2727" customFormat="1" ht="27.75" customHeight="1">
      <c r="A28" s="2721"/>
      <c r="B28" s="2733" t="s">
        <v>3596</v>
      </c>
      <c r="C28" s="2736">
        <f>C29+C30</f>
        <v>10960</v>
      </c>
      <c r="D28" s="2737">
        <f>D29+D30</f>
        <v>13666</v>
      </c>
      <c r="E28" s="2737">
        <f>E29+E30</f>
        <v>10685</v>
      </c>
      <c r="F28" s="2738">
        <f>F29+F30</f>
        <v>10957</v>
      </c>
      <c r="G28" s="2738">
        <f t="shared" si="0"/>
        <v>46268</v>
      </c>
    </row>
    <row r="29" spans="1:7" s="2749" customFormat="1" ht="27.75" customHeight="1">
      <c r="A29" s="2744"/>
      <c r="B29" s="2745" t="s">
        <v>3597</v>
      </c>
      <c r="C29" s="2746">
        <v>10793</v>
      </c>
      <c r="D29" s="2747">
        <v>13436</v>
      </c>
      <c r="E29" s="2747">
        <v>10257</v>
      </c>
      <c r="F29" s="2748">
        <v>10453</v>
      </c>
      <c r="G29" s="2748">
        <f t="shared" si="0"/>
        <v>44939</v>
      </c>
    </row>
    <row r="30" spans="1:7" s="2749" customFormat="1" ht="27.75" customHeight="1">
      <c r="A30" s="2744"/>
      <c r="B30" s="2745" t="s">
        <v>3598</v>
      </c>
      <c r="C30" s="2746">
        <v>167</v>
      </c>
      <c r="D30" s="2747">
        <v>230</v>
      </c>
      <c r="E30" s="2747">
        <v>428</v>
      </c>
      <c r="F30" s="2748">
        <v>504</v>
      </c>
      <c r="G30" s="2748">
        <f t="shared" si="0"/>
        <v>1329</v>
      </c>
    </row>
    <row r="31" spans="1:7" s="2727" customFormat="1" ht="27.75" customHeight="1">
      <c r="A31" s="2721"/>
      <c r="B31" s="2733" t="s">
        <v>3599</v>
      </c>
      <c r="C31" s="2739">
        <f>C32+C36+C39</f>
        <v>-18199</v>
      </c>
      <c r="D31" s="2734">
        <f>D32+D36+D39</f>
        <v>-18924</v>
      </c>
      <c r="E31" s="2734">
        <f>E32+E36+E39</f>
        <v>-17107</v>
      </c>
      <c r="F31" s="2735">
        <f>F32+F36+F39</f>
        <v>-18997</v>
      </c>
      <c r="G31" s="2735">
        <f t="shared" si="0"/>
        <v>-73227</v>
      </c>
    </row>
    <row r="32" spans="1:7" s="2727" customFormat="1" ht="27.75" customHeight="1">
      <c r="A32" s="2721"/>
      <c r="B32" s="2733" t="s">
        <v>3589</v>
      </c>
      <c r="C32" s="2739">
        <f>C33+C34+C35</f>
        <v>-4342</v>
      </c>
      <c r="D32" s="2734">
        <f>D33+D34+D35</f>
        <v>-4156</v>
      </c>
      <c r="E32" s="2734">
        <f>E33+E34+E35</f>
        <v>-4409</v>
      </c>
      <c r="F32" s="2735">
        <f>F33+F34+F35</f>
        <v>-4977</v>
      </c>
      <c r="G32" s="2735">
        <f t="shared" si="0"/>
        <v>-17884</v>
      </c>
    </row>
    <row r="33" spans="1:7" s="2749" customFormat="1" ht="27.75" customHeight="1">
      <c r="A33" s="2744"/>
      <c r="B33" s="2745" t="s">
        <v>3590</v>
      </c>
      <c r="C33" s="2746">
        <v>-175</v>
      </c>
      <c r="D33" s="2747">
        <v>-229</v>
      </c>
      <c r="E33" s="2747">
        <v>-225</v>
      </c>
      <c r="F33" s="2748">
        <v>-203</v>
      </c>
      <c r="G33" s="2748">
        <f t="shared" si="0"/>
        <v>-832</v>
      </c>
    </row>
    <row r="34" spans="1:7" s="2749" customFormat="1" ht="27.75" customHeight="1">
      <c r="A34" s="2744"/>
      <c r="B34" s="2745" t="s">
        <v>3591</v>
      </c>
      <c r="C34" s="2754">
        <v>-2215</v>
      </c>
      <c r="D34" s="2751">
        <v>-2396</v>
      </c>
      <c r="E34" s="2751">
        <v>-2422</v>
      </c>
      <c r="F34" s="2752">
        <v>-2734</v>
      </c>
      <c r="G34" s="2752">
        <f t="shared" si="0"/>
        <v>-9767</v>
      </c>
    </row>
    <row r="35" spans="1:7" s="2749" customFormat="1" ht="27.75" customHeight="1">
      <c r="A35" s="2744"/>
      <c r="B35" s="2745" t="s">
        <v>3592</v>
      </c>
      <c r="C35" s="2750">
        <v>-1952</v>
      </c>
      <c r="D35" s="2751">
        <v>-1531</v>
      </c>
      <c r="E35" s="2751">
        <v>-1762</v>
      </c>
      <c r="F35" s="2752">
        <v>-2040</v>
      </c>
      <c r="G35" s="2752">
        <f t="shared" si="0"/>
        <v>-7285</v>
      </c>
    </row>
    <row r="36" spans="1:7" s="2727" customFormat="1" ht="27.75" customHeight="1">
      <c r="A36" s="2740"/>
      <c r="B36" s="2733" t="s">
        <v>3593</v>
      </c>
      <c r="C36" s="2736">
        <f>C37+C38</f>
        <v>-2575</v>
      </c>
      <c r="D36" s="2737">
        <f>D37+D38</f>
        <v>-2632</v>
      </c>
      <c r="E36" s="2737">
        <f>E37+E38</f>
        <v>-2979</v>
      </c>
      <c r="F36" s="2738">
        <f>F37+F38</f>
        <v>-2810</v>
      </c>
      <c r="G36" s="2738">
        <f t="shared" si="0"/>
        <v>-10996</v>
      </c>
    </row>
    <row r="37" spans="1:7" s="2749" customFormat="1" ht="27.75" customHeight="1">
      <c r="A37" s="2744"/>
      <c r="B37" s="2745" t="s">
        <v>3594</v>
      </c>
      <c r="C37" s="2746">
        <v>-113</v>
      </c>
      <c r="D37" s="2747">
        <v>-193</v>
      </c>
      <c r="E37" s="2747">
        <v>-110</v>
      </c>
      <c r="F37" s="2748">
        <v>-236</v>
      </c>
      <c r="G37" s="2748">
        <f t="shared" si="0"/>
        <v>-652</v>
      </c>
    </row>
    <row r="38" spans="1:7" s="2749" customFormat="1" ht="27.75" customHeight="1">
      <c r="A38" s="2753"/>
      <c r="B38" s="2745" t="s">
        <v>3595</v>
      </c>
      <c r="C38" s="2754">
        <v>-2462</v>
      </c>
      <c r="D38" s="2751">
        <v>-2439</v>
      </c>
      <c r="E38" s="2751">
        <v>-2869</v>
      </c>
      <c r="F38" s="2752">
        <v>-2574</v>
      </c>
      <c r="G38" s="2752">
        <f t="shared" si="0"/>
        <v>-10344</v>
      </c>
    </row>
    <row r="39" spans="1:7" s="2727" customFormat="1" ht="27.75" customHeight="1">
      <c r="A39" s="2721"/>
      <c r="B39" s="2733" t="s">
        <v>3596</v>
      </c>
      <c r="C39" s="2755">
        <f>C40+C41</f>
        <v>-11282</v>
      </c>
      <c r="D39" s="2756">
        <f>D40+D41</f>
        <v>-12136</v>
      </c>
      <c r="E39" s="2756">
        <f>E40+E41</f>
        <v>-9719</v>
      </c>
      <c r="F39" s="2757">
        <f>F40+F41</f>
        <v>-11210</v>
      </c>
      <c r="G39" s="2757">
        <f t="shared" si="0"/>
        <v>-44347</v>
      </c>
    </row>
    <row r="40" spans="1:7" s="2749" customFormat="1" ht="27.75" customHeight="1">
      <c r="A40" s="2753"/>
      <c r="B40" s="2745" t="s">
        <v>3597</v>
      </c>
      <c r="C40" s="2754">
        <v>-10889</v>
      </c>
      <c r="D40" s="2751">
        <v>-11830</v>
      </c>
      <c r="E40" s="2751">
        <v>-9240</v>
      </c>
      <c r="F40" s="2752">
        <v>-10524</v>
      </c>
      <c r="G40" s="2752">
        <f t="shared" si="0"/>
        <v>-42483</v>
      </c>
    </row>
    <row r="41" spans="1:7" s="2749" customFormat="1" ht="27.75" customHeight="1">
      <c r="A41" s="2753"/>
      <c r="B41" s="2745" t="s">
        <v>3598</v>
      </c>
      <c r="C41" s="2754">
        <v>-393</v>
      </c>
      <c r="D41" s="2751">
        <v>-306</v>
      </c>
      <c r="E41" s="2751">
        <v>-479</v>
      </c>
      <c r="F41" s="2752">
        <v>-686</v>
      </c>
      <c r="G41" s="2752">
        <f t="shared" si="0"/>
        <v>-1864</v>
      </c>
    </row>
    <row r="42" spans="1:7" s="2727" customFormat="1" ht="27.75" customHeight="1">
      <c r="A42" s="2721" t="s">
        <v>3600</v>
      </c>
      <c r="B42" s="2728" t="s">
        <v>3601</v>
      </c>
      <c r="C42" s="2758">
        <f>C43+C60</f>
        <v>1762</v>
      </c>
      <c r="D42" s="2759">
        <f>D43+D60</f>
        <v>1455.8000000000011</v>
      </c>
      <c r="E42" s="2759">
        <f>E43+E60</f>
        <v>1646</v>
      </c>
      <c r="F42" s="2760">
        <f>F43+F60</f>
        <v>-560.89300000000003</v>
      </c>
      <c r="G42" s="2760">
        <f t="shared" si="0"/>
        <v>4302.9070000000011</v>
      </c>
    </row>
    <row r="43" spans="1:7" s="2727" customFormat="1" ht="27.75" customHeight="1">
      <c r="A43" s="2721"/>
      <c r="B43" s="2733" t="s">
        <v>3602</v>
      </c>
      <c r="C43" s="2739">
        <f>C44+C45+C47+C49</f>
        <v>10883</v>
      </c>
      <c r="D43" s="2734">
        <f>D44+D45+D47+D49</f>
        <v>12435.6</v>
      </c>
      <c r="E43" s="2734">
        <f>E44+E45+E47+E49</f>
        <v>12082</v>
      </c>
      <c r="F43" s="2735">
        <f>F44+F45+F47+F49</f>
        <v>10902.8</v>
      </c>
      <c r="G43" s="2735">
        <f t="shared" si="0"/>
        <v>46303.399999999994</v>
      </c>
    </row>
    <row r="44" spans="1:7" s="2727" customFormat="1" ht="27.75" customHeight="1">
      <c r="A44" s="2721"/>
      <c r="B44" s="2733" t="s">
        <v>3603</v>
      </c>
      <c r="C44" s="2739">
        <v>5</v>
      </c>
      <c r="D44" s="2734">
        <v>5</v>
      </c>
      <c r="E44" s="2734">
        <v>12</v>
      </c>
      <c r="F44" s="2735">
        <v>4</v>
      </c>
      <c r="G44" s="2735">
        <f t="shared" si="0"/>
        <v>26</v>
      </c>
    </row>
    <row r="45" spans="1:7" s="2727" customFormat="1" ht="27.75" customHeight="1">
      <c r="A45" s="2721"/>
      <c r="B45" s="2733" t="s">
        <v>3604</v>
      </c>
      <c r="C45" s="2739">
        <f>78+C46</f>
        <v>4935</v>
      </c>
      <c r="D45" s="2734">
        <f>812+D46</f>
        <v>5633</v>
      </c>
      <c r="E45" s="2734">
        <f>245+E46</f>
        <v>5872</v>
      </c>
      <c r="F45" s="2735">
        <f>45+F46</f>
        <v>4199</v>
      </c>
      <c r="G45" s="2735">
        <f t="shared" si="0"/>
        <v>20639</v>
      </c>
    </row>
    <row r="46" spans="1:7" s="2749" customFormat="1" ht="27.75" customHeight="1">
      <c r="A46" s="2753"/>
      <c r="B46" s="2745" t="s">
        <v>3605</v>
      </c>
      <c r="C46" s="2750">
        <v>4857</v>
      </c>
      <c r="D46" s="2761">
        <v>4821</v>
      </c>
      <c r="E46" s="2761">
        <v>5627</v>
      </c>
      <c r="F46" s="2751">
        <v>4154</v>
      </c>
      <c r="G46" s="2752">
        <f t="shared" si="0"/>
        <v>19459</v>
      </c>
    </row>
    <row r="47" spans="1:7" s="2727" customFormat="1" ht="27.75" customHeight="1">
      <c r="A47" s="2721"/>
      <c r="B47" s="2733" t="s">
        <v>3606</v>
      </c>
      <c r="C47" s="2739">
        <f>108+C48</f>
        <v>964</v>
      </c>
      <c r="D47" s="2734">
        <f>1188+D48</f>
        <v>1812</v>
      </c>
      <c r="E47" s="2734">
        <f>285+E48</f>
        <v>868</v>
      </c>
      <c r="F47" s="2735">
        <f>96+F48</f>
        <v>691.1</v>
      </c>
      <c r="G47" s="2735">
        <f t="shared" si="0"/>
        <v>4335.1000000000004</v>
      </c>
    </row>
    <row r="48" spans="1:7" s="2749" customFormat="1" ht="27.75" customHeight="1">
      <c r="A48" s="2753"/>
      <c r="B48" s="2745" t="s">
        <v>3605</v>
      </c>
      <c r="C48" s="2754">
        <v>856</v>
      </c>
      <c r="D48" s="2751">
        <v>624</v>
      </c>
      <c r="E48" s="2751">
        <v>583</v>
      </c>
      <c r="F48" s="2752">
        <v>595.1</v>
      </c>
      <c r="G48" s="2752">
        <f t="shared" si="0"/>
        <v>2658.1</v>
      </c>
    </row>
    <row r="49" spans="1:9" s="2727" customFormat="1" ht="27.75" customHeight="1">
      <c r="A49" s="2740"/>
      <c r="B49" s="2733" t="s">
        <v>3607</v>
      </c>
      <c r="C49" s="2736">
        <f>C50+C51+C52+C53</f>
        <v>4979</v>
      </c>
      <c r="D49" s="2737">
        <f>D50+D51+D52+D53</f>
        <v>4985.6000000000004</v>
      </c>
      <c r="E49" s="2737">
        <f>E50+E51+E52+E53</f>
        <v>5330</v>
      </c>
      <c r="F49" s="2738">
        <f>F50+F51+F52+F53</f>
        <v>6008.7</v>
      </c>
      <c r="G49" s="2738">
        <f t="shared" si="0"/>
        <v>21303.3</v>
      </c>
    </row>
    <row r="50" spans="1:9" s="2749" customFormat="1" ht="27.75" customHeight="1">
      <c r="A50" s="2753"/>
      <c r="B50" s="2745" t="s">
        <v>3608</v>
      </c>
      <c r="C50" s="2754">
        <v>0</v>
      </c>
      <c r="D50" s="2751">
        <v>0</v>
      </c>
      <c r="E50" s="2751">
        <v>0</v>
      </c>
      <c r="F50" s="2752">
        <v>0</v>
      </c>
      <c r="G50" s="2752">
        <f t="shared" si="0"/>
        <v>0</v>
      </c>
    </row>
    <row r="51" spans="1:9" s="2749" customFormat="1" ht="27.75" customHeight="1">
      <c r="A51" s="2753"/>
      <c r="B51" s="2745" t="s">
        <v>3609</v>
      </c>
      <c r="C51" s="2754">
        <v>193</v>
      </c>
      <c r="D51" s="2751">
        <v>215</v>
      </c>
      <c r="E51" s="2751">
        <v>226</v>
      </c>
      <c r="F51" s="2752">
        <v>206</v>
      </c>
      <c r="G51" s="2752">
        <f t="shared" si="0"/>
        <v>840</v>
      </c>
    </row>
    <row r="52" spans="1:9" s="2749" customFormat="1" ht="27.75" customHeight="1">
      <c r="A52" s="2753"/>
      <c r="B52" s="2745" t="s">
        <v>3610</v>
      </c>
      <c r="C52" s="2754">
        <v>3805</v>
      </c>
      <c r="D52" s="2751">
        <v>3715</v>
      </c>
      <c r="E52" s="2751">
        <v>4151</v>
      </c>
      <c r="F52" s="2752">
        <v>3657</v>
      </c>
      <c r="G52" s="2752">
        <f t="shared" si="0"/>
        <v>15328</v>
      </c>
    </row>
    <row r="53" spans="1:9" s="2749" customFormat="1" ht="27.75" customHeight="1">
      <c r="A53" s="2753"/>
      <c r="B53" s="2745" t="s">
        <v>3611</v>
      </c>
      <c r="C53" s="2754">
        <f>63+C54</f>
        <v>981</v>
      </c>
      <c r="D53" s="2751">
        <f>182+D54</f>
        <v>1055.5999999999999</v>
      </c>
      <c r="E53" s="2751">
        <f>138+E54</f>
        <v>953</v>
      </c>
      <c r="F53" s="2752">
        <f>1313+F54</f>
        <v>2145.6999999999998</v>
      </c>
      <c r="G53" s="2752">
        <f t="shared" si="0"/>
        <v>5135.2999999999993</v>
      </c>
    </row>
    <row r="54" spans="1:9" s="2749" customFormat="1" ht="27.75" customHeight="1" thickBot="1">
      <c r="A54" s="2762"/>
      <c r="B54" s="2763" t="s">
        <v>3605</v>
      </c>
      <c r="C54" s="2764">
        <v>918</v>
      </c>
      <c r="D54" s="2765">
        <v>873.6</v>
      </c>
      <c r="E54" s="2765">
        <v>815</v>
      </c>
      <c r="F54" s="2766">
        <v>832.7</v>
      </c>
      <c r="G54" s="2766">
        <f t="shared" si="0"/>
        <v>3439.3</v>
      </c>
    </row>
    <row r="55" spans="1:9" ht="43.5" customHeight="1">
      <c r="A55" s="2767" t="s">
        <v>447</v>
      </c>
      <c r="B55" s="2749"/>
      <c r="C55" s="2768"/>
      <c r="D55" s="2768"/>
      <c r="E55" s="2768"/>
      <c r="F55" s="2769"/>
      <c r="G55" s="2768"/>
    </row>
    <row r="56" spans="1:9" ht="28.5" customHeight="1" thickBot="1">
      <c r="A56" s="2770"/>
      <c r="C56" s="2716"/>
      <c r="D56" s="2716"/>
      <c r="E56" s="2716"/>
      <c r="F56" s="2716"/>
      <c r="G56" s="2716" t="s">
        <v>12</v>
      </c>
    </row>
    <row r="57" spans="1:9" s="2727" customFormat="1" ht="33.75" customHeight="1">
      <c r="A57" s="3534"/>
      <c r="B57" s="3536"/>
      <c r="C57" s="3538" t="s">
        <v>3570</v>
      </c>
      <c r="D57" s="3539"/>
      <c r="E57" s="3539"/>
      <c r="F57" s="3540"/>
      <c r="G57" s="3541" t="s">
        <v>3570</v>
      </c>
    </row>
    <row r="58" spans="1:9" s="2727" customFormat="1" ht="54.75" customHeight="1">
      <c r="A58" s="3535"/>
      <c r="B58" s="3537"/>
      <c r="C58" s="2718" t="s">
        <v>3612</v>
      </c>
      <c r="D58" s="2719" t="s">
        <v>3613</v>
      </c>
      <c r="E58" s="2719" t="s">
        <v>3573</v>
      </c>
      <c r="F58" s="2719" t="s">
        <v>3574</v>
      </c>
      <c r="G58" s="3542"/>
    </row>
    <row r="59" spans="1:9" s="2727" customFormat="1" ht="9.75" customHeight="1">
      <c r="A59" s="2721"/>
      <c r="B59" s="2771"/>
      <c r="C59" s="2772"/>
      <c r="D59" s="2773"/>
      <c r="E59" s="2773"/>
      <c r="F59" s="2774"/>
      <c r="G59" s="2775"/>
    </row>
    <row r="60" spans="1:9" s="2727" customFormat="1" ht="24.75" customHeight="1">
      <c r="A60" s="2776"/>
      <c r="B60" s="2733" t="s">
        <v>3599</v>
      </c>
      <c r="C60" s="2736">
        <f>C61+C62+C64+C66</f>
        <v>-9121</v>
      </c>
      <c r="D60" s="2737">
        <f>D61+D62+D64+D66</f>
        <v>-10979.8</v>
      </c>
      <c r="E60" s="2737">
        <f>E61+E62+E64+E66</f>
        <v>-10436</v>
      </c>
      <c r="F60" s="2737">
        <f>F61+F62+F64+F66</f>
        <v>-11463.692999999999</v>
      </c>
      <c r="G60" s="2777">
        <f>C60+D60+E60+F60</f>
        <v>-42000.493000000002</v>
      </c>
    </row>
    <row r="61" spans="1:9" s="2727" customFormat="1" ht="24.75" customHeight="1">
      <c r="A61" s="2776"/>
      <c r="B61" s="2733" t="s">
        <v>3614</v>
      </c>
      <c r="C61" s="2778">
        <v>-60</v>
      </c>
      <c r="D61" s="2779">
        <v>-62</v>
      </c>
      <c r="E61" s="2779">
        <v>-57</v>
      </c>
      <c r="F61" s="2779">
        <v>-67</v>
      </c>
      <c r="G61" s="2780">
        <f t="shared" ref="G61:G121" si="2">C61+D61+E61+F61</f>
        <v>-246</v>
      </c>
    </row>
    <row r="62" spans="1:9" s="2727" customFormat="1" ht="24.75" customHeight="1">
      <c r="A62" s="2776"/>
      <c r="B62" s="2733" t="s">
        <v>3604</v>
      </c>
      <c r="C62" s="2739">
        <f>-523+C63</f>
        <v>-2876</v>
      </c>
      <c r="D62" s="2734">
        <f>-1758+D63</f>
        <v>-4750</v>
      </c>
      <c r="E62" s="2734">
        <f>-424+E63</f>
        <v>-3995</v>
      </c>
      <c r="F62" s="2734">
        <f>-1674+F63</f>
        <v>-5525</v>
      </c>
      <c r="G62" s="2781">
        <f t="shared" si="2"/>
        <v>-17146</v>
      </c>
    </row>
    <row r="63" spans="1:9" s="2749" customFormat="1" ht="24.75" customHeight="1">
      <c r="A63" s="2782"/>
      <c r="B63" s="2745" t="s">
        <v>3605</v>
      </c>
      <c r="C63" s="2754">
        <v>-2353</v>
      </c>
      <c r="D63" s="2751">
        <v>-2992</v>
      </c>
      <c r="E63" s="2751">
        <v>-3571</v>
      </c>
      <c r="F63" s="2751">
        <v>-3851</v>
      </c>
      <c r="G63" s="2783">
        <f t="shared" si="2"/>
        <v>-12767</v>
      </c>
      <c r="I63" s="2727"/>
    </row>
    <row r="64" spans="1:9" s="2727" customFormat="1" ht="24.75" customHeight="1">
      <c r="A64" s="2776"/>
      <c r="B64" s="2733" t="s">
        <v>3606</v>
      </c>
      <c r="C64" s="2739">
        <f>-729+C65</f>
        <v>-3012.5</v>
      </c>
      <c r="D64" s="2734">
        <f>-476+D65</f>
        <v>-3317.6</v>
      </c>
      <c r="E64" s="2734">
        <f>-341+E65</f>
        <v>-3194</v>
      </c>
      <c r="F64" s="2734">
        <f>-423+F65</f>
        <v>-3132.3</v>
      </c>
      <c r="G64" s="2781">
        <f t="shared" si="2"/>
        <v>-12656.400000000001</v>
      </c>
    </row>
    <row r="65" spans="1:7" s="2749" customFormat="1" ht="24.75" customHeight="1">
      <c r="A65" s="2782"/>
      <c r="B65" s="2745" t="s">
        <v>3605</v>
      </c>
      <c r="C65" s="2754">
        <v>-2283.5</v>
      </c>
      <c r="D65" s="2751">
        <v>-2841.6</v>
      </c>
      <c r="E65" s="2751">
        <v>-2853</v>
      </c>
      <c r="F65" s="2751">
        <v>-2709.3</v>
      </c>
      <c r="G65" s="2783">
        <f t="shared" si="2"/>
        <v>-10687.400000000001</v>
      </c>
    </row>
    <row r="66" spans="1:7" s="2727" customFormat="1" ht="24.75" customHeight="1">
      <c r="A66" s="2776"/>
      <c r="B66" s="2733" t="s">
        <v>3607</v>
      </c>
      <c r="C66" s="2736">
        <f>C67+C68+C69+C70</f>
        <v>-3172.5</v>
      </c>
      <c r="D66" s="2737">
        <f>D67+D68+D69+D70</f>
        <v>-2850.2</v>
      </c>
      <c r="E66" s="2737">
        <f>E67+E68+E69+E70</f>
        <v>-3190</v>
      </c>
      <c r="F66" s="2737">
        <f>F67+F68+F69+F70</f>
        <v>-2739.393</v>
      </c>
      <c r="G66" s="2777">
        <f t="shared" si="2"/>
        <v>-11952.093000000001</v>
      </c>
    </row>
    <row r="67" spans="1:7" s="2749" customFormat="1" ht="24.75" customHeight="1">
      <c r="A67" s="2782"/>
      <c r="B67" s="2745" t="s">
        <v>3608</v>
      </c>
      <c r="C67" s="2754">
        <v>-197</v>
      </c>
      <c r="D67" s="2751">
        <v>-132</v>
      </c>
      <c r="E67" s="2751">
        <v>-217</v>
      </c>
      <c r="F67" s="2751">
        <v>-56</v>
      </c>
      <c r="G67" s="2783">
        <f t="shared" si="2"/>
        <v>-602</v>
      </c>
    </row>
    <row r="68" spans="1:7" s="2749" customFormat="1" ht="24.75" customHeight="1">
      <c r="A68" s="2782"/>
      <c r="B68" s="2745" t="s">
        <v>3609</v>
      </c>
      <c r="C68" s="2784">
        <v>-1</v>
      </c>
      <c r="D68" s="2785">
        <v>-1</v>
      </c>
      <c r="E68" s="2785">
        <v>-1</v>
      </c>
      <c r="F68" s="2785">
        <v>-0.29299999999999998</v>
      </c>
      <c r="G68" s="2786">
        <f t="shared" si="2"/>
        <v>-3.2930000000000001</v>
      </c>
    </row>
    <row r="69" spans="1:7" s="2749" customFormat="1" ht="24.75" customHeight="1">
      <c r="A69" s="2782"/>
      <c r="B69" s="2745" t="s">
        <v>3610</v>
      </c>
      <c r="C69" s="2754">
        <v>-1642</v>
      </c>
      <c r="D69" s="2751">
        <v>-1486</v>
      </c>
      <c r="E69" s="2751">
        <v>-1750</v>
      </c>
      <c r="F69" s="2751">
        <v>-1489</v>
      </c>
      <c r="G69" s="2783">
        <f t="shared" si="2"/>
        <v>-6367</v>
      </c>
    </row>
    <row r="70" spans="1:7" s="2749" customFormat="1" ht="24.75" customHeight="1">
      <c r="A70" s="2782"/>
      <c r="B70" s="2745" t="s">
        <v>3611</v>
      </c>
      <c r="C70" s="2754">
        <f>-71+C71</f>
        <v>-1332.5</v>
      </c>
      <c r="D70" s="2751">
        <f>-30+D71</f>
        <v>-1231.2</v>
      </c>
      <c r="E70" s="2751">
        <f>-101+E71</f>
        <v>-1222</v>
      </c>
      <c r="F70" s="2751">
        <f>-49+F71</f>
        <v>-1194.1000000000001</v>
      </c>
      <c r="G70" s="2783">
        <f t="shared" si="2"/>
        <v>-4979.8</v>
      </c>
    </row>
    <row r="71" spans="1:7" s="2749" customFormat="1" ht="24.75" customHeight="1">
      <c r="A71" s="2782"/>
      <c r="B71" s="2733" t="s">
        <v>3605</v>
      </c>
      <c r="C71" s="2754">
        <v>-1261.5</v>
      </c>
      <c r="D71" s="2751">
        <v>-1201.2</v>
      </c>
      <c r="E71" s="2751">
        <v>-1121</v>
      </c>
      <c r="F71" s="2751">
        <v>-1145.1000000000001</v>
      </c>
      <c r="G71" s="2783">
        <f t="shared" si="2"/>
        <v>-4728.8</v>
      </c>
    </row>
    <row r="72" spans="1:7" s="2727" customFormat="1" ht="24.75" customHeight="1">
      <c r="A72" s="2776" t="s">
        <v>3615</v>
      </c>
      <c r="B72" s="2728" t="s">
        <v>3616</v>
      </c>
      <c r="C72" s="2758">
        <f>C73+C76</f>
        <v>1577</v>
      </c>
      <c r="D72" s="2759">
        <f>D73+D76</f>
        <v>548</v>
      </c>
      <c r="E72" s="2759">
        <f>E73+E76</f>
        <v>44</v>
      </c>
      <c r="F72" s="2759">
        <f>F73+F76</f>
        <v>2090.6999999999998</v>
      </c>
      <c r="G72" s="2726">
        <f t="shared" si="2"/>
        <v>4259.7</v>
      </c>
    </row>
    <row r="73" spans="1:7" s="2727" customFormat="1" ht="24.75" customHeight="1">
      <c r="A73" s="2776"/>
      <c r="B73" s="2733" t="s">
        <v>3588</v>
      </c>
      <c r="C73" s="2778">
        <f>C74+C75</f>
        <v>3864</v>
      </c>
      <c r="D73" s="2779">
        <f>D74+D75</f>
        <v>2349</v>
      </c>
      <c r="E73" s="2779">
        <f>E74+E75</f>
        <v>1369</v>
      </c>
      <c r="F73" s="2779">
        <f>F74+F75</f>
        <v>3923</v>
      </c>
      <c r="G73" s="2780">
        <f t="shared" si="2"/>
        <v>11505</v>
      </c>
    </row>
    <row r="74" spans="1:7" s="2727" customFormat="1" ht="24.75" customHeight="1">
      <c r="A74" s="2776"/>
      <c r="B74" s="2733" t="s">
        <v>3617</v>
      </c>
      <c r="C74" s="2736">
        <v>3737</v>
      </c>
      <c r="D74" s="2737">
        <v>2269</v>
      </c>
      <c r="E74" s="2737">
        <v>1284</v>
      </c>
      <c r="F74" s="2737">
        <v>1501</v>
      </c>
      <c r="G74" s="2777">
        <f t="shared" si="2"/>
        <v>8791</v>
      </c>
    </row>
    <row r="75" spans="1:7" s="2727" customFormat="1" ht="24.75" customHeight="1">
      <c r="A75" s="2776"/>
      <c r="B75" s="2733" t="s">
        <v>3618</v>
      </c>
      <c r="C75" s="2778">
        <v>127</v>
      </c>
      <c r="D75" s="2779">
        <v>80</v>
      </c>
      <c r="E75" s="2779">
        <v>85</v>
      </c>
      <c r="F75" s="2779">
        <v>2422</v>
      </c>
      <c r="G75" s="2780">
        <f t="shared" si="2"/>
        <v>2714</v>
      </c>
    </row>
    <row r="76" spans="1:7" s="2727" customFormat="1" ht="24.75" customHeight="1">
      <c r="A76" s="2776"/>
      <c r="B76" s="2733" t="s">
        <v>3599</v>
      </c>
      <c r="C76" s="2778">
        <f>C77+C78</f>
        <v>-2287</v>
      </c>
      <c r="D76" s="2779">
        <f>D77+D78</f>
        <v>-1801</v>
      </c>
      <c r="E76" s="2779">
        <f>E77+E78</f>
        <v>-1325</v>
      </c>
      <c r="F76" s="2779">
        <f>F77+F78</f>
        <v>-1832.3</v>
      </c>
      <c r="G76" s="2780">
        <f t="shared" si="2"/>
        <v>-7245.3</v>
      </c>
    </row>
    <row r="77" spans="1:7" s="2727" customFormat="1" ht="24.75" customHeight="1">
      <c r="A77" s="2776"/>
      <c r="B77" s="2733" t="s">
        <v>3617</v>
      </c>
      <c r="C77" s="2787">
        <v>-2198</v>
      </c>
      <c r="D77" s="2788">
        <v>-1702</v>
      </c>
      <c r="E77" s="2737">
        <v>-1220</v>
      </c>
      <c r="F77" s="2737">
        <v>-1676</v>
      </c>
      <c r="G77" s="2777">
        <f t="shared" si="2"/>
        <v>-6796</v>
      </c>
    </row>
    <row r="78" spans="1:7" s="2727" customFormat="1" ht="24.75" customHeight="1">
      <c r="A78" s="2776"/>
      <c r="B78" s="2733" t="s">
        <v>3618</v>
      </c>
      <c r="C78" s="2778">
        <f>-8+C79</f>
        <v>-89</v>
      </c>
      <c r="D78" s="2779">
        <f>-3+D79</f>
        <v>-99</v>
      </c>
      <c r="E78" s="2779">
        <f>-4+E79</f>
        <v>-105</v>
      </c>
      <c r="F78" s="2779">
        <f>-65+F79</f>
        <v>-156.30000000000001</v>
      </c>
      <c r="G78" s="2780">
        <f t="shared" si="2"/>
        <v>-449.3</v>
      </c>
    </row>
    <row r="79" spans="1:7" s="2727" customFormat="1" ht="24.75" customHeight="1">
      <c r="A79" s="2776"/>
      <c r="B79" s="2745" t="s">
        <v>3605</v>
      </c>
      <c r="C79" s="2778">
        <v>-81</v>
      </c>
      <c r="D79" s="2779">
        <v>-96</v>
      </c>
      <c r="E79" s="2779">
        <v>-101</v>
      </c>
      <c r="F79" s="2779">
        <v>-91.300000000000011</v>
      </c>
      <c r="G79" s="2780">
        <f t="shared" si="2"/>
        <v>-369.3</v>
      </c>
    </row>
    <row r="80" spans="1:7" s="2727" customFormat="1" ht="24.75" customHeight="1">
      <c r="A80" s="2776" t="s">
        <v>3619</v>
      </c>
      <c r="B80" s="2728" t="s">
        <v>3620</v>
      </c>
      <c r="C80" s="2789">
        <f>C81+C83</f>
        <v>5556.5</v>
      </c>
      <c r="D80" s="2790">
        <f>D81+D83</f>
        <v>10099.800000000017</v>
      </c>
      <c r="E80" s="2790">
        <f>E81+E83</f>
        <v>8763.9480727850387</v>
      </c>
      <c r="F80" s="2790">
        <f>F81+F83</f>
        <v>13495.499999999942</v>
      </c>
      <c r="G80" s="2791">
        <f t="shared" si="2"/>
        <v>37915.748072784998</v>
      </c>
    </row>
    <row r="81" spans="1:8" s="2727" customFormat="1" ht="24.75" customHeight="1">
      <c r="A81" s="2776" t="s">
        <v>3621</v>
      </c>
      <c r="B81" s="2728" t="s">
        <v>3622</v>
      </c>
      <c r="C81" s="2789">
        <f>C82</f>
        <v>-40</v>
      </c>
      <c r="D81" s="2792">
        <f>D82</f>
        <v>-73</v>
      </c>
      <c r="E81" s="2790">
        <f>E82</f>
        <v>-45</v>
      </c>
      <c r="F81" s="2790">
        <f>F82</f>
        <v>-83</v>
      </c>
      <c r="G81" s="2791">
        <f t="shared" si="2"/>
        <v>-241</v>
      </c>
    </row>
    <row r="82" spans="1:8" s="2749" customFormat="1" ht="24.75" customHeight="1">
      <c r="A82" s="2782"/>
      <c r="B82" s="2745" t="s">
        <v>3623</v>
      </c>
      <c r="C82" s="2784">
        <v>-40</v>
      </c>
      <c r="D82" s="2785">
        <v>-73</v>
      </c>
      <c r="E82" s="2785">
        <v>-45</v>
      </c>
      <c r="F82" s="2785">
        <v>-83</v>
      </c>
      <c r="G82" s="2786">
        <f t="shared" si="2"/>
        <v>-241</v>
      </c>
    </row>
    <row r="83" spans="1:8" s="2727" customFormat="1" ht="24.75" customHeight="1">
      <c r="A83" s="2776" t="s">
        <v>3624</v>
      </c>
      <c r="B83" s="2728" t="s">
        <v>3625</v>
      </c>
      <c r="C83" s="2758">
        <f>C84+C89+C100+C115</f>
        <v>5596.5</v>
      </c>
      <c r="D83" s="2759">
        <f>D84+D89+D100+D115</f>
        <v>10172.800000000017</v>
      </c>
      <c r="E83" s="2759">
        <f>E84+E89+E100+E115</f>
        <v>8808.9480727850387</v>
      </c>
      <c r="F83" s="2759">
        <f>F84+F89+F100+F115</f>
        <v>13578.499999999942</v>
      </c>
      <c r="G83" s="2726">
        <f t="shared" si="2"/>
        <v>38156.748072784998</v>
      </c>
    </row>
    <row r="84" spans="1:8" s="2732" customFormat="1" ht="24.75" customHeight="1">
      <c r="A84" s="2776"/>
      <c r="B84" s="2728" t="s">
        <v>3626</v>
      </c>
      <c r="C84" s="2789">
        <f>C85+C87</f>
        <v>18601</v>
      </c>
      <c r="D84" s="2790">
        <f>D85+D87</f>
        <v>-56470.599999999977</v>
      </c>
      <c r="E84" s="2790">
        <f>E85+E87</f>
        <v>-543</v>
      </c>
      <c r="F84" s="2790">
        <f>F85+F87</f>
        <v>21094.999999999942</v>
      </c>
      <c r="G84" s="2791">
        <f t="shared" si="2"/>
        <v>-17317.600000000035</v>
      </c>
      <c r="H84" s="2793"/>
    </row>
    <row r="85" spans="1:8" s="2727" customFormat="1" ht="24.75" customHeight="1">
      <c r="A85" s="2776"/>
      <c r="B85" s="2733" t="s">
        <v>3627</v>
      </c>
      <c r="C85" s="2739">
        <f>-656+C86</f>
        <v>-549773</v>
      </c>
      <c r="D85" s="2734">
        <f>-646+D86</f>
        <v>-523615.6</v>
      </c>
      <c r="E85" s="2734">
        <f>-551+E86</f>
        <v>-488656</v>
      </c>
      <c r="F85" s="2734">
        <f>-807+F86</f>
        <v>-499371.00000000006</v>
      </c>
      <c r="G85" s="2781">
        <f t="shared" si="2"/>
        <v>-2061415.6</v>
      </c>
    </row>
    <row r="86" spans="1:8" s="2749" customFormat="1" ht="24.75" customHeight="1">
      <c r="A86" s="2782"/>
      <c r="B86" s="2745" t="s">
        <v>3605</v>
      </c>
      <c r="C86" s="2754">
        <v>-549117</v>
      </c>
      <c r="D86" s="2751">
        <v>-522969.59999999998</v>
      </c>
      <c r="E86" s="2751">
        <v>-488105</v>
      </c>
      <c r="F86" s="2751">
        <v>-498564.00000000006</v>
      </c>
      <c r="G86" s="2783">
        <f t="shared" si="2"/>
        <v>-2058755.6</v>
      </c>
    </row>
    <row r="87" spans="1:8" s="2727" customFormat="1" ht="24.75" customHeight="1">
      <c r="A87" s="2776"/>
      <c r="B87" s="2733" t="s">
        <v>3628</v>
      </c>
      <c r="C87" s="2736">
        <f>1420+C88</f>
        <v>568374</v>
      </c>
      <c r="D87" s="2737">
        <f>2007+D88</f>
        <v>467145</v>
      </c>
      <c r="E87" s="2737">
        <f>1193+E88</f>
        <v>488113</v>
      </c>
      <c r="F87" s="2737">
        <f>6226+F88</f>
        <v>520466</v>
      </c>
      <c r="G87" s="2777">
        <f t="shared" si="2"/>
        <v>2044098</v>
      </c>
    </row>
    <row r="88" spans="1:8" s="2749" customFormat="1" ht="24.75" customHeight="1">
      <c r="A88" s="2782"/>
      <c r="B88" s="2745" t="s">
        <v>3605</v>
      </c>
      <c r="C88" s="2746">
        <v>566954</v>
      </c>
      <c r="D88" s="2747">
        <v>465138</v>
      </c>
      <c r="E88" s="2747">
        <v>486920</v>
      </c>
      <c r="F88" s="2747">
        <v>514240</v>
      </c>
      <c r="G88" s="2794">
        <f t="shared" si="2"/>
        <v>2033252</v>
      </c>
    </row>
    <row r="89" spans="1:8" s="2727" customFormat="1" ht="24.75" customHeight="1">
      <c r="A89" s="2776"/>
      <c r="B89" s="2728" t="s">
        <v>3629</v>
      </c>
      <c r="C89" s="2789">
        <f>C90+C95</f>
        <v>79773.5</v>
      </c>
      <c r="D89" s="2790">
        <f>D90+D95+1</f>
        <v>80318.2</v>
      </c>
      <c r="E89" s="2790">
        <f>E90+E95</f>
        <v>73378</v>
      </c>
      <c r="F89" s="2790">
        <f>F90+F95</f>
        <v>71771.600000000006</v>
      </c>
      <c r="G89" s="2791">
        <f t="shared" si="2"/>
        <v>305241.30000000005</v>
      </c>
    </row>
    <row r="90" spans="1:8" s="2727" customFormat="1" ht="24.75" customHeight="1">
      <c r="A90" s="2776"/>
      <c r="B90" s="2728" t="s">
        <v>3630</v>
      </c>
      <c r="C90" s="2789">
        <f>C91+C93</f>
        <v>29778.5</v>
      </c>
      <c r="D90" s="2790">
        <f>D91+D93</f>
        <v>31067.8</v>
      </c>
      <c r="E90" s="2790">
        <f>E91+E93</f>
        <v>27951</v>
      </c>
      <c r="F90" s="2790">
        <f>F91+F93</f>
        <v>27932.300000000003</v>
      </c>
      <c r="G90" s="2791">
        <f t="shared" si="2"/>
        <v>116729.60000000001</v>
      </c>
    </row>
    <row r="91" spans="1:8" s="2727" customFormat="1" ht="24.75" customHeight="1">
      <c r="A91" s="2776"/>
      <c r="B91" s="2733" t="s">
        <v>3631</v>
      </c>
      <c r="C91" s="2739">
        <f>-1228+C92</f>
        <v>50028.5</v>
      </c>
      <c r="D91" s="2734">
        <f>1537+D92</f>
        <v>50353</v>
      </c>
      <c r="E91" s="2734">
        <f>390+E92</f>
        <v>45951</v>
      </c>
      <c r="F91" s="2734">
        <f>-220+F92</f>
        <v>46317.700000000004</v>
      </c>
      <c r="G91" s="2781">
        <f t="shared" si="2"/>
        <v>192650.2</v>
      </c>
    </row>
    <row r="92" spans="1:8" s="2749" customFormat="1" ht="24.75" customHeight="1">
      <c r="A92" s="2782"/>
      <c r="B92" s="2745" t="s">
        <v>3605</v>
      </c>
      <c r="C92" s="2754">
        <v>51256.5</v>
      </c>
      <c r="D92" s="2751">
        <v>48816</v>
      </c>
      <c r="E92" s="2751">
        <v>45561</v>
      </c>
      <c r="F92" s="2751">
        <v>46537.700000000004</v>
      </c>
      <c r="G92" s="2783">
        <f t="shared" si="2"/>
        <v>192171.2</v>
      </c>
    </row>
    <row r="93" spans="1:8" s="2727" customFormat="1" ht="24.75" customHeight="1">
      <c r="A93" s="2776"/>
      <c r="B93" s="2733" t="s">
        <v>3632</v>
      </c>
      <c r="C93" s="2739">
        <f>C94</f>
        <v>-20250</v>
      </c>
      <c r="D93" s="2734">
        <f>0+D94</f>
        <v>-19285.2</v>
      </c>
      <c r="E93" s="2734">
        <f>0+E94</f>
        <v>-18000</v>
      </c>
      <c r="F93" s="2734">
        <f>F94</f>
        <v>-18385.400000000001</v>
      </c>
      <c r="G93" s="2781">
        <f t="shared" si="2"/>
        <v>-75920.600000000006</v>
      </c>
    </row>
    <row r="94" spans="1:8" s="2749" customFormat="1" ht="24.75" customHeight="1">
      <c r="A94" s="2782"/>
      <c r="B94" s="2745" t="s">
        <v>3605</v>
      </c>
      <c r="C94" s="2754">
        <v>-20250</v>
      </c>
      <c r="D94" s="2751">
        <v>-19285.2</v>
      </c>
      <c r="E94" s="2751">
        <v>-18000</v>
      </c>
      <c r="F94" s="2751">
        <v>-18385.400000000001</v>
      </c>
      <c r="G94" s="2783">
        <f t="shared" si="2"/>
        <v>-75920.600000000006</v>
      </c>
    </row>
    <row r="95" spans="1:8" s="2727" customFormat="1" ht="24.75" customHeight="1">
      <c r="A95" s="2776"/>
      <c r="B95" s="2728" t="s">
        <v>3633</v>
      </c>
      <c r="C95" s="2789">
        <f>C96+C98</f>
        <v>49995</v>
      </c>
      <c r="D95" s="2790">
        <f>D96+D98</f>
        <v>49249.4</v>
      </c>
      <c r="E95" s="2790">
        <f>E96+E98</f>
        <v>45427</v>
      </c>
      <c r="F95" s="2790">
        <f>F96+F98</f>
        <v>43839.3</v>
      </c>
      <c r="G95" s="2791">
        <f t="shared" si="2"/>
        <v>188510.7</v>
      </c>
    </row>
    <row r="96" spans="1:8" s="2727" customFormat="1" ht="24.75" customHeight="1">
      <c r="A96" s="2776"/>
      <c r="B96" s="2733" t="s">
        <v>3631</v>
      </c>
      <c r="C96" s="2739">
        <f>621+C97</f>
        <v>54379.5</v>
      </c>
      <c r="D96" s="2734">
        <f>176+D97</f>
        <v>51374</v>
      </c>
      <c r="E96" s="2734">
        <f>E97+2020</f>
        <v>49805</v>
      </c>
      <c r="F96" s="2734">
        <f>-768+F97</f>
        <v>48041.200000000004</v>
      </c>
      <c r="G96" s="2781">
        <f t="shared" si="2"/>
        <v>203599.7</v>
      </c>
    </row>
    <row r="97" spans="1:9" s="2749" customFormat="1" ht="24.75" customHeight="1">
      <c r="A97" s="2782"/>
      <c r="B97" s="2745" t="s">
        <v>3605</v>
      </c>
      <c r="C97" s="2754">
        <v>53758.5</v>
      </c>
      <c r="D97" s="2751">
        <v>51198</v>
      </c>
      <c r="E97" s="2751">
        <v>47785</v>
      </c>
      <c r="F97" s="2751">
        <v>48809.200000000004</v>
      </c>
      <c r="G97" s="2783">
        <f t="shared" si="2"/>
        <v>201550.7</v>
      </c>
    </row>
    <row r="98" spans="1:9" s="2727" customFormat="1" ht="24.75" customHeight="1">
      <c r="A98" s="2776"/>
      <c r="B98" s="2733" t="s">
        <v>3632</v>
      </c>
      <c r="C98" s="2739">
        <f>60+C99</f>
        <v>-4384.5</v>
      </c>
      <c r="D98" s="2734">
        <f>2109+D99</f>
        <v>-2124.5999999999995</v>
      </c>
      <c r="E98" s="2734">
        <f>-427+E99</f>
        <v>-4378</v>
      </c>
      <c r="F98" s="2734">
        <f>-166+F99</f>
        <v>-4201.9000000000005</v>
      </c>
      <c r="G98" s="2781">
        <f t="shared" si="2"/>
        <v>-15089</v>
      </c>
      <c r="I98" s="2795"/>
    </row>
    <row r="99" spans="1:9" s="2749" customFormat="1" ht="24.75" customHeight="1">
      <c r="A99" s="2782"/>
      <c r="B99" s="2745" t="s">
        <v>3605</v>
      </c>
      <c r="C99" s="2754">
        <v>-4444.5</v>
      </c>
      <c r="D99" s="2751">
        <v>-4233.5999999999995</v>
      </c>
      <c r="E99" s="2751">
        <v>-3951</v>
      </c>
      <c r="F99" s="2751">
        <v>-4035.9000000000005</v>
      </c>
      <c r="G99" s="2783">
        <f t="shared" si="2"/>
        <v>-16665</v>
      </c>
    </row>
    <row r="100" spans="1:9" s="2727" customFormat="1" ht="24.75" customHeight="1">
      <c r="A100" s="2776"/>
      <c r="B100" s="2728" t="s">
        <v>3634</v>
      </c>
      <c r="C100" s="2789">
        <f>C101+C108</f>
        <v>-94392</v>
      </c>
      <c r="D100" s="2790">
        <f>D101+D108</f>
        <v>-10704.800000000003</v>
      </c>
      <c r="E100" s="2790">
        <f>E101+E108</f>
        <v>-62921.051927214961</v>
      </c>
      <c r="F100" s="2790">
        <f>F101+F108</f>
        <v>-75708.100000000006</v>
      </c>
      <c r="G100" s="2791">
        <f t="shared" si="2"/>
        <v>-243725.95192721498</v>
      </c>
    </row>
    <row r="101" spans="1:9" s="2727" customFormat="1" ht="24.75" customHeight="1">
      <c r="A101" s="2776"/>
      <c r="B101" s="2728" t="s">
        <v>3635</v>
      </c>
      <c r="C101" s="2789">
        <f>C102+C103+C104+C105+C107</f>
        <v>-45376.5</v>
      </c>
      <c r="D101" s="2790">
        <f>D102+D103+D104+D105+D107</f>
        <v>48702.2</v>
      </c>
      <c r="E101" s="2790">
        <f>E102+E103+E104+E105+E107</f>
        <v>30321.048797338175</v>
      </c>
      <c r="F101" s="2790">
        <f>F102+F103+F104+F105+F107</f>
        <v>70228.5</v>
      </c>
      <c r="G101" s="2791">
        <f t="shared" si="2"/>
        <v>103875.24879733816</v>
      </c>
    </row>
    <row r="102" spans="1:9" s="2727" customFormat="1" ht="24.75" customHeight="1">
      <c r="A102" s="2776"/>
      <c r="B102" s="2733" t="s">
        <v>3636</v>
      </c>
      <c r="C102" s="2778">
        <v>0</v>
      </c>
      <c r="D102" s="2779">
        <v>0</v>
      </c>
      <c r="E102" s="2779">
        <v>0</v>
      </c>
      <c r="F102" s="2779">
        <v>0</v>
      </c>
      <c r="G102" s="2780">
        <f t="shared" si="2"/>
        <v>0</v>
      </c>
    </row>
    <row r="103" spans="1:9" s="2727" customFormat="1" ht="24.75" customHeight="1">
      <c r="A103" s="2776"/>
      <c r="B103" s="2733" t="s">
        <v>3637</v>
      </c>
      <c r="C103" s="2778">
        <v>0</v>
      </c>
      <c r="D103" s="2779">
        <v>0</v>
      </c>
      <c r="E103" s="2779">
        <v>0</v>
      </c>
      <c r="F103" s="2779">
        <v>0</v>
      </c>
      <c r="G103" s="2780">
        <f t="shared" si="2"/>
        <v>0</v>
      </c>
    </row>
    <row r="104" spans="1:9" s="2727" customFormat="1" ht="24.75" customHeight="1">
      <c r="A104" s="2776"/>
      <c r="B104" s="2733" t="s">
        <v>143</v>
      </c>
      <c r="C104" s="2755">
        <v>-81321</v>
      </c>
      <c r="D104" s="2756">
        <v>14025</v>
      </c>
      <c r="E104" s="2756">
        <v>-2584.9512026618254</v>
      </c>
      <c r="F104" s="2756">
        <v>39076</v>
      </c>
      <c r="G104" s="2796">
        <f t="shared" si="2"/>
        <v>-30804.951202661832</v>
      </c>
    </row>
    <row r="105" spans="1:9" s="2727" customFormat="1" ht="24.75" customHeight="1">
      <c r="A105" s="2776"/>
      <c r="B105" s="2733" t="s">
        <v>3638</v>
      </c>
      <c r="C105" s="2739">
        <f>C106</f>
        <v>36037.5</v>
      </c>
      <c r="D105" s="2734">
        <f>D106</f>
        <v>34321.199999999997</v>
      </c>
      <c r="E105" s="2734">
        <f>0+E106</f>
        <v>32033</v>
      </c>
      <c r="F105" s="2734">
        <f>F106</f>
        <v>32719.500000000004</v>
      </c>
      <c r="G105" s="2781">
        <f t="shared" si="2"/>
        <v>135111.20000000001</v>
      </c>
    </row>
    <row r="106" spans="1:9" s="2749" customFormat="1" ht="24.75" customHeight="1">
      <c r="A106" s="2782"/>
      <c r="B106" s="2745" t="s">
        <v>3605</v>
      </c>
      <c r="C106" s="2754">
        <v>36037.5</v>
      </c>
      <c r="D106" s="2751">
        <v>34321.199999999997</v>
      </c>
      <c r="E106" s="2751">
        <v>32033</v>
      </c>
      <c r="F106" s="2751">
        <v>32719.500000000004</v>
      </c>
      <c r="G106" s="2783">
        <f t="shared" si="2"/>
        <v>135111.20000000001</v>
      </c>
    </row>
    <row r="107" spans="1:9" s="2727" customFormat="1" ht="24.75" customHeight="1">
      <c r="A107" s="2776"/>
      <c r="B107" s="2733" t="s">
        <v>3639</v>
      </c>
      <c r="C107" s="2778">
        <v>-93</v>
      </c>
      <c r="D107" s="2779">
        <v>356</v>
      </c>
      <c r="E107" s="2779">
        <v>873</v>
      </c>
      <c r="F107" s="2779">
        <v>-1567</v>
      </c>
      <c r="G107" s="2780">
        <f t="shared" si="2"/>
        <v>-431</v>
      </c>
    </row>
    <row r="108" spans="1:9" s="2727" customFormat="1" ht="24.75" customHeight="1">
      <c r="A108" s="2776"/>
      <c r="B108" s="2728" t="s">
        <v>3633</v>
      </c>
      <c r="C108" s="2789">
        <f>C109+C110+C111+C112+C114</f>
        <v>-49015.5</v>
      </c>
      <c r="D108" s="2790">
        <f>D109+D110+D111+D112+D114</f>
        <v>-59407</v>
      </c>
      <c r="E108" s="2790">
        <f>E109+E110+E111+E112+E114</f>
        <v>-93242.100724553136</v>
      </c>
      <c r="F108" s="2790">
        <f>F109+F110+F111+F112+F114</f>
        <v>-145936.6</v>
      </c>
      <c r="G108" s="2791">
        <f t="shared" si="2"/>
        <v>-347601.20072455314</v>
      </c>
    </row>
    <row r="109" spans="1:9" s="2727" customFormat="1" ht="24.75" customHeight="1">
      <c r="A109" s="2776"/>
      <c r="B109" s="2733" t="s">
        <v>3636</v>
      </c>
      <c r="C109" s="2778">
        <v>76</v>
      </c>
      <c r="D109" s="2779">
        <v>562</v>
      </c>
      <c r="E109" s="2779">
        <v>1599</v>
      </c>
      <c r="F109" s="2779">
        <v>545</v>
      </c>
      <c r="G109" s="2780">
        <f t="shared" si="2"/>
        <v>2782</v>
      </c>
    </row>
    <row r="110" spans="1:9" s="2727" customFormat="1" ht="24.75" customHeight="1">
      <c r="A110" s="2776"/>
      <c r="B110" s="2733" t="s">
        <v>3637</v>
      </c>
      <c r="C110" s="2778">
        <v>0</v>
      </c>
      <c r="D110" s="2779">
        <v>0</v>
      </c>
      <c r="E110" s="2779">
        <v>0</v>
      </c>
      <c r="F110" s="2779">
        <v>0</v>
      </c>
      <c r="G110" s="2780">
        <f t="shared" si="2"/>
        <v>0</v>
      </c>
    </row>
    <row r="111" spans="1:9" s="2727" customFormat="1" ht="24.75" customHeight="1">
      <c r="A111" s="2776"/>
      <c r="B111" s="2733" t="s">
        <v>143</v>
      </c>
      <c r="C111" s="2739">
        <v>47592</v>
      </c>
      <c r="D111" s="2734">
        <v>31011</v>
      </c>
      <c r="E111" s="2734">
        <v>-10604.100724553131</v>
      </c>
      <c r="F111" s="2734">
        <v>-62165</v>
      </c>
      <c r="G111" s="2781">
        <f t="shared" si="2"/>
        <v>5833.8992754468636</v>
      </c>
    </row>
    <row r="112" spans="1:9" s="2727" customFormat="1" ht="24.75" customHeight="1">
      <c r="A112" s="2776"/>
      <c r="B112" s="2733" t="s">
        <v>3638</v>
      </c>
      <c r="C112" s="2739">
        <f>-986+C113</f>
        <v>-97722.5</v>
      </c>
      <c r="D112" s="2734">
        <f>-796+D113</f>
        <v>-92926</v>
      </c>
      <c r="E112" s="2734">
        <f>204+E113</f>
        <v>-85784</v>
      </c>
      <c r="F112" s="2734">
        <f>558+F113</f>
        <v>-87272.6</v>
      </c>
      <c r="G112" s="2781">
        <f t="shared" si="2"/>
        <v>-363705.1</v>
      </c>
    </row>
    <row r="113" spans="1:7" s="2749" customFormat="1" ht="24.75" customHeight="1">
      <c r="A113" s="2782"/>
      <c r="B113" s="2745" t="s">
        <v>3605</v>
      </c>
      <c r="C113" s="2754">
        <v>-96736.5</v>
      </c>
      <c r="D113" s="2751">
        <v>-92130</v>
      </c>
      <c r="E113" s="2751">
        <v>-85988</v>
      </c>
      <c r="F113" s="2751">
        <v>-87830.6</v>
      </c>
      <c r="G113" s="2783">
        <f t="shared" si="2"/>
        <v>-362685.1</v>
      </c>
    </row>
    <row r="114" spans="1:7" s="2727" customFormat="1" ht="24.75" customHeight="1">
      <c r="A114" s="2776"/>
      <c r="B114" s="2733" t="s">
        <v>3639</v>
      </c>
      <c r="C114" s="2778">
        <v>1039</v>
      </c>
      <c r="D114" s="2779">
        <v>1946</v>
      </c>
      <c r="E114" s="2779">
        <v>1547</v>
      </c>
      <c r="F114" s="2779">
        <v>2956</v>
      </c>
      <c r="G114" s="2780">
        <f t="shared" si="2"/>
        <v>7488</v>
      </c>
    </row>
    <row r="115" spans="1:7" s="2727" customFormat="1" ht="24.75" customHeight="1">
      <c r="A115" s="2776"/>
      <c r="B115" s="2728" t="s">
        <v>3640</v>
      </c>
      <c r="C115" s="2789">
        <f>C116+C117+C118+C119+C120</f>
        <v>1614</v>
      </c>
      <c r="D115" s="2790">
        <f>D116+D117+D118+D119+D120</f>
        <v>-2970</v>
      </c>
      <c r="E115" s="2790">
        <f>E116+E117+E118+E119+E120</f>
        <v>-1105</v>
      </c>
      <c r="F115" s="2790">
        <f>F116+F117+F118+F119+F120</f>
        <v>-3580</v>
      </c>
      <c r="G115" s="2791">
        <f t="shared" si="2"/>
        <v>-6041</v>
      </c>
    </row>
    <row r="116" spans="1:7" s="2727" customFormat="1" ht="24.75" customHeight="1">
      <c r="A116" s="2776"/>
      <c r="B116" s="2733" t="s">
        <v>3641</v>
      </c>
      <c r="C116" s="2778">
        <v>0</v>
      </c>
      <c r="D116" s="2779">
        <v>0</v>
      </c>
      <c r="E116" s="2779">
        <v>0</v>
      </c>
      <c r="F116" s="2779">
        <v>0</v>
      </c>
      <c r="G116" s="2780">
        <f t="shared" si="2"/>
        <v>0</v>
      </c>
    </row>
    <row r="117" spans="1:7" s="2727" customFormat="1" ht="24.75" customHeight="1">
      <c r="A117" s="2776"/>
      <c r="B117" s="2733" t="s">
        <v>3642</v>
      </c>
      <c r="C117" s="2778">
        <v>21</v>
      </c>
      <c r="D117" s="2779">
        <v>-176</v>
      </c>
      <c r="E117" s="2779">
        <v>-8</v>
      </c>
      <c r="F117" s="2779">
        <v>-2</v>
      </c>
      <c r="G117" s="2780">
        <f t="shared" si="2"/>
        <v>-165</v>
      </c>
    </row>
    <row r="118" spans="1:7" s="2727" customFormat="1" ht="24.75" customHeight="1">
      <c r="A118" s="2776"/>
      <c r="B118" s="2733" t="s">
        <v>3643</v>
      </c>
      <c r="C118" s="2778">
        <v>-40</v>
      </c>
      <c r="D118" s="2779">
        <v>-56</v>
      </c>
      <c r="E118" s="2779">
        <v>0</v>
      </c>
      <c r="F118" s="2779">
        <v>0</v>
      </c>
      <c r="G118" s="2780">
        <f t="shared" si="2"/>
        <v>-96</v>
      </c>
    </row>
    <row r="119" spans="1:7" s="2727" customFormat="1" ht="24.75" customHeight="1">
      <c r="A119" s="2776"/>
      <c r="B119" s="2733" t="s">
        <v>3644</v>
      </c>
      <c r="C119" s="2778">
        <v>1633</v>
      </c>
      <c r="D119" s="2779">
        <v>-2738</v>
      </c>
      <c r="E119" s="2779">
        <v>-1097</v>
      </c>
      <c r="F119" s="2779">
        <v>-3578</v>
      </c>
      <c r="G119" s="2780">
        <f t="shared" si="2"/>
        <v>-5780</v>
      </c>
    </row>
    <row r="120" spans="1:7" s="2727" customFormat="1" ht="24.75" customHeight="1">
      <c r="A120" s="2776"/>
      <c r="B120" s="2733" t="s">
        <v>3645</v>
      </c>
      <c r="C120" s="2797">
        <v>0</v>
      </c>
      <c r="D120" s="2798">
        <v>0</v>
      </c>
      <c r="E120" s="2798">
        <v>0</v>
      </c>
      <c r="F120" s="2798">
        <v>0</v>
      </c>
      <c r="G120" s="2799">
        <f t="shared" si="2"/>
        <v>0</v>
      </c>
    </row>
    <row r="121" spans="1:7" s="2727" customFormat="1" ht="24.75" customHeight="1">
      <c r="A121" s="2776" t="s">
        <v>3646</v>
      </c>
      <c r="B121" s="2728" t="s">
        <v>3647</v>
      </c>
      <c r="C121" s="2789">
        <f>-(C7+C80)</f>
        <v>-1333.5</v>
      </c>
      <c r="D121" s="2790">
        <f>-(D7+D80)</f>
        <v>-1460.6000000000186</v>
      </c>
      <c r="E121" s="2790">
        <f>-(E7+E80)</f>
        <v>2220.4228574225344</v>
      </c>
      <c r="F121" s="2790">
        <f>-(F7+F80)</f>
        <v>-1792.3069999999425</v>
      </c>
      <c r="G121" s="2791">
        <f t="shared" si="2"/>
        <v>-2365.9841425774266</v>
      </c>
    </row>
    <row r="122" spans="1:7" s="2727" customFormat="1" ht="7.5" customHeight="1" thickBot="1">
      <c r="A122" s="2800"/>
      <c r="B122" s="2801"/>
      <c r="C122" s="2802"/>
      <c r="D122" s="2803"/>
      <c r="E122" s="2803"/>
      <c r="F122" s="2804"/>
      <c r="G122" s="2805"/>
    </row>
    <row r="123" spans="1:7" s="2717" customFormat="1" ht="24.75" customHeight="1">
      <c r="A123" s="2806" t="s">
        <v>3648</v>
      </c>
      <c r="B123" s="2807"/>
    </row>
    <row r="124" spans="1:7" s="2717" customFormat="1" ht="20.25">
      <c r="A124" s="2808" t="s">
        <v>361</v>
      </c>
    </row>
    <row r="125" spans="1:7">
      <c r="A125" s="2808" t="s">
        <v>3649</v>
      </c>
    </row>
    <row r="129" spans="3:7">
      <c r="C129" s="2810"/>
      <c r="D129" s="2810"/>
      <c r="E129" s="2810"/>
      <c r="F129" s="2810"/>
      <c r="G129" s="2810"/>
    </row>
  </sheetData>
  <mergeCells count="9">
    <mergeCell ref="A57:A58"/>
    <mergeCell ref="B57:B58"/>
    <mergeCell ref="C57:F57"/>
    <mergeCell ref="G57:G58"/>
    <mergeCell ref="A1:G2"/>
    <mergeCell ref="A4:A5"/>
    <mergeCell ref="B4:B5"/>
    <mergeCell ref="C4:F4"/>
    <mergeCell ref="G4:G5"/>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1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view="pageBreakPreview" zoomScale="60" zoomScaleNormal="75" workbookViewId="0">
      <pane xSplit="2" ySplit="5" topLeftCell="C120" activePane="bottomRight" state="frozen"/>
      <selection pane="topRight" activeCell="C1" sqref="C1"/>
      <selection pane="bottomLeft" activeCell="A5" sqref="A5"/>
      <selection pane="bottomRight" activeCell="B132" sqref="B132"/>
    </sheetView>
  </sheetViews>
  <sheetFormatPr defaultRowHeight="23.25"/>
  <cols>
    <col min="1" max="1" width="4.85546875" style="2811" customWidth="1"/>
    <col min="2" max="2" width="56.5703125" style="2727" customWidth="1"/>
    <col min="3" max="7" width="16.42578125" style="2809" customWidth="1"/>
    <col min="8" max="10" width="9.140625" style="1689"/>
    <col min="11" max="11" width="10.5703125" style="1689" bestFit="1" customWidth="1"/>
    <col min="12" max="256" width="9.140625" style="1689"/>
    <col min="257" max="257" width="4.85546875" style="1689" customWidth="1"/>
    <col min="258" max="258" width="56.5703125" style="1689" customWidth="1"/>
    <col min="259" max="263" width="16.42578125" style="1689" customWidth="1"/>
    <col min="264" max="266" width="9.140625" style="1689"/>
    <col min="267" max="267" width="10.5703125" style="1689" bestFit="1" customWidth="1"/>
    <col min="268" max="512" width="9.140625" style="1689"/>
    <col min="513" max="513" width="4.85546875" style="1689" customWidth="1"/>
    <col min="514" max="514" width="56.5703125" style="1689" customWidth="1"/>
    <col min="515" max="519" width="16.42578125" style="1689" customWidth="1"/>
    <col min="520" max="522" width="9.140625" style="1689"/>
    <col min="523" max="523" width="10.5703125" style="1689" bestFit="1" customWidth="1"/>
    <col min="524" max="768" width="9.140625" style="1689"/>
    <col min="769" max="769" width="4.85546875" style="1689" customWidth="1"/>
    <col min="770" max="770" width="56.5703125" style="1689" customWidth="1"/>
    <col min="771" max="775" width="16.42578125" style="1689" customWidth="1"/>
    <col min="776" max="778" width="9.140625" style="1689"/>
    <col min="779" max="779" width="10.5703125" style="1689" bestFit="1" customWidth="1"/>
    <col min="780" max="1024" width="9.140625" style="1689"/>
    <col min="1025" max="1025" width="4.85546875" style="1689" customWidth="1"/>
    <col min="1026" max="1026" width="56.5703125" style="1689" customWidth="1"/>
    <col min="1027" max="1031" width="16.42578125" style="1689" customWidth="1"/>
    <col min="1032" max="1034" width="9.140625" style="1689"/>
    <col min="1035" max="1035" width="10.5703125" style="1689" bestFit="1" customWidth="1"/>
    <col min="1036" max="1280" width="9.140625" style="1689"/>
    <col min="1281" max="1281" width="4.85546875" style="1689" customWidth="1"/>
    <col min="1282" max="1282" width="56.5703125" style="1689" customWidth="1"/>
    <col min="1283" max="1287" width="16.42578125" style="1689" customWidth="1"/>
    <col min="1288" max="1290" width="9.140625" style="1689"/>
    <col min="1291" max="1291" width="10.5703125" style="1689" bestFit="1" customWidth="1"/>
    <col min="1292" max="1536" width="9.140625" style="1689"/>
    <col min="1537" max="1537" width="4.85546875" style="1689" customWidth="1"/>
    <col min="1538" max="1538" width="56.5703125" style="1689" customWidth="1"/>
    <col min="1539" max="1543" width="16.42578125" style="1689" customWidth="1"/>
    <col min="1544" max="1546" width="9.140625" style="1689"/>
    <col min="1547" max="1547" width="10.5703125" style="1689" bestFit="1" customWidth="1"/>
    <col min="1548" max="1792" width="9.140625" style="1689"/>
    <col min="1793" max="1793" width="4.85546875" style="1689" customWidth="1"/>
    <col min="1794" max="1794" width="56.5703125" style="1689" customWidth="1"/>
    <col min="1795" max="1799" width="16.42578125" style="1689" customWidth="1"/>
    <col min="1800" max="1802" width="9.140625" style="1689"/>
    <col min="1803" max="1803" width="10.5703125" style="1689" bestFit="1" customWidth="1"/>
    <col min="1804" max="2048" width="9.140625" style="1689"/>
    <col min="2049" max="2049" width="4.85546875" style="1689" customWidth="1"/>
    <col min="2050" max="2050" width="56.5703125" style="1689" customWidth="1"/>
    <col min="2051" max="2055" width="16.42578125" style="1689" customWidth="1"/>
    <col min="2056" max="2058" width="9.140625" style="1689"/>
    <col min="2059" max="2059" width="10.5703125" style="1689" bestFit="1" customWidth="1"/>
    <col min="2060" max="2304" width="9.140625" style="1689"/>
    <col min="2305" max="2305" width="4.85546875" style="1689" customWidth="1"/>
    <col min="2306" max="2306" width="56.5703125" style="1689" customWidth="1"/>
    <col min="2307" max="2311" width="16.42578125" style="1689" customWidth="1"/>
    <col min="2312" max="2314" width="9.140625" style="1689"/>
    <col min="2315" max="2315" width="10.5703125" style="1689" bestFit="1" customWidth="1"/>
    <col min="2316" max="2560" width="9.140625" style="1689"/>
    <col min="2561" max="2561" width="4.85546875" style="1689" customWidth="1"/>
    <col min="2562" max="2562" width="56.5703125" style="1689" customWidth="1"/>
    <col min="2563" max="2567" width="16.42578125" style="1689" customWidth="1"/>
    <col min="2568" max="2570" width="9.140625" style="1689"/>
    <col min="2571" max="2571" width="10.5703125" style="1689" bestFit="1" customWidth="1"/>
    <col min="2572" max="2816" width="9.140625" style="1689"/>
    <col min="2817" max="2817" width="4.85546875" style="1689" customWidth="1"/>
    <col min="2818" max="2818" width="56.5703125" style="1689" customWidth="1"/>
    <col min="2819" max="2823" width="16.42578125" style="1689" customWidth="1"/>
    <col min="2824" max="2826" width="9.140625" style="1689"/>
    <col min="2827" max="2827" width="10.5703125" style="1689" bestFit="1" customWidth="1"/>
    <col min="2828" max="3072" width="9.140625" style="1689"/>
    <col min="3073" max="3073" width="4.85546875" style="1689" customWidth="1"/>
    <col min="3074" max="3074" width="56.5703125" style="1689" customWidth="1"/>
    <col min="3075" max="3079" width="16.42578125" style="1689" customWidth="1"/>
    <col min="3080" max="3082" width="9.140625" style="1689"/>
    <col min="3083" max="3083" width="10.5703125" style="1689" bestFit="1" customWidth="1"/>
    <col min="3084" max="3328" width="9.140625" style="1689"/>
    <col min="3329" max="3329" width="4.85546875" style="1689" customWidth="1"/>
    <col min="3330" max="3330" width="56.5703125" style="1689" customWidth="1"/>
    <col min="3331" max="3335" width="16.42578125" style="1689" customWidth="1"/>
    <col min="3336" max="3338" width="9.140625" style="1689"/>
    <col min="3339" max="3339" width="10.5703125" style="1689" bestFit="1" customWidth="1"/>
    <col min="3340" max="3584" width="9.140625" style="1689"/>
    <col min="3585" max="3585" width="4.85546875" style="1689" customWidth="1"/>
    <col min="3586" max="3586" width="56.5703125" style="1689" customWidth="1"/>
    <col min="3587" max="3591" width="16.42578125" style="1689" customWidth="1"/>
    <col min="3592" max="3594" width="9.140625" style="1689"/>
    <col min="3595" max="3595" width="10.5703125" style="1689" bestFit="1" customWidth="1"/>
    <col min="3596" max="3840" width="9.140625" style="1689"/>
    <col min="3841" max="3841" width="4.85546875" style="1689" customWidth="1"/>
    <col min="3842" max="3842" width="56.5703125" style="1689" customWidth="1"/>
    <col min="3843" max="3847" width="16.42578125" style="1689" customWidth="1"/>
    <col min="3848" max="3850" width="9.140625" style="1689"/>
    <col min="3851" max="3851" width="10.5703125" style="1689" bestFit="1" customWidth="1"/>
    <col min="3852" max="4096" width="9.140625" style="1689"/>
    <col min="4097" max="4097" width="4.85546875" style="1689" customWidth="1"/>
    <col min="4098" max="4098" width="56.5703125" style="1689" customWidth="1"/>
    <col min="4099" max="4103" width="16.42578125" style="1689" customWidth="1"/>
    <col min="4104" max="4106" width="9.140625" style="1689"/>
    <col min="4107" max="4107" width="10.5703125" style="1689" bestFit="1" customWidth="1"/>
    <col min="4108" max="4352" width="9.140625" style="1689"/>
    <col min="4353" max="4353" width="4.85546875" style="1689" customWidth="1"/>
    <col min="4354" max="4354" width="56.5703125" style="1689" customWidth="1"/>
    <col min="4355" max="4359" width="16.42578125" style="1689" customWidth="1"/>
    <col min="4360" max="4362" width="9.140625" style="1689"/>
    <col min="4363" max="4363" width="10.5703125" style="1689" bestFit="1" customWidth="1"/>
    <col min="4364" max="4608" width="9.140625" style="1689"/>
    <col min="4609" max="4609" width="4.85546875" style="1689" customWidth="1"/>
    <col min="4610" max="4610" width="56.5703125" style="1689" customWidth="1"/>
    <col min="4611" max="4615" width="16.42578125" style="1689" customWidth="1"/>
    <col min="4616" max="4618" width="9.140625" style="1689"/>
    <col min="4619" max="4619" width="10.5703125" style="1689" bestFit="1" customWidth="1"/>
    <col min="4620" max="4864" width="9.140625" style="1689"/>
    <col min="4865" max="4865" width="4.85546875" style="1689" customWidth="1"/>
    <col min="4866" max="4866" width="56.5703125" style="1689" customWidth="1"/>
    <col min="4867" max="4871" width="16.42578125" style="1689" customWidth="1"/>
    <col min="4872" max="4874" width="9.140625" style="1689"/>
    <col min="4875" max="4875" width="10.5703125" style="1689" bestFit="1" customWidth="1"/>
    <col min="4876" max="5120" width="9.140625" style="1689"/>
    <col min="5121" max="5121" width="4.85546875" style="1689" customWidth="1"/>
    <col min="5122" max="5122" width="56.5703125" style="1689" customWidth="1"/>
    <col min="5123" max="5127" width="16.42578125" style="1689" customWidth="1"/>
    <col min="5128" max="5130" width="9.140625" style="1689"/>
    <col min="5131" max="5131" width="10.5703125" style="1689" bestFit="1" customWidth="1"/>
    <col min="5132" max="5376" width="9.140625" style="1689"/>
    <col min="5377" max="5377" width="4.85546875" style="1689" customWidth="1"/>
    <col min="5378" max="5378" width="56.5703125" style="1689" customWidth="1"/>
    <col min="5379" max="5383" width="16.42578125" style="1689" customWidth="1"/>
    <col min="5384" max="5386" width="9.140625" style="1689"/>
    <col min="5387" max="5387" width="10.5703125" style="1689" bestFit="1" customWidth="1"/>
    <col min="5388" max="5632" width="9.140625" style="1689"/>
    <col min="5633" max="5633" width="4.85546875" style="1689" customWidth="1"/>
    <col min="5634" max="5634" width="56.5703125" style="1689" customWidth="1"/>
    <col min="5635" max="5639" width="16.42578125" style="1689" customWidth="1"/>
    <col min="5640" max="5642" width="9.140625" style="1689"/>
    <col min="5643" max="5643" width="10.5703125" style="1689" bestFit="1" customWidth="1"/>
    <col min="5644" max="5888" width="9.140625" style="1689"/>
    <col min="5889" max="5889" width="4.85546875" style="1689" customWidth="1"/>
    <col min="5890" max="5890" width="56.5703125" style="1689" customWidth="1"/>
    <col min="5891" max="5895" width="16.42578125" style="1689" customWidth="1"/>
    <col min="5896" max="5898" width="9.140625" style="1689"/>
    <col min="5899" max="5899" width="10.5703125" style="1689" bestFit="1" customWidth="1"/>
    <col min="5900" max="6144" width="9.140625" style="1689"/>
    <col min="6145" max="6145" width="4.85546875" style="1689" customWidth="1"/>
    <col min="6146" max="6146" width="56.5703125" style="1689" customWidth="1"/>
    <col min="6147" max="6151" width="16.42578125" style="1689" customWidth="1"/>
    <col min="6152" max="6154" width="9.140625" style="1689"/>
    <col min="6155" max="6155" width="10.5703125" style="1689" bestFit="1" customWidth="1"/>
    <col min="6156" max="6400" width="9.140625" style="1689"/>
    <col min="6401" max="6401" width="4.85546875" style="1689" customWidth="1"/>
    <col min="6402" max="6402" width="56.5703125" style="1689" customWidth="1"/>
    <col min="6403" max="6407" width="16.42578125" style="1689" customWidth="1"/>
    <col min="6408" max="6410" width="9.140625" style="1689"/>
    <col min="6411" max="6411" width="10.5703125" style="1689" bestFit="1" customWidth="1"/>
    <col min="6412" max="6656" width="9.140625" style="1689"/>
    <col min="6657" max="6657" width="4.85546875" style="1689" customWidth="1"/>
    <col min="6658" max="6658" width="56.5703125" style="1689" customWidth="1"/>
    <col min="6659" max="6663" width="16.42578125" style="1689" customWidth="1"/>
    <col min="6664" max="6666" width="9.140625" style="1689"/>
    <col min="6667" max="6667" width="10.5703125" style="1689" bestFit="1" customWidth="1"/>
    <col min="6668" max="6912" width="9.140625" style="1689"/>
    <col min="6913" max="6913" width="4.85546875" style="1689" customWidth="1"/>
    <col min="6914" max="6914" width="56.5703125" style="1689" customWidth="1"/>
    <col min="6915" max="6919" width="16.42578125" style="1689" customWidth="1"/>
    <col min="6920" max="6922" width="9.140625" style="1689"/>
    <col min="6923" max="6923" width="10.5703125" style="1689" bestFit="1" customWidth="1"/>
    <col min="6924" max="7168" width="9.140625" style="1689"/>
    <col min="7169" max="7169" width="4.85546875" style="1689" customWidth="1"/>
    <col min="7170" max="7170" width="56.5703125" style="1689" customWidth="1"/>
    <col min="7171" max="7175" width="16.42578125" style="1689" customWidth="1"/>
    <col min="7176" max="7178" width="9.140625" style="1689"/>
    <col min="7179" max="7179" width="10.5703125" style="1689" bestFit="1" customWidth="1"/>
    <col min="7180" max="7424" width="9.140625" style="1689"/>
    <col min="7425" max="7425" width="4.85546875" style="1689" customWidth="1"/>
    <col min="7426" max="7426" width="56.5703125" style="1689" customWidth="1"/>
    <col min="7427" max="7431" width="16.42578125" style="1689" customWidth="1"/>
    <col min="7432" max="7434" width="9.140625" style="1689"/>
    <col min="7435" max="7435" width="10.5703125" style="1689" bestFit="1" customWidth="1"/>
    <col min="7436" max="7680" width="9.140625" style="1689"/>
    <col min="7681" max="7681" width="4.85546875" style="1689" customWidth="1"/>
    <col min="7682" max="7682" width="56.5703125" style="1689" customWidth="1"/>
    <col min="7683" max="7687" width="16.42578125" style="1689" customWidth="1"/>
    <col min="7688" max="7690" width="9.140625" style="1689"/>
    <col min="7691" max="7691" width="10.5703125" style="1689" bestFit="1" customWidth="1"/>
    <col min="7692" max="7936" width="9.140625" style="1689"/>
    <col min="7937" max="7937" width="4.85546875" style="1689" customWidth="1"/>
    <col min="7938" max="7938" width="56.5703125" style="1689" customWidth="1"/>
    <col min="7939" max="7943" width="16.42578125" style="1689" customWidth="1"/>
    <col min="7944" max="7946" width="9.140625" style="1689"/>
    <col min="7947" max="7947" width="10.5703125" style="1689" bestFit="1" customWidth="1"/>
    <col min="7948" max="8192" width="9.140625" style="1689"/>
    <col min="8193" max="8193" width="4.85546875" style="1689" customWidth="1"/>
    <col min="8194" max="8194" width="56.5703125" style="1689" customWidth="1"/>
    <col min="8195" max="8199" width="16.42578125" style="1689" customWidth="1"/>
    <col min="8200" max="8202" width="9.140625" style="1689"/>
    <col min="8203" max="8203" width="10.5703125" style="1689" bestFit="1" customWidth="1"/>
    <col min="8204" max="8448" width="9.140625" style="1689"/>
    <col min="8449" max="8449" width="4.85546875" style="1689" customWidth="1"/>
    <col min="8450" max="8450" width="56.5703125" style="1689" customWidth="1"/>
    <col min="8451" max="8455" width="16.42578125" style="1689" customWidth="1"/>
    <col min="8456" max="8458" width="9.140625" style="1689"/>
    <col min="8459" max="8459" width="10.5703125" style="1689" bestFit="1" customWidth="1"/>
    <col min="8460" max="8704" width="9.140625" style="1689"/>
    <col min="8705" max="8705" width="4.85546875" style="1689" customWidth="1"/>
    <col min="8706" max="8706" width="56.5703125" style="1689" customWidth="1"/>
    <col min="8707" max="8711" width="16.42578125" style="1689" customWidth="1"/>
    <col min="8712" max="8714" width="9.140625" style="1689"/>
    <col min="8715" max="8715" width="10.5703125" style="1689" bestFit="1" customWidth="1"/>
    <col min="8716" max="8960" width="9.140625" style="1689"/>
    <col min="8961" max="8961" width="4.85546875" style="1689" customWidth="1"/>
    <col min="8962" max="8962" width="56.5703125" style="1689" customWidth="1"/>
    <col min="8963" max="8967" width="16.42578125" style="1689" customWidth="1"/>
    <col min="8968" max="8970" width="9.140625" style="1689"/>
    <col min="8971" max="8971" width="10.5703125" style="1689" bestFit="1" customWidth="1"/>
    <col min="8972" max="9216" width="9.140625" style="1689"/>
    <col min="9217" max="9217" width="4.85546875" style="1689" customWidth="1"/>
    <col min="9218" max="9218" width="56.5703125" style="1689" customWidth="1"/>
    <col min="9219" max="9223" width="16.42578125" style="1689" customWidth="1"/>
    <col min="9224" max="9226" width="9.140625" style="1689"/>
    <col min="9227" max="9227" width="10.5703125" style="1689" bestFit="1" customWidth="1"/>
    <col min="9228" max="9472" width="9.140625" style="1689"/>
    <col min="9473" max="9473" width="4.85546875" style="1689" customWidth="1"/>
    <col min="9474" max="9474" width="56.5703125" style="1689" customWidth="1"/>
    <col min="9475" max="9479" width="16.42578125" style="1689" customWidth="1"/>
    <col min="9480" max="9482" width="9.140625" style="1689"/>
    <col min="9483" max="9483" width="10.5703125" style="1689" bestFit="1" customWidth="1"/>
    <col min="9484" max="9728" width="9.140625" style="1689"/>
    <col min="9729" max="9729" width="4.85546875" style="1689" customWidth="1"/>
    <col min="9730" max="9730" width="56.5703125" style="1689" customWidth="1"/>
    <col min="9731" max="9735" width="16.42578125" style="1689" customWidth="1"/>
    <col min="9736" max="9738" width="9.140625" style="1689"/>
    <col min="9739" max="9739" width="10.5703125" style="1689" bestFit="1" customWidth="1"/>
    <col min="9740" max="9984" width="9.140625" style="1689"/>
    <col min="9985" max="9985" width="4.85546875" style="1689" customWidth="1"/>
    <col min="9986" max="9986" width="56.5703125" style="1689" customWidth="1"/>
    <col min="9987" max="9991" width="16.42578125" style="1689" customWidth="1"/>
    <col min="9992" max="9994" width="9.140625" style="1689"/>
    <col min="9995" max="9995" width="10.5703125" style="1689" bestFit="1" customWidth="1"/>
    <col min="9996" max="10240" width="9.140625" style="1689"/>
    <col min="10241" max="10241" width="4.85546875" style="1689" customWidth="1"/>
    <col min="10242" max="10242" width="56.5703125" style="1689" customWidth="1"/>
    <col min="10243" max="10247" width="16.42578125" style="1689" customWidth="1"/>
    <col min="10248" max="10250" width="9.140625" style="1689"/>
    <col min="10251" max="10251" width="10.5703125" style="1689" bestFit="1" customWidth="1"/>
    <col min="10252" max="10496" width="9.140625" style="1689"/>
    <col min="10497" max="10497" width="4.85546875" style="1689" customWidth="1"/>
    <col min="10498" max="10498" width="56.5703125" style="1689" customWidth="1"/>
    <col min="10499" max="10503" width="16.42578125" style="1689" customWidth="1"/>
    <col min="10504" max="10506" width="9.140625" style="1689"/>
    <col min="10507" max="10507" width="10.5703125" style="1689" bestFit="1" customWidth="1"/>
    <col min="10508" max="10752" width="9.140625" style="1689"/>
    <col min="10753" max="10753" width="4.85546875" style="1689" customWidth="1"/>
    <col min="10754" max="10754" width="56.5703125" style="1689" customWidth="1"/>
    <col min="10755" max="10759" width="16.42578125" style="1689" customWidth="1"/>
    <col min="10760" max="10762" width="9.140625" style="1689"/>
    <col min="10763" max="10763" width="10.5703125" style="1689" bestFit="1" customWidth="1"/>
    <col min="10764" max="11008" width="9.140625" style="1689"/>
    <col min="11009" max="11009" width="4.85546875" style="1689" customWidth="1"/>
    <col min="11010" max="11010" width="56.5703125" style="1689" customWidth="1"/>
    <col min="11011" max="11015" width="16.42578125" style="1689" customWidth="1"/>
    <col min="11016" max="11018" width="9.140625" style="1689"/>
    <col min="11019" max="11019" width="10.5703125" style="1689" bestFit="1" customWidth="1"/>
    <col min="11020" max="11264" width="9.140625" style="1689"/>
    <col min="11265" max="11265" width="4.85546875" style="1689" customWidth="1"/>
    <col min="11266" max="11266" width="56.5703125" style="1689" customWidth="1"/>
    <col min="11267" max="11271" width="16.42578125" style="1689" customWidth="1"/>
    <col min="11272" max="11274" width="9.140625" style="1689"/>
    <col min="11275" max="11275" width="10.5703125" style="1689" bestFit="1" customWidth="1"/>
    <col min="11276" max="11520" width="9.140625" style="1689"/>
    <col min="11521" max="11521" width="4.85546875" style="1689" customWidth="1"/>
    <col min="11522" max="11522" width="56.5703125" style="1689" customWidth="1"/>
    <col min="11523" max="11527" width="16.42578125" style="1689" customWidth="1"/>
    <col min="11528" max="11530" width="9.140625" style="1689"/>
    <col min="11531" max="11531" width="10.5703125" style="1689" bestFit="1" customWidth="1"/>
    <col min="11532" max="11776" width="9.140625" style="1689"/>
    <col min="11777" max="11777" width="4.85546875" style="1689" customWidth="1"/>
    <col min="11778" max="11778" width="56.5703125" style="1689" customWidth="1"/>
    <col min="11779" max="11783" width="16.42578125" style="1689" customWidth="1"/>
    <col min="11784" max="11786" width="9.140625" style="1689"/>
    <col min="11787" max="11787" width="10.5703125" style="1689" bestFit="1" customWidth="1"/>
    <col min="11788" max="12032" width="9.140625" style="1689"/>
    <col min="12033" max="12033" width="4.85546875" style="1689" customWidth="1"/>
    <col min="12034" max="12034" width="56.5703125" style="1689" customWidth="1"/>
    <col min="12035" max="12039" width="16.42578125" style="1689" customWidth="1"/>
    <col min="12040" max="12042" width="9.140625" style="1689"/>
    <col min="12043" max="12043" width="10.5703125" style="1689" bestFit="1" customWidth="1"/>
    <col min="12044" max="12288" width="9.140625" style="1689"/>
    <col min="12289" max="12289" width="4.85546875" style="1689" customWidth="1"/>
    <col min="12290" max="12290" width="56.5703125" style="1689" customWidth="1"/>
    <col min="12291" max="12295" width="16.42578125" style="1689" customWidth="1"/>
    <col min="12296" max="12298" width="9.140625" style="1689"/>
    <col min="12299" max="12299" width="10.5703125" style="1689" bestFit="1" customWidth="1"/>
    <col min="12300" max="12544" width="9.140625" style="1689"/>
    <col min="12545" max="12545" width="4.85546875" style="1689" customWidth="1"/>
    <col min="12546" max="12546" width="56.5703125" style="1689" customWidth="1"/>
    <col min="12547" max="12551" width="16.42578125" style="1689" customWidth="1"/>
    <col min="12552" max="12554" width="9.140625" style="1689"/>
    <col min="12555" max="12555" width="10.5703125" style="1689" bestFit="1" customWidth="1"/>
    <col min="12556" max="12800" width="9.140625" style="1689"/>
    <col min="12801" max="12801" width="4.85546875" style="1689" customWidth="1"/>
    <col min="12802" max="12802" width="56.5703125" style="1689" customWidth="1"/>
    <col min="12803" max="12807" width="16.42578125" style="1689" customWidth="1"/>
    <col min="12808" max="12810" width="9.140625" style="1689"/>
    <col min="12811" max="12811" width="10.5703125" style="1689" bestFit="1" customWidth="1"/>
    <col min="12812" max="13056" width="9.140625" style="1689"/>
    <col min="13057" max="13057" width="4.85546875" style="1689" customWidth="1"/>
    <col min="13058" max="13058" width="56.5703125" style="1689" customWidth="1"/>
    <col min="13059" max="13063" width="16.42578125" style="1689" customWidth="1"/>
    <col min="13064" max="13066" width="9.140625" style="1689"/>
    <col min="13067" max="13067" width="10.5703125" style="1689" bestFit="1" customWidth="1"/>
    <col min="13068" max="13312" width="9.140625" style="1689"/>
    <col min="13313" max="13313" width="4.85546875" style="1689" customWidth="1"/>
    <col min="13314" max="13314" width="56.5703125" style="1689" customWidth="1"/>
    <col min="13315" max="13319" width="16.42578125" style="1689" customWidth="1"/>
    <col min="13320" max="13322" width="9.140625" style="1689"/>
    <col min="13323" max="13323" width="10.5703125" style="1689" bestFit="1" customWidth="1"/>
    <col min="13324" max="13568" width="9.140625" style="1689"/>
    <col min="13569" max="13569" width="4.85546875" style="1689" customWidth="1"/>
    <col min="13570" max="13570" width="56.5703125" style="1689" customWidth="1"/>
    <col min="13571" max="13575" width="16.42578125" style="1689" customWidth="1"/>
    <col min="13576" max="13578" width="9.140625" style="1689"/>
    <col min="13579" max="13579" width="10.5703125" style="1689" bestFit="1" customWidth="1"/>
    <col min="13580" max="13824" width="9.140625" style="1689"/>
    <col min="13825" max="13825" width="4.85546875" style="1689" customWidth="1"/>
    <col min="13826" max="13826" width="56.5703125" style="1689" customWidth="1"/>
    <col min="13827" max="13831" width="16.42578125" style="1689" customWidth="1"/>
    <col min="13832" max="13834" width="9.140625" style="1689"/>
    <col min="13835" max="13835" width="10.5703125" style="1689" bestFit="1" customWidth="1"/>
    <col min="13836" max="14080" width="9.140625" style="1689"/>
    <col min="14081" max="14081" width="4.85546875" style="1689" customWidth="1"/>
    <col min="14082" max="14082" width="56.5703125" style="1689" customWidth="1"/>
    <col min="14083" max="14087" width="16.42578125" style="1689" customWidth="1"/>
    <col min="14088" max="14090" width="9.140625" style="1689"/>
    <col min="14091" max="14091" width="10.5703125" style="1689" bestFit="1" customWidth="1"/>
    <col min="14092" max="14336" width="9.140625" style="1689"/>
    <col min="14337" max="14337" width="4.85546875" style="1689" customWidth="1"/>
    <col min="14338" max="14338" width="56.5703125" style="1689" customWidth="1"/>
    <col min="14339" max="14343" width="16.42578125" style="1689" customWidth="1"/>
    <col min="14344" max="14346" width="9.140625" style="1689"/>
    <col min="14347" max="14347" width="10.5703125" style="1689" bestFit="1" customWidth="1"/>
    <col min="14348" max="14592" width="9.140625" style="1689"/>
    <col min="14593" max="14593" width="4.85546875" style="1689" customWidth="1"/>
    <col min="14594" max="14594" width="56.5703125" style="1689" customWidth="1"/>
    <col min="14595" max="14599" width="16.42578125" style="1689" customWidth="1"/>
    <col min="14600" max="14602" width="9.140625" style="1689"/>
    <col min="14603" max="14603" width="10.5703125" style="1689" bestFit="1" customWidth="1"/>
    <col min="14604" max="14848" width="9.140625" style="1689"/>
    <col min="14849" max="14849" width="4.85546875" style="1689" customWidth="1"/>
    <col min="14850" max="14850" width="56.5703125" style="1689" customWidth="1"/>
    <col min="14851" max="14855" width="16.42578125" style="1689" customWidth="1"/>
    <col min="14856" max="14858" width="9.140625" style="1689"/>
    <col min="14859" max="14859" width="10.5703125" style="1689" bestFit="1" customWidth="1"/>
    <col min="14860" max="15104" width="9.140625" style="1689"/>
    <col min="15105" max="15105" width="4.85546875" style="1689" customWidth="1"/>
    <col min="15106" max="15106" width="56.5703125" style="1689" customWidth="1"/>
    <col min="15107" max="15111" width="16.42578125" style="1689" customWidth="1"/>
    <col min="15112" max="15114" width="9.140625" style="1689"/>
    <col min="15115" max="15115" width="10.5703125" style="1689" bestFit="1" customWidth="1"/>
    <col min="15116" max="15360" width="9.140625" style="1689"/>
    <col min="15361" max="15361" width="4.85546875" style="1689" customWidth="1"/>
    <col min="15362" max="15362" width="56.5703125" style="1689" customWidth="1"/>
    <col min="15363" max="15367" width="16.42578125" style="1689" customWidth="1"/>
    <col min="15368" max="15370" width="9.140625" style="1689"/>
    <col min="15371" max="15371" width="10.5703125" style="1689" bestFit="1" customWidth="1"/>
    <col min="15372" max="15616" width="9.140625" style="1689"/>
    <col min="15617" max="15617" width="4.85546875" style="1689" customWidth="1"/>
    <col min="15618" max="15618" width="56.5703125" style="1689" customWidth="1"/>
    <col min="15619" max="15623" width="16.42578125" style="1689" customWidth="1"/>
    <col min="15624" max="15626" width="9.140625" style="1689"/>
    <col min="15627" max="15627" width="10.5703125" style="1689" bestFit="1" customWidth="1"/>
    <col min="15628" max="15872" width="9.140625" style="1689"/>
    <col min="15873" max="15873" width="4.85546875" style="1689" customWidth="1"/>
    <col min="15874" max="15874" width="56.5703125" style="1689" customWidth="1"/>
    <col min="15875" max="15879" width="16.42578125" style="1689" customWidth="1"/>
    <col min="15880" max="15882" width="9.140625" style="1689"/>
    <col min="15883" max="15883" width="10.5703125" style="1689" bestFit="1" customWidth="1"/>
    <col min="15884" max="16128" width="9.140625" style="1689"/>
    <col min="16129" max="16129" width="4.85546875" style="1689" customWidth="1"/>
    <col min="16130" max="16130" width="56.5703125" style="1689" customWidth="1"/>
    <col min="16131" max="16135" width="16.42578125" style="1689" customWidth="1"/>
    <col min="16136" max="16138" width="9.140625" style="1689"/>
    <col min="16139" max="16139" width="10.5703125" style="1689" bestFit="1" customWidth="1"/>
    <col min="16140" max="16384" width="9.140625" style="1689"/>
  </cols>
  <sheetData>
    <row r="1" spans="1:7" ht="31.5" customHeight="1">
      <c r="A1" s="3543" t="s">
        <v>3650</v>
      </c>
      <c r="B1" s="3544"/>
      <c r="C1" s="3544"/>
      <c r="D1" s="3544"/>
      <c r="E1" s="3544"/>
      <c r="F1" s="3544"/>
      <c r="G1" s="3545"/>
    </row>
    <row r="2" spans="1:7" ht="48" customHeight="1">
      <c r="A2" s="3544"/>
      <c r="B2" s="3544"/>
      <c r="C2" s="3544"/>
      <c r="D2" s="3544"/>
      <c r="E2" s="3544"/>
      <c r="F2" s="3544"/>
      <c r="G2" s="3545"/>
    </row>
    <row r="3" spans="1:7" ht="51" customHeight="1" thickBot="1">
      <c r="A3" s="2713"/>
      <c r="B3" s="2714"/>
      <c r="C3" s="2812"/>
      <c r="D3" s="2716"/>
      <c r="E3" s="2716"/>
      <c r="F3" s="2715"/>
      <c r="G3" s="2716" t="s">
        <v>12</v>
      </c>
    </row>
    <row r="4" spans="1:7" s="2717" customFormat="1" ht="34.5" customHeight="1">
      <c r="A4" s="3546"/>
      <c r="B4" s="3548"/>
      <c r="C4" s="3551" t="s">
        <v>3651</v>
      </c>
      <c r="D4" s="3552"/>
      <c r="E4" s="3552"/>
      <c r="F4" s="3552"/>
      <c r="G4" s="3541" t="s">
        <v>3651</v>
      </c>
    </row>
    <row r="5" spans="1:7" s="2717" customFormat="1" ht="79.5" customHeight="1">
      <c r="A5" s="3547"/>
      <c r="B5" s="3549"/>
      <c r="C5" s="2813" t="s">
        <v>3652</v>
      </c>
      <c r="D5" s="2814" t="s">
        <v>3653</v>
      </c>
      <c r="E5" s="2814" t="s">
        <v>3654</v>
      </c>
      <c r="F5" s="2719" t="s">
        <v>3655</v>
      </c>
      <c r="G5" s="3542"/>
    </row>
    <row r="6" spans="1:7" s="2727" customFormat="1" ht="13.5" customHeight="1">
      <c r="A6" s="2721"/>
      <c r="B6" s="2722"/>
      <c r="C6" s="2815"/>
      <c r="D6" s="2816"/>
      <c r="E6" s="2816"/>
      <c r="F6" s="2759"/>
      <c r="G6" s="2726"/>
    </row>
    <row r="7" spans="1:7" s="2732" customFormat="1" ht="27.75" customHeight="1">
      <c r="A7" s="2721" t="s">
        <v>3575</v>
      </c>
      <c r="B7" s="2728" t="s">
        <v>3576</v>
      </c>
      <c r="C7" s="2817">
        <f>C8+C42+C72</f>
        <v>-5320</v>
      </c>
      <c r="D7" s="2818">
        <f>D8+D42+D72</f>
        <v>-10952</v>
      </c>
      <c r="E7" s="2818">
        <f>E8+E42+E72</f>
        <v>-13330</v>
      </c>
      <c r="F7" s="2730">
        <f>F8+F42+F72</f>
        <v>-13484</v>
      </c>
      <c r="G7" s="2819">
        <f>G8+G42+G72</f>
        <v>-43086</v>
      </c>
    </row>
    <row r="8" spans="1:7" s="2732" customFormat="1" ht="27.75" customHeight="1">
      <c r="A8" s="2721" t="s">
        <v>3577</v>
      </c>
      <c r="B8" s="2728" t="s">
        <v>3578</v>
      </c>
      <c r="C8" s="2817">
        <f>C9+C19</f>
        <v>-7706</v>
      </c>
      <c r="D8" s="2818">
        <f>D9+D19</f>
        <v>-11180</v>
      </c>
      <c r="E8" s="2818">
        <f>E9+E19</f>
        <v>-12920</v>
      </c>
      <c r="F8" s="2730">
        <f>F9+F19</f>
        <v>-12910</v>
      </c>
      <c r="G8" s="2819">
        <f>G9+G19</f>
        <v>-44716</v>
      </c>
    </row>
    <row r="9" spans="1:7" s="2732" customFormat="1" ht="27.75" customHeight="1">
      <c r="A9" s="2721"/>
      <c r="B9" s="2728" t="s">
        <v>3579</v>
      </c>
      <c r="C9" s="2817">
        <f>C10+C11</f>
        <v>-15953</v>
      </c>
      <c r="D9" s="2818">
        <f>D10+D11</f>
        <v>-15401</v>
      </c>
      <c r="E9" s="2818">
        <f>E10+E11</f>
        <v>-15688</v>
      </c>
      <c r="F9" s="2730">
        <f>F10+F11</f>
        <v>-20543</v>
      </c>
      <c r="G9" s="2819">
        <f>G10+G11</f>
        <v>-67585</v>
      </c>
    </row>
    <row r="10" spans="1:7" s="2727" customFormat="1" ht="27.75" customHeight="1">
      <c r="A10" s="2721"/>
      <c r="B10" s="2733" t="s">
        <v>3580</v>
      </c>
      <c r="C10" s="2739">
        <f t="shared" ref="C10:F11" si="0">C13+C16</f>
        <v>16986</v>
      </c>
      <c r="D10" s="2820">
        <f t="shared" si="0"/>
        <v>17709</v>
      </c>
      <c r="E10" s="2821">
        <f t="shared" si="0"/>
        <v>19268</v>
      </c>
      <c r="F10" s="2735">
        <f t="shared" si="0"/>
        <v>19623</v>
      </c>
      <c r="G10" s="2781">
        <f>C10+D10+E10+F10</f>
        <v>73586</v>
      </c>
    </row>
    <row r="11" spans="1:7" s="2727" customFormat="1" ht="27.75" customHeight="1">
      <c r="A11" s="2721"/>
      <c r="B11" s="2733" t="s">
        <v>3581</v>
      </c>
      <c r="C11" s="2736">
        <f>C14+C17</f>
        <v>-32939</v>
      </c>
      <c r="D11" s="2822">
        <f t="shared" si="0"/>
        <v>-33110</v>
      </c>
      <c r="E11" s="2788">
        <f t="shared" si="0"/>
        <v>-34956</v>
      </c>
      <c r="F11" s="2738">
        <f t="shared" si="0"/>
        <v>-40166</v>
      </c>
      <c r="G11" s="2777">
        <f t="shared" ref="G11:G54" si="1">C11+D11+E11+F11</f>
        <v>-141171</v>
      </c>
    </row>
    <row r="12" spans="1:7" s="2727" customFormat="1" ht="27.75" customHeight="1">
      <c r="A12" s="2721"/>
      <c r="B12" s="2733" t="s">
        <v>3582</v>
      </c>
      <c r="C12" s="2823">
        <f>C13+C14</f>
        <v>-17479</v>
      </c>
      <c r="D12" s="2820">
        <f>D13+D14</f>
        <v>-17019</v>
      </c>
      <c r="E12" s="2820">
        <f>E13+E14</f>
        <v>-17965</v>
      </c>
      <c r="F12" s="2734">
        <f>F13+F14</f>
        <v>-22957</v>
      </c>
      <c r="G12" s="2781">
        <f>G13+G14</f>
        <v>-75420</v>
      </c>
    </row>
    <row r="13" spans="1:7" s="2727" customFormat="1" ht="27.75" customHeight="1">
      <c r="A13" s="2721"/>
      <c r="B13" s="2733" t="s">
        <v>3583</v>
      </c>
      <c r="C13" s="2823">
        <v>14662</v>
      </c>
      <c r="D13" s="2820">
        <v>15356</v>
      </c>
      <c r="E13" s="2820">
        <v>16084</v>
      </c>
      <c r="F13" s="2734">
        <v>16256</v>
      </c>
      <c r="G13" s="2781">
        <f>C13+D13+E13+F13</f>
        <v>62358</v>
      </c>
    </row>
    <row r="14" spans="1:7" s="2727" customFormat="1" ht="27.75" customHeight="1">
      <c r="A14" s="2721"/>
      <c r="B14" s="2733" t="s">
        <v>3584</v>
      </c>
      <c r="C14" s="2823">
        <v>-32141</v>
      </c>
      <c r="D14" s="2820">
        <v>-32375</v>
      </c>
      <c r="E14" s="2820">
        <v>-34049</v>
      </c>
      <c r="F14" s="2734">
        <v>-39213</v>
      </c>
      <c r="G14" s="2781">
        <f>C14+D14+E14+F14</f>
        <v>-137778</v>
      </c>
    </row>
    <row r="15" spans="1:7" s="2727" customFormat="1" ht="27.75" customHeight="1">
      <c r="A15" s="2740"/>
      <c r="B15" s="2733" t="s">
        <v>3585</v>
      </c>
      <c r="C15" s="2787">
        <f>C16+C17</f>
        <v>1526</v>
      </c>
      <c r="D15" s="2822">
        <f>D16+D17</f>
        <v>1618</v>
      </c>
      <c r="E15" s="2822">
        <f>E16+E17</f>
        <v>2277</v>
      </c>
      <c r="F15" s="2737">
        <f>F16+F17</f>
        <v>2414</v>
      </c>
      <c r="G15" s="2777">
        <f>G16+G17</f>
        <v>7835</v>
      </c>
    </row>
    <row r="16" spans="1:7" s="2727" customFormat="1" ht="27.75" customHeight="1">
      <c r="A16" s="2721"/>
      <c r="B16" s="2733" t="s">
        <v>3583</v>
      </c>
      <c r="C16" s="2823">
        <v>2324</v>
      </c>
      <c r="D16" s="2820">
        <v>2353</v>
      </c>
      <c r="E16" s="2820">
        <v>3184</v>
      </c>
      <c r="F16" s="2734">
        <v>3367</v>
      </c>
      <c r="G16" s="2781">
        <f t="shared" si="1"/>
        <v>11228</v>
      </c>
    </row>
    <row r="17" spans="1:7" s="2727" customFormat="1" ht="27.75" customHeight="1">
      <c r="A17" s="2721"/>
      <c r="B17" s="2733" t="s">
        <v>3584</v>
      </c>
      <c r="C17" s="2787">
        <v>-798</v>
      </c>
      <c r="D17" s="2822">
        <v>-735</v>
      </c>
      <c r="E17" s="2822">
        <v>-907</v>
      </c>
      <c r="F17" s="2737">
        <v>-953</v>
      </c>
      <c r="G17" s="2777">
        <f t="shared" si="1"/>
        <v>-3393</v>
      </c>
    </row>
    <row r="18" spans="1:7" s="2727" customFormat="1" ht="27.75" customHeight="1">
      <c r="A18" s="2721"/>
      <c r="B18" s="2733" t="s">
        <v>3586</v>
      </c>
      <c r="C18" s="2823">
        <v>-131</v>
      </c>
      <c r="D18" s="2820">
        <v>-117</v>
      </c>
      <c r="E18" s="2820">
        <v>-98</v>
      </c>
      <c r="F18" s="2734">
        <v>-112</v>
      </c>
      <c r="G18" s="2781">
        <f t="shared" si="1"/>
        <v>-458</v>
      </c>
    </row>
    <row r="19" spans="1:7" s="2732" customFormat="1" ht="27.75" customHeight="1">
      <c r="A19" s="2721"/>
      <c r="B19" s="2728" t="s">
        <v>3587</v>
      </c>
      <c r="C19" s="2824">
        <f>C20+C31</f>
        <v>8247</v>
      </c>
      <c r="D19" s="2825">
        <f>D20+D31</f>
        <v>4221</v>
      </c>
      <c r="E19" s="2825">
        <f>E20+E31</f>
        <v>2768</v>
      </c>
      <c r="F19" s="2742">
        <f>F20+F31</f>
        <v>7633</v>
      </c>
      <c r="G19" s="2826">
        <f t="shared" si="1"/>
        <v>22869</v>
      </c>
    </row>
    <row r="20" spans="1:7" s="2727" customFormat="1" ht="27.75" customHeight="1">
      <c r="A20" s="2721"/>
      <c r="B20" s="2733" t="s">
        <v>3588</v>
      </c>
      <c r="C20" s="2787">
        <f>C21+C25+C28</f>
        <v>24618</v>
      </c>
      <c r="D20" s="2822">
        <f>D21+D25+D28</f>
        <v>20455</v>
      </c>
      <c r="E20" s="2822">
        <f>E21+E25+E28</f>
        <v>22951</v>
      </c>
      <c r="F20" s="2737">
        <f>F21+F25+F28</f>
        <v>25694</v>
      </c>
      <c r="G20" s="2777">
        <f t="shared" si="1"/>
        <v>93718</v>
      </c>
    </row>
    <row r="21" spans="1:7" s="2727" customFormat="1" ht="27.75" customHeight="1">
      <c r="A21" s="2721"/>
      <c r="B21" s="2733" t="s">
        <v>3589</v>
      </c>
      <c r="C21" s="2823">
        <f>C22+C23+C24</f>
        <v>3277</v>
      </c>
      <c r="D21" s="2820">
        <f>D22+D23+D24</f>
        <v>2372</v>
      </c>
      <c r="E21" s="2820">
        <f>E22+E23+E24</f>
        <v>2726</v>
      </c>
      <c r="F21" s="2734">
        <f>F22+F23+F24</f>
        <v>3447</v>
      </c>
      <c r="G21" s="2781">
        <f t="shared" si="1"/>
        <v>11822</v>
      </c>
    </row>
    <row r="22" spans="1:7" s="2749" customFormat="1" ht="27.75" customHeight="1">
      <c r="A22" s="2744"/>
      <c r="B22" s="2745" t="s">
        <v>3590</v>
      </c>
      <c r="C22" s="2827">
        <v>2687</v>
      </c>
      <c r="D22" s="2828">
        <v>1802</v>
      </c>
      <c r="E22" s="2828">
        <v>2151</v>
      </c>
      <c r="F22" s="2747">
        <v>2701</v>
      </c>
      <c r="G22" s="2794">
        <f t="shared" si="1"/>
        <v>9341</v>
      </c>
    </row>
    <row r="23" spans="1:7" s="2749" customFormat="1" ht="27.75" customHeight="1">
      <c r="A23" s="2744"/>
      <c r="B23" s="2745" t="s">
        <v>3591</v>
      </c>
      <c r="C23" s="2827">
        <v>167</v>
      </c>
      <c r="D23" s="2828">
        <v>181</v>
      </c>
      <c r="E23" s="2828">
        <v>196</v>
      </c>
      <c r="F23" s="2747">
        <v>193</v>
      </c>
      <c r="G23" s="2794">
        <f t="shared" si="1"/>
        <v>737</v>
      </c>
    </row>
    <row r="24" spans="1:7" s="2749" customFormat="1" ht="27.75" customHeight="1">
      <c r="A24" s="2744"/>
      <c r="B24" s="2745" t="s">
        <v>3592</v>
      </c>
      <c r="C24" s="2750">
        <v>423</v>
      </c>
      <c r="D24" s="2761">
        <v>389</v>
      </c>
      <c r="E24" s="2761">
        <v>379</v>
      </c>
      <c r="F24" s="2751">
        <v>553</v>
      </c>
      <c r="G24" s="2783">
        <f t="shared" si="1"/>
        <v>1744</v>
      </c>
    </row>
    <row r="25" spans="1:7" s="2727" customFormat="1" ht="27.75" customHeight="1">
      <c r="A25" s="2740"/>
      <c r="B25" s="2733" t="s">
        <v>3593</v>
      </c>
      <c r="C25" s="2787">
        <f>C26+C27</f>
        <v>11949</v>
      </c>
      <c r="D25" s="2822">
        <f>D26+D27</f>
        <v>9355</v>
      </c>
      <c r="E25" s="2822">
        <f>E26+E27</f>
        <v>8845</v>
      </c>
      <c r="F25" s="2737">
        <f>F26+F27</f>
        <v>12568</v>
      </c>
      <c r="G25" s="2777">
        <f t="shared" si="1"/>
        <v>42717</v>
      </c>
    </row>
    <row r="26" spans="1:7" s="2749" customFormat="1" ht="27.75" customHeight="1">
      <c r="A26" s="2744"/>
      <c r="B26" s="2745" t="s">
        <v>3594</v>
      </c>
      <c r="C26" s="2827">
        <v>4203</v>
      </c>
      <c r="D26" s="2828">
        <v>3720</v>
      </c>
      <c r="E26" s="2828">
        <v>3163</v>
      </c>
      <c r="F26" s="2747">
        <v>4351</v>
      </c>
      <c r="G26" s="2794">
        <f t="shared" si="1"/>
        <v>15437</v>
      </c>
    </row>
    <row r="27" spans="1:7" s="2749" customFormat="1" ht="27.75" customHeight="1">
      <c r="A27" s="2753"/>
      <c r="B27" s="2745" t="s">
        <v>3595</v>
      </c>
      <c r="C27" s="2750">
        <v>7746</v>
      </c>
      <c r="D27" s="2761">
        <v>5635</v>
      </c>
      <c r="E27" s="2761">
        <v>5682</v>
      </c>
      <c r="F27" s="2751">
        <v>8217</v>
      </c>
      <c r="G27" s="2783">
        <f t="shared" si="1"/>
        <v>27280</v>
      </c>
    </row>
    <row r="28" spans="1:7" s="2727" customFormat="1" ht="27.75" customHeight="1">
      <c r="A28" s="2721"/>
      <c r="B28" s="2733" t="s">
        <v>3596</v>
      </c>
      <c r="C28" s="2787">
        <f>C29+C30</f>
        <v>9392</v>
      </c>
      <c r="D28" s="2822">
        <f>D29+D30</f>
        <v>8728</v>
      </c>
      <c r="E28" s="2822">
        <f>E29+E30</f>
        <v>11380</v>
      </c>
      <c r="F28" s="2737">
        <f>F29+F30</f>
        <v>9679</v>
      </c>
      <c r="G28" s="2777">
        <f t="shared" si="1"/>
        <v>39179</v>
      </c>
    </row>
    <row r="29" spans="1:7" s="2749" customFormat="1" ht="27.75" customHeight="1">
      <c r="A29" s="2744"/>
      <c r="B29" s="2745" t="s">
        <v>3597</v>
      </c>
      <c r="C29" s="2827">
        <v>8845</v>
      </c>
      <c r="D29" s="2828">
        <v>8559</v>
      </c>
      <c r="E29" s="2828">
        <v>11159</v>
      </c>
      <c r="F29" s="2747">
        <v>9280</v>
      </c>
      <c r="G29" s="2794">
        <f t="shared" si="1"/>
        <v>37843</v>
      </c>
    </row>
    <row r="30" spans="1:7" s="2749" customFormat="1" ht="27.75" customHeight="1">
      <c r="A30" s="2744"/>
      <c r="B30" s="2745" t="s">
        <v>3598</v>
      </c>
      <c r="C30" s="2827">
        <v>547</v>
      </c>
      <c r="D30" s="2828">
        <v>169</v>
      </c>
      <c r="E30" s="2828">
        <v>221</v>
      </c>
      <c r="F30" s="2747">
        <v>399</v>
      </c>
      <c r="G30" s="2794">
        <f t="shared" si="1"/>
        <v>1336</v>
      </c>
    </row>
    <row r="31" spans="1:7" s="2727" customFormat="1" ht="27.75" customHeight="1">
      <c r="A31" s="2721"/>
      <c r="B31" s="2733" t="s">
        <v>3599</v>
      </c>
      <c r="C31" s="2823">
        <f>C32+C36+C39</f>
        <v>-16371</v>
      </c>
      <c r="D31" s="2820">
        <f>D32+D36+D39</f>
        <v>-16234</v>
      </c>
      <c r="E31" s="2820">
        <f>E32+E36+E39</f>
        <v>-20183</v>
      </c>
      <c r="F31" s="2734">
        <f>F32+F36+F39</f>
        <v>-18061</v>
      </c>
      <c r="G31" s="2781">
        <f t="shared" si="1"/>
        <v>-70849</v>
      </c>
    </row>
    <row r="32" spans="1:7" s="2727" customFormat="1" ht="27.75" customHeight="1">
      <c r="A32" s="2721"/>
      <c r="B32" s="2733" t="s">
        <v>3589</v>
      </c>
      <c r="C32" s="2823">
        <f>C33+C34+C35</f>
        <v>-4315</v>
      </c>
      <c r="D32" s="2820">
        <f>D33+D34+D35</f>
        <v>-3966</v>
      </c>
      <c r="E32" s="2820">
        <f>E33+E34+E35</f>
        <v>-4230</v>
      </c>
      <c r="F32" s="2734">
        <f>F33+F34+F35</f>
        <v>-4960</v>
      </c>
      <c r="G32" s="2781">
        <f t="shared" si="1"/>
        <v>-17471</v>
      </c>
    </row>
    <row r="33" spans="1:7" s="2749" customFormat="1" ht="27.75" customHeight="1">
      <c r="A33" s="2744"/>
      <c r="B33" s="2745" t="s">
        <v>3590</v>
      </c>
      <c r="C33" s="2827">
        <v>-168</v>
      </c>
      <c r="D33" s="2828">
        <v>-239</v>
      </c>
      <c r="E33" s="2828">
        <v>-225</v>
      </c>
      <c r="F33" s="2747">
        <v>-150</v>
      </c>
      <c r="G33" s="2794">
        <f t="shared" si="1"/>
        <v>-782</v>
      </c>
    </row>
    <row r="34" spans="1:7" s="2749" customFormat="1" ht="27.75" customHeight="1">
      <c r="A34" s="2744"/>
      <c r="B34" s="2745" t="s">
        <v>3591</v>
      </c>
      <c r="C34" s="2750">
        <v>-2008</v>
      </c>
      <c r="D34" s="2761">
        <v>-2011</v>
      </c>
      <c r="E34" s="2761">
        <v>-2223</v>
      </c>
      <c r="F34" s="2751">
        <v>-2543</v>
      </c>
      <c r="G34" s="2783">
        <f t="shared" si="1"/>
        <v>-8785</v>
      </c>
    </row>
    <row r="35" spans="1:7" s="2749" customFormat="1" ht="27.75" customHeight="1">
      <c r="A35" s="2744"/>
      <c r="B35" s="2745" t="s">
        <v>3592</v>
      </c>
      <c r="C35" s="2750">
        <v>-2139</v>
      </c>
      <c r="D35" s="2761">
        <v>-1716</v>
      </c>
      <c r="E35" s="2761">
        <v>-1782</v>
      </c>
      <c r="F35" s="2751">
        <v>-2267</v>
      </c>
      <c r="G35" s="2783">
        <f t="shared" si="1"/>
        <v>-7904</v>
      </c>
    </row>
    <row r="36" spans="1:7" s="2727" customFormat="1" ht="27.75" customHeight="1">
      <c r="A36" s="2740"/>
      <c r="B36" s="2733" t="s">
        <v>3593</v>
      </c>
      <c r="C36" s="2787">
        <f>C37+C38</f>
        <v>-2812</v>
      </c>
      <c r="D36" s="2822">
        <f>D37+D38</f>
        <v>-2767</v>
      </c>
      <c r="E36" s="2822">
        <f>E37+E38</f>
        <v>-3211</v>
      </c>
      <c r="F36" s="2737">
        <f>F37+F38</f>
        <v>-2693</v>
      </c>
      <c r="G36" s="2777">
        <f t="shared" si="1"/>
        <v>-11483</v>
      </c>
    </row>
    <row r="37" spans="1:7" s="2749" customFormat="1" ht="27.75" customHeight="1">
      <c r="A37" s="2744"/>
      <c r="B37" s="2745" t="s">
        <v>3594</v>
      </c>
      <c r="C37" s="2827">
        <v>-314</v>
      </c>
      <c r="D37" s="2828">
        <v>-225</v>
      </c>
      <c r="E37" s="2828">
        <v>-139</v>
      </c>
      <c r="F37" s="2747">
        <v>-93</v>
      </c>
      <c r="G37" s="2794">
        <f t="shared" si="1"/>
        <v>-771</v>
      </c>
    </row>
    <row r="38" spans="1:7" s="2749" customFormat="1" ht="27.75" customHeight="1">
      <c r="A38" s="2753"/>
      <c r="B38" s="2745" t="s">
        <v>3595</v>
      </c>
      <c r="C38" s="2750">
        <v>-2498</v>
      </c>
      <c r="D38" s="2761">
        <v>-2542</v>
      </c>
      <c r="E38" s="2761">
        <v>-3072</v>
      </c>
      <c r="F38" s="2751">
        <v>-2600</v>
      </c>
      <c r="G38" s="2783">
        <f t="shared" si="1"/>
        <v>-10712</v>
      </c>
    </row>
    <row r="39" spans="1:7" s="2727" customFormat="1" ht="27.75" customHeight="1">
      <c r="A39" s="2721"/>
      <c r="B39" s="2733" t="s">
        <v>3596</v>
      </c>
      <c r="C39" s="2829">
        <f>C40+C41</f>
        <v>-9244</v>
      </c>
      <c r="D39" s="2830">
        <f>D40+D41</f>
        <v>-9501</v>
      </c>
      <c r="E39" s="2830">
        <f>E40+E41</f>
        <v>-12742</v>
      </c>
      <c r="F39" s="2756">
        <v>-10408</v>
      </c>
      <c r="G39" s="2796">
        <f t="shared" si="1"/>
        <v>-41895</v>
      </c>
    </row>
    <row r="40" spans="1:7" s="2749" customFormat="1" ht="27.75" customHeight="1">
      <c r="A40" s="2753"/>
      <c r="B40" s="2745" t="s">
        <v>3597</v>
      </c>
      <c r="C40" s="2750">
        <v>-8782</v>
      </c>
      <c r="D40" s="2761">
        <v>-9242</v>
      </c>
      <c r="E40" s="2761">
        <v>-12457</v>
      </c>
      <c r="F40" s="2751">
        <v>-10192</v>
      </c>
      <c r="G40" s="2783">
        <f t="shared" si="1"/>
        <v>-40673</v>
      </c>
    </row>
    <row r="41" spans="1:7" s="2749" customFormat="1" ht="27.75" customHeight="1">
      <c r="A41" s="2753"/>
      <c r="B41" s="2745" t="s">
        <v>3598</v>
      </c>
      <c r="C41" s="2750">
        <v>-462</v>
      </c>
      <c r="D41" s="2761">
        <v>-259</v>
      </c>
      <c r="E41" s="2761">
        <v>-285</v>
      </c>
      <c r="F41" s="2751">
        <v>-216</v>
      </c>
      <c r="G41" s="2783">
        <f t="shared" si="1"/>
        <v>-1222</v>
      </c>
    </row>
    <row r="42" spans="1:7" s="2727" customFormat="1" ht="27.75" customHeight="1">
      <c r="A42" s="2721" t="s">
        <v>3600</v>
      </c>
      <c r="B42" s="2728" t="s">
        <v>3601</v>
      </c>
      <c r="C42" s="2815">
        <f>C43+C60</f>
        <v>1134</v>
      </c>
      <c r="D42" s="2816">
        <f>D43+D60</f>
        <v>-839</v>
      </c>
      <c r="E42" s="2816">
        <f>E43+E60</f>
        <v>-373</v>
      </c>
      <c r="F42" s="2759">
        <f>F43+F60</f>
        <v>-1767</v>
      </c>
      <c r="G42" s="2726">
        <f>SUM(C42:F42)</f>
        <v>-1845</v>
      </c>
    </row>
    <row r="43" spans="1:7" s="2727" customFormat="1" ht="27.75" customHeight="1">
      <c r="A43" s="2721"/>
      <c r="B43" s="2733" t="s">
        <v>3602</v>
      </c>
      <c r="C43" s="2823">
        <f>C44+C45+C47+C49</f>
        <v>7266</v>
      </c>
      <c r="D43" s="2820">
        <f>D44+D45+D47+D49</f>
        <v>8862</v>
      </c>
      <c r="E43" s="2820">
        <f>E44+E45+E47+E49</f>
        <v>9173</v>
      </c>
      <c r="F43" s="2734">
        <f>F44+F45+F47+F49</f>
        <v>7835</v>
      </c>
      <c r="G43" s="2781">
        <f t="shared" si="1"/>
        <v>33136</v>
      </c>
    </row>
    <row r="44" spans="1:7" s="2727" customFormat="1" ht="27.75" customHeight="1">
      <c r="A44" s="2721"/>
      <c r="B44" s="2733" t="s">
        <v>3603</v>
      </c>
      <c r="C44" s="2829">
        <v>5</v>
      </c>
      <c r="D44" s="2830">
        <v>2</v>
      </c>
      <c r="E44" s="2830">
        <v>3</v>
      </c>
      <c r="F44" s="2756">
        <v>5</v>
      </c>
      <c r="G44" s="2796">
        <f t="shared" si="1"/>
        <v>15</v>
      </c>
    </row>
    <row r="45" spans="1:7" s="2727" customFormat="1" ht="27.75" customHeight="1">
      <c r="A45" s="2721"/>
      <c r="B45" s="2733" t="s">
        <v>3604</v>
      </c>
      <c r="C45" s="2823">
        <f>12+C46</f>
        <v>2690</v>
      </c>
      <c r="D45" s="2820">
        <f>24+D46</f>
        <v>3136</v>
      </c>
      <c r="E45" s="2820">
        <f>32+E46</f>
        <v>3470</v>
      </c>
      <c r="F45" s="2734">
        <f>131+F46</f>
        <v>2852</v>
      </c>
      <c r="G45" s="2781">
        <f t="shared" si="1"/>
        <v>12148</v>
      </c>
    </row>
    <row r="46" spans="1:7" s="2749" customFormat="1" ht="27.75" customHeight="1">
      <c r="A46" s="2753"/>
      <c r="B46" s="2745" t="s">
        <v>3605</v>
      </c>
      <c r="C46" s="2750">
        <f>178+2500</f>
        <v>2678</v>
      </c>
      <c r="D46" s="2761">
        <f>2900+212</f>
        <v>3112</v>
      </c>
      <c r="E46" s="2761">
        <f>3200+238</f>
        <v>3438</v>
      </c>
      <c r="F46" s="2751">
        <f>2500+221</f>
        <v>2721</v>
      </c>
      <c r="G46" s="2750">
        <f t="shared" si="1"/>
        <v>11949</v>
      </c>
    </row>
    <row r="47" spans="1:7" s="2727" customFormat="1" ht="27.75" customHeight="1">
      <c r="A47" s="2721"/>
      <c r="B47" s="2733" t="s">
        <v>3606</v>
      </c>
      <c r="C47" s="2823">
        <f>55+C48</f>
        <v>492</v>
      </c>
      <c r="D47" s="2820">
        <f>432+D48</f>
        <v>952</v>
      </c>
      <c r="E47" s="2820">
        <f>817+E48</f>
        <v>1400</v>
      </c>
      <c r="F47" s="2734">
        <f>289+F48</f>
        <v>830</v>
      </c>
      <c r="G47" s="2781">
        <f t="shared" si="1"/>
        <v>3674</v>
      </c>
    </row>
    <row r="48" spans="1:7" s="2749" customFormat="1" ht="27.75" customHeight="1">
      <c r="A48" s="2753"/>
      <c r="B48" s="2745" t="s">
        <v>3605</v>
      </c>
      <c r="C48" s="2750">
        <v>437</v>
      </c>
      <c r="D48" s="2761">
        <v>520</v>
      </c>
      <c r="E48" s="2761">
        <v>583</v>
      </c>
      <c r="F48" s="2751">
        <v>541</v>
      </c>
      <c r="G48" s="2783">
        <f t="shared" si="1"/>
        <v>2081</v>
      </c>
    </row>
    <row r="49" spans="1:9" s="2727" customFormat="1" ht="27.75" customHeight="1">
      <c r="A49" s="2740"/>
      <c r="B49" s="2733" t="s">
        <v>3607</v>
      </c>
      <c r="C49" s="2787">
        <f>C50+C51+C52+C53</f>
        <v>4079</v>
      </c>
      <c r="D49" s="2822">
        <f>D50+D51+D52+D53</f>
        <v>4772</v>
      </c>
      <c r="E49" s="2822">
        <f>E50+E51+E52+E53</f>
        <v>4300</v>
      </c>
      <c r="F49" s="2737">
        <f>F50+F51+F52+F53</f>
        <v>4148</v>
      </c>
      <c r="G49" s="2777">
        <f t="shared" si="1"/>
        <v>17299</v>
      </c>
    </row>
    <row r="50" spans="1:9" s="2749" customFormat="1" ht="27.75" customHeight="1">
      <c r="A50" s="2753"/>
      <c r="B50" s="2745" t="s">
        <v>3608</v>
      </c>
      <c r="C50" s="2750">
        <v>0</v>
      </c>
      <c r="D50" s="2761">
        <v>0</v>
      </c>
      <c r="E50" s="2761">
        <v>0</v>
      </c>
      <c r="F50" s="2751">
        <v>0</v>
      </c>
      <c r="G50" s="2783">
        <f t="shared" si="1"/>
        <v>0</v>
      </c>
    </row>
    <row r="51" spans="1:9" s="2749" customFormat="1" ht="27.75" customHeight="1">
      <c r="A51" s="2753"/>
      <c r="B51" s="2745" t="s">
        <v>3609</v>
      </c>
      <c r="C51" s="2750">
        <v>104</v>
      </c>
      <c r="D51" s="2761">
        <v>327</v>
      </c>
      <c r="E51" s="2761">
        <v>406</v>
      </c>
      <c r="F51" s="2751">
        <v>190</v>
      </c>
      <c r="G51" s="2783">
        <f t="shared" si="1"/>
        <v>1027</v>
      </c>
    </row>
    <row r="52" spans="1:9" s="2749" customFormat="1" ht="27.75" customHeight="1">
      <c r="A52" s="2753"/>
      <c r="B52" s="2745" t="s">
        <v>3610</v>
      </c>
      <c r="C52" s="2750">
        <v>3269</v>
      </c>
      <c r="D52" s="2761">
        <v>3585</v>
      </c>
      <c r="E52" s="2761">
        <v>3014</v>
      </c>
      <c r="F52" s="2751">
        <v>3150</v>
      </c>
      <c r="G52" s="2783">
        <f t="shared" si="1"/>
        <v>13018</v>
      </c>
    </row>
    <row r="53" spans="1:9" s="2749" customFormat="1" ht="27.75" customHeight="1">
      <c r="A53" s="2753"/>
      <c r="B53" s="2745" t="s">
        <v>3611</v>
      </c>
      <c r="C53" s="2750">
        <f>94+C54</f>
        <v>706</v>
      </c>
      <c r="D53" s="2761">
        <f>132+D54</f>
        <v>860</v>
      </c>
      <c r="E53" s="2761">
        <f>65+E54</f>
        <v>880</v>
      </c>
      <c r="F53" s="2751">
        <f>51+F54</f>
        <v>808</v>
      </c>
      <c r="G53" s="2783">
        <f t="shared" si="1"/>
        <v>3254</v>
      </c>
    </row>
    <row r="54" spans="1:9" s="2749" customFormat="1" ht="27.75" customHeight="1" thickBot="1">
      <c r="A54" s="2762"/>
      <c r="B54" s="2763" t="s">
        <v>3605</v>
      </c>
      <c r="C54" s="2831">
        <v>612</v>
      </c>
      <c r="D54" s="2832">
        <v>728</v>
      </c>
      <c r="E54" s="2832">
        <v>815</v>
      </c>
      <c r="F54" s="2765">
        <v>757</v>
      </c>
      <c r="G54" s="2833">
        <f t="shared" si="1"/>
        <v>2912</v>
      </c>
    </row>
    <row r="55" spans="1:9" ht="43.5" customHeight="1">
      <c r="A55" s="2767" t="s">
        <v>447</v>
      </c>
      <c r="B55" s="2749"/>
      <c r="C55" s="2834"/>
      <c r="E55" s="2768"/>
      <c r="F55" s="2768"/>
      <c r="G55" s="2768"/>
    </row>
    <row r="56" spans="1:9" ht="28.5" customHeight="1" thickBot="1">
      <c r="A56" s="2770"/>
      <c r="C56" s="2834"/>
      <c r="D56" s="2716"/>
      <c r="F56" s="2716"/>
      <c r="G56" s="2716" t="s">
        <v>12</v>
      </c>
    </row>
    <row r="57" spans="1:9" s="2727" customFormat="1" ht="33.75" customHeight="1">
      <c r="A57" s="3534"/>
      <c r="B57" s="3536"/>
      <c r="C57" s="3551" t="s">
        <v>3651</v>
      </c>
      <c r="D57" s="3552"/>
      <c r="E57" s="3552"/>
      <c r="F57" s="3552"/>
      <c r="G57" s="3541" t="s">
        <v>3651</v>
      </c>
    </row>
    <row r="58" spans="1:9" s="2727" customFormat="1" ht="54.75" customHeight="1">
      <c r="A58" s="3535"/>
      <c r="B58" s="3537"/>
      <c r="C58" s="2835" t="s">
        <v>3652</v>
      </c>
      <c r="D58" s="2814" t="s">
        <v>3653</v>
      </c>
      <c r="E58" s="2719" t="s">
        <v>3654</v>
      </c>
      <c r="F58" s="2719" t="s">
        <v>3655</v>
      </c>
      <c r="G58" s="3542"/>
    </row>
    <row r="59" spans="1:9" s="2727" customFormat="1" ht="9.75" customHeight="1">
      <c r="A59" s="2721"/>
      <c r="B59" s="2771"/>
      <c r="C59" s="2836"/>
      <c r="D59" s="2837"/>
      <c r="E59" s="2837"/>
      <c r="F59" s="2838"/>
      <c r="G59" s="2775"/>
    </row>
    <row r="60" spans="1:9" s="2727" customFormat="1" ht="24.75" customHeight="1">
      <c r="A60" s="2776"/>
      <c r="B60" s="2733" t="s">
        <v>3599</v>
      </c>
      <c r="C60" s="2787">
        <f>C61+C62+C64+C66</f>
        <v>-6132</v>
      </c>
      <c r="D60" s="2822">
        <f>D61+D62+D64+D66</f>
        <v>-9701</v>
      </c>
      <c r="E60" s="2822">
        <f>E61+E62+E64+E66</f>
        <v>-9546</v>
      </c>
      <c r="F60" s="2788">
        <f>F61+F62+F64+F66</f>
        <v>-9602</v>
      </c>
      <c r="G60" s="2777">
        <f>C60+D60+E60+F60</f>
        <v>-34981</v>
      </c>
    </row>
    <row r="61" spans="1:9" s="2727" customFormat="1" ht="24.75" customHeight="1">
      <c r="A61" s="2776"/>
      <c r="B61" s="2733" t="s">
        <v>3614</v>
      </c>
      <c r="C61" s="2839">
        <v>-60</v>
      </c>
      <c r="D61" s="2840">
        <v>-71</v>
      </c>
      <c r="E61" s="2840">
        <v>-61</v>
      </c>
      <c r="F61" s="2838">
        <v>-79</v>
      </c>
      <c r="G61" s="2780">
        <f t="shared" ref="G61:G120" si="2">C61+D61+E61+F61</f>
        <v>-271</v>
      </c>
    </row>
    <row r="62" spans="1:9" s="2727" customFormat="1" ht="24.75" customHeight="1">
      <c r="A62" s="2776"/>
      <c r="B62" s="2733" t="s">
        <v>3604</v>
      </c>
      <c r="C62" s="2823">
        <f>-280+C63</f>
        <v>-2515</v>
      </c>
      <c r="D62" s="2820">
        <f>-2226+D63</f>
        <v>-4887</v>
      </c>
      <c r="E62" s="2820">
        <f>-1114+E63</f>
        <v>-4094</v>
      </c>
      <c r="F62" s="2821">
        <f>-1368+F63</f>
        <v>-4136</v>
      </c>
      <c r="G62" s="2781">
        <f t="shared" si="2"/>
        <v>-15632</v>
      </c>
    </row>
    <row r="63" spans="1:9" s="2749" customFormat="1" ht="24.75" customHeight="1">
      <c r="A63" s="2782"/>
      <c r="B63" s="2745" t="s">
        <v>3605</v>
      </c>
      <c r="C63" s="2750">
        <v>-2235</v>
      </c>
      <c r="D63" s="2761">
        <v>-2661</v>
      </c>
      <c r="E63" s="2761">
        <v>-2980</v>
      </c>
      <c r="F63" s="2841">
        <v>-2768</v>
      </c>
      <c r="G63" s="2783">
        <f t="shared" si="2"/>
        <v>-10644</v>
      </c>
      <c r="I63" s="2727"/>
    </row>
    <row r="64" spans="1:9" s="2727" customFormat="1" ht="24.75" customHeight="1">
      <c r="A64" s="2776"/>
      <c r="B64" s="2733" t="s">
        <v>3606</v>
      </c>
      <c r="C64" s="2823">
        <f>-163+C65</f>
        <v>-2152</v>
      </c>
      <c r="D64" s="2820">
        <f>-509+D65</f>
        <v>-2877</v>
      </c>
      <c r="E64" s="2820">
        <f>-742+E65</f>
        <v>-3395</v>
      </c>
      <c r="F64" s="2821">
        <f>-848+F65</f>
        <v>-3311</v>
      </c>
      <c r="G64" s="2781">
        <f t="shared" si="2"/>
        <v>-11735</v>
      </c>
    </row>
    <row r="65" spans="1:7" s="2749" customFormat="1" ht="24.75" customHeight="1">
      <c r="A65" s="2782"/>
      <c r="B65" s="2745" t="s">
        <v>3605</v>
      </c>
      <c r="C65" s="2750">
        <v>-1989</v>
      </c>
      <c r="D65" s="2761">
        <v>-2368</v>
      </c>
      <c r="E65" s="2761">
        <v>-2653</v>
      </c>
      <c r="F65" s="2841">
        <v>-2463</v>
      </c>
      <c r="G65" s="2783">
        <f t="shared" si="2"/>
        <v>-9473</v>
      </c>
    </row>
    <row r="66" spans="1:7" s="2727" customFormat="1" ht="24.75" customHeight="1">
      <c r="A66" s="2776"/>
      <c r="B66" s="2733" t="s">
        <v>3607</v>
      </c>
      <c r="C66" s="2787">
        <f>C67+C68+C69+C70</f>
        <v>-1405</v>
      </c>
      <c r="D66" s="2822">
        <f>D67+D68+D69+D70</f>
        <v>-1866</v>
      </c>
      <c r="E66" s="2822">
        <f>E67+E68+E69+E70</f>
        <v>-1996</v>
      </c>
      <c r="F66" s="2788">
        <f>F67+F68+F69+F70</f>
        <v>-2076</v>
      </c>
      <c r="G66" s="2777">
        <f t="shared" si="2"/>
        <v>-7343</v>
      </c>
    </row>
    <row r="67" spans="1:7" s="2749" customFormat="1" ht="24.75" customHeight="1">
      <c r="A67" s="2782"/>
      <c r="B67" s="2745" t="s">
        <v>3608</v>
      </c>
      <c r="C67" s="2750">
        <v>-143</v>
      </c>
      <c r="D67" s="2761">
        <v>-51</v>
      </c>
      <c r="E67" s="2761">
        <v>-178</v>
      </c>
      <c r="F67" s="2841">
        <v>-58</v>
      </c>
      <c r="G67" s="2783">
        <f t="shared" si="2"/>
        <v>-430</v>
      </c>
    </row>
    <row r="68" spans="1:7" s="2749" customFormat="1" ht="24.75" customHeight="1">
      <c r="A68" s="2782"/>
      <c r="B68" s="2745" t="s">
        <v>3609</v>
      </c>
      <c r="C68" s="2842">
        <v>-1</v>
      </c>
      <c r="D68" s="2843">
        <v>-1</v>
      </c>
      <c r="E68" s="2843">
        <v>-1</v>
      </c>
      <c r="F68" s="2844">
        <v>-1</v>
      </c>
      <c r="G68" s="2786">
        <f t="shared" si="2"/>
        <v>-4</v>
      </c>
    </row>
    <row r="69" spans="1:7" s="2749" customFormat="1" ht="24.75" customHeight="1">
      <c r="A69" s="2782"/>
      <c r="B69" s="2745" t="s">
        <v>3610</v>
      </c>
      <c r="C69" s="2750">
        <v>-418</v>
      </c>
      <c r="D69" s="2761">
        <v>-785</v>
      </c>
      <c r="E69" s="2761">
        <v>-635</v>
      </c>
      <c r="F69" s="2841">
        <v>-941</v>
      </c>
      <c r="G69" s="2783">
        <f t="shared" si="2"/>
        <v>-2779</v>
      </c>
    </row>
    <row r="70" spans="1:7" s="2749" customFormat="1" ht="24.75" customHeight="1">
      <c r="A70" s="2782"/>
      <c r="B70" s="2745" t="s">
        <v>3611</v>
      </c>
      <c r="C70" s="2750">
        <f>-2+C71</f>
        <v>-843</v>
      </c>
      <c r="D70" s="2761">
        <f>-28+D71</f>
        <v>-1029</v>
      </c>
      <c r="E70" s="2761">
        <f>-61+E71</f>
        <v>-1182</v>
      </c>
      <c r="F70" s="2841">
        <f>-35+F71</f>
        <v>-1076</v>
      </c>
      <c r="G70" s="2783">
        <f t="shared" si="2"/>
        <v>-4130</v>
      </c>
    </row>
    <row r="71" spans="1:7" s="2749" customFormat="1" ht="24.75" customHeight="1">
      <c r="A71" s="2782"/>
      <c r="B71" s="2733" t="s">
        <v>3605</v>
      </c>
      <c r="C71" s="2750">
        <v>-841</v>
      </c>
      <c r="D71" s="2761">
        <v>-1001</v>
      </c>
      <c r="E71" s="2761">
        <v>-1121</v>
      </c>
      <c r="F71" s="2841">
        <v>-1041</v>
      </c>
      <c r="G71" s="2783">
        <f t="shared" si="2"/>
        <v>-4004</v>
      </c>
    </row>
    <row r="72" spans="1:7" s="2727" customFormat="1" ht="24.75" customHeight="1">
      <c r="A72" s="2776" t="s">
        <v>3615</v>
      </c>
      <c r="B72" s="2728" t="s">
        <v>3616</v>
      </c>
      <c r="C72" s="2815">
        <f>C73+C76</f>
        <v>1252</v>
      </c>
      <c r="D72" s="2816">
        <f>D73+D76</f>
        <v>1067</v>
      </c>
      <c r="E72" s="2816">
        <f>E73+E76</f>
        <v>-37</v>
      </c>
      <c r="F72" s="2845">
        <f>F73+F76</f>
        <v>1193</v>
      </c>
      <c r="G72" s="2726">
        <f t="shared" si="2"/>
        <v>3475</v>
      </c>
    </row>
    <row r="73" spans="1:7" s="2727" customFormat="1" ht="24.75" customHeight="1">
      <c r="A73" s="2776"/>
      <c r="B73" s="2733" t="s">
        <v>3588</v>
      </c>
      <c r="C73" s="2839">
        <f>C74+C75</f>
        <v>3010</v>
      </c>
      <c r="D73" s="2840">
        <f>D74+D75</f>
        <v>2906</v>
      </c>
      <c r="E73" s="2840">
        <f>E74+E75</f>
        <v>1941</v>
      </c>
      <c r="F73" s="2838">
        <f>F74+F75</f>
        <v>3731</v>
      </c>
      <c r="G73" s="2780">
        <f t="shared" si="2"/>
        <v>11588</v>
      </c>
    </row>
    <row r="74" spans="1:7" s="2727" customFormat="1" ht="24.75" customHeight="1">
      <c r="A74" s="2776"/>
      <c r="B74" s="2733" t="s">
        <v>3617</v>
      </c>
      <c r="C74" s="2787">
        <v>2974</v>
      </c>
      <c r="D74" s="2822">
        <v>2765</v>
      </c>
      <c r="E74" s="2822">
        <v>1804</v>
      </c>
      <c r="F74" s="2788">
        <v>1538</v>
      </c>
      <c r="G74" s="2777">
        <f t="shared" si="2"/>
        <v>9081</v>
      </c>
    </row>
    <row r="75" spans="1:7" s="2727" customFormat="1" ht="24.75" customHeight="1">
      <c r="A75" s="2776"/>
      <c r="B75" s="2733" t="s">
        <v>3618</v>
      </c>
      <c r="C75" s="2839">
        <v>36</v>
      </c>
      <c r="D75" s="2840">
        <v>141</v>
      </c>
      <c r="E75" s="2840">
        <v>137</v>
      </c>
      <c r="F75" s="2838">
        <v>2193</v>
      </c>
      <c r="G75" s="2780">
        <f t="shared" si="2"/>
        <v>2507</v>
      </c>
    </row>
    <row r="76" spans="1:7" s="2727" customFormat="1" ht="24.75" customHeight="1">
      <c r="A76" s="2776"/>
      <c r="B76" s="2733" t="s">
        <v>3599</v>
      </c>
      <c r="C76" s="2839">
        <f>C77+C78</f>
        <v>-1758</v>
      </c>
      <c r="D76" s="2840">
        <f>D77+D78</f>
        <v>-1839</v>
      </c>
      <c r="E76" s="2840">
        <f>E77+E78</f>
        <v>-1978</v>
      </c>
      <c r="F76" s="2838">
        <f>F77+F78</f>
        <v>-2538</v>
      </c>
      <c r="G76" s="2780">
        <f t="shared" si="2"/>
        <v>-8113</v>
      </c>
    </row>
    <row r="77" spans="1:7" s="2727" customFormat="1" ht="24.75" customHeight="1">
      <c r="A77" s="2776"/>
      <c r="B77" s="2733" t="s">
        <v>3617</v>
      </c>
      <c r="C77" s="2787">
        <v>-1681</v>
      </c>
      <c r="D77" s="2822">
        <v>-1751</v>
      </c>
      <c r="E77" s="2822">
        <v>-1879</v>
      </c>
      <c r="F77" s="2788">
        <v>-2438</v>
      </c>
      <c r="G77" s="2777">
        <f t="shared" si="2"/>
        <v>-7749</v>
      </c>
    </row>
    <row r="78" spans="1:7" s="2727" customFormat="1" ht="24.75" customHeight="1">
      <c r="A78" s="2776"/>
      <c r="B78" s="2733" t="s">
        <v>3618</v>
      </c>
      <c r="C78" s="2839">
        <f>-10+C79</f>
        <v>-77</v>
      </c>
      <c r="D78" s="2840">
        <f>-8+D79</f>
        <v>-88</v>
      </c>
      <c r="E78" s="2840">
        <f>-9+E79</f>
        <v>-99</v>
      </c>
      <c r="F78" s="2838">
        <f>-17+F79</f>
        <v>-100</v>
      </c>
      <c r="G78" s="2780">
        <f t="shared" si="2"/>
        <v>-364</v>
      </c>
    </row>
    <row r="79" spans="1:7" s="2727" customFormat="1" ht="24.75" customHeight="1">
      <c r="A79" s="2776"/>
      <c r="B79" s="2745" t="s">
        <v>3605</v>
      </c>
      <c r="C79" s="2839">
        <v>-67</v>
      </c>
      <c r="D79" s="2840">
        <v>-80</v>
      </c>
      <c r="E79" s="2840">
        <v>-90</v>
      </c>
      <c r="F79" s="2838">
        <v>-83</v>
      </c>
      <c r="G79" s="2780">
        <f t="shared" si="2"/>
        <v>-320</v>
      </c>
    </row>
    <row r="80" spans="1:7" s="2727" customFormat="1" ht="24.75" customHeight="1">
      <c r="A80" s="2776" t="s">
        <v>3619</v>
      </c>
      <c r="B80" s="2728" t="s">
        <v>3620</v>
      </c>
      <c r="C80" s="2846">
        <f>C81+C83</f>
        <v>3472.15</v>
      </c>
      <c r="D80" s="2792">
        <f>D81+D83</f>
        <v>8599.9049999999988</v>
      </c>
      <c r="E80" s="2792">
        <f>E81+E83</f>
        <v>15083</v>
      </c>
      <c r="F80" s="2847">
        <f>F81+F83</f>
        <v>8038</v>
      </c>
      <c r="G80" s="2791">
        <f>G81+G83</f>
        <v>35193.055</v>
      </c>
    </row>
    <row r="81" spans="1:8" s="2727" customFormat="1" ht="24.75" customHeight="1">
      <c r="A81" s="2776" t="s">
        <v>3621</v>
      </c>
      <c r="B81" s="2728" t="s">
        <v>3622</v>
      </c>
      <c r="C81" s="2846">
        <f>C82</f>
        <v>-9</v>
      </c>
      <c r="D81" s="2792">
        <f>D82</f>
        <v>-16</v>
      </c>
      <c r="E81" s="2792">
        <f>E82</f>
        <v>-17</v>
      </c>
      <c r="F81" s="2847">
        <f>F82</f>
        <v>-11</v>
      </c>
      <c r="G81" s="2791">
        <f t="shared" si="2"/>
        <v>-53</v>
      </c>
    </row>
    <row r="82" spans="1:8" s="2749" customFormat="1" ht="24.75" customHeight="1">
      <c r="A82" s="2782"/>
      <c r="B82" s="2745" t="s">
        <v>3623</v>
      </c>
      <c r="C82" s="2842">
        <v>-9</v>
      </c>
      <c r="D82" s="2843">
        <v>-16</v>
      </c>
      <c r="E82" s="2843">
        <v>-17</v>
      </c>
      <c r="F82" s="2844">
        <v>-11</v>
      </c>
      <c r="G82" s="2786">
        <f t="shared" si="2"/>
        <v>-53</v>
      </c>
    </row>
    <row r="83" spans="1:8" s="2727" customFormat="1" ht="24.75" customHeight="1">
      <c r="A83" s="2776" t="s">
        <v>3624</v>
      </c>
      <c r="B83" s="2728" t="s">
        <v>3625</v>
      </c>
      <c r="C83" s="2846">
        <f>C84+C89+C100+C115</f>
        <v>3481.15</v>
      </c>
      <c r="D83" s="2792">
        <f>D84+D89+D100+D115</f>
        <v>8615.9049999999988</v>
      </c>
      <c r="E83" s="2792">
        <f>E84+E89+E100+E115</f>
        <v>15100</v>
      </c>
      <c r="F83" s="2847">
        <f>F84+F89+F100+F115</f>
        <v>8049</v>
      </c>
      <c r="G83" s="2791">
        <f t="shared" si="2"/>
        <v>35246.055</v>
      </c>
    </row>
    <row r="84" spans="1:8" s="2732" customFormat="1" ht="24.75" customHeight="1">
      <c r="A84" s="2776"/>
      <c r="B84" s="2728" t="s">
        <v>3626</v>
      </c>
      <c r="C84" s="2846">
        <f>C85+C87</f>
        <v>631</v>
      </c>
      <c r="D84" s="2792">
        <f>D85+D87</f>
        <v>33202</v>
      </c>
      <c r="E84" s="2792">
        <f>E85+E87</f>
        <v>-41587</v>
      </c>
      <c r="F84" s="2847">
        <f>F85+F87</f>
        <v>-23859</v>
      </c>
      <c r="G84" s="2791">
        <f t="shared" si="2"/>
        <v>-31613</v>
      </c>
      <c r="H84" s="2793"/>
    </row>
    <row r="85" spans="1:8" s="2727" customFormat="1" ht="24.75" customHeight="1">
      <c r="A85" s="2776"/>
      <c r="B85" s="2733" t="s">
        <v>3627</v>
      </c>
      <c r="C85" s="2823">
        <f>-572+C86</f>
        <v>-366650</v>
      </c>
      <c r="D85" s="2820">
        <f>-559+D86</f>
        <v>-436367</v>
      </c>
      <c r="E85" s="2820">
        <f>-950+E86</f>
        <v>-489055</v>
      </c>
      <c r="F85" s="2821">
        <f>-461+F86</f>
        <v>-453701</v>
      </c>
      <c r="G85" s="2781">
        <f t="shared" si="2"/>
        <v>-1745773</v>
      </c>
    </row>
    <row r="86" spans="1:8" s="2749" customFormat="1" ht="24.75" customHeight="1">
      <c r="A86" s="2782"/>
      <c r="B86" s="2745" t="s">
        <v>3605</v>
      </c>
      <c r="C86" s="2750">
        <v>-366078</v>
      </c>
      <c r="D86" s="2761">
        <v>-435808</v>
      </c>
      <c r="E86" s="2761">
        <v>-488105</v>
      </c>
      <c r="F86" s="2841">
        <v>-453240</v>
      </c>
      <c r="G86" s="2783">
        <f t="shared" si="2"/>
        <v>-1743231</v>
      </c>
    </row>
    <row r="87" spans="1:8" s="2727" customFormat="1" ht="24.75" customHeight="1">
      <c r="A87" s="2776"/>
      <c r="B87" s="2733" t="s">
        <v>3628</v>
      </c>
      <c r="C87" s="2787">
        <f>1720+C88</f>
        <v>367281</v>
      </c>
      <c r="D87" s="2822">
        <f>2616+D88</f>
        <v>469569</v>
      </c>
      <c r="E87" s="2822">
        <f>2221+E88</f>
        <v>447468</v>
      </c>
      <c r="F87" s="2788">
        <f>1291+F88</f>
        <v>429842</v>
      </c>
      <c r="G87" s="2777">
        <f t="shared" si="2"/>
        <v>1714160</v>
      </c>
    </row>
    <row r="88" spans="1:8" s="2749" customFormat="1" ht="24.75" customHeight="1">
      <c r="A88" s="2782"/>
      <c r="B88" s="2745" t="s">
        <v>3605</v>
      </c>
      <c r="C88" s="2827">
        <v>365561</v>
      </c>
      <c r="D88" s="2828">
        <v>466953</v>
      </c>
      <c r="E88" s="2828">
        <v>445247</v>
      </c>
      <c r="F88" s="2848">
        <v>428551</v>
      </c>
      <c r="G88" s="2794">
        <f t="shared" si="2"/>
        <v>1706312</v>
      </c>
    </row>
    <row r="89" spans="1:8" s="2727" customFormat="1" ht="24.75" customHeight="1">
      <c r="A89" s="2776"/>
      <c r="B89" s="2728" t="s">
        <v>3629</v>
      </c>
      <c r="C89" s="2846">
        <f>C90+C95</f>
        <v>52303</v>
      </c>
      <c r="D89" s="2792">
        <f>D90+D95</f>
        <v>65062</v>
      </c>
      <c r="E89" s="2792">
        <f>E90+E95</f>
        <v>73551</v>
      </c>
      <c r="F89" s="2847">
        <f>F90+F95</f>
        <v>66056</v>
      </c>
      <c r="G89" s="2791">
        <f t="shared" si="2"/>
        <v>256972</v>
      </c>
    </row>
    <row r="90" spans="1:8" s="2727" customFormat="1" ht="24.75" customHeight="1">
      <c r="A90" s="2776"/>
      <c r="B90" s="2728" t="s">
        <v>3630</v>
      </c>
      <c r="C90" s="2846">
        <f>C91+C93</f>
        <v>25534</v>
      </c>
      <c r="D90" s="2792">
        <f>D91+D93</f>
        <v>23372</v>
      </c>
      <c r="E90" s="2792">
        <f>E91+E93</f>
        <v>26954</v>
      </c>
      <c r="F90" s="2847">
        <f>F91+F93</f>
        <v>25528</v>
      </c>
      <c r="G90" s="2791">
        <f t="shared" si="2"/>
        <v>101388</v>
      </c>
    </row>
    <row r="91" spans="1:8" s="2727" customFormat="1" ht="24.75" customHeight="1">
      <c r="A91" s="2776"/>
      <c r="B91" s="2733" t="s">
        <v>3631</v>
      </c>
      <c r="C91" s="2823">
        <f>4863+C92</f>
        <v>39034</v>
      </c>
      <c r="D91" s="2820">
        <f>-1237+D92</f>
        <v>39443</v>
      </c>
      <c r="E91" s="2820">
        <f>-607+E92</f>
        <v>44954</v>
      </c>
      <c r="F91" s="2821">
        <f>-65+F92</f>
        <v>42242</v>
      </c>
      <c r="G91" s="2781">
        <f t="shared" si="2"/>
        <v>165673</v>
      </c>
    </row>
    <row r="92" spans="1:8" s="2749" customFormat="1" ht="24.75" customHeight="1">
      <c r="A92" s="2782"/>
      <c r="B92" s="2745" t="s">
        <v>3605</v>
      </c>
      <c r="C92" s="2750">
        <v>34171</v>
      </c>
      <c r="D92" s="2761">
        <v>40680</v>
      </c>
      <c r="E92" s="2761">
        <v>45561</v>
      </c>
      <c r="F92" s="2841">
        <v>42307</v>
      </c>
      <c r="G92" s="2783">
        <f t="shared" si="2"/>
        <v>162719</v>
      </c>
    </row>
    <row r="93" spans="1:8" s="2727" customFormat="1" ht="24.75" customHeight="1">
      <c r="A93" s="2776"/>
      <c r="B93" s="2733" t="s">
        <v>3632</v>
      </c>
      <c r="C93" s="2823">
        <f>0+C94</f>
        <v>-13500</v>
      </c>
      <c r="D93" s="2820">
        <f>0+D94</f>
        <v>-16071</v>
      </c>
      <c r="E93" s="2820">
        <f>0+E94</f>
        <v>-18000</v>
      </c>
      <c r="F93" s="2821">
        <f>0+F94</f>
        <v>-16714</v>
      </c>
      <c r="G93" s="2781">
        <f t="shared" si="2"/>
        <v>-64285</v>
      </c>
    </row>
    <row r="94" spans="1:8" s="2749" customFormat="1" ht="24.75" customHeight="1">
      <c r="A94" s="2782"/>
      <c r="B94" s="2745" t="s">
        <v>3605</v>
      </c>
      <c r="C94" s="2750">
        <v>-13500</v>
      </c>
      <c r="D94" s="2761">
        <v>-16071</v>
      </c>
      <c r="E94" s="2761">
        <v>-18000</v>
      </c>
      <c r="F94" s="2841">
        <v>-16714</v>
      </c>
      <c r="G94" s="2783">
        <f t="shared" si="2"/>
        <v>-64285</v>
      </c>
    </row>
    <row r="95" spans="1:8" s="2727" customFormat="1" ht="24.75" customHeight="1">
      <c r="A95" s="2776"/>
      <c r="B95" s="2728" t="s">
        <v>3633</v>
      </c>
      <c r="C95" s="2846">
        <f>C96+C98</f>
        <v>26769</v>
      </c>
      <c r="D95" s="2792">
        <f>D96+D98</f>
        <v>41690</v>
      </c>
      <c r="E95" s="2792">
        <f>E96+E98</f>
        <v>46597</v>
      </c>
      <c r="F95" s="2847">
        <f>F96+F98</f>
        <v>40528</v>
      </c>
      <c r="G95" s="2791">
        <f t="shared" si="2"/>
        <v>155584</v>
      </c>
    </row>
    <row r="96" spans="1:8" s="2727" customFormat="1" ht="24.75" customHeight="1">
      <c r="A96" s="2776"/>
      <c r="B96" s="2733" t="s">
        <v>3631</v>
      </c>
      <c r="C96" s="2823">
        <f>-6089+C97</f>
        <v>29750</v>
      </c>
      <c r="D96" s="2820">
        <f>2619+D97</f>
        <v>45284</v>
      </c>
      <c r="E96" s="2820">
        <f>2685+E97</f>
        <v>50470</v>
      </c>
      <c r="F96" s="2821">
        <f>-353+F97</f>
        <v>44019</v>
      </c>
      <c r="G96" s="2781">
        <f t="shared" si="2"/>
        <v>169523</v>
      </c>
    </row>
    <row r="97" spans="1:9" s="2749" customFormat="1" ht="24.75" customHeight="1">
      <c r="A97" s="2782"/>
      <c r="B97" s="2745" t="s">
        <v>3605</v>
      </c>
      <c r="C97" s="2750">
        <v>35839</v>
      </c>
      <c r="D97" s="2761">
        <v>42665</v>
      </c>
      <c r="E97" s="2761">
        <v>47785</v>
      </c>
      <c r="F97" s="2841">
        <v>44372</v>
      </c>
      <c r="G97" s="2783">
        <f t="shared" si="2"/>
        <v>170661</v>
      </c>
    </row>
    <row r="98" spans="1:9" s="2727" customFormat="1" ht="24.75" customHeight="1">
      <c r="A98" s="2776"/>
      <c r="B98" s="2733" t="s">
        <v>3632</v>
      </c>
      <c r="C98" s="2823">
        <f>-18+C99</f>
        <v>-2981</v>
      </c>
      <c r="D98" s="2820">
        <f>-66+D99</f>
        <v>-3594</v>
      </c>
      <c r="E98" s="2820">
        <f>78+E99</f>
        <v>-3873</v>
      </c>
      <c r="F98" s="2821">
        <f>178+F99</f>
        <v>-3491</v>
      </c>
      <c r="G98" s="2781">
        <f t="shared" si="2"/>
        <v>-13939</v>
      </c>
      <c r="I98" s="2795"/>
    </row>
    <row r="99" spans="1:9" s="2749" customFormat="1" ht="24.75" customHeight="1">
      <c r="A99" s="2782"/>
      <c r="B99" s="2745" t="s">
        <v>3605</v>
      </c>
      <c r="C99" s="2750">
        <v>-2963</v>
      </c>
      <c r="D99" s="2761">
        <v>-3528</v>
      </c>
      <c r="E99" s="2761">
        <v>-3951</v>
      </c>
      <c r="F99" s="2841">
        <v>-3669</v>
      </c>
      <c r="G99" s="2783">
        <f t="shared" si="2"/>
        <v>-14111</v>
      </c>
    </row>
    <row r="100" spans="1:9" s="2727" customFormat="1" ht="24.75" customHeight="1">
      <c r="A100" s="2776"/>
      <c r="B100" s="2728" t="s">
        <v>3634</v>
      </c>
      <c r="C100" s="2846">
        <f>C101+C108</f>
        <v>-47656</v>
      </c>
      <c r="D100" s="2792">
        <f>D101+D108</f>
        <v>-87534.095000000001</v>
      </c>
      <c r="E100" s="2792">
        <f>E101+E108</f>
        <v>-17088</v>
      </c>
      <c r="F100" s="2847">
        <f>F101+F108</f>
        <v>-32588</v>
      </c>
      <c r="G100" s="2791">
        <f t="shared" si="2"/>
        <v>-184866.095</v>
      </c>
    </row>
    <row r="101" spans="1:9" s="2727" customFormat="1" ht="24.75" customHeight="1">
      <c r="A101" s="2776"/>
      <c r="B101" s="2728" t="s">
        <v>3635</v>
      </c>
      <c r="C101" s="2846">
        <f>C102+C103+C104+C105+C107</f>
        <v>-13083</v>
      </c>
      <c r="D101" s="2792">
        <f>D102+D103+D104+D105+D107</f>
        <v>-23982.095000000001</v>
      </c>
      <c r="E101" s="2792">
        <f>E102+E103+E104+E105+E107</f>
        <v>7592</v>
      </c>
      <c r="F101" s="2847">
        <f>F102+F103+F104+F105+F107</f>
        <v>36327</v>
      </c>
      <c r="G101" s="2791">
        <f t="shared" si="2"/>
        <v>6853.9049999999988</v>
      </c>
    </row>
    <row r="102" spans="1:9" s="2727" customFormat="1" ht="24.75" customHeight="1">
      <c r="A102" s="2776"/>
      <c r="B102" s="2733" t="s">
        <v>3636</v>
      </c>
      <c r="C102" s="2839">
        <v>0</v>
      </c>
      <c r="D102" s="2840">
        <v>0</v>
      </c>
      <c r="E102" s="2840">
        <v>0</v>
      </c>
      <c r="F102" s="2838">
        <v>0</v>
      </c>
      <c r="G102" s="2780">
        <f t="shared" si="2"/>
        <v>0</v>
      </c>
    </row>
    <row r="103" spans="1:9" s="2727" customFormat="1" ht="24.75" customHeight="1">
      <c r="A103" s="2776"/>
      <c r="B103" s="2733" t="s">
        <v>3637</v>
      </c>
      <c r="C103" s="2839">
        <v>0</v>
      </c>
      <c r="D103" s="2840">
        <v>0</v>
      </c>
      <c r="E103" s="2840">
        <v>0</v>
      </c>
      <c r="F103" s="2838">
        <v>0</v>
      </c>
      <c r="G103" s="2780">
        <f t="shared" si="2"/>
        <v>0</v>
      </c>
    </row>
    <row r="104" spans="1:9" s="2727" customFormat="1" ht="24.75" customHeight="1">
      <c r="A104" s="2776"/>
      <c r="B104" s="2733" t="s">
        <v>143</v>
      </c>
      <c r="C104" s="2849">
        <v>-37662</v>
      </c>
      <c r="D104" s="2850">
        <v>-52583</v>
      </c>
      <c r="E104" s="2850">
        <v>-24381</v>
      </c>
      <c r="F104" s="2851">
        <v>6808</v>
      </c>
      <c r="G104" s="2852">
        <f t="shared" si="2"/>
        <v>-107818</v>
      </c>
    </row>
    <row r="105" spans="1:9" s="2727" customFormat="1" ht="24.75" customHeight="1">
      <c r="A105" s="2776"/>
      <c r="B105" s="2733" t="s">
        <v>3638</v>
      </c>
      <c r="C105" s="2823">
        <f>0+C106</f>
        <v>24025</v>
      </c>
      <c r="D105" s="2820">
        <f>0+D106</f>
        <v>28601</v>
      </c>
      <c r="E105" s="2820">
        <f>0+E106</f>
        <v>32033</v>
      </c>
      <c r="F105" s="2821">
        <f>0+F106</f>
        <v>29745</v>
      </c>
      <c r="G105" s="2781">
        <f t="shared" si="2"/>
        <v>114404</v>
      </c>
    </row>
    <row r="106" spans="1:9" s="2749" customFormat="1" ht="24.75" customHeight="1">
      <c r="A106" s="2782"/>
      <c r="B106" s="2745" t="s">
        <v>3605</v>
      </c>
      <c r="C106" s="2750">
        <v>24025</v>
      </c>
      <c r="D106" s="2761">
        <v>28601</v>
      </c>
      <c r="E106" s="2761">
        <v>32033</v>
      </c>
      <c r="F106" s="2841">
        <v>29745</v>
      </c>
      <c r="G106" s="2783">
        <f t="shared" si="2"/>
        <v>114404</v>
      </c>
    </row>
    <row r="107" spans="1:9" s="2727" customFormat="1" ht="24.75" customHeight="1">
      <c r="A107" s="2776"/>
      <c r="B107" s="2733" t="s">
        <v>3639</v>
      </c>
      <c r="C107" s="2839">
        <v>554</v>
      </c>
      <c r="D107" s="2840">
        <v>-9.5000000000000001E-2</v>
      </c>
      <c r="E107" s="2840">
        <v>-60</v>
      </c>
      <c r="F107" s="2838">
        <v>-226</v>
      </c>
      <c r="G107" s="2780">
        <f t="shared" si="2"/>
        <v>267.90499999999997</v>
      </c>
    </row>
    <row r="108" spans="1:9" s="2727" customFormat="1" ht="24.75" customHeight="1">
      <c r="A108" s="2776"/>
      <c r="B108" s="2728" t="s">
        <v>3633</v>
      </c>
      <c r="C108" s="2846">
        <f>C109+C110+C111+C112+C114</f>
        <v>-34573</v>
      </c>
      <c r="D108" s="2792">
        <f>D109+D110+D111+D112+D114</f>
        <v>-63552</v>
      </c>
      <c r="E108" s="2792">
        <f>E109+E110+E111+E112+E114</f>
        <v>-24680</v>
      </c>
      <c r="F108" s="2847">
        <f>F109+F110+F111+F112+F114</f>
        <v>-68915</v>
      </c>
      <c r="G108" s="2791">
        <f t="shared" si="2"/>
        <v>-191720</v>
      </c>
    </row>
    <row r="109" spans="1:9" s="2727" customFormat="1" ht="24.75" customHeight="1">
      <c r="A109" s="2776"/>
      <c r="B109" s="2733" t="s">
        <v>3636</v>
      </c>
      <c r="C109" s="2839">
        <v>3723</v>
      </c>
      <c r="D109" s="2840">
        <v>23</v>
      </c>
      <c r="E109" s="2840">
        <v>1424</v>
      </c>
      <c r="F109" s="2838">
        <v>282</v>
      </c>
      <c r="G109" s="2780">
        <f t="shared" si="2"/>
        <v>5452</v>
      </c>
    </row>
    <row r="110" spans="1:9" s="2727" customFormat="1" ht="24.75" customHeight="1">
      <c r="A110" s="2776"/>
      <c r="B110" s="2733" t="s">
        <v>3637</v>
      </c>
      <c r="C110" s="2839">
        <v>0</v>
      </c>
      <c r="D110" s="2840">
        <v>0</v>
      </c>
      <c r="E110" s="2840">
        <v>0</v>
      </c>
      <c r="F110" s="2838">
        <v>0</v>
      </c>
      <c r="G110" s="2780">
        <f t="shared" si="2"/>
        <v>0</v>
      </c>
    </row>
    <row r="111" spans="1:9" s="2727" customFormat="1" ht="24.75" customHeight="1">
      <c r="A111" s="2776"/>
      <c r="B111" s="2733" t="s">
        <v>143</v>
      </c>
      <c r="C111" s="2839">
        <v>25441</v>
      </c>
      <c r="D111" s="2840">
        <v>11333</v>
      </c>
      <c r="E111" s="2840">
        <v>57927</v>
      </c>
      <c r="F111" s="2838">
        <v>5206</v>
      </c>
      <c r="G111" s="2780">
        <f t="shared" si="2"/>
        <v>99907</v>
      </c>
    </row>
    <row r="112" spans="1:9" s="2727" customFormat="1" ht="24.75" customHeight="1">
      <c r="A112" s="2776"/>
      <c r="B112" s="2733" t="s">
        <v>3638</v>
      </c>
      <c r="C112" s="2823">
        <f>88+C113</f>
        <v>-64403</v>
      </c>
      <c r="D112" s="2820">
        <f>637+D113</f>
        <v>-76138</v>
      </c>
      <c r="E112" s="2820">
        <f>-217+E113</f>
        <v>-86205</v>
      </c>
      <c r="F112" s="2821">
        <f>2999+F113</f>
        <v>-76847</v>
      </c>
      <c r="G112" s="2781">
        <f t="shared" si="2"/>
        <v>-303593</v>
      </c>
    </row>
    <row r="113" spans="1:7" s="2749" customFormat="1" ht="24.75" customHeight="1">
      <c r="A113" s="2782"/>
      <c r="B113" s="2745" t="s">
        <v>3605</v>
      </c>
      <c r="C113" s="2750">
        <v>-64491</v>
      </c>
      <c r="D113" s="2761">
        <v>-76775</v>
      </c>
      <c r="E113" s="2761">
        <v>-85988</v>
      </c>
      <c r="F113" s="2841">
        <v>-79846</v>
      </c>
      <c r="G113" s="2783">
        <f t="shared" si="2"/>
        <v>-307100</v>
      </c>
    </row>
    <row r="114" spans="1:7" s="2727" customFormat="1" ht="24.75" customHeight="1">
      <c r="A114" s="2776"/>
      <c r="B114" s="2733" t="s">
        <v>3639</v>
      </c>
      <c r="C114" s="2839">
        <v>666</v>
      </c>
      <c r="D114" s="2840">
        <v>1230</v>
      </c>
      <c r="E114" s="2840">
        <v>2174</v>
      </c>
      <c r="F114" s="2838">
        <v>2444</v>
      </c>
      <c r="G114" s="2780">
        <f t="shared" si="2"/>
        <v>6514</v>
      </c>
    </row>
    <row r="115" spans="1:7" s="2727" customFormat="1" ht="24.75" customHeight="1">
      <c r="A115" s="2776"/>
      <c r="B115" s="2728" t="s">
        <v>3640</v>
      </c>
      <c r="C115" s="2846">
        <f>C116+C117+C118+C119+C120</f>
        <v>-1796.85</v>
      </c>
      <c r="D115" s="2792">
        <f>D116+D117+D118+D119+D120</f>
        <v>-2114</v>
      </c>
      <c r="E115" s="2792">
        <f>E116+E117+E118+E119+E120</f>
        <v>224</v>
      </c>
      <c r="F115" s="2847">
        <f>F116+F117+F118+F119+F120</f>
        <v>-1560</v>
      </c>
      <c r="G115" s="2791">
        <f t="shared" si="2"/>
        <v>-5246.85</v>
      </c>
    </row>
    <row r="116" spans="1:7" s="2727" customFormat="1" ht="24.75" customHeight="1">
      <c r="A116" s="2776"/>
      <c r="B116" s="2733" t="s">
        <v>3641</v>
      </c>
      <c r="C116" s="2839">
        <v>0</v>
      </c>
      <c r="D116" s="2840">
        <v>0</v>
      </c>
      <c r="E116" s="2840">
        <v>0</v>
      </c>
      <c r="F116" s="2838">
        <v>0</v>
      </c>
      <c r="G116" s="2780">
        <f t="shared" si="2"/>
        <v>0</v>
      </c>
    </row>
    <row r="117" spans="1:7" s="2727" customFormat="1" ht="24.75" customHeight="1">
      <c r="A117" s="2776"/>
      <c r="B117" s="2733" t="s">
        <v>3642</v>
      </c>
      <c r="C117" s="2839">
        <v>-0.85</v>
      </c>
      <c r="D117" s="2840">
        <v>312</v>
      </c>
      <c r="E117" s="2840">
        <v>-3</v>
      </c>
      <c r="F117" s="2838">
        <v>49</v>
      </c>
      <c r="G117" s="2780">
        <f t="shared" si="2"/>
        <v>357.15</v>
      </c>
    </row>
    <row r="118" spans="1:7" s="2727" customFormat="1" ht="24.75" customHeight="1">
      <c r="A118" s="2776"/>
      <c r="B118" s="2733" t="s">
        <v>3643</v>
      </c>
      <c r="C118" s="2839">
        <v>-188</v>
      </c>
      <c r="D118" s="2840">
        <v>-58</v>
      </c>
      <c r="E118" s="2840">
        <v>-120</v>
      </c>
      <c r="F118" s="2838">
        <v>-63</v>
      </c>
      <c r="G118" s="2780">
        <f t="shared" si="2"/>
        <v>-429</v>
      </c>
    </row>
    <row r="119" spans="1:7" s="2727" customFormat="1" ht="24.75" customHeight="1">
      <c r="A119" s="2776"/>
      <c r="B119" s="2733" t="s">
        <v>3644</v>
      </c>
      <c r="C119" s="2839">
        <v>-1608</v>
      </c>
      <c r="D119" s="2840">
        <v>-2368</v>
      </c>
      <c r="E119" s="2840">
        <v>347</v>
      </c>
      <c r="F119" s="2838">
        <v>-1546</v>
      </c>
      <c r="G119" s="2780">
        <f t="shared" si="2"/>
        <v>-5175</v>
      </c>
    </row>
    <row r="120" spans="1:7" s="2727" customFormat="1" ht="24.75" customHeight="1">
      <c r="A120" s="2776"/>
      <c r="B120" s="2733" t="s">
        <v>3645</v>
      </c>
      <c r="C120" s="2853">
        <v>0</v>
      </c>
      <c r="D120" s="2854">
        <v>0</v>
      </c>
      <c r="E120" s="2854">
        <v>0</v>
      </c>
      <c r="F120" s="2768">
        <v>0</v>
      </c>
      <c r="G120" s="2799">
        <f t="shared" si="2"/>
        <v>0</v>
      </c>
    </row>
    <row r="121" spans="1:7" s="2727" customFormat="1" ht="24.75" customHeight="1">
      <c r="A121" s="2776" t="s">
        <v>3646</v>
      </c>
      <c r="B121" s="2728" t="s">
        <v>3647</v>
      </c>
      <c r="C121" s="2846">
        <f>-(C7+C80)</f>
        <v>1847.85</v>
      </c>
      <c r="D121" s="2792">
        <f>-(D7+D80)</f>
        <v>2352.0950000000012</v>
      </c>
      <c r="E121" s="2792">
        <f>-(E7+E80)</f>
        <v>-1753</v>
      </c>
      <c r="F121" s="2847">
        <f>-(F7+F80)</f>
        <v>5446</v>
      </c>
      <c r="G121" s="2791">
        <f>-(G7+G80)</f>
        <v>7892.9449999999997</v>
      </c>
    </row>
    <row r="122" spans="1:7" s="2727" customFormat="1" ht="7.5" customHeight="1" thickBot="1">
      <c r="A122" s="2800"/>
      <c r="B122" s="2801"/>
      <c r="C122" s="2802"/>
      <c r="D122" s="2855"/>
      <c r="E122" s="2855"/>
      <c r="F122" s="2856"/>
      <c r="G122" s="2805"/>
    </row>
    <row r="123" spans="1:7" s="2717" customFormat="1" ht="24.75" customHeight="1">
      <c r="A123" s="2806" t="s">
        <v>3656</v>
      </c>
      <c r="B123" s="2807"/>
      <c r="C123" s="2806"/>
      <c r="G123" s="2857"/>
    </row>
    <row r="124" spans="1:7" s="2717" customFormat="1" ht="45.75" customHeight="1">
      <c r="A124" s="3550" t="s">
        <v>3657</v>
      </c>
      <c r="B124" s="3545"/>
      <c r="C124" s="3545"/>
      <c r="D124" s="3545"/>
      <c r="E124" s="3545"/>
      <c r="F124" s="3545"/>
      <c r="G124" s="3545"/>
    </row>
    <row r="125" spans="1:7" s="2717" customFormat="1" ht="20.25">
      <c r="A125" s="2808" t="s">
        <v>361</v>
      </c>
    </row>
    <row r="126" spans="1:7">
      <c r="A126" s="2808" t="s">
        <v>3649</v>
      </c>
    </row>
    <row r="130" spans="3:7">
      <c r="C130" s="2810"/>
      <c r="D130" s="2810"/>
      <c r="E130" s="2810"/>
      <c r="F130" s="2810"/>
      <c r="G130" s="2810"/>
    </row>
  </sheetData>
  <mergeCells count="10">
    <mergeCell ref="A124:G124"/>
    <mergeCell ref="A1:G2"/>
    <mergeCell ref="A4:A5"/>
    <mergeCell ref="B4:B5"/>
    <mergeCell ref="C4:F4"/>
    <mergeCell ref="G4:G5"/>
    <mergeCell ref="A57:A58"/>
    <mergeCell ref="B57:B58"/>
    <mergeCell ref="C57:F57"/>
    <mergeCell ref="G57:G58"/>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53"/>
  <sheetViews>
    <sheetView zoomScale="85" zoomScaleNormal="85" workbookViewId="0">
      <pane xSplit="65" ySplit="3" topLeftCell="DC23" activePane="bottomRight" state="frozen"/>
      <selection pane="topRight" activeCell="BN1" sqref="BN1"/>
      <selection pane="bottomLeft" activeCell="A4" sqref="A4"/>
      <selection pane="bottomRight" activeCell="A39" sqref="A39"/>
    </sheetView>
  </sheetViews>
  <sheetFormatPr defaultColWidth="30.42578125" defaultRowHeight="12.75"/>
  <cols>
    <col min="1" max="1" width="34" style="2861" customWidth="1"/>
    <col min="2" max="4" width="10.5703125" style="2862" hidden="1" customWidth="1"/>
    <col min="5" max="5" width="10.5703125" style="2863" hidden="1" customWidth="1"/>
    <col min="6" max="6" width="10.28515625" style="2862" hidden="1" customWidth="1"/>
    <col min="7" max="8" width="10.5703125" style="2862" hidden="1" customWidth="1"/>
    <col min="9" max="9" width="10.28515625" style="2862" hidden="1" customWidth="1"/>
    <col min="10" max="11" width="10.5703125" style="2862" hidden="1" customWidth="1"/>
    <col min="12" max="12" width="10.28515625" style="2862" hidden="1" customWidth="1"/>
    <col min="13" max="13" width="10.5703125" style="2862" hidden="1" customWidth="1"/>
    <col min="14" max="39" width="10.28515625" style="2862" hidden="1" customWidth="1"/>
    <col min="40" max="40" width="18.140625" style="2862" hidden="1" customWidth="1"/>
    <col min="41" max="64" width="10.28515625" style="2862" hidden="1" customWidth="1"/>
    <col min="65" max="65" width="1" style="2862" hidden="1" customWidth="1"/>
    <col min="66" max="103" width="10.28515625" style="2862" hidden="1" customWidth="1"/>
    <col min="104" max="107" width="10.28515625" style="2862" bestFit="1" customWidth="1"/>
    <col min="108" max="108" width="10.42578125" style="2862" bestFit="1" customWidth="1"/>
    <col min="109" max="113" width="10.42578125" style="2862" hidden="1" customWidth="1"/>
    <col min="114" max="141" width="10.85546875" style="2862" customWidth="1"/>
    <col min="142" max="145" width="11.7109375" style="2862" customWidth="1"/>
    <col min="146" max="256" width="30.42578125" style="2862"/>
    <col min="257" max="257" width="34" style="2862" customWidth="1"/>
    <col min="258" max="359" width="0" style="2862" hidden="1" customWidth="1"/>
    <col min="360" max="363" width="10.28515625" style="2862" bestFit="1" customWidth="1"/>
    <col min="364" max="364" width="10.42578125" style="2862" bestFit="1" customWidth="1"/>
    <col min="365" max="369" width="0" style="2862" hidden="1" customWidth="1"/>
    <col min="370" max="397" width="10.85546875" style="2862" customWidth="1"/>
    <col min="398" max="401" width="11.7109375" style="2862" customWidth="1"/>
    <col min="402" max="512" width="30.42578125" style="2862"/>
    <col min="513" max="513" width="34" style="2862" customWidth="1"/>
    <col min="514" max="615" width="0" style="2862" hidden="1" customWidth="1"/>
    <col min="616" max="619" width="10.28515625" style="2862" bestFit="1" customWidth="1"/>
    <col min="620" max="620" width="10.42578125" style="2862" bestFit="1" customWidth="1"/>
    <col min="621" max="625" width="0" style="2862" hidden="1" customWidth="1"/>
    <col min="626" max="653" width="10.85546875" style="2862" customWidth="1"/>
    <col min="654" max="657" width="11.7109375" style="2862" customWidth="1"/>
    <col min="658" max="768" width="30.42578125" style="2862"/>
    <col min="769" max="769" width="34" style="2862" customWidth="1"/>
    <col min="770" max="871" width="0" style="2862" hidden="1" customWidth="1"/>
    <col min="872" max="875" width="10.28515625" style="2862" bestFit="1" customWidth="1"/>
    <col min="876" max="876" width="10.42578125" style="2862" bestFit="1" customWidth="1"/>
    <col min="877" max="881" width="0" style="2862" hidden="1" customWidth="1"/>
    <col min="882" max="909" width="10.85546875" style="2862" customWidth="1"/>
    <col min="910" max="913" width="11.7109375" style="2862" customWidth="1"/>
    <col min="914" max="1024" width="30.42578125" style="2862"/>
    <col min="1025" max="1025" width="34" style="2862" customWidth="1"/>
    <col min="1026" max="1127" width="0" style="2862" hidden="1" customWidth="1"/>
    <col min="1128" max="1131" width="10.28515625" style="2862" bestFit="1" customWidth="1"/>
    <col min="1132" max="1132" width="10.42578125" style="2862" bestFit="1" customWidth="1"/>
    <col min="1133" max="1137" width="0" style="2862" hidden="1" customWidth="1"/>
    <col min="1138" max="1165" width="10.85546875" style="2862" customWidth="1"/>
    <col min="1166" max="1169" width="11.7109375" style="2862" customWidth="1"/>
    <col min="1170" max="1280" width="30.42578125" style="2862"/>
    <col min="1281" max="1281" width="34" style="2862" customWidth="1"/>
    <col min="1282" max="1383" width="0" style="2862" hidden="1" customWidth="1"/>
    <col min="1384" max="1387" width="10.28515625" style="2862" bestFit="1" customWidth="1"/>
    <col min="1388" max="1388" width="10.42578125" style="2862" bestFit="1" customWidth="1"/>
    <col min="1389" max="1393" width="0" style="2862" hidden="1" customWidth="1"/>
    <col min="1394" max="1421" width="10.85546875" style="2862" customWidth="1"/>
    <col min="1422" max="1425" width="11.7109375" style="2862" customWidth="1"/>
    <col min="1426" max="1536" width="30.42578125" style="2862"/>
    <col min="1537" max="1537" width="34" style="2862" customWidth="1"/>
    <col min="1538" max="1639" width="0" style="2862" hidden="1" customWidth="1"/>
    <col min="1640" max="1643" width="10.28515625" style="2862" bestFit="1" customWidth="1"/>
    <col min="1644" max="1644" width="10.42578125" style="2862" bestFit="1" customWidth="1"/>
    <col min="1645" max="1649" width="0" style="2862" hidden="1" customWidth="1"/>
    <col min="1650" max="1677" width="10.85546875" style="2862" customWidth="1"/>
    <col min="1678" max="1681" width="11.7109375" style="2862" customWidth="1"/>
    <col min="1682" max="1792" width="30.42578125" style="2862"/>
    <col min="1793" max="1793" width="34" style="2862" customWidth="1"/>
    <col min="1794" max="1895" width="0" style="2862" hidden="1" customWidth="1"/>
    <col min="1896" max="1899" width="10.28515625" style="2862" bestFit="1" customWidth="1"/>
    <col min="1900" max="1900" width="10.42578125" style="2862" bestFit="1" customWidth="1"/>
    <col min="1901" max="1905" width="0" style="2862" hidden="1" customWidth="1"/>
    <col min="1906" max="1933" width="10.85546875" style="2862" customWidth="1"/>
    <col min="1934" max="1937" width="11.7109375" style="2862" customWidth="1"/>
    <col min="1938" max="2048" width="30.42578125" style="2862"/>
    <col min="2049" max="2049" width="34" style="2862" customWidth="1"/>
    <col min="2050" max="2151" width="0" style="2862" hidden="1" customWidth="1"/>
    <col min="2152" max="2155" width="10.28515625" style="2862" bestFit="1" customWidth="1"/>
    <col min="2156" max="2156" width="10.42578125" style="2862" bestFit="1" customWidth="1"/>
    <col min="2157" max="2161" width="0" style="2862" hidden="1" customWidth="1"/>
    <col min="2162" max="2189" width="10.85546875" style="2862" customWidth="1"/>
    <col min="2190" max="2193" width="11.7109375" style="2862" customWidth="1"/>
    <col min="2194" max="2304" width="30.42578125" style="2862"/>
    <col min="2305" max="2305" width="34" style="2862" customWidth="1"/>
    <col min="2306" max="2407" width="0" style="2862" hidden="1" customWidth="1"/>
    <col min="2408" max="2411" width="10.28515625" style="2862" bestFit="1" customWidth="1"/>
    <col min="2412" max="2412" width="10.42578125" style="2862" bestFit="1" customWidth="1"/>
    <col min="2413" max="2417" width="0" style="2862" hidden="1" customWidth="1"/>
    <col min="2418" max="2445" width="10.85546875" style="2862" customWidth="1"/>
    <col min="2446" max="2449" width="11.7109375" style="2862" customWidth="1"/>
    <col min="2450" max="2560" width="30.42578125" style="2862"/>
    <col min="2561" max="2561" width="34" style="2862" customWidth="1"/>
    <col min="2562" max="2663" width="0" style="2862" hidden="1" customWidth="1"/>
    <col min="2664" max="2667" width="10.28515625" style="2862" bestFit="1" customWidth="1"/>
    <col min="2668" max="2668" width="10.42578125" style="2862" bestFit="1" customWidth="1"/>
    <col min="2669" max="2673" width="0" style="2862" hidden="1" customWidth="1"/>
    <col min="2674" max="2701" width="10.85546875" style="2862" customWidth="1"/>
    <col min="2702" max="2705" width="11.7109375" style="2862" customWidth="1"/>
    <col min="2706" max="2816" width="30.42578125" style="2862"/>
    <col min="2817" max="2817" width="34" style="2862" customWidth="1"/>
    <col min="2818" max="2919" width="0" style="2862" hidden="1" customWidth="1"/>
    <col min="2920" max="2923" width="10.28515625" style="2862" bestFit="1" customWidth="1"/>
    <col min="2924" max="2924" width="10.42578125" style="2862" bestFit="1" customWidth="1"/>
    <col min="2925" max="2929" width="0" style="2862" hidden="1" customWidth="1"/>
    <col min="2930" max="2957" width="10.85546875" style="2862" customWidth="1"/>
    <col min="2958" max="2961" width="11.7109375" style="2862" customWidth="1"/>
    <col min="2962" max="3072" width="30.42578125" style="2862"/>
    <col min="3073" max="3073" width="34" style="2862" customWidth="1"/>
    <col min="3074" max="3175" width="0" style="2862" hidden="1" customWidth="1"/>
    <col min="3176" max="3179" width="10.28515625" style="2862" bestFit="1" customWidth="1"/>
    <col min="3180" max="3180" width="10.42578125" style="2862" bestFit="1" customWidth="1"/>
    <col min="3181" max="3185" width="0" style="2862" hidden="1" customWidth="1"/>
    <col min="3186" max="3213" width="10.85546875" style="2862" customWidth="1"/>
    <col min="3214" max="3217" width="11.7109375" style="2862" customWidth="1"/>
    <col min="3218" max="3328" width="30.42578125" style="2862"/>
    <col min="3329" max="3329" width="34" style="2862" customWidth="1"/>
    <col min="3330" max="3431" width="0" style="2862" hidden="1" customWidth="1"/>
    <col min="3432" max="3435" width="10.28515625" style="2862" bestFit="1" customWidth="1"/>
    <col min="3436" max="3436" width="10.42578125" style="2862" bestFit="1" customWidth="1"/>
    <col min="3437" max="3441" width="0" style="2862" hidden="1" customWidth="1"/>
    <col min="3442" max="3469" width="10.85546875" style="2862" customWidth="1"/>
    <col min="3470" max="3473" width="11.7109375" style="2862" customWidth="1"/>
    <col min="3474" max="3584" width="30.42578125" style="2862"/>
    <col min="3585" max="3585" width="34" style="2862" customWidth="1"/>
    <col min="3586" max="3687" width="0" style="2862" hidden="1" customWidth="1"/>
    <col min="3688" max="3691" width="10.28515625" style="2862" bestFit="1" customWidth="1"/>
    <col min="3692" max="3692" width="10.42578125" style="2862" bestFit="1" customWidth="1"/>
    <col min="3693" max="3697" width="0" style="2862" hidden="1" customWidth="1"/>
    <col min="3698" max="3725" width="10.85546875" style="2862" customWidth="1"/>
    <col min="3726" max="3729" width="11.7109375" style="2862" customWidth="1"/>
    <col min="3730" max="3840" width="30.42578125" style="2862"/>
    <col min="3841" max="3841" width="34" style="2862" customWidth="1"/>
    <col min="3842" max="3943" width="0" style="2862" hidden="1" customWidth="1"/>
    <col min="3944" max="3947" width="10.28515625" style="2862" bestFit="1" customWidth="1"/>
    <col min="3948" max="3948" width="10.42578125" style="2862" bestFit="1" customWidth="1"/>
    <col min="3949" max="3953" width="0" style="2862" hidden="1" customWidth="1"/>
    <col min="3954" max="3981" width="10.85546875" style="2862" customWidth="1"/>
    <col min="3982" max="3985" width="11.7109375" style="2862" customWidth="1"/>
    <col min="3986" max="4096" width="30.42578125" style="2862"/>
    <col min="4097" max="4097" width="34" style="2862" customWidth="1"/>
    <col min="4098" max="4199" width="0" style="2862" hidden="1" customWidth="1"/>
    <col min="4200" max="4203" width="10.28515625" style="2862" bestFit="1" customWidth="1"/>
    <col min="4204" max="4204" width="10.42578125" style="2862" bestFit="1" customWidth="1"/>
    <col min="4205" max="4209" width="0" style="2862" hidden="1" customWidth="1"/>
    <col min="4210" max="4237" width="10.85546875" style="2862" customWidth="1"/>
    <col min="4238" max="4241" width="11.7109375" style="2862" customWidth="1"/>
    <col min="4242" max="4352" width="30.42578125" style="2862"/>
    <col min="4353" max="4353" width="34" style="2862" customWidth="1"/>
    <col min="4354" max="4455" width="0" style="2862" hidden="1" customWidth="1"/>
    <col min="4456" max="4459" width="10.28515625" style="2862" bestFit="1" customWidth="1"/>
    <col min="4460" max="4460" width="10.42578125" style="2862" bestFit="1" customWidth="1"/>
    <col min="4461" max="4465" width="0" style="2862" hidden="1" customWidth="1"/>
    <col min="4466" max="4493" width="10.85546875" style="2862" customWidth="1"/>
    <col min="4494" max="4497" width="11.7109375" style="2862" customWidth="1"/>
    <col min="4498" max="4608" width="30.42578125" style="2862"/>
    <col min="4609" max="4609" width="34" style="2862" customWidth="1"/>
    <col min="4610" max="4711" width="0" style="2862" hidden="1" customWidth="1"/>
    <col min="4712" max="4715" width="10.28515625" style="2862" bestFit="1" customWidth="1"/>
    <col min="4716" max="4716" width="10.42578125" style="2862" bestFit="1" customWidth="1"/>
    <col min="4717" max="4721" width="0" style="2862" hidden="1" customWidth="1"/>
    <col min="4722" max="4749" width="10.85546875" style="2862" customWidth="1"/>
    <col min="4750" max="4753" width="11.7109375" style="2862" customWidth="1"/>
    <col min="4754" max="4864" width="30.42578125" style="2862"/>
    <col min="4865" max="4865" width="34" style="2862" customWidth="1"/>
    <col min="4866" max="4967" width="0" style="2862" hidden="1" customWidth="1"/>
    <col min="4968" max="4971" width="10.28515625" style="2862" bestFit="1" customWidth="1"/>
    <col min="4972" max="4972" width="10.42578125" style="2862" bestFit="1" customWidth="1"/>
    <col min="4973" max="4977" width="0" style="2862" hidden="1" customWidth="1"/>
    <col min="4978" max="5005" width="10.85546875" style="2862" customWidth="1"/>
    <col min="5006" max="5009" width="11.7109375" style="2862" customWidth="1"/>
    <col min="5010" max="5120" width="30.42578125" style="2862"/>
    <col min="5121" max="5121" width="34" style="2862" customWidth="1"/>
    <col min="5122" max="5223" width="0" style="2862" hidden="1" customWidth="1"/>
    <col min="5224" max="5227" width="10.28515625" style="2862" bestFit="1" customWidth="1"/>
    <col min="5228" max="5228" width="10.42578125" style="2862" bestFit="1" customWidth="1"/>
    <col min="5229" max="5233" width="0" style="2862" hidden="1" customWidth="1"/>
    <col min="5234" max="5261" width="10.85546875" style="2862" customWidth="1"/>
    <col min="5262" max="5265" width="11.7109375" style="2862" customWidth="1"/>
    <col min="5266" max="5376" width="30.42578125" style="2862"/>
    <col min="5377" max="5377" width="34" style="2862" customWidth="1"/>
    <col min="5378" max="5479" width="0" style="2862" hidden="1" customWidth="1"/>
    <col min="5480" max="5483" width="10.28515625" style="2862" bestFit="1" customWidth="1"/>
    <col min="5484" max="5484" width="10.42578125" style="2862" bestFit="1" customWidth="1"/>
    <col min="5485" max="5489" width="0" style="2862" hidden="1" customWidth="1"/>
    <col min="5490" max="5517" width="10.85546875" style="2862" customWidth="1"/>
    <col min="5518" max="5521" width="11.7109375" style="2862" customWidth="1"/>
    <col min="5522" max="5632" width="30.42578125" style="2862"/>
    <col min="5633" max="5633" width="34" style="2862" customWidth="1"/>
    <col min="5634" max="5735" width="0" style="2862" hidden="1" customWidth="1"/>
    <col min="5736" max="5739" width="10.28515625" style="2862" bestFit="1" customWidth="1"/>
    <col min="5740" max="5740" width="10.42578125" style="2862" bestFit="1" customWidth="1"/>
    <col min="5741" max="5745" width="0" style="2862" hidden="1" customWidth="1"/>
    <col min="5746" max="5773" width="10.85546875" style="2862" customWidth="1"/>
    <col min="5774" max="5777" width="11.7109375" style="2862" customWidth="1"/>
    <col min="5778" max="5888" width="30.42578125" style="2862"/>
    <col min="5889" max="5889" width="34" style="2862" customWidth="1"/>
    <col min="5890" max="5991" width="0" style="2862" hidden="1" customWidth="1"/>
    <col min="5992" max="5995" width="10.28515625" style="2862" bestFit="1" customWidth="1"/>
    <col min="5996" max="5996" width="10.42578125" style="2862" bestFit="1" customWidth="1"/>
    <col min="5997" max="6001" width="0" style="2862" hidden="1" customWidth="1"/>
    <col min="6002" max="6029" width="10.85546875" style="2862" customWidth="1"/>
    <col min="6030" max="6033" width="11.7109375" style="2862" customWidth="1"/>
    <col min="6034" max="6144" width="30.42578125" style="2862"/>
    <col min="6145" max="6145" width="34" style="2862" customWidth="1"/>
    <col min="6146" max="6247" width="0" style="2862" hidden="1" customWidth="1"/>
    <col min="6248" max="6251" width="10.28515625" style="2862" bestFit="1" customWidth="1"/>
    <col min="6252" max="6252" width="10.42578125" style="2862" bestFit="1" customWidth="1"/>
    <col min="6253" max="6257" width="0" style="2862" hidden="1" customWidth="1"/>
    <col min="6258" max="6285" width="10.85546875" style="2862" customWidth="1"/>
    <col min="6286" max="6289" width="11.7109375" style="2862" customWidth="1"/>
    <col min="6290" max="6400" width="30.42578125" style="2862"/>
    <col min="6401" max="6401" width="34" style="2862" customWidth="1"/>
    <col min="6402" max="6503" width="0" style="2862" hidden="1" customWidth="1"/>
    <col min="6504" max="6507" width="10.28515625" style="2862" bestFit="1" customWidth="1"/>
    <col min="6508" max="6508" width="10.42578125" style="2862" bestFit="1" customWidth="1"/>
    <col min="6509" max="6513" width="0" style="2862" hidden="1" customWidth="1"/>
    <col min="6514" max="6541" width="10.85546875" style="2862" customWidth="1"/>
    <col min="6542" max="6545" width="11.7109375" style="2862" customWidth="1"/>
    <col min="6546" max="6656" width="30.42578125" style="2862"/>
    <col min="6657" max="6657" width="34" style="2862" customWidth="1"/>
    <col min="6658" max="6759" width="0" style="2862" hidden="1" customWidth="1"/>
    <col min="6760" max="6763" width="10.28515625" style="2862" bestFit="1" customWidth="1"/>
    <col min="6764" max="6764" width="10.42578125" style="2862" bestFit="1" customWidth="1"/>
    <col min="6765" max="6769" width="0" style="2862" hidden="1" customWidth="1"/>
    <col min="6770" max="6797" width="10.85546875" style="2862" customWidth="1"/>
    <col min="6798" max="6801" width="11.7109375" style="2862" customWidth="1"/>
    <col min="6802" max="6912" width="30.42578125" style="2862"/>
    <col min="6913" max="6913" width="34" style="2862" customWidth="1"/>
    <col min="6914" max="7015" width="0" style="2862" hidden="1" customWidth="1"/>
    <col min="7016" max="7019" width="10.28515625" style="2862" bestFit="1" customWidth="1"/>
    <col min="7020" max="7020" width="10.42578125" style="2862" bestFit="1" customWidth="1"/>
    <col min="7021" max="7025" width="0" style="2862" hidden="1" customWidth="1"/>
    <col min="7026" max="7053" width="10.85546875" style="2862" customWidth="1"/>
    <col min="7054" max="7057" width="11.7109375" style="2862" customWidth="1"/>
    <col min="7058" max="7168" width="30.42578125" style="2862"/>
    <col min="7169" max="7169" width="34" style="2862" customWidth="1"/>
    <col min="7170" max="7271" width="0" style="2862" hidden="1" customWidth="1"/>
    <col min="7272" max="7275" width="10.28515625" style="2862" bestFit="1" customWidth="1"/>
    <col min="7276" max="7276" width="10.42578125" style="2862" bestFit="1" customWidth="1"/>
    <col min="7277" max="7281" width="0" style="2862" hidden="1" customWidth="1"/>
    <col min="7282" max="7309" width="10.85546875" style="2862" customWidth="1"/>
    <col min="7310" max="7313" width="11.7109375" style="2862" customWidth="1"/>
    <col min="7314" max="7424" width="30.42578125" style="2862"/>
    <col min="7425" max="7425" width="34" style="2862" customWidth="1"/>
    <col min="7426" max="7527" width="0" style="2862" hidden="1" customWidth="1"/>
    <col min="7528" max="7531" width="10.28515625" style="2862" bestFit="1" customWidth="1"/>
    <col min="7532" max="7532" width="10.42578125" style="2862" bestFit="1" customWidth="1"/>
    <col min="7533" max="7537" width="0" style="2862" hidden="1" customWidth="1"/>
    <col min="7538" max="7565" width="10.85546875" style="2862" customWidth="1"/>
    <col min="7566" max="7569" width="11.7109375" style="2862" customWidth="1"/>
    <col min="7570" max="7680" width="30.42578125" style="2862"/>
    <col min="7681" max="7681" width="34" style="2862" customWidth="1"/>
    <col min="7682" max="7783" width="0" style="2862" hidden="1" customWidth="1"/>
    <col min="7784" max="7787" width="10.28515625" style="2862" bestFit="1" customWidth="1"/>
    <col min="7788" max="7788" width="10.42578125" style="2862" bestFit="1" customWidth="1"/>
    <col min="7789" max="7793" width="0" style="2862" hidden="1" customWidth="1"/>
    <col min="7794" max="7821" width="10.85546875" style="2862" customWidth="1"/>
    <col min="7822" max="7825" width="11.7109375" style="2862" customWidth="1"/>
    <col min="7826" max="7936" width="30.42578125" style="2862"/>
    <col min="7937" max="7937" width="34" style="2862" customWidth="1"/>
    <col min="7938" max="8039" width="0" style="2862" hidden="1" customWidth="1"/>
    <col min="8040" max="8043" width="10.28515625" style="2862" bestFit="1" customWidth="1"/>
    <col min="8044" max="8044" width="10.42578125" style="2862" bestFit="1" customWidth="1"/>
    <col min="8045" max="8049" width="0" style="2862" hidden="1" customWidth="1"/>
    <col min="8050" max="8077" width="10.85546875" style="2862" customWidth="1"/>
    <col min="8078" max="8081" width="11.7109375" style="2862" customWidth="1"/>
    <col min="8082" max="8192" width="30.42578125" style="2862"/>
    <col min="8193" max="8193" width="34" style="2862" customWidth="1"/>
    <col min="8194" max="8295" width="0" style="2862" hidden="1" customWidth="1"/>
    <col min="8296" max="8299" width="10.28515625" style="2862" bestFit="1" customWidth="1"/>
    <col min="8300" max="8300" width="10.42578125" style="2862" bestFit="1" customWidth="1"/>
    <col min="8301" max="8305" width="0" style="2862" hidden="1" customWidth="1"/>
    <col min="8306" max="8333" width="10.85546875" style="2862" customWidth="1"/>
    <col min="8334" max="8337" width="11.7109375" style="2862" customWidth="1"/>
    <col min="8338" max="8448" width="30.42578125" style="2862"/>
    <col min="8449" max="8449" width="34" style="2862" customWidth="1"/>
    <col min="8450" max="8551" width="0" style="2862" hidden="1" customWidth="1"/>
    <col min="8552" max="8555" width="10.28515625" style="2862" bestFit="1" customWidth="1"/>
    <col min="8556" max="8556" width="10.42578125" style="2862" bestFit="1" customWidth="1"/>
    <col min="8557" max="8561" width="0" style="2862" hidden="1" customWidth="1"/>
    <col min="8562" max="8589" width="10.85546875" style="2862" customWidth="1"/>
    <col min="8590" max="8593" width="11.7109375" style="2862" customWidth="1"/>
    <col min="8594" max="8704" width="30.42578125" style="2862"/>
    <col min="8705" max="8705" width="34" style="2862" customWidth="1"/>
    <col min="8706" max="8807" width="0" style="2862" hidden="1" customWidth="1"/>
    <col min="8808" max="8811" width="10.28515625" style="2862" bestFit="1" customWidth="1"/>
    <col min="8812" max="8812" width="10.42578125" style="2862" bestFit="1" customWidth="1"/>
    <col min="8813" max="8817" width="0" style="2862" hidden="1" customWidth="1"/>
    <col min="8818" max="8845" width="10.85546875" style="2862" customWidth="1"/>
    <col min="8846" max="8849" width="11.7109375" style="2862" customWidth="1"/>
    <col min="8850" max="8960" width="30.42578125" style="2862"/>
    <col min="8961" max="8961" width="34" style="2862" customWidth="1"/>
    <col min="8962" max="9063" width="0" style="2862" hidden="1" customWidth="1"/>
    <col min="9064" max="9067" width="10.28515625" style="2862" bestFit="1" customWidth="1"/>
    <col min="9068" max="9068" width="10.42578125" style="2862" bestFit="1" customWidth="1"/>
    <col min="9069" max="9073" width="0" style="2862" hidden="1" customWidth="1"/>
    <col min="9074" max="9101" width="10.85546875" style="2862" customWidth="1"/>
    <col min="9102" max="9105" width="11.7109375" style="2862" customWidth="1"/>
    <col min="9106" max="9216" width="30.42578125" style="2862"/>
    <col min="9217" max="9217" width="34" style="2862" customWidth="1"/>
    <col min="9218" max="9319" width="0" style="2862" hidden="1" customWidth="1"/>
    <col min="9320" max="9323" width="10.28515625" style="2862" bestFit="1" customWidth="1"/>
    <col min="9324" max="9324" width="10.42578125" style="2862" bestFit="1" customWidth="1"/>
    <col min="9325" max="9329" width="0" style="2862" hidden="1" customWidth="1"/>
    <col min="9330" max="9357" width="10.85546875" style="2862" customWidth="1"/>
    <col min="9358" max="9361" width="11.7109375" style="2862" customWidth="1"/>
    <col min="9362" max="9472" width="30.42578125" style="2862"/>
    <col min="9473" max="9473" width="34" style="2862" customWidth="1"/>
    <col min="9474" max="9575" width="0" style="2862" hidden="1" customWidth="1"/>
    <col min="9576" max="9579" width="10.28515625" style="2862" bestFit="1" customWidth="1"/>
    <col min="9580" max="9580" width="10.42578125" style="2862" bestFit="1" customWidth="1"/>
    <col min="9581" max="9585" width="0" style="2862" hidden="1" customWidth="1"/>
    <col min="9586" max="9613" width="10.85546875" style="2862" customWidth="1"/>
    <col min="9614" max="9617" width="11.7109375" style="2862" customWidth="1"/>
    <col min="9618" max="9728" width="30.42578125" style="2862"/>
    <col min="9729" max="9729" width="34" style="2862" customWidth="1"/>
    <col min="9730" max="9831" width="0" style="2862" hidden="1" customWidth="1"/>
    <col min="9832" max="9835" width="10.28515625" style="2862" bestFit="1" customWidth="1"/>
    <col min="9836" max="9836" width="10.42578125" style="2862" bestFit="1" customWidth="1"/>
    <col min="9837" max="9841" width="0" style="2862" hidden="1" customWidth="1"/>
    <col min="9842" max="9869" width="10.85546875" style="2862" customWidth="1"/>
    <col min="9870" max="9873" width="11.7109375" style="2862" customWidth="1"/>
    <col min="9874" max="9984" width="30.42578125" style="2862"/>
    <col min="9985" max="9985" width="34" style="2862" customWidth="1"/>
    <col min="9986" max="10087" width="0" style="2862" hidden="1" customWidth="1"/>
    <col min="10088" max="10091" width="10.28515625" style="2862" bestFit="1" customWidth="1"/>
    <col min="10092" max="10092" width="10.42578125" style="2862" bestFit="1" customWidth="1"/>
    <col min="10093" max="10097" width="0" style="2862" hidden="1" customWidth="1"/>
    <col min="10098" max="10125" width="10.85546875" style="2862" customWidth="1"/>
    <col min="10126" max="10129" width="11.7109375" style="2862" customWidth="1"/>
    <col min="10130" max="10240" width="30.42578125" style="2862"/>
    <col min="10241" max="10241" width="34" style="2862" customWidth="1"/>
    <col min="10242" max="10343" width="0" style="2862" hidden="1" customWidth="1"/>
    <col min="10344" max="10347" width="10.28515625" style="2862" bestFit="1" customWidth="1"/>
    <col min="10348" max="10348" width="10.42578125" style="2862" bestFit="1" customWidth="1"/>
    <col min="10349" max="10353" width="0" style="2862" hidden="1" customWidth="1"/>
    <col min="10354" max="10381" width="10.85546875" style="2862" customWidth="1"/>
    <col min="10382" max="10385" width="11.7109375" style="2862" customWidth="1"/>
    <col min="10386" max="10496" width="30.42578125" style="2862"/>
    <col min="10497" max="10497" width="34" style="2862" customWidth="1"/>
    <col min="10498" max="10599" width="0" style="2862" hidden="1" customWidth="1"/>
    <col min="10600" max="10603" width="10.28515625" style="2862" bestFit="1" customWidth="1"/>
    <col min="10604" max="10604" width="10.42578125" style="2862" bestFit="1" customWidth="1"/>
    <col min="10605" max="10609" width="0" style="2862" hidden="1" customWidth="1"/>
    <col min="10610" max="10637" width="10.85546875" style="2862" customWidth="1"/>
    <col min="10638" max="10641" width="11.7109375" style="2862" customWidth="1"/>
    <col min="10642" max="10752" width="30.42578125" style="2862"/>
    <col min="10753" max="10753" width="34" style="2862" customWidth="1"/>
    <col min="10754" max="10855" width="0" style="2862" hidden="1" customWidth="1"/>
    <col min="10856" max="10859" width="10.28515625" style="2862" bestFit="1" customWidth="1"/>
    <col min="10860" max="10860" width="10.42578125" style="2862" bestFit="1" customWidth="1"/>
    <col min="10861" max="10865" width="0" style="2862" hidden="1" customWidth="1"/>
    <col min="10866" max="10893" width="10.85546875" style="2862" customWidth="1"/>
    <col min="10894" max="10897" width="11.7109375" style="2862" customWidth="1"/>
    <col min="10898" max="11008" width="30.42578125" style="2862"/>
    <col min="11009" max="11009" width="34" style="2862" customWidth="1"/>
    <col min="11010" max="11111" width="0" style="2862" hidden="1" customWidth="1"/>
    <col min="11112" max="11115" width="10.28515625" style="2862" bestFit="1" customWidth="1"/>
    <col min="11116" max="11116" width="10.42578125" style="2862" bestFit="1" customWidth="1"/>
    <col min="11117" max="11121" width="0" style="2862" hidden="1" customWidth="1"/>
    <col min="11122" max="11149" width="10.85546875" style="2862" customWidth="1"/>
    <col min="11150" max="11153" width="11.7109375" style="2862" customWidth="1"/>
    <col min="11154" max="11264" width="30.42578125" style="2862"/>
    <col min="11265" max="11265" width="34" style="2862" customWidth="1"/>
    <col min="11266" max="11367" width="0" style="2862" hidden="1" customWidth="1"/>
    <col min="11368" max="11371" width="10.28515625" style="2862" bestFit="1" customWidth="1"/>
    <col min="11372" max="11372" width="10.42578125" style="2862" bestFit="1" customWidth="1"/>
    <col min="11373" max="11377" width="0" style="2862" hidden="1" customWidth="1"/>
    <col min="11378" max="11405" width="10.85546875" style="2862" customWidth="1"/>
    <col min="11406" max="11409" width="11.7109375" style="2862" customWidth="1"/>
    <col min="11410" max="11520" width="30.42578125" style="2862"/>
    <col min="11521" max="11521" width="34" style="2862" customWidth="1"/>
    <col min="11522" max="11623" width="0" style="2862" hidden="1" customWidth="1"/>
    <col min="11624" max="11627" width="10.28515625" style="2862" bestFit="1" customWidth="1"/>
    <col min="11628" max="11628" width="10.42578125" style="2862" bestFit="1" customWidth="1"/>
    <col min="11629" max="11633" width="0" style="2862" hidden="1" customWidth="1"/>
    <col min="11634" max="11661" width="10.85546875" style="2862" customWidth="1"/>
    <col min="11662" max="11665" width="11.7109375" style="2862" customWidth="1"/>
    <col min="11666" max="11776" width="30.42578125" style="2862"/>
    <col min="11777" max="11777" width="34" style="2862" customWidth="1"/>
    <col min="11778" max="11879" width="0" style="2862" hidden="1" customWidth="1"/>
    <col min="11880" max="11883" width="10.28515625" style="2862" bestFit="1" customWidth="1"/>
    <col min="11884" max="11884" width="10.42578125" style="2862" bestFit="1" customWidth="1"/>
    <col min="11885" max="11889" width="0" style="2862" hidden="1" customWidth="1"/>
    <col min="11890" max="11917" width="10.85546875" style="2862" customWidth="1"/>
    <col min="11918" max="11921" width="11.7109375" style="2862" customWidth="1"/>
    <col min="11922" max="12032" width="30.42578125" style="2862"/>
    <col min="12033" max="12033" width="34" style="2862" customWidth="1"/>
    <col min="12034" max="12135" width="0" style="2862" hidden="1" customWidth="1"/>
    <col min="12136" max="12139" width="10.28515625" style="2862" bestFit="1" customWidth="1"/>
    <col min="12140" max="12140" width="10.42578125" style="2862" bestFit="1" customWidth="1"/>
    <col min="12141" max="12145" width="0" style="2862" hidden="1" customWidth="1"/>
    <col min="12146" max="12173" width="10.85546875" style="2862" customWidth="1"/>
    <col min="12174" max="12177" width="11.7109375" style="2862" customWidth="1"/>
    <col min="12178" max="12288" width="30.42578125" style="2862"/>
    <col min="12289" max="12289" width="34" style="2862" customWidth="1"/>
    <col min="12290" max="12391" width="0" style="2862" hidden="1" customWidth="1"/>
    <col min="12392" max="12395" width="10.28515625" style="2862" bestFit="1" customWidth="1"/>
    <col min="12396" max="12396" width="10.42578125" style="2862" bestFit="1" customWidth="1"/>
    <col min="12397" max="12401" width="0" style="2862" hidden="1" customWidth="1"/>
    <col min="12402" max="12429" width="10.85546875" style="2862" customWidth="1"/>
    <col min="12430" max="12433" width="11.7109375" style="2862" customWidth="1"/>
    <col min="12434" max="12544" width="30.42578125" style="2862"/>
    <col min="12545" max="12545" width="34" style="2862" customWidth="1"/>
    <col min="12546" max="12647" width="0" style="2862" hidden="1" customWidth="1"/>
    <col min="12648" max="12651" width="10.28515625" style="2862" bestFit="1" customWidth="1"/>
    <col min="12652" max="12652" width="10.42578125" style="2862" bestFit="1" customWidth="1"/>
    <col min="12653" max="12657" width="0" style="2862" hidden="1" customWidth="1"/>
    <col min="12658" max="12685" width="10.85546875" style="2862" customWidth="1"/>
    <col min="12686" max="12689" width="11.7109375" style="2862" customWidth="1"/>
    <col min="12690" max="12800" width="30.42578125" style="2862"/>
    <col min="12801" max="12801" width="34" style="2862" customWidth="1"/>
    <col min="12802" max="12903" width="0" style="2862" hidden="1" customWidth="1"/>
    <col min="12904" max="12907" width="10.28515625" style="2862" bestFit="1" customWidth="1"/>
    <col min="12908" max="12908" width="10.42578125" style="2862" bestFit="1" customWidth="1"/>
    <col min="12909" max="12913" width="0" style="2862" hidden="1" customWidth="1"/>
    <col min="12914" max="12941" width="10.85546875" style="2862" customWidth="1"/>
    <col min="12942" max="12945" width="11.7109375" style="2862" customWidth="1"/>
    <col min="12946" max="13056" width="30.42578125" style="2862"/>
    <col min="13057" max="13057" width="34" style="2862" customWidth="1"/>
    <col min="13058" max="13159" width="0" style="2862" hidden="1" customWidth="1"/>
    <col min="13160" max="13163" width="10.28515625" style="2862" bestFit="1" customWidth="1"/>
    <col min="13164" max="13164" width="10.42578125" style="2862" bestFit="1" customWidth="1"/>
    <col min="13165" max="13169" width="0" style="2862" hidden="1" customWidth="1"/>
    <col min="13170" max="13197" width="10.85546875" style="2862" customWidth="1"/>
    <col min="13198" max="13201" width="11.7109375" style="2862" customWidth="1"/>
    <col min="13202" max="13312" width="30.42578125" style="2862"/>
    <col min="13313" max="13313" width="34" style="2862" customWidth="1"/>
    <col min="13314" max="13415" width="0" style="2862" hidden="1" customWidth="1"/>
    <col min="13416" max="13419" width="10.28515625" style="2862" bestFit="1" customWidth="1"/>
    <col min="13420" max="13420" width="10.42578125" style="2862" bestFit="1" customWidth="1"/>
    <col min="13421" max="13425" width="0" style="2862" hidden="1" customWidth="1"/>
    <col min="13426" max="13453" width="10.85546875" style="2862" customWidth="1"/>
    <col min="13454" max="13457" width="11.7109375" style="2862" customWidth="1"/>
    <col min="13458" max="13568" width="30.42578125" style="2862"/>
    <col min="13569" max="13569" width="34" style="2862" customWidth="1"/>
    <col min="13570" max="13671" width="0" style="2862" hidden="1" customWidth="1"/>
    <col min="13672" max="13675" width="10.28515625" style="2862" bestFit="1" customWidth="1"/>
    <col min="13676" max="13676" width="10.42578125" style="2862" bestFit="1" customWidth="1"/>
    <col min="13677" max="13681" width="0" style="2862" hidden="1" customWidth="1"/>
    <col min="13682" max="13709" width="10.85546875" style="2862" customWidth="1"/>
    <col min="13710" max="13713" width="11.7109375" style="2862" customWidth="1"/>
    <col min="13714" max="13824" width="30.42578125" style="2862"/>
    <col min="13825" max="13825" width="34" style="2862" customWidth="1"/>
    <col min="13826" max="13927" width="0" style="2862" hidden="1" customWidth="1"/>
    <col min="13928" max="13931" width="10.28515625" style="2862" bestFit="1" customWidth="1"/>
    <col min="13932" max="13932" width="10.42578125" style="2862" bestFit="1" customWidth="1"/>
    <col min="13933" max="13937" width="0" style="2862" hidden="1" customWidth="1"/>
    <col min="13938" max="13965" width="10.85546875" style="2862" customWidth="1"/>
    <col min="13966" max="13969" width="11.7109375" style="2862" customWidth="1"/>
    <col min="13970" max="14080" width="30.42578125" style="2862"/>
    <col min="14081" max="14081" width="34" style="2862" customWidth="1"/>
    <col min="14082" max="14183" width="0" style="2862" hidden="1" customWidth="1"/>
    <col min="14184" max="14187" width="10.28515625" style="2862" bestFit="1" customWidth="1"/>
    <col min="14188" max="14188" width="10.42578125" style="2862" bestFit="1" customWidth="1"/>
    <col min="14189" max="14193" width="0" style="2862" hidden="1" customWidth="1"/>
    <col min="14194" max="14221" width="10.85546875" style="2862" customWidth="1"/>
    <col min="14222" max="14225" width="11.7109375" style="2862" customWidth="1"/>
    <col min="14226" max="14336" width="30.42578125" style="2862"/>
    <col min="14337" max="14337" width="34" style="2862" customWidth="1"/>
    <col min="14338" max="14439" width="0" style="2862" hidden="1" customWidth="1"/>
    <col min="14440" max="14443" width="10.28515625" style="2862" bestFit="1" customWidth="1"/>
    <col min="14444" max="14444" width="10.42578125" style="2862" bestFit="1" customWidth="1"/>
    <col min="14445" max="14449" width="0" style="2862" hidden="1" customWidth="1"/>
    <col min="14450" max="14477" width="10.85546875" style="2862" customWidth="1"/>
    <col min="14478" max="14481" width="11.7109375" style="2862" customWidth="1"/>
    <col min="14482" max="14592" width="30.42578125" style="2862"/>
    <col min="14593" max="14593" width="34" style="2862" customWidth="1"/>
    <col min="14594" max="14695" width="0" style="2862" hidden="1" customWidth="1"/>
    <col min="14696" max="14699" width="10.28515625" style="2862" bestFit="1" customWidth="1"/>
    <col min="14700" max="14700" width="10.42578125" style="2862" bestFit="1" customWidth="1"/>
    <col min="14701" max="14705" width="0" style="2862" hidden="1" customWidth="1"/>
    <col min="14706" max="14733" width="10.85546875" style="2862" customWidth="1"/>
    <col min="14734" max="14737" width="11.7109375" style="2862" customWidth="1"/>
    <col min="14738" max="14848" width="30.42578125" style="2862"/>
    <col min="14849" max="14849" width="34" style="2862" customWidth="1"/>
    <col min="14850" max="14951" width="0" style="2862" hidden="1" customWidth="1"/>
    <col min="14952" max="14955" width="10.28515625" style="2862" bestFit="1" customWidth="1"/>
    <col min="14956" max="14956" width="10.42578125" style="2862" bestFit="1" customWidth="1"/>
    <col min="14957" max="14961" width="0" style="2862" hidden="1" customWidth="1"/>
    <col min="14962" max="14989" width="10.85546875" style="2862" customWidth="1"/>
    <col min="14990" max="14993" width="11.7109375" style="2862" customWidth="1"/>
    <col min="14994" max="15104" width="30.42578125" style="2862"/>
    <col min="15105" max="15105" width="34" style="2862" customWidth="1"/>
    <col min="15106" max="15207" width="0" style="2862" hidden="1" customWidth="1"/>
    <col min="15208" max="15211" width="10.28515625" style="2862" bestFit="1" customWidth="1"/>
    <col min="15212" max="15212" width="10.42578125" style="2862" bestFit="1" customWidth="1"/>
    <col min="15213" max="15217" width="0" style="2862" hidden="1" customWidth="1"/>
    <col min="15218" max="15245" width="10.85546875" style="2862" customWidth="1"/>
    <col min="15246" max="15249" width="11.7109375" style="2862" customWidth="1"/>
    <col min="15250" max="15360" width="30.42578125" style="2862"/>
    <col min="15361" max="15361" width="34" style="2862" customWidth="1"/>
    <col min="15362" max="15463" width="0" style="2862" hidden="1" customWidth="1"/>
    <col min="15464" max="15467" width="10.28515625" style="2862" bestFit="1" customWidth="1"/>
    <col min="15468" max="15468" width="10.42578125" style="2862" bestFit="1" customWidth="1"/>
    <col min="15469" max="15473" width="0" style="2862" hidden="1" customWidth="1"/>
    <col min="15474" max="15501" width="10.85546875" style="2862" customWidth="1"/>
    <col min="15502" max="15505" width="11.7109375" style="2862" customWidth="1"/>
    <col min="15506" max="15616" width="30.42578125" style="2862"/>
    <col min="15617" max="15617" width="34" style="2862" customWidth="1"/>
    <col min="15618" max="15719" width="0" style="2862" hidden="1" customWidth="1"/>
    <col min="15720" max="15723" width="10.28515625" style="2862" bestFit="1" customWidth="1"/>
    <col min="15724" max="15724" width="10.42578125" style="2862" bestFit="1" customWidth="1"/>
    <col min="15725" max="15729" width="0" style="2862" hidden="1" customWidth="1"/>
    <col min="15730" max="15757" width="10.85546875" style="2862" customWidth="1"/>
    <col min="15758" max="15761" width="11.7109375" style="2862" customWidth="1"/>
    <col min="15762" max="15872" width="30.42578125" style="2862"/>
    <col min="15873" max="15873" width="34" style="2862" customWidth="1"/>
    <col min="15874" max="15975" width="0" style="2862" hidden="1" customWidth="1"/>
    <col min="15976" max="15979" width="10.28515625" style="2862" bestFit="1" customWidth="1"/>
    <col min="15980" max="15980" width="10.42578125" style="2862" bestFit="1" customWidth="1"/>
    <col min="15981" max="15985" width="0" style="2862" hidden="1" customWidth="1"/>
    <col min="15986" max="16013" width="10.85546875" style="2862" customWidth="1"/>
    <col min="16014" max="16017" width="11.7109375" style="2862" customWidth="1"/>
    <col min="16018" max="16128" width="30.42578125" style="2862"/>
    <col min="16129" max="16129" width="34" style="2862" customWidth="1"/>
    <col min="16130" max="16231" width="0" style="2862" hidden="1" customWidth="1"/>
    <col min="16232" max="16235" width="10.28515625" style="2862" bestFit="1" customWidth="1"/>
    <col min="16236" max="16236" width="10.42578125" style="2862" bestFit="1" customWidth="1"/>
    <col min="16237" max="16241" width="0" style="2862" hidden="1" customWidth="1"/>
    <col min="16242" max="16269" width="10.85546875" style="2862" customWidth="1"/>
    <col min="16270" max="16273" width="11.7109375" style="2862" customWidth="1"/>
    <col min="16274" max="16384" width="30.42578125" style="2862"/>
  </cols>
  <sheetData>
    <row r="1" spans="1:145" s="2859" customFormat="1" ht="23.25">
      <c r="A1" s="2858" t="s">
        <v>3658</v>
      </c>
      <c r="E1" s="2860"/>
    </row>
    <row r="2" spans="1:145" ht="13.5" thickBot="1"/>
    <row r="3" spans="1:145" s="2871" customFormat="1">
      <c r="A3" s="2864"/>
      <c r="B3" s="2865">
        <v>36069</v>
      </c>
      <c r="C3" s="2865">
        <v>36100</v>
      </c>
      <c r="D3" s="2865">
        <v>36161</v>
      </c>
      <c r="E3" s="2865">
        <v>36192</v>
      </c>
      <c r="F3" s="2866">
        <v>36312</v>
      </c>
      <c r="G3" s="2866">
        <v>36342</v>
      </c>
      <c r="H3" s="2866">
        <v>36373</v>
      </c>
      <c r="I3" s="2866">
        <v>36404</v>
      </c>
      <c r="J3" s="2866">
        <v>36434</v>
      </c>
      <c r="K3" s="2866">
        <v>36465</v>
      </c>
      <c r="L3" s="2866">
        <v>36495</v>
      </c>
      <c r="M3" s="2866">
        <v>36526</v>
      </c>
      <c r="N3" s="2866">
        <v>36557</v>
      </c>
      <c r="O3" s="2866">
        <v>36586</v>
      </c>
      <c r="P3" s="2866">
        <v>36617</v>
      </c>
      <c r="Q3" s="2866">
        <v>36647</v>
      </c>
      <c r="R3" s="2866">
        <v>36678</v>
      </c>
      <c r="S3" s="2866">
        <v>36708</v>
      </c>
      <c r="T3" s="2866">
        <v>36739</v>
      </c>
      <c r="U3" s="2866">
        <v>36770</v>
      </c>
      <c r="V3" s="2866">
        <v>36800</v>
      </c>
      <c r="W3" s="2866">
        <v>36831</v>
      </c>
      <c r="X3" s="2866">
        <v>36861</v>
      </c>
      <c r="Y3" s="2866">
        <v>36892</v>
      </c>
      <c r="Z3" s="2866">
        <v>36923</v>
      </c>
      <c r="AA3" s="2866">
        <v>36951</v>
      </c>
      <c r="AB3" s="2866">
        <v>36982</v>
      </c>
      <c r="AC3" s="2866">
        <v>37012</v>
      </c>
      <c r="AD3" s="2866">
        <v>37043</v>
      </c>
      <c r="AE3" s="2866">
        <v>37073</v>
      </c>
      <c r="AF3" s="2866">
        <v>37104</v>
      </c>
      <c r="AG3" s="2866">
        <v>37135</v>
      </c>
      <c r="AH3" s="2866">
        <v>37165</v>
      </c>
      <c r="AI3" s="2866">
        <v>37196</v>
      </c>
      <c r="AJ3" s="2866">
        <v>37226</v>
      </c>
      <c r="AK3" s="2866">
        <v>37257</v>
      </c>
      <c r="AL3" s="2866">
        <v>37288</v>
      </c>
      <c r="AM3" s="2866" t="s">
        <v>3659</v>
      </c>
      <c r="AN3" s="2866" t="s">
        <v>3660</v>
      </c>
      <c r="AO3" s="2866" t="s">
        <v>3661</v>
      </c>
      <c r="AP3" s="2866" t="s">
        <v>3662</v>
      </c>
      <c r="AQ3" s="2866">
        <v>37438</v>
      </c>
      <c r="AR3" s="2866">
        <v>37469</v>
      </c>
      <c r="AS3" s="2866">
        <v>37500</v>
      </c>
      <c r="AT3" s="2866">
        <v>37530</v>
      </c>
      <c r="AU3" s="2866">
        <v>37561</v>
      </c>
      <c r="AV3" s="2866">
        <v>37591</v>
      </c>
      <c r="AW3" s="2866">
        <v>37622</v>
      </c>
      <c r="AX3" s="2866">
        <v>37655</v>
      </c>
      <c r="AY3" s="2866">
        <v>37681</v>
      </c>
      <c r="AZ3" s="2866">
        <v>37712</v>
      </c>
      <c r="BA3" s="2866">
        <v>37742</v>
      </c>
      <c r="BB3" s="2866">
        <v>37773</v>
      </c>
      <c r="BC3" s="2866">
        <v>37803</v>
      </c>
      <c r="BD3" s="2866">
        <v>37834</v>
      </c>
      <c r="BE3" s="2866">
        <v>37865</v>
      </c>
      <c r="BF3" s="2866">
        <v>37895</v>
      </c>
      <c r="BG3" s="2866">
        <v>37926</v>
      </c>
      <c r="BH3" s="2866">
        <v>37956</v>
      </c>
      <c r="BI3" s="2866">
        <v>37987</v>
      </c>
      <c r="BJ3" s="2866">
        <v>38018</v>
      </c>
      <c r="BK3" s="2866">
        <v>38047</v>
      </c>
      <c r="BL3" s="2866">
        <v>38078</v>
      </c>
      <c r="BM3" s="2867">
        <v>38108</v>
      </c>
      <c r="BN3" s="2866">
        <v>38139</v>
      </c>
      <c r="BO3" s="2868">
        <v>86194</v>
      </c>
      <c r="BP3" s="2869">
        <v>38687</v>
      </c>
      <c r="BQ3" s="2868">
        <v>86194</v>
      </c>
      <c r="BR3" s="2868">
        <v>86194</v>
      </c>
      <c r="BS3" s="2868">
        <v>86194</v>
      </c>
      <c r="BT3" s="2869">
        <v>38322</v>
      </c>
      <c r="BU3" s="2868">
        <v>86194</v>
      </c>
      <c r="BV3" s="2868">
        <v>86194</v>
      </c>
      <c r="BW3" s="2868">
        <v>86194</v>
      </c>
      <c r="BX3" s="2868">
        <v>86194</v>
      </c>
      <c r="BY3" s="2868">
        <v>86194</v>
      </c>
      <c r="BZ3" s="2866">
        <v>38504</v>
      </c>
      <c r="CA3" s="2868">
        <v>86194</v>
      </c>
      <c r="CB3" s="2869">
        <v>38687</v>
      </c>
      <c r="CC3" s="2866"/>
      <c r="CD3" s="2866"/>
      <c r="CE3" s="2866"/>
      <c r="CF3" s="2866"/>
      <c r="CG3" s="2866"/>
      <c r="CH3" s="2866">
        <v>38869</v>
      </c>
      <c r="CI3" s="2866"/>
      <c r="CJ3" s="2866"/>
      <c r="CK3" s="2866"/>
      <c r="CL3" s="2866"/>
      <c r="CM3" s="2866"/>
      <c r="CN3" s="2866">
        <v>39052</v>
      </c>
      <c r="CO3" s="2866"/>
      <c r="CP3" s="2866"/>
      <c r="CQ3" s="2866"/>
      <c r="CR3" s="2866"/>
      <c r="CS3" s="2866"/>
      <c r="CT3" s="2866">
        <v>39234</v>
      </c>
      <c r="CU3" s="2866"/>
      <c r="CV3" s="2866"/>
      <c r="CW3" s="2866"/>
      <c r="CX3" s="2866"/>
      <c r="CY3" s="2866"/>
      <c r="CZ3" s="2866">
        <v>39417</v>
      </c>
      <c r="DA3" s="2866">
        <v>39600</v>
      </c>
      <c r="DB3" s="2866">
        <v>39783</v>
      </c>
      <c r="DC3" s="2867">
        <v>39965</v>
      </c>
      <c r="DD3" s="2870">
        <v>40149</v>
      </c>
      <c r="DE3" s="2870">
        <v>40179</v>
      </c>
      <c r="DF3" s="2870">
        <v>40210</v>
      </c>
      <c r="DG3" s="2870">
        <v>40238</v>
      </c>
      <c r="DH3" s="2870">
        <v>40269</v>
      </c>
      <c r="DI3" s="2870">
        <v>40299</v>
      </c>
      <c r="DJ3" s="2870">
        <v>40330</v>
      </c>
      <c r="DK3" s="2870">
        <v>40360</v>
      </c>
      <c r="DL3" s="2870">
        <v>40391</v>
      </c>
      <c r="DM3" s="2870">
        <v>40422</v>
      </c>
      <c r="DN3" s="2870">
        <v>40461</v>
      </c>
      <c r="DO3" s="2870">
        <v>40493</v>
      </c>
      <c r="DP3" s="2870">
        <v>40524</v>
      </c>
      <c r="DQ3" s="2870">
        <v>40544</v>
      </c>
      <c r="DR3" s="2870">
        <v>40576</v>
      </c>
      <c r="DS3" s="2870">
        <v>40605</v>
      </c>
      <c r="DT3" s="2870">
        <v>40637</v>
      </c>
      <c r="DU3" s="2870">
        <v>40668</v>
      </c>
      <c r="DV3" s="2870">
        <v>40700</v>
      </c>
      <c r="DW3" s="2870">
        <v>40731</v>
      </c>
      <c r="DX3" s="2870">
        <v>40763</v>
      </c>
      <c r="DY3" s="2870">
        <v>40795</v>
      </c>
      <c r="DZ3" s="2870">
        <v>40826</v>
      </c>
      <c r="EA3" s="2870">
        <v>40858</v>
      </c>
      <c r="EB3" s="2870">
        <v>40878</v>
      </c>
      <c r="EC3" s="2870">
        <v>40910</v>
      </c>
      <c r="ED3" s="2870">
        <v>40941</v>
      </c>
      <c r="EE3" s="2870">
        <v>40971</v>
      </c>
      <c r="EF3" s="2870">
        <v>41003</v>
      </c>
      <c r="EG3" s="2870">
        <v>41034</v>
      </c>
      <c r="EH3" s="2870">
        <v>41066</v>
      </c>
      <c r="EI3" s="2870">
        <v>41097</v>
      </c>
      <c r="EJ3" s="2870">
        <v>41129</v>
      </c>
      <c r="EK3" s="2870">
        <v>41161</v>
      </c>
      <c r="EL3" s="2870">
        <v>41192</v>
      </c>
      <c r="EM3" s="2870">
        <v>41224</v>
      </c>
      <c r="EN3" s="2870">
        <v>41255</v>
      </c>
      <c r="EO3" s="2870">
        <v>41275</v>
      </c>
    </row>
    <row r="4" spans="1:145" s="2871" customFormat="1" ht="13.5" thickBot="1">
      <c r="A4" s="2872"/>
      <c r="B4" s="2873"/>
      <c r="C4" s="2873"/>
      <c r="D4" s="2873"/>
      <c r="E4" s="2874"/>
      <c r="F4" s="2875"/>
      <c r="G4" s="2875"/>
      <c r="H4" s="2875"/>
      <c r="I4" s="2875"/>
      <c r="J4" s="2875"/>
      <c r="K4" s="2875"/>
      <c r="L4" s="2875"/>
      <c r="M4" s="2875"/>
      <c r="N4" s="2875"/>
      <c r="O4" s="2875" t="s">
        <v>3663</v>
      </c>
      <c r="P4" s="2875"/>
      <c r="Q4" s="2875"/>
      <c r="R4" s="2875"/>
      <c r="S4" s="2875"/>
      <c r="T4" s="2875"/>
      <c r="U4" s="2875"/>
      <c r="V4" s="2875"/>
      <c r="W4" s="2875"/>
      <c r="X4" s="2875"/>
      <c r="Y4" s="2875"/>
      <c r="Z4" s="2875"/>
      <c r="AA4" s="2875"/>
      <c r="AB4" s="2875"/>
      <c r="AC4" s="2875"/>
      <c r="AD4" s="2875" t="s">
        <v>3663</v>
      </c>
      <c r="AE4" s="2875"/>
      <c r="AF4" s="2875"/>
      <c r="AG4" s="2875"/>
      <c r="AH4" s="2875"/>
      <c r="AI4" s="2875"/>
      <c r="AJ4" s="2875"/>
      <c r="AK4" s="2875"/>
      <c r="AL4" s="2876"/>
      <c r="AM4" s="2875"/>
      <c r="AN4" s="2876" t="s">
        <v>3663</v>
      </c>
      <c r="AO4" s="2875"/>
      <c r="AP4" s="2875"/>
      <c r="AQ4" s="2875"/>
      <c r="AR4" s="2875"/>
      <c r="AS4" s="2875"/>
      <c r="AT4" s="2875"/>
      <c r="AU4" s="2875"/>
      <c r="AV4" s="2875"/>
      <c r="AW4" s="2875"/>
      <c r="AX4" s="2875"/>
      <c r="AY4" s="2875"/>
      <c r="AZ4" s="2875"/>
      <c r="BA4" s="2875"/>
      <c r="BB4" s="2875"/>
      <c r="BC4" s="2875"/>
      <c r="BD4" s="2875"/>
      <c r="BE4" s="2875"/>
      <c r="BF4" s="2875"/>
      <c r="BG4" s="2875"/>
      <c r="BH4" s="2875"/>
      <c r="BI4" s="2875"/>
      <c r="BJ4" s="2875"/>
      <c r="BK4" s="2875"/>
      <c r="BL4" s="2875"/>
      <c r="BM4" s="2877"/>
      <c r="BN4" s="2878"/>
      <c r="BO4" s="2878"/>
      <c r="BP4" s="2878"/>
      <c r="BQ4" s="2878"/>
      <c r="BR4" s="2878"/>
      <c r="BS4" s="2878"/>
      <c r="BT4" s="2878"/>
      <c r="BU4" s="2878"/>
      <c r="BV4" s="2878"/>
      <c r="BW4" s="2878"/>
      <c r="BX4" s="2878"/>
      <c r="BY4" s="2878"/>
      <c r="BZ4" s="2878"/>
      <c r="CA4" s="2878"/>
      <c r="CB4" s="2878"/>
      <c r="CC4" s="2878"/>
      <c r="CD4" s="2878"/>
      <c r="CE4" s="2878"/>
      <c r="CF4" s="2878"/>
      <c r="CG4" s="2878"/>
      <c r="CH4" s="2878"/>
      <c r="CI4" s="2878"/>
      <c r="CJ4" s="2878"/>
      <c r="CK4" s="2878"/>
      <c r="CL4" s="2878"/>
      <c r="CM4" s="2878"/>
      <c r="CN4" s="2878"/>
      <c r="CO4" s="2878"/>
      <c r="CP4" s="2878"/>
      <c r="CQ4" s="2878"/>
      <c r="CR4" s="2878"/>
      <c r="CS4" s="2878"/>
      <c r="CT4" s="2878"/>
      <c r="CU4" s="2878"/>
      <c r="CV4" s="2878"/>
      <c r="CW4" s="2878"/>
      <c r="CX4" s="2878"/>
      <c r="CY4" s="2878"/>
      <c r="CZ4" s="2879"/>
      <c r="DA4" s="2879"/>
      <c r="DB4" s="2879"/>
      <c r="DC4" s="2879"/>
      <c r="DD4" s="2879"/>
      <c r="DE4" s="2879"/>
      <c r="DF4" s="2879"/>
      <c r="DG4" s="2879"/>
      <c r="DH4" s="2879"/>
      <c r="DI4" s="2879"/>
      <c r="DJ4" s="2879"/>
      <c r="DK4" s="2879"/>
      <c r="DL4" s="2879"/>
      <c r="DM4" s="2879"/>
      <c r="DN4" s="2879"/>
      <c r="DO4" s="2879"/>
      <c r="DP4" s="2879"/>
      <c r="DQ4" s="2879"/>
      <c r="DR4" s="2879"/>
      <c r="DS4" s="2879"/>
      <c r="DT4" s="2879"/>
      <c r="DU4" s="2879"/>
      <c r="DV4" s="2879"/>
      <c r="DW4" s="2879"/>
      <c r="DX4" s="2879"/>
      <c r="DY4" s="2879"/>
      <c r="DZ4" s="2879"/>
      <c r="EA4" s="2879"/>
      <c r="EB4" s="2879"/>
      <c r="EC4" s="2879"/>
      <c r="ED4" s="2879"/>
      <c r="EE4" s="2879"/>
      <c r="EF4" s="2879"/>
      <c r="EG4" s="2879"/>
      <c r="EH4" s="2879"/>
      <c r="EI4" s="2879"/>
      <c r="EJ4" s="2879"/>
      <c r="EK4" s="2879"/>
      <c r="EL4" s="2879"/>
      <c r="EM4" s="2879"/>
      <c r="EN4" s="2879"/>
      <c r="EO4" s="2879"/>
    </row>
    <row r="5" spans="1:145" s="2871" customFormat="1">
      <c r="A5" s="2872"/>
      <c r="B5" s="2873"/>
      <c r="C5" s="2873"/>
      <c r="D5" s="2873"/>
      <c r="E5" s="2874"/>
      <c r="F5" s="2873"/>
      <c r="G5" s="2873"/>
      <c r="H5" s="2873"/>
      <c r="I5" s="2873"/>
      <c r="J5" s="2873"/>
      <c r="K5" s="2873"/>
      <c r="L5" s="2873"/>
      <c r="M5" s="2873"/>
      <c r="N5" s="2873"/>
      <c r="O5" s="2873"/>
      <c r="P5" s="2873"/>
      <c r="Q5" s="2873"/>
      <c r="R5" s="2873"/>
      <c r="S5" s="2873"/>
      <c r="T5" s="2873"/>
      <c r="U5" s="2873"/>
      <c r="V5" s="2873"/>
      <c r="W5" s="2873"/>
      <c r="X5" s="2873"/>
      <c r="Y5" s="2873"/>
      <c r="Z5" s="2873"/>
      <c r="AA5" s="2873"/>
      <c r="AB5" s="2873"/>
      <c r="AC5" s="2873"/>
      <c r="AD5" s="2873"/>
      <c r="AE5" s="2873"/>
      <c r="AF5" s="2873"/>
      <c r="AG5" s="2873"/>
      <c r="AH5" s="2873"/>
      <c r="AI5" s="2873"/>
      <c r="AJ5" s="2873"/>
      <c r="AK5" s="2873"/>
      <c r="AL5" s="2873"/>
      <c r="AM5" s="2873"/>
      <c r="AN5" s="2873"/>
      <c r="AO5" s="2873"/>
      <c r="AP5" s="2873"/>
      <c r="AQ5" s="2873"/>
      <c r="AR5" s="2873"/>
      <c r="AS5" s="2873"/>
      <c r="AT5" s="2873"/>
      <c r="AU5" s="2873"/>
      <c r="AV5" s="2873"/>
      <c r="AW5" s="2873"/>
      <c r="AX5" s="2873"/>
      <c r="AY5" s="2873"/>
      <c r="AZ5" s="2873"/>
      <c r="BA5" s="2873"/>
      <c r="BB5" s="2873"/>
      <c r="BC5" s="2873"/>
      <c r="BD5" s="2873"/>
      <c r="BE5" s="2873"/>
      <c r="BF5" s="2873"/>
      <c r="BG5" s="2873"/>
      <c r="BH5" s="2873"/>
      <c r="BI5" s="2873"/>
      <c r="BJ5" s="2873"/>
      <c r="BK5" s="2873"/>
      <c r="BL5" s="2873"/>
      <c r="BM5" s="2880"/>
      <c r="BN5" s="2881"/>
      <c r="BO5" s="2873"/>
      <c r="BP5" s="2873"/>
      <c r="BQ5" s="2873"/>
      <c r="BR5" s="2873"/>
      <c r="BS5" s="2873"/>
      <c r="BT5" s="2873"/>
      <c r="BU5" s="2873"/>
      <c r="BV5" s="2873"/>
      <c r="BW5" s="2873"/>
      <c r="BX5" s="2873"/>
      <c r="BY5" s="2873"/>
      <c r="BZ5" s="2873"/>
      <c r="CA5" s="2873"/>
      <c r="CB5" s="2873"/>
      <c r="CC5" s="2873"/>
      <c r="CD5" s="2873"/>
      <c r="CE5" s="2873"/>
      <c r="CF5" s="2873"/>
      <c r="CG5" s="2873"/>
      <c r="CH5" s="2873"/>
      <c r="CI5" s="2873"/>
      <c r="CJ5" s="2873"/>
      <c r="CK5" s="2882"/>
      <c r="CL5" s="2880"/>
      <c r="CM5" s="2880"/>
      <c r="CN5" s="2883"/>
      <c r="CO5" s="2883"/>
      <c r="CP5" s="2883"/>
      <c r="CQ5" s="2883"/>
      <c r="CR5" s="2883"/>
      <c r="CS5" s="2883"/>
      <c r="CT5" s="2883"/>
      <c r="CU5" s="2883"/>
      <c r="CV5" s="2883"/>
      <c r="CW5" s="2884"/>
      <c r="CX5" s="2885"/>
      <c r="CY5" s="2885"/>
      <c r="CZ5" s="2886"/>
      <c r="DA5" s="2887"/>
      <c r="DB5" s="2888"/>
      <c r="DC5" s="2888"/>
      <c r="DD5" s="2889"/>
      <c r="DE5" s="2889"/>
      <c r="DF5" s="2890"/>
      <c r="DG5" s="2890"/>
      <c r="DH5" s="2891"/>
      <c r="DI5" s="2891"/>
      <c r="DJ5" s="2891"/>
      <c r="DK5" s="2891"/>
      <c r="DL5" s="2891"/>
      <c r="DM5" s="2891"/>
      <c r="DN5" s="2891"/>
      <c r="DO5" s="2891"/>
      <c r="DP5" s="2891"/>
      <c r="DQ5" s="2891"/>
      <c r="DR5" s="2891"/>
      <c r="DS5" s="2891"/>
      <c r="DT5" s="2891"/>
      <c r="DU5" s="2891"/>
      <c r="DV5" s="2891"/>
      <c r="DW5" s="2891"/>
      <c r="DX5" s="2891"/>
      <c r="DY5" s="2891"/>
      <c r="DZ5" s="2891"/>
      <c r="EA5" s="2891"/>
      <c r="EB5" s="2891"/>
      <c r="EC5" s="2891"/>
      <c r="ED5" s="2891"/>
      <c r="EE5" s="2891"/>
      <c r="EF5" s="2891"/>
      <c r="EG5" s="2891"/>
      <c r="EH5" s="2891"/>
      <c r="EI5" s="2891"/>
      <c r="EJ5" s="2891"/>
      <c r="EK5" s="2891"/>
      <c r="EL5" s="2891"/>
      <c r="EM5" s="2891"/>
      <c r="EN5" s="2891"/>
      <c r="EO5" s="2891"/>
    </row>
    <row r="6" spans="1:145">
      <c r="A6" s="2892" t="s">
        <v>3664</v>
      </c>
      <c r="B6" s="2893">
        <v>190</v>
      </c>
      <c r="C6" s="2893">
        <v>190</v>
      </c>
      <c r="D6" s="2894">
        <v>197</v>
      </c>
      <c r="E6" s="2895">
        <v>197</v>
      </c>
      <c r="F6" s="2894">
        <v>196</v>
      </c>
      <c r="G6" s="2894">
        <v>196</v>
      </c>
      <c r="H6" s="2894">
        <v>199</v>
      </c>
      <c r="I6" s="2894">
        <v>196</v>
      </c>
      <c r="J6" s="2894">
        <v>201</v>
      </c>
      <c r="K6" s="2894">
        <v>202</v>
      </c>
      <c r="L6" s="2894">
        <v>206</v>
      </c>
      <c r="M6" s="2894">
        <v>208</v>
      </c>
      <c r="N6" s="2894">
        <v>208</v>
      </c>
      <c r="O6" s="2894">
        <v>208</v>
      </c>
      <c r="P6" s="2894">
        <v>217</v>
      </c>
      <c r="Q6" s="2894">
        <v>217</v>
      </c>
      <c r="R6" s="2896">
        <v>221</v>
      </c>
      <c r="S6" s="2896">
        <v>226</v>
      </c>
      <c r="T6" s="2896">
        <v>228</v>
      </c>
      <c r="U6" s="2896">
        <v>228</v>
      </c>
      <c r="V6" s="2896">
        <v>230</v>
      </c>
      <c r="W6" s="2896">
        <v>231</v>
      </c>
      <c r="X6" s="2896">
        <v>231</v>
      </c>
      <c r="Y6" s="2896">
        <v>231</v>
      </c>
      <c r="Z6" s="2896">
        <v>231</v>
      </c>
      <c r="AA6" s="2896">
        <v>231</v>
      </c>
      <c r="AB6" s="2896">
        <v>233</v>
      </c>
      <c r="AC6" s="2896">
        <v>233</v>
      </c>
      <c r="AD6" s="2896">
        <v>234</v>
      </c>
      <c r="AE6" s="2896">
        <v>237</v>
      </c>
      <c r="AF6" s="2897">
        <v>239</v>
      </c>
      <c r="AG6" s="2897">
        <v>240</v>
      </c>
      <c r="AH6" s="2897">
        <v>241</v>
      </c>
      <c r="AI6" s="2897">
        <v>245</v>
      </c>
      <c r="AJ6" s="2897">
        <v>248</v>
      </c>
      <c r="AK6" s="2897">
        <v>248</v>
      </c>
      <c r="AL6" s="2897">
        <v>251</v>
      </c>
      <c r="AM6" s="2897">
        <v>238</v>
      </c>
      <c r="AN6" s="2897">
        <v>238</v>
      </c>
      <c r="AO6" s="2897">
        <v>238</v>
      </c>
      <c r="AP6" s="2897">
        <v>242</v>
      </c>
      <c r="AQ6" s="2897">
        <v>253</v>
      </c>
      <c r="AR6" s="2897">
        <v>254</v>
      </c>
      <c r="AS6" s="2897">
        <v>255</v>
      </c>
      <c r="AT6" s="2897">
        <v>256</v>
      </c>
      <c r="AU6" s="2897">
        <v>261</v>
      </c>
      <c r="AV6" s="2897">
        <v>261</v>
      </c>
      <c r="AW6" s="2897">
        <v>261</v>
      </c>
      <c r="AX6" s="2897">
        <v>261</v>
      </c>
      <c r="AY6" s="2897">
        <v>258</v>
      </c>
      <c r="AZ6" s="2897">
        <v>256</v>
      </c>
      <c r="BA6" s="2897">
        <v>256</v>
      </c>
      <c r="BB6" s="2897">
        <v>257</v>
      </c>
      <c r="BC6" s="2897">
        <v>259</v>
      </c>
      <c r="BD6" s="2897">
        <v>262</v>
      </c>
      <c r="BE6" s="2897">
        <v>269</v>
      </c>
      <c r="BF6" s="2897">
        <v>270</v>
      </c>
      <c r="BG6" s="2897">
        <v>270</v>
      </c>
      <c r="BH6" s="2897">
        <v>270</v>
      </c>
      <c r="BI6" s="2897">
        <v>272</v>
      </c>
      <c r="BJ6" s="2897">
        <v>272</v>
      </c>
      <c r="BK6" s="2897">
        <v>272</v>
      </c>
      <c r="BL6" s="2897">
        <v>273</v>
      </c>
      <c r="BM6" s="2898">
        <v>273</v>
      </c>
      <c r="BN6" s="2899">
        <v>273</v>
      </c>
      <c r="BO6" s="2897">
        <v>274</v>
      </c>
      <c r="BP6" s="2897">
        <v>274</v>
      </c>
      <c r="BQ6" s="2897">
        <v>278</v>
      </c>
      <c r="BR6" s="2897">
        <v>282</v>
      </c>
      <c r="BS6" s="2897">
        <v>282</v>
      </c>
      <c r="BT6" s="2897">
        <v>283</v>
      </c>
      <c r="BU6" s="2897">
        <v>281</v>
      </c>
      <c r="BV6" s="2897">
        <v>283</v>
      </c>
      <c r="BW6" s="2897">
        <v>283</v>
      </c>
      <c r="BX6" s="2897">
        <v>283</v>
      </c>
      <c r="BY6" s="2897">
        <v>284</v>
      </c>
      <c r="BZ6" s="2897">
        <v>293</v>
      </c>
      <c r="CA6" s="2897">
        <v>308</v>
      </c>
      <c r="CB6" s="2897">
        <v>313</v>
      </c>
      <c r="CC6" s="2897">
        <v>319</v>
      </c>
      <c r="CD6" s="2897">
        <v>319</v>
      </c>
      <c r="CE6" s="2897">
        <v>319</v>
      </c>
      <c r="CF6" s="2897">
        <v>319</v>
      </c>
      <c r="CG6" s="2897">
        <v>321</v>
      </c>
      <c r="CH6" s="2897">
        <v>321</v>
      </c>
      <c r="CI6" s="2897">
        <v>321</v>
      </c>
      <c r="CJ6" s="2897">
        <v>324</v>
      </c>
      <c r="CK6" s="2900">
        <v>324</v>
      </c>
      <c r="CL6" s="2898">
        <v>325</v>
      </c>
      <c r="CM6" s="2898">
        <v>326</v>
      </c>
      <c r="CN6" s="2897">
        <v>326</v>
      </c>
      <c r="CO6" s="2897">
        <v>327</v>
      </c>
      <c r="CP6" s="2897">
        <v>328</v>
      </c>
      <c r="CQ6" s="2897">
        <v>329</v>
      </c>
      <c r="CR6" s="2897">
        <v>329</v>
      </c>
      <c r="CS6" s="2897">
        <v>332</v>
      </c>
      <c r="CT6" s="2897">
        <v>334</v>
      </c>
      <c r="CU6" s="2897">
        <v>333</v>
      </c>
      <c r="CV6" s="2897">
        <v>333</v>
      </c>
      <c r="CW6" s="2900">
        <v>344</v>
      </c>
      <c r="CX6" s="2901">
        <v>353</v>
      </c>
      <c r="CY6" s="2901">
        <v>362</v>
      </c>
      <c r="CZ6" s="2902">
        <v>368</v>
      </c>
      <c r="DA6" s="2862">
        <v>382</v>
      </c>
      <c r="DB6" s="2901">
        <v>364</v>
      </c>
      <c r="DC6" s="2901">
        <v>369</v>
      </c>
      <c r="DD6" s="2903">
        <v>381</v>
      </c>
      <c r="DE6" s="2904">
        <v>381</v>
      </c>
      <c r="DF6" s="2905">
        <v>382</v>
      </c>
      <c r="DG6" s="2905">
        <v>382</v>
      </c>
      <c r="DH6" s="2904">
        <v>382</v>
      </c>
      <c r="DI6" s="2904">
        <v>382</v>
      </c>
      <c r="DJ6" s="2904">
        <v>386</v>
      </c>
      <c r="DK6" s="2904">
        <v>389</v>
      </c>
      <c r="DL6" s="2904">
        <v>390</v>
      </c>
      <c r="DM6" s="2904">
        <v>390</v>
      </c>
      <c r="DN6" s="2904">
        <v>392</v>
      </c>
      <c r="DO6" s="2904">
        <v>394</v>
      </c>
      <c r="DP6" s="2904">
        <v>399</v>
      </c>
      <c r="DQ6" s="2904">
        <v>402</v>
      </c>
      <c r="DR6" s="2904">
        <v>405</v>
      </c>
      <c r="DS6" s="2904">
        <v>407</v>
      </c>
      <c r="DT6" s="2904">
        <v>411</v>
      </c>
      <c r="DU6" s="2904">
        <v>415</v>
      </c>
      <c r="DV6" s="2904">
        <v>416</v>
      </c>
      <c r="DW6" s="2904">
        <v>417</v>
      </c>
      <c r="DX6" s="2904">
        <v>418</v>
      </c>
      <c r="DY6" s="2904">
        <v>421</v>
      </c>
      <c r="DZ6" s="2904">
        <v>426</v>
      </c>
      <c r="EA6" s="2904">
        <v>426</v>
      </c>
      <c r="EB6" s="2904">
        <v>428</v>
      </c>
      <c r="EC6" s="2903" t="s">
        <v>3665</v>
      </c>
      <c r="ED6" s="2904">
        <v>430</v>
      </c>
      <c r="EE6" s="2904">
        <v>432</v>
      </c>
      <c r="EF6" s="2904">
        <v>431</v>
      </c>
      <c r="EG6" s="2904">
        <v>431</v>
      </c>
      <c r="EH6" s="2904">
        <v>430</v>
      </c>
      <c r="EI6" s="2904">
        <v>432</v>
      </c>
      <c r="EJ6" s="2904">
        <v>433</v>
      </c>
      <c r="EK6" s="2904">
        <v>436</v>
      </c>
      <c r="EL6" s="2904">
        <v>437</v>
      </c>
      <c r="EM6" s="2904">
        <v>438</v>
      </c>
      <c r="EN6" s="2904">
        <v>441</v>
      </c>
      <c r="EO6" s="2904">
        <v>442</v>
      </c>
    </row>
    <row r="7" spans="1:145" ht="13.5" thickBot="1">
      <c r="A7" s="2906"/>
      <c r="B7" s="2893"/>
      <c r="C7" s="2893"/>
      <c r="D7" s="2894"/>
      <c r="E7" s="2895"/>
      <c r="F7" s="2894"/>
      <c r="G7" s="2894"/>
      <c r="H7" s="2894"/>
      <c r="I7" s="2894"/>
      <c r="J7" s="2894"/>
      <c r="K7" s="2894"/>
      <c r="L7" s="2894"/>
      <c r="M7" s="2894"/>
      <c r="N7" s="2894"/>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907"/>
      <c r="BN7" s="2908"/>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909"/>
      <c r="CL7" s="2907"/>
      <c r="CM7" s="2907"/>
      <c r="CN7" s="2894"/>
      <c r="CO7" s="2894"/>
      <c r="CP7" s="2894"/>
      <c r="CQ7" s="2894"/>
      <c r="CR7" s="2894"/>
      <c r="CS7" s="2894"/>
      <c r="CT7" s="2894"/>
      <c r="CU7" s="2894"/>
      <c r="CV7" s="2894"/>
      <c r="CW7" s="2909"/>
      <c r="CX7" s="2901"/>
      <c r="CY7" s="2901"/>
      <c r="CZ7" s="2902"/>
      <c r="DB7" s="2901"/>
      <c r="DC7" s="2901"/>
      <c r="DD7" s="2910"/>
      <c r="DE7" s="2910"/>
      <c r="DF7" s="2911"/>
      <c r="DG7" s="2911"/>
      <c r="DH7" s="2904"/>
      <c r="DI7" s="2904"/>
      <c r="DJ7" s="2904"/>
      <c r="DK7" s="2904"/>
      <c r="DL7" s="2904"/>
      <c r="DM7" s="2904"/>
      <c r="DN7" s="2904"/>
      <c r="DO7" s="2904"/>
      <c r="DP7" s="2904"/>
      <c r="DQ7" s="2904"/>
      <c r="DR7" s="2904"/>
      <c r="DS7" s="2904"/>
      <c r="DT7" s="2904"/>
      <c r="DU7" s="2904"/>
      <c r="DV7" s="2904"/>
      <c r="DW7" s="2904"/>
      <c r="DX7" s="2904"/>
      <c r="DY7" s="2904"/>
      <c r="DZ7" s="2904"/>
      <c r="EA7" s="2904"/>
      <c r="EB7" s="2904"/>
      <c r="EC7" s="2904"/>
      <c r="ED7" s="2904"/>
      <c r="EE7" s="2904"/>
      <c r="EF7" s="2904"/>
      <c r="EG7" s="2904"/>
      <c r="EH7" s="2904"/>
      <c r="EI7" s="2904"/>
      <c r="EJ7" s="2904"/>
      <c r="EK7" s="2904"/>
      <c r="EL7" s="2904"/>
      <c r="EM7" s="2904"/>
      <c r="EN7" s="2904"/>
      <c r="EO7" s="2904"/>
    </row>
    <row r="8" spans="1:145" ht="13.5" thickBot="1">
      <c r="A8" s="2872"/>
      <c r="B8" s="2902"/>
      <c r="C8" s="2902"/>
      <c r="D8" s="2902"/>
      <c r="E8" s="2902"/>
      <c r="F8" s="2902"/>
      <c r="G8" s="2902"/>
      <c r="H8" s="2902"/>
      <c r="I8" s="2902"/>
      <c r="J8" s="2902"/>
      <c r="K8" s="2902"/>
      <c r="L8" s="2902"/>
      <c r="M8" s="2902"/>
      <c r="N8" s="2902"/>
      <c r="O8" s="2902"/>
      <c r="P8" s="2902"/>
      <c r="Q8" s="2902"/>
      <c r="R8" s="2902"/>
      <c r="S8" s="2902"/>
      <c r="T8" s="2902"/>
      <c r="U8" s="2902"/>
      <c r="V8" s="2902"/>
      <c r="W8" s="2902"/>
      <c r="X8" s="2902"/>
      <c r="Y8" s="2902"/>
      <c r="Z8" s="2902"/>
      <c r="AA8" s="2902"/>
      <c r="AB8" s="2902"/>
      <c r="AC8" s="2902"/>
      <c r="AD8" s="2902"/>
      <c r="AE8" s="2902"/>
      <c r="AF8" s="2902"/>
      <c r="AG8" s="2902"/>
      <c r="AH8" s="2902"/>
      <c r="AI8" s="2902"/>
      <c r="AJ8" s="2902"/>
      <c r="AK8" s="2902"/>
      <c r="AL8" s="2902"/>
      <c r="AM8" s="2902"/>
      <c r="AN8" s="2902"/>
      <c r="AO8" s="2902"/>
      <c r="AP8" s="2902"/>
      <c r="AQ8" s="2902"/>
      <c r="AR8" s="2902"/>
      <c r="AS8" s="2902"/>
      <c r="AT8" s="2902"/>
      <c r="AU8" s="2902"/>
      <c r="AV8" s="2902"/>
      <c r="AW8" s="2902"/>
      <c r="AX8" s="2902"/>
      <c r="AY8" s="2902"/>
      <c r="AZ8" s="2902"/>
      <c r="BA8" s="2902"/>
      <c r="BB8" s="2902"/>
      <c r="BC8" s="2902"/>
      <c r="BD8" s="2902"/>
      <c r="BE8" s="2902"/>
      <c r="BF8" s="2902"/>
      <c r="BG8" s="2902"/>
      <c r="BH8" s="2902"/>
      <c r="BI8" s="2902"/>
      <c r="BJ8" s="2902"/>
      <c r="BK8" s="2902"/>
      <c r="BL8" s="2902"/>
      <c r="BM8" s="2901"/>
      <c r="BN8" s="3556"/>
      <c r="BO8" s="3557"/>
      <c r="BP8" s="3557"/>
      <c r="BQ8" s="3557"/>
      <c r="BR8" s="3557"/>
      <c r="BS8" s="3557"/>
      <c r="BT8" s="3557"/>
      <c r="BU8" s="3557"/>
      <c r="BV8" s="3557"/>
      <c r="BW8" s="3557"/>
      <c r="BX8" s="3557"/>
      <c r="BY8" s="3557"/>
      <c r="BZ8" s="3557"/>
      <c r="CA8" s="3557"/>
      <c r="CB8" s="3557"/>
      <c r="CC8" s="3557"/>
      <c r="CD8" s="3557"/>
      <c r="CE8" s="3557"/>
      <c r="CF8" s="3557"/>
      <c r="CG8" s="3557"/>
      <c r="CH8" s="3557"/>
      <c r="CI8" s="3557"/>
      <c r="CJ8" s="3557"/>
      <c r="CK8" s="3557"/>
      <c r="CL8" s="3557"/>
      <c r="CM8" s="3557"/>
      <c r="CN8" s="3557"/>
      <c r="CO8" s="3557"/>
      <c r="CP8" s="3557"/>
      <c r="CQ8" s="3557"/>
      <c r="CR8" s="3557"/>
      <c r="CS8" s="3557"/>
      <c r="CT8" s="3557"/>
      <c r="CU8" s="3557"/>
      <c r="CV8" s="3557"/>
      <c r="CW8" s="3557"/>
      <c r="CX8" s="3557"/>
      <c r="CY8" s="3557"/>
      <c r="CZ8" s="3557"/>
      <c r="DA8" s="3557"/>
      <c r="DB8" s="3557"/>
      <c r="DC8" s="3557"/>
      <c r="DD8" s="3557"/>
      <c r="DE8" s="3557"/>
      <c r="DF8" s="3557"/>
      <c r="DG8" s="3557"/>
      <c r="DH8" s="3557"/>
      <c r="DI8" s="3557"/>
      <c r="DJ8" s="3558"/>
      <c r="DK8" s="2912"/>
      <c r="DL8" s="2912"/>
      <c r="DM8" s="2912"/>
      <c r="DN8" s="2912"/>
      <c r="DO8" s="2912"/>
      <c r="DP8" s="2912"/>
      <c r="DQ8" s="2912"/>
      <c r="DR8" s="2912"/>
      <c r="DS8" s="2912"/>
      <c r="DT8" s="2912"/>
      <c r="DU8" s="2912"/>
      <c r="DV8" s="2912"/>
      <c r="DW8" s="2912"/>
      <c r="DX8" s="2912"/>
      <c r="DY8" s="2912"/>
      <c r="DZ8" s="2912"/>
      <c r="EA8" s="2912"/>
      <c r="EB8" s="2912"/>
      <c r="EC8" s="2912"/>
      <c r="ED8" s="2912"/>
      <c r="EE8" s="2912"/>
      <c r="EF8" s="2912"/>
      <c r="EG8" s="2912"/>
      <c r="EH8" s="2912"/>
      <c r="EI8" s="2912"/>
      <c r="EJ8" s="2912"/>
      <c r="EK8" s="2912"/>
      <c r="EL8" s="2912"/>
      <c r="EM8" s="2912"/>
      <c r="EN8" s="2912"/>
      <c r="EO8" s="2912"/>
    </row>
    <row r="9" spans="1:145">
      <c r="A9" s="2872"/>
      <c r="B9" s="2873"/>
      <c r="C9" s="2873"/>
      <c r="D9" s="2873"/>
      <c r="E9" s="2874"/>
      <c r="F9" s="2873"/>
      <c r="G9" s="2873"/>
      <c r="H9" s="2873"/>
      <c r="I9" s="2873"/>
      <c r="J9" s="2873"/>
      <c r="K9" s="2873"/>
      <c r="L9" s="2873"/>
      <c r="M9" s="2873"/>
      <c r="N9" s="2873"/>
      <c r="O9" s="2873"/>
      <c r="P9" s="2873"/>
      <c r="Q9" s="2873"/>
      <c r="R9" s="2873"/>
      <c r="S9" s="2873"/>
      <c r="T9" s="2873"/>
      <c r="U9" s="2873"/>
      <c r="V9" s="2873"/>
      <c r="W9" s="2873"/>
      <c r="X9" s="2873"/>
      <c r="Y9" s="2873"/>
      <c r="Z9" s="2873"/>
      <c r="AA9" s="2873"/>
      <c r="AB9" s="2873"/>
      <c r="AC9" s="2873"/>
      <c r="AD9" s="2873"/>
      <c r="AE9" s="2873"/>
      <c r="AF9" s="2873"/>
      <c r="AG9" s="2873"/>
      <c r="AH9" s="2873"/>
      <c r="AI9" s="2873"/>
      <c r="AJ9" s="2873"/>
      <c r="AK9" s="2873"/>
      <c r="AL9" s="2873"/>
      <c r="AM9" s="2873"/>
      <c r="AN9" s="2873"/>
      <c r="AO9" s="2873"/>
      <c r="AP9" s="2873"/>
      <c r="AQ9" s="2873"/>
      <c r="AR9" s="2873"/>
      <c r="AS9" s="2873"/>
      <c r="AT9" s="2873"/>
      <c r="AU9" s="2873"/>
      <c r="AV9" s="2873"/>
      <c r="AW9" s="2873"/>
      <c r="AX9" s="2873"/>
      <c r="AY9" s="2873"/>
      <c r="AZ9" s="2873"/>
      <c r="BA9" s="2873"/>
      <c r="BB9" s="2873"/>
      <c r="BC9" s="2873"/>
      <c r="BD9" s="2873"/>
      <c r="BE9" s="2873"/>
      <c r="BF9" s="2873"/>
      <c r="BG9" s="2873"/>
      <c r="BH9" s="2873"/>
      <c r="BI9" s="2873"/>
      <c r="BJ9" s="2873"/>
      <c r="BK9" s="2873"/>
      <c r="BL9" s="2873"/>
      <c r="BM9" s="2880"/>
      <c r="BN9" s="2881"/>
      <c r="BO9" s="2873"/>
      <c r="BP9" s="2873"/>
      <c r="BQ9" s="2873"/>
      <c r="BR9" s="2873"/>
      <c r="BS9" s="2873"/>
      <c r="BT9" s="2873"/>
      <c r="BU9" s="2873"/>
      <c r="BV9" s="2873"/>
      <c r="BW9" s="2873"/>
      <c r="BX9" s="2873"/>
      <c r="BY9" s="2873"/>
      <c r="BZ9" s="2873"/>
      <c r="CA9" s="2873"/>
      <c r="CB9" s="2873"/>
      <c r="CC9" s="2873"/>
      <c r="CD9" s="2873"/>
      <c r="CE9" s="2873"/>
      <c r="CF9" s="2873"/>
      <c r="CG9" s="2873"/>
      <c r="CH9" s="2873"/>
      <c r="CI9" s="2873"/>
      <c r="CJ9" s="2873"/>
      <c r="CK9" s="2882"/>
      <c r="CL9" s="2880"/>
      <c r="CM9" s="2880"/>
      <c r="CN9" s="2873"/>
      <c r="CO9" s="2873"/>
      <c r="CP9" s="2873"/>
      <c r="CQ9" s="2873"/>
      <c r="CR9" s="2873"/>
      <c r="CS9" s="2873"/>
      <c r="CT9" s="2873"/>
      <c r="CU9" s="2873"/>
      <c r="CV9" s="2873"/>
      <c r="CW9" s="2882"/>
      <c r="CX9" s="2901"/>
      <c r="CY9" s="2901"/>
      <c r="CZ9" s="2902"/>
      <c r="DB9" s="2901"/>
      <c r="DC9" s="2901"/>
      <c r="DD9" s="2910"/>
      <c r="DE9" s="2910"/>
      <c r="DF9" s="2913"/>
      <c r="DG9" s="2913"/>
      <c r="DH9" s="2904"/>
      <c r="DI9" s="2904"/>
      <c r="DJ9" s="2904"/>
      <c r="DK9" s="2904"/>
      <c r="DL9" s="2904"/>
      <c r="DM9" s="2904"/>
      <c r="DN9" s="2904"/>
      <c r="DO9" s="2904"/>
      <c r="DP9" s="2904"/>
      <c r="DQ9" s="2904"/>
      <c r="DR9" s="2904"/>
      <c r="DS9" s="2904"/>
      <c r="DT9" s="2904"/>
      <c r="DU9" s="2904"/>
      <c r="DV9" s="2904"/>
      <c r="DW9" s="2904"/>
      <c r="DX9" s="2904"/>
      <c r="DY9" s="2904"/>
      <c r="DZ9" s="2904"/>
      <c r="EA9" s="2904"/>
      <c r="EB9" s="2904"/>
      <c r="EC9" s="2904"/>
      <c r="ED9" s="2904"/>
      <c r="EE9" s="2904"/>
      <c r="EF9" s="2904"/>
      <c r="EG9" s="2904"/>
      <c r="EH9" s="2904"/>
      <c r="EI9" s="2904"/>
      <c r="EJ9" s="2904"/>
      <c r="EK9" s="2904"/>
      <c r="EL9" s="2904"/>
      <c r="EM9" s="2904"/>
      <c r="EN9" s="2904"/>
      <c r="EO9" s="2904"/>
    </row>
    <row r="10" spans="1:145" s="2900" customFormat="1">
      <c r="A10" s="2892" t="s">
        <v>3666</v>
      </c>
      <c r="B10" s="2914">
        <v>1199803</v>
      </c>
      <c r="C10" s="2914">
        <v>1276787</v>
      </c>
      <c r="D10" s="2896">
        <v>1156177</v>
      </c>
      <c r="E10" s="2915">
        <v>1060038</v>
      </c>
      <c r="F10" s="2896">
        <v>1240692</v>
      </c>
      <c r="G10" s="2896">
        <v>1305626</v>
      </c>
      <c r="H10" s="2896">
        <v>1411797</v>
      </c>
      <c r="I10" s="2896">
        <v>1393973</v>
      </c>
      <c r="J10" s="2896">
        <v>1359388</v>
      </c>
      <c r="K10" s="2896">
        <v>1522994</v>
      </c>
      <c r="L10" s="2896">
        <v>1709744</v>
      </c>
      <c r="M10" s="2896">
        <v>1316624</v>
      </c>
      <c r="N10" s="2896">
        <v>1353038</v>
      </c>
      <c r="O10" s="2896">
        <v>1441590</v>
      </c>
      <c r="P10" s="2896">
        <v>1339535</v>
      </c>
      <c r="Q10" s="2896">
        <v>1562009</v>
      </c>
      <c r="R10" s="2896">
        <v>1415979</v>
      </c>
      <c r="S10" s="2896">
        <v>1525223</v>
      </c>
      <c r="T10" s="2896">
        <v>1545852</v>
      </c>
      <c r="U10" s="2896">
        <v>1390368</v>
      </c>
      <c r="V10" s="2896">
        <v>1655273</v>
      </c>
      <c r="W10" s="2896">
        <v>1633994</v>
      </c>
      <c r="X10" s="2896">
        <v>1884887</v>
      </c>
      <c r="Y10" s="2896">
        <v>1715101</v>
      </c>
      <c r="Z10" s="2896">
        <v>1423828</v>
      </c>
      <c r="AA10" s="2896">
        <v>1655737</v>
      </c>
      <c r="AB10" s="2896">
        <v>1680617</v>
      </c>
      <c r="AC10" s="2896">
        <v>1704428</v>
      </c>
      <c r="AD10" s="2896">
        <v>1579171</v>
      </c>
      <c r="AE10" s="2896">
        <v>1751657</v>
      </c>
      <c r="AF10" s="2897">
        <v>1698979</v>
      </c>
      <c r="AG10" s="2897">
        <v>1592706</v>
      </c>
      <c r="AH10" s="2897">
        <v>1856970</v>
      </c>
      <c r="AI10" s="2897">
        <v>1700199</v>
      </c>
      <c r="AJ10" s="2897">
        <v>2298230</v>
      </c>
      <c r="AK10" s="2897">
        <v>1731019</v>
      </c>
      <c r="AL10" s="2897">
        <v>1711340</v>
      </c>
      <c r="AM10" s="2897">
        <v>1796151</v>
      </c>
      <c r="AN10" s="2897">
        <v>1933754</v>
      </c>
      <c r="AO10" s="2897">
        <v>1946676</v>
      </c>
      <c r="AP10" s="2897">
        <v>1706705</v>
      </c>
      <c r="AQ10" s="2897">
        <v>1979561</v>
      </c>
      <c r="AR10" s="2897">
        <v>1908832</v>
      </c>
      <c r="AS10" s="2897">
        <v>1964339</v>
      </c>
      <c r="AT10" s="2897">
        <v>2003065</v>
      </c>
      <c r="AU10" s="2897">
        <v>1961691</v>
      </c>
      <c r="AV10" s="2897">
        <v>2534785</v>
      </c>
      <c r="AW10" s="2897">
        <v>1988815</v>
      </c>
      <c r="AX10" s="2897">
        <v>1785213</v>
      </c>
      <c r="AY10" s="2897">
        <v>2115284</v>
      </c>
      <c r="AZ10" s="2897">
        <v>2022395</v>
      </c>
      <c r="BA10" s="2897">
        <v>2124023</v>
      </c>
      <c r="BB10" s="2897">
        <v>2134469</v>
      </c>
      <c r="BC10" s="2897">
        <v>2144323</v>
      </c>
      <c r="BD10" s="2897">
        <v>2125354</v>
      </c>
      <c r="BE10" s="2897">
        <v>2241072</v>
      </c>
      <c r="BF10" s="2897">
        <v>2304435</v>
      </c>
      <c r="BG10" s="2897">
        <v>2181312</v>
      </c>
      <c r="BH10" s="2897">
        <v>3152306</v>
      </c>
      <c r="BI10" s="2897">
        <v>2240161</v>
      </c>
      <c r="BJ10" s="2897">
        <v>2173883</v>
      </c>
      <c r="BK10" s="2897">
        <v>2595910</v>
      </c>
      <c r="BL10" s="2897">
        <v>2370652</v>
      </c>
      <c r="BM10" s="2898">
        <v>2494182</v>
      </c>
      <c r="BN10" s="2916">
        <v>2286308</v>
      </c>
      <c r="BO10" s="2917">
        <v>2452036</v>
      </c>
      <c r="BP10" s="2917">
        <v>2619330</v>
      </c>
      <c r="BQ10" s="2917">
        <v>2420260</v>
      </c>
      <c r="BR10" s="2917">
        <v>2436846</v>
      </c>
      <c r="BS10" s="2917">
        <v>2709906</v>
      </c>
      <c r="BT10" s="2917">
        <v>3285091</v>
      </c>
      <c r="BU10" s="2917">
        <v>2530727</v>
      </c>
      <c r="BV10" s="2917">
        <v>2298921</v>
      </c>
      <c r="BW10" s="2917">
        <v>2583371</v>
      </c>
      <c r="BX10" s="2917">
        <v>2456638</v>
      </c>
      <c r="BY10" s="2917">
        <v>2809014</v>
      </c>
      <c r="BZ10" s="2917">
        <v>2525605</v>
      </c>
      <c r="CA10" s="2917">
        <v>2702023</v>
      </c>
      <c r="CB10" s="2917">
        <v>3698436</v>
      </c>
      <c r="CC10" s="2917">
        <v>2999569</v>
      </c>
      <c r="CD10" s="2917">
        <v>2655214</v>
      </c>
      <c r="CE10" s="2917">
        <v>2967336</v>
      </c>
      <c r="CF10" s="2917">
        <v>2761953</v>
      </c>
      <c r="CG10" s="2917">
        <v>3177467</v>
      </c>
      <c r="CH10" s="2917">
        <v>2799201</v>
      </c>
      <c r="CI10" s="2917">
        <v>3028378</v>
      </c>
      <c r="CJ10" s="2917">
        <v>3016567</v>
      </c>
      <c r="CK10" s="2918">
        <v>2870173</v>
      </c>
      <c r="CL10" s="2919">
        <v>3225576</v>
      </c>
      <c r="CM10" s="2919">
        <v>3253328</v>
      </c>
      <c r="CN10" s="2917">
        <v>3784838</v>
      </c>
      <c r="CO10" s="2917">
        <v>3262800</v>
      </c>
      <c r="CP10" s="2917">
        <v>2692596</v>
      </c>
      <c r="CQ10" s="2917">
        <v>3274464</v>
      </c>
      <c r="CR10" s="2917">
        <v>3262646</v>
      </c>
      <c r="CS10" s="2917">
        <v>3292101</v>
      </c>
      <c r="CT10" s="2917">
        <v>3004774</v>
      </c>
      <c r="CU10" s="2917">
        <v>3414646</v>
      </c>
      <c r="CV10" s="2917">
        <v>3372285</v>
      </c>
      <c r="CW10" s="2918">
        <v>3310451</v>
      </c>
      <c r="CX10" s="2898">
        <v>3617630</v>
      </c>
      <c r="CY10" s="2898">
        <v>3375218</v>
      </c>
      <c r="CZ10" s="2897">
        <v>4496145</v>
      </c>
      <c r="DA10" s="2900">
        <v>3554029</v>
      </c>
      <c r="DB10" s="2898">
        <v>5009154</v>
      </c>
      <c r="DC10" s="2898">
        <v>3823342</v>
      </c>
      <c r="DD10" s="2920">
        <v>5084110</v>
      </c>
      <c r="DE10" s="2921">
        <v>3711422</v>
      </c>
      <c r="DF10" s="2921">
        <v>3594805</v>
      </c>
      <c r="DG10" s="2921">
        <v>4230384</v>
      </c>
      <c r="DH10" s="2920">
        <v>3960893</v>
      </c>
      <c r="DI10" s="2920">
        <v>4224454</v>
      </c>
      <c r="DJ10" s="2920">
        <v>3871374</v>
      </c>
      <c r="DK10" s="2920">
        <v>3983481</v>
      </c>
      <c r="DL10" s="2920">
        <v>4165782</v>
      </c>
      <c r="DM10" s="2920">
        <v>3917979</v>
      </c>
      <c r="DN10" s="2920">
        <v>4209379</v>
      </c>
      <c r="DO10" s="2920">
        <v>4241772</v>
      </c>
      <c r="DP10" s="2920">
        <v>5463130</v>
      </c>
      <c r="DQ10" s="2920">
        <v>4224590</v>
      </c>
      <c r="DR10" s="2920">
        <v>3929692</v>
      </c>
      <c r="DS10" s="2920">
        <v>4452443</v>
      </c>
      <c r="DT10" s="2920">
        <v>4320421</v>
      </c>
      <c r="DU10" s="2920">
        <v>4555559</v>
      </c>
      <c r="DV10" s="2920">
        <v>4139159</v>
      </c>
      <c r="DW10" s="2920">
        <v>4488322</v>
      </c>
      <c r="DX10" s="2920">
        <v>4487377</v>
      </c>
      <c r="DY10" s="2920">
        <v>4271325</v>
      </c>
      <c r="DZ10" s="2920">
        <v>4727613</v>
      </c>
      <c r="EA10" s="2920">
        <v>4525691</v>
      </c>
      <c r="EB10" s="2920">
        <v>5751277</v>
      </c>
      <c r="EC10" s="2920">
        <v>4736872</v>
      </c>
      <c r="ED10" s="2920">
        <v>4319467</v>
      </c>
      <c r="EE10" s="2920">
        <v>4841422</v>
      </c>
      <c r="EF10" s="2920">
        <v>4758541</v>
      </c>
      <c r="EG10" s="2920">
        <v>4845776</v>
      </c>
      <c r="EH10" s="2920">
        <v>4496701</v>
      </c>
      <c r="EI10" s="2920">
        <v>4733299</v>
      </c>
      <c r="EJ10" s="2920">
        <v>4753864</v>
      </c>
      <c r="EK10" s="2920">
        <v>4589854</v>
      </c>
      <c r="EL10" s="2920">
        <v>5016549</v>
      </c>
      <c r="EM10" s="2920">
        <v>4831238</v>
      </c>
      <c r="EN10" s="2920">
        <v>6407067</v>
      </c>
      <c r="EO10" s="2920">
        <v>4875444</v>
      </c>
    </row>
    <row r="11" spans="1:145" s="2927" customFormat="1">
      <c r="A11" s="2892" t="s">
        <v>3667</v>
      </c>
      <c r="B11" s="2922">
        <v>1770</v>
      </c>
      <c r="C11" s="2922">
        <v>1976</v>
      </c>
      <c r="D11" s="2923">
        <v>1759</v>
      </c>
      <c r="E11" s="2924">
        <v>1597</v>
      </c>
      <c r="F11" s="2923">
        <v>1805</v>
      </c>
      <c r="G11" s="2923">
        <v>1872</v>
      </c>
      <c r="H11" s="2923">
        <v>2088</v>
      </c>
      <c r="I11" s="2923">
        <v>2025</v>
      </c>
      <c r="J11" s="2923">
        <v>2034</v>
      </c>
      <c r="K11" s="2923">
        <v>2393</v>
      </c>
      <c r="L11" s="2923">
        <v>3082</v>
      </c>
      <c r="M11" s="2923">
        <v>2134</v>
      </c>
      <c r="N11" s="2923">
        <v>2110</v>
      </c>
      <c r="O11" s="2923">
        <v>2187</v>
      </c>
      <c r="P11" s="2923">
        <v>2045</v>
      </c>
      <c r="Q11" s="2923">
        <v>2340</v>
      </c>
      <c r="R11" s="2896">
        <v>1998</v>
      </c>
      <c r="S11" s="2896">
        <v>2228</v>
      </c>
      <c r="T11" s="2896">
        <v>2285</v>
      </c>
      <c r="U11" s="2896">
        <v>2042</v>
      </c>
      <c r="V11" s="2896">
        <v>2582</v>
      </c>
      <c r="W11" s="2896">
        <v>2600</v>
      </c>
      <c r="X11" s="2896">
        <v>3364</v>
      </c>
      <c r="Y11" s="2896">
        <v>2784</v>
      </c>
      <c r="Z11" s="2896">
        <v>2215</v>
      </c>
      <c r="AA11" s="2896">
        <v>2562</v>
      </c>
      <c r="AB11" s="2896">
        <v>2606</v>
      </c>
      <c r="AC11" s="2896">
        <v>2589</v>
      </c>
      <c r="AD11" s="2896">
        <v>2361</v>
      </c>
      <c r="AE11" s="2896">
        <v>2654</v>
      </c>
      <c r="AF11" s="2897">
        <v>2589</v>
      </c>
      <c r="AG11" s="2897">
        <v>2406.36</v>
      </c>
      <c r="AH11" s="2897">
        <v>2855</v>
      </c>
      <c r="AI11" s="2897">
        <v>2703</v>
      </c>
      <c r="AJ11" s="2897">
        <v>4172</v>
      </c>
      <c r="AK11" s="2897">
        <v>2765</v>
      </c>
      <c r="AL11" s="2897">
        <v>2679</v>
      </c>
      <c r="AM11" s="2897">
        <v>2823</v>
      </c>
      <c r="AN11" s="2897">
        <v>3011</v>
      </c>
      <c r="AO11" s="2897">
        <v>2987.797</v>
      </c>
      <c r="AP11" s="2897">
        <v>2594</v>
      </c>
      <c r="AQ11" s="2897">
        <v>3080</v>
      </c>
      <c r="AR11" s="2897">
        <v>2995.6235229999998</v>
      </c>
      <c r="AS11" s="2897">
        <v>3065</v>
      </c>
      <c r="AT11" s="2897">
        <v>3176</v>
      </c>
      <c r="AU11" s="2897">
        <v>3269</v>
      </c>
      <c r="AV11" s="2897">
        <v>4572</v>
      </c>
      <c r="AW11" s="2897">
        <v>3110</v>
      </c>
      <c r="AX11" s="2897">
        <v>2803</v>
      </c>
      <c r="AY11" s="2897">
        <v>3418</v>
      </c>
      <c r="AZ11" s="2897">
        <v>3220</v>
      </c>
      <c r="BA11" s="2897">
        <v>3392</v>
      </c>
      <c r="BB11" s="2897">
        <v>3384</v>
      </c>
      <c r="BC11" s="2897">
        <v>3447</v>
      </c>
      <c r="BD11" s="2897">
        <v>3420</v>
      </c>
      <c r="BE11" s="2897">
        <v>3686.1710276399995</v>
      </c>
      <c r="BF11" s="2897">
        <v>3802.5568210000001</v>
      </c>
      <c r="BG11" s="2897">
        <v>3738.4485249999998</v>
      </c>
      <c r="BH11" s="2897">
        <v>6061</v>
      </c>
      <c r="BI11" s="2897">
        <v>3783.5901273396007</v>
      </c>
      <c r="BJ11" s="2897">
        <v>3567</v>
      </c>
      <c r="BK11" s="2897">
        <v>4297</v>
      </c>
      <c r="BL11" s="2897">
        <v>3874</v>
      </c>
      <c r="BM11" s="2898">
        <v>3994</v>
      </c>
      <c r="BN11" s="2899">
        <v>3598</v>
      </c>
      <c r="BO11" s="2897">
        <v>3958</v>
      </c>
      <c r="BP11" s="2897">
        <v>4363</v>
      </c>
      <c r="BQ11" s="2897">
        <v>3965</v>
      </c>
      <c r="BR11" s="2897">
        <v>4157</v>
      </c>
      <c r="BS11" s="2897">
        <v>4808</v>
      </c>
      <c r="BT11" s="2897">
        <v>6430</v>
      </c>
      <c r="BU11" s="2897">
        <v>4439</v>
      </c>
      <c r="BV11" s="2897">
        <v>3952</v>
      </c>
      <c r="BW11" s="2897">
        <v>4424</v>
      </c>
      <c r="BX11" s="2897">
        <v>4162</v>
      </c>
      <c r="BY11" s="2897">
        <v>4767</v>
      </c>
      <c r="BZ11" s="2897">
        <v>4096</v>
      </c>
      <c r="CA11" s="2897">
        <v>4411</v>
      </c>
      <c r="CB11" s="2897">
        <v>6991</v>
      </c>
      <c r="CC11" s="2897">
        <v>5143</v>
      </c>
      <c r="CD11" s="2897">
        <v>4295</v>
      </c>
      <c r="CE11" s="2897">
        <v>4736</v>
      </c>
      <c r="CF11" s="2897">
        <v>4562</v>
      </c>
      <c r="CG11" s="2897">
        <v>5169</v>
      </c>
      <c r="CH11" s="2897">
        <v>4417</v>
      </c>
      <c r="CI11" s="2897">
        <v>5029</v>
      </c>
      <c r="CJ11" s="2897">
        <v>5124</v>
      </c>
      <c r="CK11" s="2900">
        <v>4769</v>
      </c>
      <c r="CL11" s="2898">
        <v>5618</v>
      </c>
      <c r="CM11" s="2898">
        <v>5632</v>
      </c>
      <c r="CN11" s="2897">
        <v>7811</v>
      </c>
      <c r="CO11" s="2897">
        <v>6370</v>
      </c>
      <c r="CP11" s="2897">
        <v>4819</v>
      </c>
      <c r="CQ11" s="2897">
        <v>5862</v>
      </c>
      <c r="CR11" s="2897">
        <v>5828</v>
      </c>
      <c r="CS11" s="2897">
        <v>5661</v>
      </c>
      <c r="CT11" s="2897">
        <v>4975</v>
      </c>
      <c r="CU11" s="2897">
        <v>5980</v>
      </c>
      <c r="CV11" s="2897">
        <v>5970</v>
      </c>
      <c r="CW11" s="2900">
        <v>5655</v>
      </c>
      <c r="CX11" s="2898">
        <v>6632</v>
      </c>
      <c r="CY11" s="2898">
        <v>6475</v>
      </c>
      <c r="CZ11" s="2897">
        <v>9464</v>
      </c>
      <c r="DA11" s="2900">
        <v>6204</v>
      </c>
      <c r="DB11" s="2898">
        <v>11024</v>
      </c>
      <c r="DC11" s="2898">
        <v>6971.88</v>
      </c>
      <c r="DD11" s="2925">
        <v>11166.735480512201</v>
      </c>
      <c r="DE11" s="2926">
        <v>7518</v>
      </c>
      <c r="DF11" s="2926">
        <v>6984.76</v>
      </c>
      <c r="DG11" s="2926">
        <v>8236.0743734059215</v>
      </c>
      <c r="DH11" s="2925">
        <v>7567.1450000000004</v>
      </c>
      <c r="DI11" s="2925">
        <v>7945.8104420500003</v>
      </c>
      <c r="DJ11" s="2925">
        <v>7082.1629999999996</v>
      </c>
      <c r="DK11" s="2925">
        <v>7309.8</v>
      </c>
      <c r="DL11" s="2925">
        <v>7962.741</v>
      </c>
      <c r="DM11" s="2925">
        <v>7236.5249999999996</v>
      </c>
      <c r="DN11" s="2925">
        <v>8130.87</v>
      </c>
      <c r="DO11" s="2925">
        <v>8473.8379999999997</v>
      </c>
      <c r="DP11" s="2925">
        <v>11997</v>
      </c>
      <c r="DQ11" s="2925">
        <v>8570.9840000000004</v>
      </c>
      <c r="DR11" s="2925">
        <v>7748.98</v>
      </c>
      <c r="DS11" s="2925">
        <v>8728.9140000000007</v>
      </c>
      <c r="DT11" s="2925">
        <v>8601.6190000000006</v>
      </c>
      <c r="DU11" s="2925">
        <v>8807.4030000000002</v>
      </c>
      <c r="DV11" s="2925">
        <v>7712.0339999999997</v>
      </c>
      <c r="DW11" s="2925">
        <v>8679.6409999999996</v>
      </c>
      <c r="DX11" s="2925">
        <v>8782.3349999999991</v>
      </c>
      <c r="DY11" s="2925">
        <v>8104.1270000000004</v>
      </c>
      <c r="DZ11" s="2925">
        <v>9408.3449999999993</v>
      </c>
      <c r="EA11" s="2925">
        <v>9180.0360000000001</v>
      </c>
      <c r="EB11" s="2925">
        <v>13066</v>
      </c>
      <c r="EC11" s="2925">
        <v>9717.9310000000005</v>
      </c>
      <c r="ED11" s="2925">
        <v>8695.5310000000009</v>
      </c>
      <c r="EE11" s="2925">
        <v>9537</v>
      </c>
      <c r="EF11" s="2925">
        <v>9328.3799999999992</v>
      </c>
      <c r="EG11" s="2925">
        <v>9365.3790000000008</v>
      </c>
      <c r="EH11" s="2925">
        <v>8566.6859999999997</v>
      </c>
      <c r="EI11" s="2925">
        <v>9187.1509999999998</v>
      </c>
      <c r="EJ11" s="2925">
        <v>9327.4629999999997</v>
      </c>
      <c r="EK11" s="2925">
        <v>8899.0619999999999</v>
      </c>
      <c r="EL11" s="2925">
        <v>10019.85</v>
      </c>
      <c r="EM11" s="2925">
        <v>9953.0740000000005</v>
      </c>
      <c r="EN11" s="2925">
        <v>14412.458000000001</v>
      </c>
      <c r="EO11" s="2925">
        <v>10301.35</v>
      </c>
    </row>
    <row r="12" spans="1:145" s="2927" customFormat="1">
      <c r="A12" s="2892"/>
      <c r="B12" s="2922"/>
      <c r="C12" s="2922"/>
      <c r="D12" s="2923"/>
      <c r="E12" s="2924"/>
      <c r="F12" s="2923"/>
      <c r="G12" s="2923"/>
      <c r="H12" s="2923"/>
      <c r="I12" s="2923"/>
      <c r="J12" s="2923"/>
      <c r="K12" s="2923"/>
      <c r="L12" s="2923"/>
      <c r="M12" s="2923"/>
      <c r="N12" s="2923"/>
      <c r="O12" s="2923"/>
      <c r="P12" s="2923"/>
      <c r="Q12" s="2923"/>
      <c r="R12" s="2923"/>
      <c r="S12" s="2923"/>
      <c r="T12" s="2923"/>
      <c r="U12" s="2923"/>
      <c r="V12" s="2923"/>
      <c r="W12" s="2923"/>
      <c r="X12" s="2928"/>
      <c r="Y12" s="2928"/>
      <c r="Z12" s="2928"/>
      <c r="AA12" s="2928"/>
      <c r="AB12" s="2928"/>
      <c r="AC12" s="2928"/>
      <c r="AD12" s="2928"/>
      <c r="AE12" s="2928"/>
      <c r="AF12" s="2928"/>
      <c r="AG12" s="2928"/>
      <c r="AH12" s="2928"/>
      <c r="AI12" s="2928"/>
      <c r="AJ12" s="2928"/>
      <c r="AK12" s="2928"/>
      <c r="AL12" s="2928"/>
      <c r="AM12" s="2928"/>
      <c r="AN12" s="2928"/>
      <c r="AO12" s="2928"/>
      <c r="AP12" s="2928"/>
      <c r="AQ12" s="2928"/>
      <c r="AR12" s="2928"/>
      <c r="AS12" s="2928"/>
      <c r="AT12" s="2928"/>
      <c r="AU12" s="2928"/>
      <c r="AV12" s="2928"/>
      <c r="AW12" s="2928"/>
      <c r="AX12" s="2928"/>
      <c r="AY12" s="2928"/>
      <c r="AZ12" s="2928"/>
      <c r="BA12" s="2928"/>
      <c r="BB12" s="2928"/>
      <c r="BC12" s="2928"/>
      <c r="BD12" s="2928"/>
      <c r="BE12" s="2928"/>
      <c r="BF12" s="2928"/>
      <c r="BG12" s="2928"/>
      <c r="BH12" s="2928"/>
      <c r="BI12" s="2928"/>
      <c r="BJ12" s="2928"/>
      <c r="BK12" s="2928"/>
      <c r="BL12" s="2928"/>
      <c r="BM12" s="2929"/>
      <c r="BN12" s="2930"/>
      <c r="BO12" s="2928"/>
      <c r="BP12" s="2928"/>
      <c r="BQ12" s="2928"/>
      <c r="BR12" s="2928"/>
      <c r="BS12" s="2928"/>
      <c r="BT12" s="2928"/>
      <c r="BU12" s="2928"/>
      <c r="BV12" s="2928"/>
      <c r="BW12" s="2928"/>
      <c r="BX12" s="2928"/>
      <c r="BY12" s="2928"/>
      <c r="BZ12" s="2928"/>
      <c r="CA12" s="2928"/>
      <c r="CB12" s="2928"/>
      <c r="CC12" s="2928"/>
      <c r="CD12" s="2928"/>
      <c r="CE12" s="2928"/>
      <c r="CF12" s="2928"/>
      <c r="CG12" s="2928"/>
      <c r="CH12" s="2928"/>
      <c r="CI12" s="2928"/>
      <c r="CJ12" s="2928"/>
      <c r="CK12" s="2931"/>
      <c r="CL12" s="2929"/>
      <c r="CM12" s="2929"/>
      <c r="CN12" s="2928"/>
      <c r="CO12" s="2928"/>
      <c r="CP12" s="2928"/>
      <c r="CQ12" s="2928"/>
      <c r="CR12" s="2928"/>
      <c r="CS12" s="2928"/>
      <c r="CT12" s="2928"/>
      <c r="CU12" s="2928"/>
      <c r="CV12" s="2928"/>
      <c r="CW12" s="2931"/>
      <c r="CX12" s="2932"/>
      <c r="CY12" s="2932"/>
      <c r="CZ12" s="2893"/>
      <c r="DB12" s="2932"/>
      <c r="DC12" s="2932"/>
      <c r="DD12" s="2933"/>
      <c r="DE12" s="2934"/>
      <c r="DF12" s="2934"/>
      <c r="DG12" s="2934"/>
      <c r="DH12" s="2903"/>
      <c r="DI12" s="2903"/>
      <c r="DJ12" s="2903"/>
      <c r="DK12" s="2903"/>
      <c r="DL12" s="2903"/>
      <c r="DM12" s="2903"/>
      <c r="DN12" s="2903"/>
      <c r="DO12" s="2903"/>
      <c r="DP12" s="2903"/>
      <c r="DQ12" s="2903"/>
      <c r="DR12" s="2903"/>
      <c r="DS12" s="2903"/>
      <c r="DT12" s="2903"/>
      <c r="DU12" s="2903"/>
      <c r="DV12" s="2903"/>
      <c r="DW12" s="2903"/>
      <c r="DX12" s="2903"/>
      <c r="DY12" s="2903"/>
      <c r="DZ12" s="2903"/>
      <c r="EA12" s="2903"/>
      <c r="EB12" s="2903"/>
      <c r="EC12" s="2903"/>
      <c r="ED12" s="2903"/>
      <c r="EE12" s="2903"/>
      <c r="EF12" s="2903"/>
      <c r="EG12" s="2903"/>
      <c r="EH12" s="2903"/>
      <c r="EI12" s="2903"/>
      <c r="EJ12" s="2903"/>
      <c r="EK12" s="2903"/>
      <c r="EL12" s="2903"/>
      <c r="EM12" s="2903"/>
      <c r="EN12" s="2903"/>
      <c r="EO12" s="2903"/>
    </row>
    <row r="13" spans="1:145" s="2927" customFormat="1" ht="13.5" thickBot="1">
      <c r="A13" s="2906"/>
      <c r="B13" s="2922"/>
      <c r="C13" s="2922"/>
      <c r="D13" s="2923"/>
      <c r="E13" s="2924"/>
      <c r="F13" s="2923"/>
      <c r="G13" s="2923"/>
      <c r="H13" s="2923"/>
      <c r="I13" s="2923"/>
      <c r="J13" s="2923"/>
      <c r="K13" s="2923"/>
      <c r="L13" s="2923"/>
      <c r="M13" s="2923"/>
      <c r="N13" s="2923"/>
      <c r="O13" s="2923"/>
      <c r="P13" s="2923"/>
      <c r="Q13" s="2923"/>
      <c r="R13" s="2923"/>
      <c r="S13" s="2923"/>
      <c r="T13" s="2923"/>
      <c r="U13" s="2923"/>
      <c r="V13" s="2923"/>
      <c r="W13" s="2923"/>
      <c r="X13" s="2928"/>
      <c r="Y13" s="2928"/>
      <c r="Z13" s="2928"/>
      <c r="AA13" s="2928"/>
      <c r="AB13" s="2928"/>
      <c r="AC13" s="2928"/>
      <c r="AD13" s="2928"/>
      <c r="AE13" s="2928"/>
      <c r="AF13" s="2928"/>
      <c r="AG13" s="2928"/>
      <c r="AH13" s="2928"/>
      <c r="AI13" s="2928"/>
      <c r="AJ13" s="2928"/>
      <c r="AK13" s="2928"/>
      <c r="AL13" s="2928"/>
      <c r="AM13" s="2928"/>
      <c r="AN13" s="2928"/>
      <c r="AO13" s="2928"/>
      <c r="AP13" s="2928"/>
      <c r="AQ13" s="2928"/>
      <c r="AR13" s="2928"/>
      <c r="AS13" s="2928"/>
      <c r="AT13" s="2928"/>
      <c r="AU13" s="2928"/>
      <c r="AV13" s="2928"/>
      <c r="AW13" s="2928"/>
      <c r="AX13" s="2928"/>
      <c r="AY13" s="2928"/>
      <c r="AZ13" s="2928"/>
      <c r="BA13" s="2928"/>
      <c r="BB13" s="2928"/>
      <c r="BC13" s="2928"/>
      <c r="BD13" s="2928"/>
      <c r="BE13" s="2928"/>
      <c r="BF13" s="2928"/>
      <c r="BG13" s="2928"/>
      <c r="BH13" s="2928"/>
      <c r="BI13" s="2928"/>
      <c r="BJ13" s="2928"/>
      <c r="BK13" s="2928"/>
      <c r="BL13" s="2928"/>
      <c r="BM13" s="2929"/>
      <c r="BN13" s="2930"/>
      <c r="BO13" s="2928"/>
      <c r="BP13" s="2928"/>
      <c r="BQ13" s="2928"/>
      <c r="BR13" s="2928"/>
      <c r="BS13" s="2928"/>
      <c r="BT13" s="2928"/>
      <c r="BU13" s="2928"/>
      <c r="BV13" s="2928"/>
      <c r="BW13" s="2928"/>
      <c r="BX13" s="2928"/>
      <c r="BY13" s="2928"/>
      <c r="BZ13" s="2928"/>
      <c r="CA13" s="2928"/>
      <c r="CB13" s="2928"/>
      <c r="CC13" s="2928"/>
      <c r="CD13" s="2928"/>
      <c r="CE13" s="2928"/>
      <c r="CF13" s="2928"/>
      <c r="CG13" s="2928"/>
      <c r="CH13" s="2928"/>
      <c r="CI13" s="2928"/>
      <c r="CJ13" s="2928"/>
      <c r="CK13" s="2931"/>
      <c r="CL13" s="2929"/>
      <c r="CM13" s="2929"/>
      <c r="CN13" s="2928"/>
      <c r="CO13" s="2928"/>
      <c r="CP13" s="2928"/>
      <c r="CQ13" s="2928"/>
      <c r="CR13" s="2928"/>
      <c r="CS13" s="2928"/>
      <c r="CT13" s="2928"/>
      <c r="CU13" s="2928"/>
      <c r="CV13" s="2928"/>
      <c r="CW13" s="2931"/>
      <c r="CX13" s="2932"/>
      <c r="CY13" s="2932"/>
      <c r="CZ13" s="2893"/>
      <c r="DB13" s="2932"/>
      <c r="DC13" s="2932"/>
      <c r="DD13" s="2933"/>
      <c r="DE13" s="2933"/>
      <c r="DF13" s="2935"/>
      <c r="DG13" s="2935"/>
      <c r="DH13" s="2903"/>
      <c r="DI13" s="2903"/>
      <c r="DJ13" s="2903"/>
      <c r="DK13" s="2903"/>
      <c r="DL13" s="2903"/>
      <c r="DM13" s="2903"/>
      <c r="DN13" s="2903"/>
      <c r="DO13" s="2903"/>
      <c r="DP13" s="2903"/>
      <c r="DQ13" s="2903"/>
      <c r="DR13" s="2903"/>
      <c r="DS13" s="2903"/>
      <c r="DT13" s="2903"/>
      <c r="DU13" s="2903"/>
      <c r="DV13" s="2903"/>
      <c r="DW13" s="2903"/>
      <c r="DX13" s="2903"/>
      <c r="DY13" s="2903"/>
      <c r="DZ13" s="2903"/>
      <c r="EA13" s="2903"/>
      <c r="EB13" s="2903"/>
      <c r="EC13" s="2903"/>
      <c r="ED13" s="2903"/>
      <c r="EE13" s="2903"/>
      <c r="EF13" s="2903"/>
      <c r="EG13" s="2903"/>
      <c r="EH13" s="2903"/>
      <c r="EI13" s="2903"/>
      <c r="EJ13" s="2903"/>
      <c r="EK13" s="2903"/>
      <c r="EL13" s="2903"/>
      <c r="EM13" s="2903"/>
      <c r="EN13" s="2903"/>
      <c r="EO13" s="2903"/>
    </row>
    <row r="14" spans="1:145" ht="13.5" thickBot="1">
      <c r="A14" s="2872"/>
      <c r="B14" s="2902"/>
      <c r="C14" s="2902"/>
      <c r="D14" s="2902"/>
      <c r="E14" s="2902"/>
      <c r="F14" s="2902"/>
      <c r="G14" s="2902"/>
      <c r="H14" s="2902"/>
      <c r="I14" s="2902"/>
      <c r="J14" s="2902"/>
      <c r="K14" s="2902"/>
      <c r="L14" s="2902"/>
      <c r="M14" s="2902"/>
      <c r="N14" s="2902"/>
      <c r="O14" s="2902"/>
      <c r="P14" s="2902"/>
      <c r="Q14" s="2902"/>
      <c r="R14" s="2902"/>
      <c r="S14" s="2902"/>
      <c r="T14" s="2902"/>
      <c r="U14" s="2902"/>
      <c r="V14" s="2902"/>
      <c r="W14" s="2902"/>
      <c r="X14" s="2902"/>
      <c r="Y14" s="2902"/>
      <c r="Z14" s="2902"/>
      <c r="AA14" s="2902"/>
      <c r="AB14" s="2902"/>
      <c r="AC14" s="2902"/>
      <c r="AD14" s="2902"/>
      <c r="AE14" s="2902"/>
      <c r="AF14" s="2902"/>
      <c r="AG14" s="2902"/>
      <c r="AH14" s="2902"/>
      <c r="AI14" s="2902"/>
      <c r="AJ14" s="2902"/>
      <c r="AK14" s="2902"/>
      <c r="AL14" s="2902"/>
      <c r="AM14" s="2902"/>
      <c r="AN14" s="2902"/>
      <c r="AO14" s="2902"/>
      <c r="AP14" s="2902"/>
      <c r="AQ14" s="2902"/>
      <c r="AR14" s="2902"/>
      <c r="AS14" s="2902"/>
      <c r="AT14" s="2902"/>
      <c r="AU14" s="2902"/>
      <c r="AV14" s="2902"/>
      <c r="AW14" s="2902"/>
      <c r="AX14" s="2902"/>
      <c r="AY14" s="2902"/>
      <c r="AZ14" s="2902"/>
      <c r="BA14" s="2902"/>
      <c r="BB14" s="2902"/>
      <c r="BC14" s="2902"/>
      <c r="BD14" s="2902"/>
      <c r="BE14" s="2902"/>
      <c r="BF14" s="2902"/>
      <c r="BG14" s="2902"/>
      <c r="BH14" s="2902"/>
      <c r="BI14" s="2902"/>
      <c r="BJ14" s="2902"/>
      <c r="BK14" s="2902"/>
      <c r="BL14" s="2902"/>
      <c r="BM14" s="2901"/>
      <c r="BN14" s="3556" t="s">
        <v>3663</v>
      </c>
      <c r="BO14" s="3557"/>
      <c r="BP14" s="3557"/>
      <c r="BQ14" s="3557"/>
      <c r="BR14" s="3557"/>
      <c r="BS14" s="3557"/>
      <c r="BT14" s="3557"/>
      <c r="BU14" s="3557"/>
      <c r="BV14" s="3557"/>
      <c r="BW14" s="3557"/>
      <c r="BX14" s="3557"/>
      <c r="BY14" s="3557"/>
      <c r="BZ14" s="3557"/>
      <c r="CA14" s="3557"/>
      <c r="CB14" s="3557"/>
      <c r="CC14" s="3557"/>
      <c r="CD14" s="3557"/>
      <c r="CE14" s="3557"/>
      <c r="CF14" s="3557"/>
      <c r="CG14" s="3557"/>
      <c r="CH14" s="3557"/>
      <c r="CI14" s="3557"/>
      <c r="CJ14" s="3557"/>
      <c r="CK14" s="3557"/>
      <c r="CL14" s="3557"/>
      <c r="CM14" s="3557"/>
      <c r="CN14" s="3557"/>
      <c r="CO14" s="3557"/>
      <c r="CP14" s="3557"/>
      <c r="CQ14" s="3557"/>
      <c r="CR14" s="3557"/>
      <c r="CS14" s="3557"/>
      <c r="CT14" s="3557"/>
      <c r="CU14" s="3557"/>
      <c r="CV14" s="3557"/>
      <c r="CW14" s="3557"/>
      <c r="CX14" s="3557"/>
      <c r="CY14" s="3557"/>
      <c r="CZ14" s="3557"/>
      <c r="DA14" s="3557"/>
      <c r="DB14" s="3557"/>
      <c r="DC14" s="3557"/>
      <c r="DD14" s="3557"/>
      <c r="DE14" s="3557"/>
      <c r="DF14" s="3557"/>
      <c r="DG14" s="3557"/>
      <c r="DH14" s="3557"/>
      <c r="DI14" s="3557"/>
      <c r="DJ14" s="3558"/>
      <c r="DK14" s="2912"/>
      <c r="DL14" s="2912"/>
      <c r="DM14" s="2912"/>
      <c r="DN14" s="2912"/>
      <c r="DO14" s="2912"/>
      <c r="DP14" s="2912"/>
      <c r="DQ14" s="2912"/>
      <c r="DR14" s="2912"/>
      <c r="DS14" s="2912"/>
      <c r="DT14" s="2912"/>
      <c r="DU14" s="2912"/>
      <c r="DV14" s="2912"/>
      <c r="DW14" s="2912"/>
      <c r="DX14" s="2912"/>
      <c r="DY14" s="2912"/>
      <c r="DZ14" s="2912"/>
      <c r="EA14" s="2912"/>
      <c r="EB14" s="2912"/>
      <c r="EC14" s="2912"/>
      <c r="ED14" s="2912"/>
      <c r="EE14" s="2912"/>
      <c r="EF14" s="2912"/>
      <c r="EG14" s="2912"/>
      <c r="EH14" s="2912"/>
      <c r="EI14" s="2912"/>
      <c r="EJ14" s="2912"/>
      <c r="EK14" s="2912"/>
      <c r="EL14" s="2912"/>
      <c r="EM14" s="2912"/>
      <c r="EN14" s="2912"/>
      <c r="EO14" s="2912"/>
    </row>
    <row r="15" spans="1:145">
      <c r="A15" s="2872"/>
      <c r="B15" s="2873"/>
      <c r="C15" s="2873"/>
      <c r="D15" s="2873"/>
      <c r="E15" s="2874"/>
      <c r="F15" s="2873"/>
      <c r="G15" s="2873"/>
      <c r="H15" s="2873"/>
      <c r="I15" s="2873"/>
      <c r="J15" s="2873"/>
      <c r="K15" s="2873"/>
      <c r="L15" s="2873"/>
      <c r="M15" s="2873"/>
      <c r="N15" s="2873"/>
      <c r="O15" s="2873"/>
      <c r="P15" s="2873"/>
      <c r="Q15" s="2873"/>
      <c r="R15" s="2873"/>
      <c r="S15" s="2873"/>
      <c r="T15" s="2873"/>
      <c r="U15" s="2873"/>
      <c r="V15" s="2873"/>
      <c r="W15" s="2873"/>
      <c r="X15" s="2873"/>
      <c r="Y15" s="2873"/>
      <c r="Z15" s="2873"/>
      <c r="AA15" s="2873"/>
      <c r="AB15" s="2873"/>
      <c r="AC15" s="2873"/>
      <c r="AD15" s="2873"/>
      <c r="AE15" s="2873"/>
      <c r="AF15" s="2873"/>
      <c r="AG15" s="2873"/>
      <c r="AH15" s="2873"/>
      <c r="AI15" s="2873"/>
      <c r="AJ15" s="2873"/>
      <c r="AK15" s="2873"/>
      <c r="AL15" s="2873"/>
      <c r="AM15" s="2873"/>
      <c r="AN15" s="2873"/>
      <c r="AO15" s="2873"/>
      <c r="AP15" s="2873"/>
      <c r="AQ15" s="2873"/>
      <c r="AR15" s="2873"/>
      <c r="AS15" s="2873"/>
      <c r="AT15" s="2873"/>
      <c r="AU15" s="2873"/>
      <c r="AV15" s="2873"/>
      <c r="AW15" s="2873"/>
      <c r="AX15" s="2873"/>
      <c r="AY15" s="2873"/>
      <c r="AZ15" s="2873"/>
      <c r="BA15" s="2873"/>
      <c r="BB15" s="2873"/>
      <c r="BC15" s="2873"/>
      <c r="BD15" s="2873"/>
      <c r="BE15" s="2873"/>
      <c r="BF15" s="2873"/>
      <c r="BG15" s="2873"/>
      <c r="BH15" s="2873"/>
      <c r="BI15" s="2873"/>
      <c r="BJ15" s="2873"/>
      <c r="BK15" s="2873"/>
      <c r="BL15" s="2873"/>
      <c r="BM15" s="2880"/>
      <c r="BN15" s="2881"/>
      <c r="BO15" s="2873"/>
      <c r="BP15" s="2873"/>
      <c r="BQ15" s="2873"/>
      <c r="BR15" s="2873"/>
      <c r="BS15" s="2873"/>
      <c r="BT15" s="2873"/>
      <c r="BU15" s="2873"/>
      <c r="BV15" s="2873"/>
      <c r="BW15" s="2873"/>
      <c r="BX15" s="2873"/>
      <c r="BY15" s="2873"/>
      <c r="BZ15" s="2873"/>
      <c r="CA15" s="2873"/>
      <c r="CB15" s="2873"/>
      <c r="CC15" s="2873"/>
      <c r="CD15" s="2873"/>
      <c r="CE15" s="2873"/>
      <c r="CF15" s="2873"/>
      <c r="CG15" s="2873"/>
      <c r="CH15" s="2873"/>
      <c r="CI15" s="2873"/>
      <c r="CJ15" s="2873"/>
      <c r="CK15" s="2882"/>
      <c r="CL15" s="2880"/>
      <c r="CM15" s="2880"/>
      <c r="CN15" s="2873"/>
      <c r="CO15" s="2873"/>
      <c r="CP15" s="2873"/>
      <c r="CQ15" s="2873"/>
      <c r="CR15" s="2873"/>
      <c r="CS15" s="2873"/>
      <c r="CT15" s="2873"/>
      <c r="CU15" s="2873"/>
      <c r="CV15" s="2873"/>
      <c r="CW15" s="2882"/>
      <c r="CX15" s="2901"/>
      <c r="CY15" s="2901"/>
      <c r="CZ15" s="2902"/>
      <c r="DB15" s="2901"/>
      <c r="DC15" s="2936"/>
      <c r="DD15" s="2904"/>
      <c r="DE15" s="2904"/>
      <c r="DF15" s="2913"/>
      <c r="DG15" s="2913"/>
      <c r="DH15" s="2904"/>
      <c r="DI15" s="2904"/>
      <c r="DJ15" s="2904"/>
      <c r="DK15" s="2904"/>
      <c r="DL15" s="2904"/>
      <c r="DM15" s="2904"/>
      <c r="DN15" s="2904"/>
      <c r="DO15" s="2904"/>
      <c r="DP15" s="2904"/>
      <c r="DQ15" s="2904"/>
      <c r="DR15" s="2904"/>
      <c r="DS15" s="2904"/>
      <c r="DT15" s="2904"/>
      <c r="DU15" s="2904"/>
      <c r="DV15" s="2904"/>
      <c r="DW15" s="2904"/>
      <c r="DX15" s="2904"/>
      <c r="DY15" s="2904"/>
      <c r="DZ15" s="2904"/>
      <c r="EA15" s="2904"/>
      <c r="EB15" s="2904"/>
      <c r="EC15" s="2904"/>
      <c r="ED15" s="2904"/>
      <c r="EE15" s="2904"/>
      <c r="EF15" s="2904"/>
      <c r="EG15" s="2904"/>
      <c r="EH15" s="2904"/>
      <c r="EI15" s="2904"/>
      <c r="EJ15" s="2904"/>
      <c r="EK15" s="2904"/>
      <c r="EL15" s="2904"/>
      <c r="EM15" s="2904"/>
      <c r="EN15" s="2904"/>
      <c r="EO15" s="2904"/>
    </row>
    <row r="16" spans="1:145" s="2900" customFormat="1">
      <c r="A16" s="2937" t="s">
        <v>3668</v>
      </c>
      <c r="B16" s="2897"/>
      <c r="C16" s="2897"/>
      <c r="D16" s="2896"/>
      <c r="E16" s="2915"/>
      <c r="F16" s="2896"/>
      <c r="G16" s="2896"/>
      <c r="H16" s="2896"/>
      <c r="I16" s="2896"/>
      <c r="J16" s="2896"/>
      <c r="K16" s="2896"/>
      <c r="L16" s="2896"/>
      <c r="M16" s="2896"/>
      <c r="N16" s="2896"/>
      <c r="O16" s="2896"/>
      <c r="P16" s="2896"/>
      <c r="Q16" s="2896"/>
      <c r="R16" s="2896"/>
      <c r="S16" s="2896"/>
      <c r="T16" s="2896"/>
      <c r="U16" s="2896"/>
      <c r="V16" s="2896"/>
      <c r="W16" s="2896"/>
      <c r="X16" s="2896"/>
      <c r="Y16" s="2896"/>
      <c r="Z16" s="2896"/>
      <c r="AA16" s="2896"/>
      <c r="AB16" s="2896"/>
      <c r="AC16" s="2896"/>
      <c r="AD16" s="2896"/>
      <c r="AE16" s="2896"/>
      <c r="AF16" s="2896"/>
      <c r="AG16" s="2896"/>
      <c r="AH16" s="2896"/>
      <c r="AI16" s="2896"/>
      <c r="AJ16" s="2896"/>
      <c r="AK16" s="2896"/>
      <c r="AL16" s="2896"/>
      <c r="AM16" s="2896"/>
      <c r="AN16" s="2896"/>
      <c r="AO16" s="2896"/>
      <c r="AP16" s="2896"/>
      <c r="AQ16" s="2896"/>
      <c r="AR16" s="2896"/>
      <c r="AS16" s="2896"/>
      <c r="AT16" s="2896"/>
      <c r="AU16" s="2896"/>
      <c r="AV16" s="2896"/>
      <c r="AW16" s="2896"/>
      <c r="AX16" s="2896"/>
      <c r="AY16" s="2896"/>
      <c r="AZ16" s="2896"/>
      <c r="BA16" s="2896"/>
      <c r="BB16" s="2896"/>
      <c r="BC16" s="2896"/>
      <c r="BD16" s="2896"/>
      <c r="BE16" s="2896"/>
      <c r="BF16" s="2896"/>
      <c r="BG16" s="2896"/>
      <c r="BH16" s="2896"/>
      <c r="BI16" s="2896"/>
      <c r="BJ16" s="2896"/>
      <c r="BK16" s="2896"/>
      <c r="BL16" s="2896"/>
      <c r="BM16" s="2938"/>
      <c r="BN16" s="2939"/>
      <c r="BO16" s="2896"/>
      <c r="BP16" s="2896"/>
      <c r="BQ16" s="2896"/>
      <c r="BR16" s="2896"/>
      <c r="BS16" s="2896"/>
      <c r="BT16" s="2896"/>
      <c r="BU16" s="2896"/>
      <c r="BV16" s="2896"/>
      <c r="BW16" s="2896"/>
      <c r="BX16" s="2896"/>
      <c r="BY16" s="2896"/>
      <c r="BZ16" s="2896"/>
      <c r="CA16" s="2896"/>
      <c r="CB16" s="2896"/>
      <c r="CC16" s="2896"/>
      <c r="CD16" s="2896"/>
      <c r="CE16" s="2896"/>
      <c r="CF16" s="2896"/>
      <c r="CG16" s="2896"/>
      <c r="CH16" s="2896"/>
      <c r="CI16" s="2896"/>
      <c r="CJ16" s="2896"/>
      <c r="CK16" s="2940"/>
      <c r="CL16" s="2938"/>
      <c r="CM16" s="2938"/>
      <c r="CN16" s="2896"/>
      <c r="CO16" s="2896"/>
      <c r="CP16" s="2896"/>
      <c r="CQ16" s="2896"/>
      <c r="CR16" s="2941"/>
      <c r="CS16" s="2941"/>
      <c r="CT16" s="2941"/>
      <c r="CU16" s="2941"/>
      <c r="CV16" s="2941"/>
      <c r="CW16" s="2942"/>
      <c r="CX16" s="2898"/>
      <c r="CY16" s="2898"/>
      <c r="CZ16" s="2897"/>
      <c r="DB16" s="2898"/>
      <c r="DC16" s="2943"/>
      <c r="DD16" s="2920"/>
      <c r="DE16" s="2920"/>
      <c r="DF16" s="2921"/>
      <c r="DG16" s="2921"/>
      <c r="DH16" s="2920"/>
      <c r="DI16" s="2920"/>
      <c r="DJ16" s="2920"/>
      <c r="DK16" s="2920"/>
      <c r="DL16" s="2920"/>
      <c r="DM16" s="2920"/>
      <c r="DN16" s="2920"/>
      <c r="DO16" s="2920"/>
      <c r="DP16" s="2920"/>
      <c r="DQ16" s="2920"/>
      <c r="DR16" s="2920"/>
      <c r="DS16" s="2920"/>
      <c r="DT16" s="2920"/>
      <c r="DU16" s="2920"/>
      <c r="DV16" s="2920"/>
      <c r="DW16" s="2920"/>
      <c r="DX16" s="2920"/>
      <c r="DY16" s="2920"/>
      <c r="DZ16" s="2920"/>
      <c r="EA16" s="2920"/>
      <c r="EB16" s="2920"/>
      <c r="EC16" s="2920"/>
      <c r="ED16" s="2920"/>
      <c r="EE16" s="2920"/>
      <c r="EF16" s="2920"/>
      <c r="EG16" s="2920"/>
      <c r="EH16" s="2920"/>
      <c r="EI16" s="2920"/>
      <c r="EJ16" s="2920"/>
      <c r="EK16" s="2920"/>
      <c r="EL16" s="2920"/>
      <c r="EM16" s="2920"/>
      <c r="EN16" s="2920"/>
      <c r="EO16" s="2920"/>
    </row>
    <row r="17" spans="1:145" s="2900" customFormat="1">
      <c r="A17" s="2937" t="s">
        <v>3669</v>
      </c>
      <c r="B17" s="2897">
        <v>98461</v>
      </c>
      <c r="C17" s="2897">
        <v>100179</v>
      </c>
      <c r="D17" s="2896">
        <v>101678</v>
      </c>
      <c r="E17" s="2915">
        <v>102089</v>
      </c>
      <c r="F17" s="2896">
        <v>105284</v>
      </c>
      <c r="G17" s="2896">
        <v>106388</v>
      </c>
      <c r="H17" s="2896">
        <v>107796</v>
      </c>
      <c r="I17" s="2896">
        <v>108822</v>
      </c>
      <c r="J17" s="2896">
        <v>109737</v>
      </c>
      <c r="K17" s="2896">
        <v>111367</v>
      </c>
      <c r="L17" s="2896">
        <v>112120</v>
      </c>
      <c r="M17" s="2896">
        <v>112468</v>
      </c>
      <c r="N17" s="2896">
        <v>113907</v>
      </c>
      <c r="O17" s="2896">
        <v>114154</v>
      </c>
      <c r="P17" s="2896">
        <v>116237</v>
      </c>
      <c r="Q17" s="2896">
        <v>117070</v>
      </c>
      <c r="R17" s="2896">
        <v>118198</v>
      </c>
      <c r="S17" s="2896">
        <v>119673</v>
      </c>
      <c r="T17" s="2896">
        <v>120786</v>
      </c>
      <c r="U17" s="2896">
        <v>120657</v>
      </c>
      <c r="V17" s="2896">
        <v>123141</v>
      </c>
      <c r="W17" s="2896">
        <v>125313</v>
      </c>
      <c r="X17" s="2896">
        <v>126416</v>
      </c>
      <c r="Y17" s="2896">
        <v>127380</v>
      </c>
      <c r="Z17" s="2896">
        <v>128206</v>
      </c>
      <c r="AA17" s="2896">
        <v>131452</v>
      </c>
      <c r="AB17" s="2896">
        <v>134045</v>
      </c>
      <c r="AC17" s="2896">
        <v>136883</v>
      </c>
      <c r="AD17" s="2896">
        <v>140885</v>
      </c>
      <c r="AE17" s="2896">
        <v>143170</v>
      </c>
      <c r="AF17" s="2896">
        <v>143998</v>
      </c>
      <c r="AG17" s="2896">
        <v>144395</v>
      </c>
      <c r="AH17" s="2896">
        <v>146046</v>
      </c>
      <c r="AI17" s="2896">
        <v>147848</v>
      </c>
      <c r="AJ17" s="2896">
        <v>149603</v>
      </c>
      <c r="AK17" s="2896">
        <v>150211</v>
      </c>
      <c r="AL17" s="2896">
        <v>150872</v>
      </c>
      <c r="AM17" s="2896">
        <v>150016</v>
      </c>
      <c r="AN17" s="2896">
        <v>151682</v>
      </c>
      <c r="AO17" s="2896">
        <v>153062</v>
      </c>
      <c r="AP17" s="2896">
        <v>154063</v>
      </c>
      <c r="AQ17" s="2896">
        <v>155043</v>
      </c>
      <c r="AR17" s="2896">
        <v>155782</v>
      </c>
      <c r="AS17" s="2896">
        <v>156658</v>
      </c>
      <c r="AT17" s="2896">
        <v>157893</v>
      </c>
      <c r="AU17" s="2896">
        <v>159111</v>
      </c>
      <c r="AV17" s="2896">
        <v>159674</v>
      </c>
      <c r="AW17" s="2896">
        <v>161126</v>
      </c>
      <c r="AX17" s="2896">
        <v>161416</v>
      </c>
      <c r="AY17" s="2896">
        <v>161034</v>
      </c>
      <c r="AZ17" s="2896">
        <v>162358</v>
      </c>
      <c r="BA17" s="2896">
        <v>162946</v>
      </c>
      <c r="BB17" s="2896">
        <v>164030</v>
      </c>
      <c r="BC17" s="2896">
        <v>164711</v>
      </c>
      <c r="BD17" s="2896">
        <v>166153</v>
      </c>
      <c r="BE17" s="2896">
        <v>167820</v>
      </c>
      <c r="BF17" s="2896">
        <v>168889</v>
      </c>
      <c r="BG17" s="2896">
        <v>169205</v>
      </c>
      <c r="BH17" s="2896">
        <v>169620</v>
      </c>
      <c r="BI17" s="2896">
        <v>169913</v>
      </c>
      <c r="BJ17" s="2896">
        <v>170505</v>
      </c>
      <c r="BK17" s="2896">
        <v>172432</v>
      </c>
      <c r="BL17" s="2896">
        <v>170024</v>
      </c>
      <c r="BM17" s="2938">
        <v>171017</v>
      </c>
      <c r="BN17" s="2939">
        <v>171764</v>
      </c>
      <c r="BO17" s="2896">
        <v>172767</v>
      </c>
      <c r="BP17" s="2896">
        <v>173384</v>
      </c>
      <c r="BQ17" s="2896">
        <v>173979</v>
      </c>
      <c r="BR17" s="2896">
        <v>174541</v>
      </c>
      <c r="BS17" s="2896">
        <v>175773</v>
      </c>
      <c r="BT17" s="2896">
        <v>176562</v>
      </c>
      <c r="BU17" s="2896">
        <v>176864</v>
      </c>
      <c r="BV17" s="2896">
        <v>177803</v>
      </c>
      <c r="BW17" s="2896">
        <v>178947</v>
      </c>
      <c r="BX17" s="2896">
        <v>180430</v>
      </c>
      <c r="BY17" s="2896">
        <v>181330</v>
      </c>
      <c r="BZ17" s="2896">
        <v>182860</v>
      </c>
      <c r="CA17" s="2896">
        <v>187949</v>
      </c>
      <c r="CB17" s="2896">
        <v>190677</v>
      </c>
      <c r="CC17" s="2896">
        <v>189689</v>
      </c>
      <c r="CD17" s="2896">
        <v>189703</v>
      </c>
      <c r="CE17" s="2896">
        <v>190203</v>
      </c>
      <c r="CF17" s="2896">
        <v>190568</v>
      </c>
      <c r="CG17" s="2896">
        <v>191032</v>
      </c>
      <c r="CH17" s="2896">
        <v>191481</v>
      </c>
      <c r="CI17" s="2896">
        <v>192433</v>
      </c>
      <c r="CJ17" s="2896">
        <v>190525</v>
      </c>
      <c r="CK17" s="2940">
        <v>191042</v>
      </c>
      <c r="CL17" s="2938">
        <v>192406</v>
      </c>
      <c r="CM17" s="2938">
        <v>193079</v>
      </c>
      <c r="CN17" s="2896">
        <v>196457</v>
      </c>
      <c r="CO17" s="2896">
        <v>196003</v>
      </c>
      <c r="CP17" s="2896">
        <v>196594</v>
      </c>
      <c r="CQ17" s="2896">
        <v>196780</v>
      </c>
      <c r="CR17" s="2941">
        <v>152666</v>
      </c>
      <c r="CS17" s="2941">
        <v>155261</v>
      </c>
      <c r="CT17" s="2941">
        <v>160637</v>
      </c>
      <c r="CU17" s="2941">
        <v>158911</v>
      </c>
      <c r="CV17" s="2941">
        <v>160220</v>
      </c>
      <c r="CW17" s="2942">
        <v>161839</v>
      </c>
      <c r="CX17" s="2898">
        <v>164627</v>
      </c>
      <c r="CY17" s="2898">
        <v>166714</v>
      </c>
      <c r="CZ17" s="2897">
        <v>168574</v>
      </c>
      <c r="DA17" s="2900">
        <v>180185</v>
      </c>
      <c r="DB17" s="2898">
        <v>184451</v>
      </c>
      <c r="DC17" s="2897">
        <v>191094</v>
      </c>
      <c r="DD17" s="2920">
        <v>191933</v>
      </c>
      <c r="DE17" s="2921">
        <v>189820</v>
      </c>
      <c r="DF17" s="2921">
        <v>190988</v>
      </c>
      <c r="DG17" s="2944" t="s">
        <v>3670</v>
      </c>
      <c r="DH17" s="2920">
        <v>198311</v>
      </c>
      <c r="DI17" s="2920">
        <v>201116</v>
      </c>
      <c r="DJ17" s="2920">
        <v>202219</v>
      </c>
      <c r="DK17" s="2920">
        <v>200796</v>
      </c>
      <c r="DL17" s="2920">
        <v>201134</v>
      </c>
      <c r="DM17" s="2920">
        <v>202980</v>
      </c>
      <c r="DN17" s="2920">
        <v>204286</v>
      </c>
      <c r="DO17" s="2920">
        <v>205880</v>
      </c>
      <c r="DP17" s="2920">
        <v>207266</v>
      </c>
      <c r="DQ17" s="2920">
        <v>207659</v>
      </c>
      <c r="DR17" s="2945" t="s">
        <v>3671</v>
      </c>
      <c r="DS17" s="2920">
        <v>203285</v>
      </c>
      <c r="DT17" s="2920">
        <v>207205</v>
      </c>
      <c r="DU17" s="2920">
        <v>210519</v>
      </c>
      <c r="DV17" s="2920">
        <v>210572</v>
      </c>
      <c r="DW17" s="2920">
        <v>211212</v>
      </c>
      <c r="DX17" s="2920">
        <v>211848</v>
      </c>
      <c r="DY17" s="2920">
        <v>213247</v>
      </c>
      <c r="DZ17" s="2920">
        <v>214327</v>
      </c>
      <c r="EA17" s="2920">
        <v>215805</v>
      </c>
      <c r="EB17" s="2920">
        <v>217135</v>
      </c>
      <c r="EC17" s="2920">
        <v>217833</v>
      </c>
      <c r="ED17" s="2920">
        <v>218440</v>
      </c>
      <c r="EE17" s="2920">
        <v>220363</v>
      </c>
      <c r="EF17" s="2920">
        <v>222289</v>
      </c>
      <c r="EG17" s="2920">
        <v>223633</v>
      </c>
      <c r="EH17" s="2920">
        <v>226293</v>
      </c>
      <c r="EI17" s="2920">
        <v>228062</v>
      </c>
      <c r="EJ17" s="2920">
        <v>230520</v>
      </c>
      <c r="EK17" s="2920">
        <v>232313</v>
      </c>
      <c r="EL17" s="2920">
        <v>234282</v>
      </c>
      <c r="EM17" s="2920">
        <v>236503</v>
      </c>
      <c r="EN17" s="2920">
        <v>237812</v>
      </c>
      <c r="EO17" s="2920">
        <v>239431</v>
      </c>
    </row>
    <row r="18" spans="1:145" s="2900" customFormat="1" ht="15">
      <c r="A18" s="2937" t="s">
        <v>3672</v>
      </c>
      <c r="B18" s="2946">
        <v>412499</v>
      </c>
      <c r="C18" s="2946">
        <v>413977</v>
      </c>
      <c r="D18" s="2947">
        <v>419776</v>
      </c>
      <c r="E18" s="2948">
        <v>420067</v>
      </c>
      <c r="F18" s="2947">
        <v>438866</v>
      </c>
      <c r="G18" s="2947">
        <v>444677</v>
      </c>
      <c r="H18" s="2947">
        <v>449292</v>
      </c>
      <c r="I18" s="2947">
        <v>482422</v>
      </c>
      <c r="J18" s="2947">
        <v>459930</v>
      </c>
      <c r="K18" s="2947">
        <v>464109</v>
      </c>
      <c r="L18" s="2947">
        <v>468272</v>
      </c>
      <c r="M18" s="2947">
        <v>472179</v>
      </c>
      <c r="N18" s="2947">
        <v>476674</v>
      </c>
      <c r="O18" s="2947">
        <v>481461</v>
      </c>
      <c r="P18" s="2947">
        <v>486311</v>
      </c>
      <c r="Q18" s="2947">
        <v>489838</v>
      </c>
      <c r="R18" s="2947">
        <v>492651</v>
      </c>
      <c r="S18" s="2947">
        <v>497797</v>
      </c>
      <c r="T18" s="2947">
        <v>502131</v>
      </c>
      <c r="U18" s="2947">
        <v>505991</v>
      </c>
      <c r="V18" s="2947">
        <v>509500</v>
      </c>
      <c r="W18" s="2947">
        <v>516809</v>
      </c>
      <c r="X18" s="2947">
        <v>521225</v>
      </c>
      <c r="Y18" s="2947">
        <v>526761</v>
      </c>
      <c r="Z18" s="2947">
        <v>530517</v>
      </c>
      <c r="AA18" s="2947">
        <v>538328</v>
      </c>
      <c r="AB18" s="2947">
        <v>543788</v>
      </c>
      <c r="AC18" s="2947">
        <v>548350</v>
      </c>
      <c r="AD18" s="2947">
        <v>554691</v>
      </c>
      <c r="AE18" s="2947">
        <v>558066</v>
      </c>
      <c r="AF18" s="2947">
        <v>562896</v>
      </c>
      <c r="AG18" s="2947">
        <f>(560680+6417)</f>
        <v>567097</v>
      </c>
      <c r="AH18" s="2947">
        <v>572850</v>
      </c>
      <c r="AI18" s="2947">
        <v>576095</v>
      </c>
      <c r="AJ18" s="2947">
        <v>580272</v>
      </c>
      <c r="AK18" s="2947">
        <v>584711</v>
      </c>
      <c r="AL18" s="2947">
        <f>582224+7041</f>
        <v>589265</v>
      </c>
      <c r="AM18" s="2947">
        <f>569181+7188</f>
        <v>576369</v>
      </c>
      <c r="AN18" s="2947">
        <f>576313+7320</f>
        <v>583633</v>
      </c>
      <c r="AO18" s="2947">
        <f>584304+7398</f>
        <v>591702</v>
      </c>
      <c r="AP18" s="2947">
        <f>588675+7522</f>
        <v>596197</v>
      </c>
      <c r="AQ18" s="2947">
        <f>606336+7691</f>
        <v>614027</v>
      </c>
      <c r="AR18" s="2947">
        <v>618766</v>
      </c>
      <c r="AS18" s="2947">
        <f>622751+8058</f>
        <v>630809</v>
      </c>
      <c r="AT18" s="2947">
        <f>630040+8193</f>
        <v>638233</v>
      </c>
      <c r="AU18" s="2947">
        <v>643289</v>
      </c>
      <c r="AV18" s="2947">
        <f>640444+9593</f>
        <v>650037</v>
      </c>
      <c r="AW18" s="2947">
        <f>649927+8491</f>
        <v>658418</v>
      </c>
      <c r="AX18" s="2947">
        <v>661690</v>
      </c>
      <c r="AY18" s="2947">
        <f>655060+8589</f>
        <v>663649</v>
      </c>
      <c r="AZ18" s="2947">
        <f>659841+8814</f>
        <v>668655</v>
      </c>
      <c r="BA18" s="2947">
        <v>672629</v>
      </c>
      <c r="BB18" s="2947">
        <v>689037</v>
      </c>
      <c r="BC18" s="2947">
        <v>701333</v>
      </c>
      <c r="BD18" s="2947">
        <v>605040</v>
      </c>
      <c r="BE18" s="2947">
        <v>611220</v>
      </c>
      <c r="BF18" s="2947">
        <v>615204</v>
      </c>
      <c r="BG18" s="2947">
        <v>620471</v>
      </c>
      <c r="BH18" s="2947">
        <v>625786</v>
      </c>
      <c r="BI18" s="2947">
        <v>631299</v>
      </c>
      <c r="BJ18" s="2947">
        <v>635620</v>
      </c>
      <c r="BK18" s="2947">
        <v>642937</v>
      </c>
      <c r="BL18" s="2947">
        <v>647222</v>
      </c>
      <c r="BM18" s="2949">
        <v>653348</v>
      </c>
      <c r="BN18" s="2939">
        <v>659622</v>
      </c>
      <c r="BO18" s="2947">
        <v>663924</v>
      </c>
      <c r="BP18" s="2947">
        <v>668304</v>
      </c>
      <c r="BQ18" s="2947">
        <v>674409</v>
      </c>
      <c r="BR18" s="2947">
        <v>679656</v>
      </c>
      <c r="BS18" s="2947">
        <v>685521</v>
      </c>
      <c r="BT18" s="2896">
        <v>691864</v>
      </c>
      <c r="BU18" s="2896">
        <v>696340</v>
      </c>
      <c r="BV18" s="2896">
        <v>700919</v>
      </c>
      <c r="BW18" s="2896">
        <v>706516</v>
      </c>
      <c r="BX18" s="2896">
        <v>712951</v>
      </c>
      <c r="BY18" s="2896">
        <v>718915</v>
      </c>
      <c r="BZ18" s="2896">
        <v>725816</v>
      </c>
      <c r="CA18" s="2896">
        <v>750105</v>
      </c>
      <c r="CB18" s="2896">
        <v>772049</v>
      </c>
      <c r="CC18" s="2896">
        <f>766530+12983</f>
        <v>779513</v>
      </c>
      <c r="CD18" s="2896">
        <v>781817</v>
      </c>
      <c r="CE18" s="2896">
        <v>786809</v>
      </c>
      <c r="CF18" s="2896">
        <v>806145</v>
      </c>
      <c r="CG18" s="2896">
        <v>814584</v>
      </c>
      <c r="CH18" s="2896">
        <v>846608</v>
      </c>
      <c r="CI18" s="2896">
        <v>851312</v>
      </c>
      <c r="CJ18" s="2896">
        <v>814601</v>
      </c>
      <c r="CK18" s="2940">
        <v>823424</v>
      </c>
      <c r="CL18" s="2938">
        <v>828042</v>
      </c>
      <c r="CM18" s="2938">
        <v>832748</v>
      </c>
      <c r="CN18" s="2896">
        <v>829679</v>
      </c>
      <c r="CO18" s="2896">
        <v>834349</v>
      </c>
      <c r="CP18" s="2896">
        <v>828152</v>
      </c>
      <c r="CQ18" s="2896">
        <v>846217</v>
      </c>
      <c r="CR18" s="2896">
        <v>854004</v>
      </c>
      <c r="CS18" s="2896">
        <v>862632</v>
      </c>
      <c r="CT18" s="2896">
        <f>854966+16233</f>
        <v>871199</v>
      </c>
      <c r="CU18" s="2896">
        <v>878077</v>
      </c>
      <c r="CV18" s="2896">
        <v>886894</v>
      </c>
      <c r="CW18" s="2940">
        <v>892794</v>
      </c>
      <c r="CX18" s="2898">
        <v>901950</v>
      </c>
      <c r="CY18" s="2898">
        <v>908166</v>
      </c>
      <c r="CZ18" s="2897">
        <v>915444</v>
      </c>
      <c r="DA18" s="2900">
        <v>916183</v>
      </c>
      <c r="DB18" s="2898">
        <v>977936</v>
      </c>
      <c r="DC18" s="2897">
        <v>1015917</v>
      </c>
      <c r="DD18" s="2920">
        <v>1049315</v>
      </c>
      <c r="DE18" s="2921">
        <v>1062053</v>
      </c>
      <c r="DF18" s="2921">
        <f>1051479+20468</f>
        <v>1071947</v>
      </c>
      <c r="DG18" s="2921">
        <v>972928</v>
      </c>
      <c r="DH18" s="2920">
        <v>978436</v>
      </c>
      <c r="DI18" s="2920">
        <v>1005902.59</v>
      </c>
      <c r="DJ18" s="2920">
        <f>970183+21107</f>
        <v>991290</v>
      </c>
      <c r="DK18" s="2920">
        <f>960740+21193</f>
        <v>981933</v>
      </c>
      <c r="DL18" s="2920">
        <f>982346+21311</f>
        <v>1003657</v>
      </c>
      <c r="DM18" s="2920">
        <f>990888+21847</f>
        <v>1012735</v>
      </c>
      <c r="DN18" s="2920">
        <v>1019040</v>
      </c>
      <c r="DO18" s="2920">
        <f>999720+13566</f>
        <v>1013286</v>
      </c>
      <c r="DP18" s="2920">
        <f>1007804+14127</f>
        <v>1021931</v>
      </c>
      <c r="DQ18" s="2920">
        <v>1032878</v>
      </c>
      <c r="DR18" s="2920">
        <v>1036513</v>
      </c>
      <c r="DS18" s="2920">
        <v>1044669</v>
      </c>
      <c r="DT18" s="2920">
        <v>1052460</v>
      </c>
      <c r="DU18" s="2920">
        <f>1052729+13919</f>
        <v>1066648</v>
      </c>
      <c r="DV18" s="2920">
        <v>1065766</v>
      </c>
      <c r="DW18" s="2920">
        <v>1079342</v>
      </c>
      <c r="DX18" s="2920">
        <v>1084688</v>
      </c>
      <c r="DY18" s="2920">
        <v>1089251</v>
      </c>
      <c r="DZ18" s="2920">
        <v>1096021</v>
      </c>
      <c r="EA18" s="2920">
        <v>1108805</v>
      </c>
      <c r="EB18" s="2920">
        <v>1117370</v>
      </c>
      <c r="EC18" s="2920">
        <v>1125462</v>
      </c>
      <c r="ED18" s="2920">
        <v>1123191</v>
      </c>
      <c r="EE18" s="2920">
        <v>1131773</v>
      </c>
      <c r="EF18" s="2920">
        <v>1137796</v>
      </c>
      <c r="EG18" s="2920">
        <v>1145652</v>
      </c>
      <c r="EH18" s="2920">
        <v>1152561</v>
      </c>
      <c r="EI18" s="2920">
        <v>1158333</v>
      </c>
      <c r="EJ18" s="2920">
        <f>1133637+22396</f>
        <v>1156033</v>
      </c>
      <c r="EK18" s="2920">
        <v>1160146</v>
      </c>
      <c r="EL18" s="2920">
        <v>1166886</v>
      </c>
      <c r="EM18" s="2920">
        <v>1173671</v>
      </c>
      <c r="EN18" s="2920">
        <v>1172152</v>
      </c>
      <c r="EO18" s="2920">
        <v>1179490</v>
      </c>
    </row>
    <row r="19" spans="1:145" s="2900" customFormat="1" ht="15">
      <c r="A19" s="2937" t="s">
        <v>3673</v>
      </c>
      <c r="B19" s="2946">
        <f t="shared" ref="B19:T19" si="0">SUM(B17:B18)</f>
        <v>510960</v>
      </c>
      <c r="C19" s="2946">
        <f t="shared" si="0"/>
        <v>514156</v>
      </c>
      <c r="D19" s="2947">
        <f t="shared" si="0"/>
        <v>521454</v>
      </c>
      <c r="E19" s="2948">
        <f t="shared" si="0"/>
        <v>522156</v>
      </c>
      <c r="F19" s="2947">
        <f t="shared" si="0"/>
        <v>544150</v>
      </c>
      <c r="G19" s="2947">
        <f t="shared" si="0"/>
        <v>551065</v>
      </c>
      <c r="H19" s="2947">
        <f t="shared" si="0"/>
        <v>557088</v>
      </c>
      <c r="I19" s="2947">
        <f t="shared" si="0"/>
        <v>591244</v>
      </c>
      <c r="J19" s="2947">
        <f t="shared" si="0"/>
        <v>569667</v>
      </c>
      <c r="K19" s="2947">
        <f t="shared" si="0"/>
        <v>575476</v>
      </c>
      <c r="L19" s="2947">
        <f t="shared" si="0"/>
        <v>580392</v>
      </c>
      <c r="M19" s="2947">
        <f t="shared" si="0"/>
        <v>584647</v>
      </c>
      <c r="N19" s="2947">
        <f t="shared" si="0"/>
        <v>590581</v>
      </c>
      <c r="O19" s="2947">
        <f t="shared" si="0"/>
        <v>595615</v>
      </c>
      <c r="P19" s="2947">
        <f t="shared" si="0"/>
        <v>602548</v>
      </c>
      <c r="Q19" s="2947">
        <f t="shared" si="0"/>
        <v>606908</v>
      </c>
      <c r="R19" s="2947">
        <f t="shared" si="0"/>
        <v>610849</v>
      </c>
      <c r="S19" s="2947">
        <f t="shared" si="0"/>
        <v>617470</v>
      </c>
      <c r="T19" s="2947">
        <f t="shared" si="0"/>
        <v>622917</v>
      </c>
      <c r="U19" s="2947">
        <v>626648</v>
      </c>
      <c r="V19" s="2947">
        <f t="shared" ref="V19:AF19" si="1">SUM(V17:V18)</f>
        <v>632641</v>
      </c>
      <c r="W19" s="2947">
        <f t="shared" si="1"/>
        <v>642122</v>
      </c>
      <c r="X19" s="2947">
        <f t="shared" si="1"/>
        <v>647641</v>
      </c>
      <c r="Y19" s="2947">
        <f t="shared" si="1"/>
        <v>654141</v>
      </c>
      <c r="Z19" s="2947">
        <f t="shared" si="1"/>
        <v>658723</v>
      </c>
      <c r="AA19" s="2947">
        <f t="shared" si="1"/>
        <v>669780</v>
      </c>
      <c r="AB19" s="2947">
        <f t="shared" si="1"/>
        <v>677833</v>
      </c>
      <c r="AC19" s="2947">
        <f t="shared" si="1"/>
        <v>685233</v>
      </c>
      <c r="AD19" s="2947">
        <f t="shared" si="1"/>
        <v>695576</v>
      </c>
      <c r="AE19" s="2947">
        <f t="shared" si="1"/>
        <v>701236</v>
      </c>
      <c r="AF19" s="2947">
        <f t="shared" si="1"/>
        <v>706894</v>
      </c>
      <c r="AG19" s="2947">
        <f>SUM(AG17:AG18)</f>
        <v>711492</v>
      </c>
      <c r="AH19" s="2947">
        <f>SUM(AH17:AH18)</f>
        <v>718896</v>
      </c>
      <c r="AI19" s="2947">
        <v>723943</v>
      </c>
      <c r="AJ19" s="2947">
        <f t="shared" ref="AJ19:AW19" si="2">AJ17+AJ18</f>
        <v>729875</v>
      </c>
      <c r="AK19" s="2947">
        <f t="shared" si="2"/>
        <v>734922</v>
      </c>
      <c r="AL19" s="2947">
        <f t="shared" si="2"/>
        <v>740137</v>
      </c>
      <c r="AM19" s="2947">
        <f t="shared" si="2"/>
        <v>726385</v>
      </c>
      <c r="AN19" s="2947">
        <f t="shared" si="2"/>
        <v>735315</v>
      </c>
      <c r="AO19" s="2947">
        <f t="shared" si="2"/>
        <v>744764</v>
      </c>
      <c r="AP19" s="2947">
        <f t="shared" si="2"/>
        <v>750260</v>
      </c>
      <c r="AQ19" s="2947">
        <f t="shared" si="2"/>
        <v>769070</v>
      </c>
      <c r="AR19" s="2947">
        <f t="shared" si="2"/>
        <v>774548</v>
      </c>
      <c r="AS19" s="2947">
        <f t="shared" si="2"/>
        <v>787467</v>
      </c>
      <c r="AT19" s="2947">
        <f t="shared" si="2"/>
        <v>796126</v>
      </c>
      <c r="AU19" s="2947">
        <f t="shared" si="2"/>
        <v>802400</v>
      </c>
      <c r="AV19" s="2947">
        <f t="shared" si="2"/>
        <v>809711</v>
      </c>
      <c r="AW19" s="2947">
        <f t="shared" si="2"/>
        <v>819544</v>
      </c>
      <c r="AX19" s="2947">
        <v>823106</v>
      </c>
      <c r="AY19" s="2947">
        <f>AY17+AY18</f>
        <v>824683</v>
      </c>
      <c r="AZ19" s="2947">
        <f>AZ17+AZ18</f>
        <v>831013</v>
      </c>
      <c r="BA19" s="2947">
        <f>BA17+BA18</f>
        <v>835575</v>
      </c>
      <c r="BB19" s="2947">
        <f>BB17+BB18</f>
        <v>853067</v>
      </c>
      <c r="BC19" s="2947">
        <f>BC17+BC18</f>
        <v>866044</v>
      </c>
      <c r="BD19" s="2947">
        <v>771193</v>
      </c>
      <c r="BE19" s="2947">
        <v>779040</v>
      </c>
      <c r="BF19" s="2947">
        <v>784093</v>
      </c>
      <c r="BG19" s="2947">
        <v>789676</v>
      </c>
      <c r="BH19" s="2947">
        <v>795406</v>
      </c>
      <c r="BI19" s="2947">
        <v>801212</v>
      </c>
      <c r="BJ19" s="2947">
        <v>806125</v>
      </c>
      <c r="BK19" s="2947">
        <v>815369</v>
      </c>
      <c r="BL19" s="2947">
        <v>817246</v>
      </c>
      <c r="BM19" s="2949">
        <v>824365</v>
      </c>
      <c r="BN19" s="2939">
        <v>831386</v>
      </c>
      <c r="BO19" s="2896">
        <v>836691</v>
      </c>
      <c r="BP19" s="2896">
        <v>841688</v>
      </c>
      <c r="BQ19" s="2896">
        <v>848388</v>
      </c>
      <c r="BR19" s="2896">
        <v>854197</v>
      </c>
      <c r="BS19" s="2896">
        <v>861294</v>
      </c>
      <c r="BT19" s="2896">
        <v>868426</v>
      </c>
      <c r="BU19" s="2896">
        <v>873204</v>
      </c>
      <c r="BV19" s="2896">
        <v>878722</v>
      </c>
      <c r="BW19" s="2896">
        <v>885463</v>
      </c>
      <c r="BX19" s="2896">
        <v>893381</v>
      </c>
      <c r="BY19" s="2896">
        <v>900245</v>
      </c>
      <c r="BZ19" s="2896">
        <v>908676</v>
      </c>
      <c r="CA19" s="2896">
        <v>938054</v>
      </c>
      <c r="CB19" s="2896">
        <v>962726</v>
      </c>
      <c r="CC19" s="2896">
        <v>969202</v>
      </c>
      <c r="CD19" s="2896">
        <v>971520</v>
      </c>
      <c r="CE19" s="2896">
        <v>977012</v>
      </c>
      <c r="CF19" s="2896">
        <v>996713</v>
      </c>
      <c r="CG19" s="2950">
        <v>1005616</v>
      </c>
      <c r="CH19" s="2950">
        <v>1038089</v>
      </c>
      <c r="CI19" s="2950">
        <v>1043745</v>
      </c>
      <c r="CJ19" s="2950">
        <v>1005126</v>
      </c>
      <c r="CK19" s="2951">
        <v>1014466</v>
      </c>
      <c r="CL19" s="2952">
        <v>1020448</v>
      </c>
      <c r="CM19" s="2952">
        <v>1025827</v>
      </c>
      <c r="CN19" s="2950">
        <f t="shared" ref="CN19:CU19" si="3">SUM(CN17:CN18)</f>
        <v>1026136</v>
      </c>
      <c r="CO19" s="2950">
        <f t="shared" si="3"/>
        <v>1030352</v>
      </c>
      <c r="CP19" s="2950">
        <f t="shared" si="3"/>
        <v>1024746</v>
      </c>
      <c r="CQ19" s="2950">
        <f t="shared" si="3"/>
        <v>1042997</v>
      </c>
      <c r="CR19" s="2896">
        <f t="shared" si="3"/>
        <v>1006670</v>
      </c>
      <c r="CS19" s="2896">
        <f t="shared" si="3"/>
        <v>1017893</v>
      </c>
      <c r="CT19" s="2896">
        <f t="shared" si="3"/>
        <v>1031836</v>
      </c>
      <c r="CU19" s="2896">
        <f t="shared" si="3"/>
        <v>1036988</v>
      </c>
      <c r="CV19" s="2896">
        <v>1047114</v>
      </c>
      <c r="CW19" s="2938">
        <v>1054633</v>
      </c>
      <c r="CX19" s="2938">
        <v>1066577</v>
      </c>
      <c r="CY19" s="2938">
        <v>1074880</v>
      </c>
      <c r="CZ19" s="2896">
        <v>1084018</v>
      </c>
      <c r="DA19" s="2940">
        <v>1096368</v>
      </c>
      <c r="DB19" s="2938">
        <v>1162387</v>
      </c>
      <c r="DC19" s="2896">
        <v>1207011</v>
      </c>
      <c r="DD19" s="2920">
        <v>1241248</v>
      </c>
      <c r="DE19" s="2920">
        <v>1251873</v>
      </c>
      <c r="DF19" s="2921">
        <v>1262935</v>
      </c>
      <c r="DG19" s="2921">
        <v>1167027</v>
      </c>
      <c r="DH19" s="2920">
        <f>SUM(DH17:DH18)</f>
        <v>1176747</v>
      </c>
      <c r="DI19" s="2920">
        <v>1207018.5900000001</v>
      </c>
      <c r="DJ19" s="2920">
        <v>1193509</v>
      </c>
      <c r="DK19" s="2920">
        <v>1182729</v>
      </c>
      <c r="DL19" s="2920">
        <v>1204791</v>
      </c>
      <c r="DM19" s="2920">
        <v>1215715</v>
      </c>
      <c r="DN19" s="2920">
        <v>1223326</v>
      </c>
      <c r="DO19" s="2920">
        <v>1219166</v>
      </c>
      <c r="DP19" s="2920">
        <v>1229197</v>
      </c>
      <c r="DQ19" s="2920">
        <v>1240537</v>
      </c>
      <c r="DR19" s="2920">
        <v>1237395</v>
      </c>
      <c r="DS19" s="2920">
        <v>1247954</v>
      </c>
      <c r="DT19" s="2920">
        <v>1259665</v>
      </c>
      <c r="DU19" s="2920">
        <v>1277167</v>
      </c>
      <c r="DV19" s="2920">
        <v>1276338</v>
      </c>
      <c r="DW19" s="2920">
        <v>1290554</v>
      </c>
      <c r="DX19" s="2920">
        <v>1296536</v>
      </c>
      <c r="DY19" s="2920">
        <v>1302498</v>
      </c>
      <c r="DZ19" s="2920">
        <v>1310348</v>
      </c>
      <c r="EA19" s="2920">
        <v>1324610</v>
      </c>
      <c r="EB19" s="2920">
        <f t="shared" ref="EB19:EM19" si="4">EB17+EB18</f>
        <v>1334505</v>
      </c>
      <c r="EC19" s="2920">
        <f t="shared" si="4"/>
        <v>1343295</v>
      </c>
      <c r="ED19" s="2920">
        <f t="shared" si="4"/>
        <v>1341631</v>
      </c>
      <c r="EE19" s="2920">
        <f t="shared" si="4"/>
        <v>1352136</v>
      </c>
      <c r="EF19" s="2920">
        <f t="shared" si="4"/>
        <v>1360085</v>
      </c>
      <c r="EG19" s="2920">
        <f t="shared" si="4"/>
        <v>1369285</v>
      </c>
      <c r="EH19" s="2920">
        <f t="shared" si="4"/>
        <v>1378854</v>
      </c>
      <c r="EI19" s="2920">
        <f t="shared" si="4"/>
        <v>1386395</v>
      </c>
      <c r="EJ19" s="2920">
        <f t="shared" si="4"/>
        <v>1386553</v>
      </c>
      <c r="EK19" s="2920">
        <f t="shared" si="4"/>
        <v>1392459</v>
      </c>
      <c r="EL19" s="2920">
        <f t="shared" si="4"/>
        <v>1401168</v>
      </c>
      <c r="EM19" s="2920">
        <f t="shared" si="4"/>
        <v>1410174</v>
      </c>
      <c r="EN19" s="2920">
        <f>EN17+EN18</f>
        <v>1409964</v>
      </c>
      <c r="EO19" s="2920">
        <f>EO17+EO18</f>
        <v>1418921</v>
      </c>
    </row>
    <row r="20" spans="1:145" s="2900" customFormat="1" ht="15">
      <c r="A20" s="2953"/>
      <c r="B20" s="2946"/>
      <c r="C20" s="2946"/>
      <c r="D20" s="2947"/>
      <c r="E20" s="2948"/>
      <c r="F20" s="2947"/>
      <c r="G20" s="2947"/>
      <c r="H20" s="2947"/>
      <c r="I20" s="2947"/>
      <c r="J20" s="2947"/>
      <c r="K20" s="2947"/>
      <c r="L20" s="2947"/>
      <c r="M20" s="2947"/>
      <c r="N20" s="2947"/>
      <c r="O20" s="2947"/>
      <c r="P20" s="2947"/>
      <c r="Q20" s="2947"/>
      <c r="R20" s="2947"/>
      <c r="S20" s="2947"/>
      <c r="T20" s="2947"/>
      <c r="U20" s="2947"/>
      <c r="V20" s="2947"/>
      <c r="W20" s="2947"/>
      <c r="X20" s="2947"/>
      <c r="Y20" s="2947"/>
      <c r="Z20" s="2947"/>
      <c r="AA20" s="2947"/>
      <c r="AB20" s="2947"/>
      <c r="AC20" s="2947"/>
      <c r="AD20" s="2947"/>
      <c r="AE20" s="2947"/>
      <c r="AF20" s="2947"/>
      <c r="AG20" s="2947"/>
      <c r="AH20" s="2947"/>
      <c r="AI20" s="2947"/>
      <c r="AJ20" s="2947"/>
      <c r="AK20" s="2947"/>
      <c r="AL20" s="2947"/>
      <c r="AM20" s="2947"/>
      <c r="AN20" s="2947"/>
      <c r="AO20" s="2947"/>
      <c r="AP20" s="2947"/>
      <c r="AQ20" s="2947"/>
      <c r="AR20" s="2947"/>
      <c r="AS20" s="2947"/>
      <c r="AT20" s="2947"/>
      <c r="AU20" s="2947"/>
      <c r="AV20" s="2947"/>
      <c r="AW20" s="2947"/>
      <c r="AX20" s="2947"/>
      <c r="AY20" s="2947"/>
      <c r="AZ20" s="2947"/>
      <c r="BA20" s="2947"/>
      <c r="BB20" s="2947"/>
      <c r="BC20" s="2947"/>
      <c r="BD20" s="2947"/>
      <c r="BE20" s="2947"/>
      <c r="BF20" s="2947"/>
      <c r="BG20" s="2947"/>
      <c r="BH20" s="2947"/>
      <c r="BI20" s="2947"/>
      <c r="BJ20" s="2947"/>
      <c r="BK20" s="2947"/>
      <c r="BL20" s="2947"/>
      <c r="BM20" s="2949"/>
      <c r="BN20" s="2954"/>
      <c r="BO20" s="2947"/>
      <c r="BP20" s="2947"/>
      <c r="BQ20" s="2947"/>
      <c r="BR20" s="2947"/>
      <c r="BS20" s="2947"/>
      <c r="BT20" s="2947"/>
      <c r="BU20" s="2947"/>
      <c r="BV20" s="2947"/>
      <c r="BW20" s="2947"/>
      <c r="BX20" s="2947"/>
      <c r="BY20" s="2947"/>
      <c r="BZ20" s="2947"/>
      <c r="CA20" s="2947"/>
      <c r="CB20" s="2947"/>
      <c r="CC20" s="2947"/>
      <c r="CD20" s="2947"/>
      <c r="CE20" s="2947"/>
      <c r="CF20" s="2947"/>
      <c r="CG20" s="2947"/>
      <c r="CH20" s="2947"/>
      <c r="CI20" s="2947"/>
      <c r="CJ20" s="2947"/>
      <c r="CK20" s="2955"/>
      <c r="CL20" s="2949"/>
      <c r="CM20" s="2949"/>
      <c r="CN20" s="2947"/>
      <c r="CO20" s="2947"/>
      <c r="CP20" s="2947"/>
      <c r="CQ20" s="2947"/>
      <c r="CR20" s="2947"/>
      <c r="CS20" s="2947"/>
      <c r="CT20" s="2947"/>
      <c r="CU20" s="2947"/>
      <c r="CV20" s="2947"/>
      <c r="CW20" s="2955"/>
      <c r="CX20" s="2898"/>
      <c r="CY20" s="2898"/>
      <c r="CZ20" s="2897"/>
      <c r="DB20" s="2898"/>
      <c r="DC20" s="2897"/>
      <c r="DD20" s="2920"/>
      <c r="DE20" s="2920"/>
      <c r="DF20" s="2921"/>
      <c r="DG20" s="2921"/>
      <c r="DH20" s="2920"/>
      <c r="DI20" s="2920"/>
      <c r="DJ20" s="2920"/>
      <c r="DK20" s="2920"/>
      <c r="DL20" s="2920"/>
      <c r="DM20" s="2920"/>
      <c r="DN20" s="2920"/>
      <c r="DO20" s="2920"/>
      <c r="DP20" s="2920"/>
      <c r="DQ20" s="2920"/>
      <c r="DR20" s="2920"/>
      <c r="DS20" s="2920"/>
      <c r="DT20" s="2920"/>
      <c r="DU20" s="2920"/>
      <c r="DV20" s="2920"/>
      <c r="DW20" s="2920"/>
      <c r="DX20" s="2920"/>
      <c r="DY20" s="2920"/>
      <c r="DZ20" s="2920"/>
      <c r="EA20" s="2920"/>
      <c r="EB20" s="2920"/>
      <c r="EC20" s="2920"/>
      <c r="ED20" s="2920"/>
      <c r="EE20" s="2920"/>
      <c r="EF20" s="2920"/>
      <c r="EG20" s="2920"/>
      <c r="EH20" s="2920"/>
      <c r="EI20" s="2920"/>
      <c r="EJ20" s="2920"/>
      <c r="EK20" s="2920"/>
      <c r="EL20" s="2920"/>
      <c r="EM20" s="2920"/>
      <c r="EN20" s="2920"/>
      <c r="EO20" s="2920"/>
    </row>
    <row r="21" spans="1:145">
      <c r="A21" s="2892" t="s">
        <v>3674</v>
      </c>
      <c r="B21" s="2893" t="s">
        <v>3675</v>
      </c>
      <c r="C21" s="2893" t="s">
        <v>3676</v>
      </c>
      <c r="D21" s="2894" t="s">
        <v>3677</v>
      </c>
      <c r="E21" s="2895" t="s">
        <v>3678</v>
      </c>
      <c r="F21" s="2894">
        <v>451.9</v>
      </c>
      <c r="G21" s="2894" t="s">
        <v>3679</v>
      </c>
      <c r="H21" s="2894" t="s">
        <v>3680</v>
      </c>
      <c r="I21" s="2894">
        <v>488.6</v>
      </c>
      <c r="J21" s="2894" t="s">
        <v>3681</v>
      </c>
      <c r="K21" s="2894" t="s">
        <v>3682</v>
      </c>
      <c r="L21" s="2894">
        <v>538.9</v>
      </c>
      <c r="M21" s="2894" t="s">
        <v>3683</v>
      </c>
      <c r="N21" s="2894">
        <v>551.79999999999995</v>
      </c>
      <c r="O21" s="2894">
        <v>527.9</v>
      </c>
      <c r="P21" s="2894">
        <v>546.79999999999995</v>
      </c>
      <c r="Q21" s="2894">
        <v>542.79999999999995</v>
      </c>
      <c r="R21" s="2956">
        <v>536.29999999999995</v>
      </c>
      <c r="S21" s="2956">
        <v>548.1</v>
      </c>
      <c r="T21" s="2956">
        <v>572.6</v>
      </c>
      <c r="U21" s="2956">
        <v>547.1</v>
      </c>
      <c r="V21" s="2956">
        <v>568.4</v>
      </c>
      <c r="W21" s="2956">
        <v>587.4</v>
      </c>
      <c r="X21" s="2956">
        <v>598</v>
      </c>
      <c r="Y21" s="2956">
        <v>598</v>
      </c>
      <c r="Z21" s="2956">
        <v>606</v>
      </c>
      <c r="AA21" s="2956">
        <v>599.4</v>
      </c>
      <c r="AB21" s="2956">
        <v>634.5</v>
      </c>
      <c r="AC21" s="2956">
        <v>641.1</v>
      </c>
      <c r="AD21" s="2956">
        <v>635.6</v>
      </c>
      <c r="AE21" s="2956">
        <v>655.20000000000005</v>
      </c>
      <c r="AF21" s="2957">
        <v>688.2</v>
      </c>
      <c r="AG21" s="2957">
        <v>693.851</v>
      </c>
      <c r="AH21" s="2957">
        <v>689.6</v>
      </c>
      <c r="AI21" s="2957">
        <v>697.6</v>
      </c>
      <c r="AJ21" s="2957">
        <v>717.3</v>
      </c>
      <c r="AK21" s="2957">
        <v>695.8</v>
      </c>
      <c r="AL21" s="2957">
        <v>705.9</v>
      </c>
      <c r="AM21" s="2957">
        <v>692.6</v>
      </c>
      <c r="AN21" s="2957">
        <v>735.1</v>
      </c>
      <c r="AO21" s="2957">
        <v>729.9</v>
      </c>
      <c r="AP21" s="2957">
        <v>732.1</v>
      </c>
      <c r="AQ21" s="2957">
        <v>732.9</v>
      </c>
      <c r="AR21" s="2957">
        <v>748.63597591999996</v>
      </c>
      <c r="AS21" s="2957">
        <v>776.3</v>
      </c>
      <c r="AT21" s="2957">
        <v>767.4</v>
      </c>
      <c r="AU21" s="2957">
        <v>768.4</v>
      </c>
      <c r="AV21" s="2957">
        <v>826.9</v>
      </c>
      <c r="AW21" s="2957">
        <v>769.3</v>
      </c>
      <c r="AX21" s="2957">
        <v>769.2</v>
      </c>
      <c r="AY21" s="2957">
        <v>763.4</v>
      </c>
      <c r="AZ21" s="2957">
        <v>776.3</v>
      </c>
      <c r="BA21" s="2957">
        <v>778.1</v>
      </c>
      <c r="BB21" s="2957">
        <v>807.4</v>
      </c>
      <c r="BC21" s="2957">
        <v>800</v>
      </c>
      <c r="BD21" s="2957">
        <v>805.2</v>
      </c>
      <c r="BE21" s="2957">
        <v>845.60053588999995</v>
      </c>
      <c r="BF21" s="2957">
        <v>826.63541935000001</v>
      </c>
      <c r="BG21" s="2957">
        <v>844.82795425999996</v>
      </c>
      <c r="BH21" s="2957">
        <v>871.94868737000002</v>
      </c>
      <c r="BI21" s="2957">
        <v>840.10145899999998</v>
      </c>
      <c r="BJ21" s="2957">
        <v>818.5</v>
      </c>
      <c r="BK21" s="2957">
        <v>804.6</v>
      </c>
      <c r="BL21" s="2957">
        <v>824.9</v>
      </c>
      <c r="BM21" s="2958">
        <v>817.1</v>
      </c>
      <c r="BN21" s="2959"/>
      <c r="BO21" s="2957"/>
      <c r="BP21" s="2957"/>
      <c r="BQ21" s="2957"/>
      <c r="BR21" s="2957"/>
      <c r="BS21" s="2957"/>
      <c r="BT21" s="2957"/>
      <c r="BU21" s="2957"/>
      <c r="BV21" s="2957"/>
      <c r="BW21" s="2957"/>
      <c r="BX21" s="2957"/>
      <c r="BY21" s="2957"/>
      <c r="BZ21" s="2957"/>
      <c r="CA21" s="2957"/>
      <c r="CB21" s="2957"/>
      <c r="CC21" s="2957"/>
      <c r="CD21" s="2957"/>
      <c r="CE21" s="2957"/>
      <c r="CF21" s="2957"/>
      <c r="CG21" s="2957"/>
      <c r="CH21" s="2957"/>
      <c r="CI21" s="2957"/>
      <c r="CJ21" s="2957"/>
      <c r="CK21" s="2960"/>
      <c r="CL21" s="2958"/>
      <c r="CM21" s="2958"/>
      <c r="CN21" s="2957"/>
      <c r="CO21" s="2957"/>
      <c r="CP21" s="2957"/>
      <c r="CQ21" s="2957"/>
      <c r="CR21" s="2957"/>
      <c r="CS21" s="2957"/>
      <c r="CT21" s="2957"/>
      <c r="CU21" s="2957"/>
      <c r="CV21" s="2957"/>
      <c r="CW21" s="2960"/>
      <c r="CX21" s="2901"/>
      <c r="CY21" s="2901"/>
      <c r="CZ21" s="2902"/>
      <c r="DB21" s="2901"/>
      <c r="DC21" s="2902"/>
      <c r="DD21" s="2904"/>
      <c r="DE21" s="2904"/>
      <c r="DF21" s="2905"/>
      <c r="DG21" s="2905"/>
      <c r="DH21" s="2904"/>
      <c r="DI21" s="2904"/>
      <c r="DJ21" s="2904"/>
      <c r="DK21" s="2904"/>
      <c r="DL21" s="2904"/>
      <c r="DM21" s="2904"/>
      <c r="DN21" s="2904"/>
      <c r="DO21" s="2904"/>
      <c r="DP21" s="2904"/>
      <c r="DQ21" s="2904"/>
      <c r="DR21" s="2904"/>
      <c r="DS21" s="2904"/>
      <c r="DT21" s="2904"/>
      <c r="DU21" s="2904"/>
      <c r="DV21" s="2904"/>
      <c r="DW21" s="2904"/>
      <c r="DX21" s="2904"/>
      <c r="DY21" s="2904"/>
      <c r="DZ21" s="2904"/>
      <c r="EA21" s="2904"/>
      <c r="EB21" s="2904"/>
      <c r="EC21" s="2904"/>
      <c r="ED21" s="2904"/>
      <c r="EE21" s="2904"/>
      <c r="EF21" s="2904"/>
      <c r="EG21" s="2904"/>
      <c r="EH21" s="2904"/>
      <c r="EI21" s="2904"/>
      <c r="EJ21" s="2904"/>
      <c r="EK21" s="2904"/>
      <c r="EL21" s="2904"/>
      <c r="EM21" s="2904"/>
      <c r="EN21" s="2904"/>
      <c r="EO21" s="2904"/>
    </row>
    <row r="22" spans="1:145">
      <c r="A22" s="2892" t="s">
        <v>3684</v>
      </c>
      <c r="B22" s="2893"/>
      <c r="C22" s="2893"/>
      <c r="D22" s="2894"/>
      <c r="E22" s="2895"/>
      <c r="F22" s="2894"/>
      <c r="G22" s="2894"/>
      <c r="H22" s="2894"/>
      <c r="I22" s="2894"/>
      <c r="J22" s="2894"/>
      <c r="K22" s="2894"/>
      <c r="L22" s="2894"/>
      <c r="M22" s="2894"/>
      <c r="N22" s="2894"/>
      <c r="O22" s="2894"/>
      <c r="P22" s="2894"/>
      <c r="Q22" s="2894"/>
      <c r="R22" s="2956"/>
      <c r="S22" s="2956"/>
      <c r="T22" s="2956"/>
      <c r="U22" s="2956"/>
      <c r="V22" s="2956"/>
      <c r="W22" s="2956"/>
      <c r="X22" s="2956"/>
      <c r="Y22" s="2956"/>
      <c r="Z22" s="2956"/>
      <c r="AA22" s="2956"/>
      <c r="AB22" s="2956"/>
      <c r="AC22" s="2956"/>
      <c r="AD22" s="2956"/>
      <c r="AE22" s="2956"/>
      <c r="AF22" s="2957"/>
      <c r="AG22" s="2957"/>
      <c r="AH22" s="2957"/>
      <c r="AI22" s="2957"/>
      <c r="AJ22" s="2957"/>
      <c r="AK22" s="2957"/>
      <c r="AL22" s="2957"/>
      <c r="AM22" s="2957"/>
      <c r="AN22" s="2957"/>
      <c r="AO22" s="2957"/>
      <c r="AP22" s="2957"/>
      <c r="AQ22" s="2957"/>
      <c r="AR22" s="2957"/>
      <c r="AS22" s="2957"/>
      <c r="AT22" s="2957"/>
      <c r="AU22" s="2957"/>
      <c r="AV22" s="2957"/>
      <c r="AW22" s="2957"/>
      <c r="AX22" s="2957"/>
      <c r="AY22" s="2957"/>
      <c r="AZ22" s="2957"/>
      <c r="BA22" s="2957"/>
      <c r="BB22" s="2957"/>
      <c r="BC22" s="2957"/>
      <c r="BD22" s="2957"/>
      <c r="BE22" s="2957"/>
      <c r="BF22" s="2957"/>
      <c r="BG22" s="2957"/>
      <c r="BH22" s="2957"/>
      <c r="BI22" s="2957"/>
      <c r="BJ22" s="2957"/>
      <c r="BK22" s="2957"/>
      <c r="BL22" s="2957"/>
      <c r="BM22" s="2958"/>
      <c r="BN22" s="2959">
        <v>822.3</v>
      </c>
      <c r="BO22" s="2957">
        <v>840.2</v>
      </c>
      <c r="BP22" s="2957">
        <v>861.6</v>
      </c>
      <c r="BQ22" s="2957">
        <v>864.4</v>
      </c>
      <c r="BR22" s="2957">
        <v>849.4</v>
      </c>
      <c r="BS22" s="2957">
        <v>895.2</v>
      </c>
      <c r="BT22" s="2957">
        <v>902.9</v>
      </c>
      <c r="BU22" s="2957">
        <v>890.3</v>
      </c>
      <c r="BV22" s="2957">
        <v>927.9</v>
      </c>
      <c r="BW22" s="2957">
        <v>890.3</v>
      </c>
      <c r="BX22" s="2957">
        <v>881.6</v>
      </c>
      <c r="BY22" s="2957">
        <v>906.4</v>
      </c>
      <c r="BZ22" s="2957">
        <v>907.3</v>
      </c>
      <c r="CA22" s="2957">
        <v>975.1</v>
      </c>
      <c r="CB22" s="2957">
        <v>1038.7</v>
      </c>
      <c r="CC22" s="2957">
        <v>1014.4</v>
      </c>
      <c r="CD22" s="2957">
        <v>1011.9</v>
      </c>
      <c r="CE22" s="2957">
        <v>1009</v>
      </c>
      <c r="CF22" s="2957">
        <v>1023.8</v>
      </c>
      <c r="CG22" s="2957">
        <v>1007.6</v>
      </c>
      <c r="CH22" s="2957">
        <v>1009.8</v>
      </c>
      <c r="CI22" s="2957">
        <v>1030.3</v>
      </c>
      <c r="CJ22" s="2957">
        <v>1044.5</v>
      </c>
      <c r="CK22" s="2960">
        <v>1046</v>
      </c>
      <c r="CL22" s="2958">
        <v>1050.0999999999999</v>
      </c>
      <c r="CM22" s="2958">
        <v>1070.9000000000001</v>
      </c>
      <c r="CN22" s="2957">
        <v>1216.4000000000001</v>
      </c>
      <c r="CO22" s="2957">
        <v>1065.5</v>
      </c>
      <c r="CP22" s="2957">
        <v>1060.0999999999999</v>
      </c>
      <c r="CQ22" s="2957">
        <v>1040.5999999999999</v>
      </c>
      <c r="CR22" s="2957">
        <v>1093.5</v>
      </c>
      <c r="CS22" s="2957">
        <v>1089.5999999999999</v>
      </c>
      <c r="CT22" s="2957">
        <v>1208.4000000000001</v>
      </c>
      <c r="CU22" s="2957">
        <v>1109.0999999999999</v>
      </c>
      <c r="CV22" s="2957">
        <v>1146</v>
      </c>
      <c r="CW22" s="2960">
        <v>1264.4000000000001</v>
      </c>
      <c r="CX22" s="2958">
        <v>1196.5999999999999</v>
      </c>
      <c r="CY22" s="2958">
        <v>1235.5070363100001</v>
      </c>
      <c r="CZ22" s="2957">
        <v>1298</v>
      </c>
      <c r="DA22" s="2960">
        <v>1413.1</v>
      </c>
      <c r="DB22" s="2958">
        <v>1547.3</v>
      </c>
      <c r="DC22" s="2957">
        <v>1502.6</v>
      </c>
      <c r="DD22" s="2961">
        <v>1544.8</v>
      </c>
      <c r="DE22" s="2961">
        <v>1686.3</v>
      </c>
      <c r="DF22" s="2962">
        <v>1685.8</v>
      </c>
      <c r="DG22" s="2962">
        <v>1532.1231963700002</v>
      </c>
      <c r="DH22" s="2961">
        <v>1558.5</v>
      </c>
      <c r="DI22" s="2961">
        <v>1568</v>
      </c>
      <c r="DJ22" s="2961">
        <v>1623</v>
      </c>
      <c r="DK22" s="2961">
        <v>1607.3</v>
      </c>
      <c r="DL22" s="2961">
        <v>1604.4</v>
      </c>
      <c r="DM22" s="2961">
        <v>1644.9</v>
      </c>
      <c r="DN22" s="2961">
        <v>1770.9</v>
      </c>
      <c r="DO22" s="2961">
        <v>1928.7</v>
      </c>
      <c r="DP22" s="2961">
        <v>1650</v>
      </c>
      <c r="DQ22" s="2961">
        <v>1606.7550000000001</v>
      </c>
      <c r="DR22" s="2961">
        <v>1811.6</v>
      </c>
      <c r="DS22" s="2961">
        <v>1591.9469999999999</v>
      </c>
      <c r="DT22" s="2961">
        <v>1830.7</v>
      </c>
      <c r="DU22" s="2961">
        <v>1630.7</v>
      </c>
      <c r="DV22" s="2961">
        <v>1673.4</v>
      </c>
      <c r="DW22" s="2961">
        <v>1915.7809999999999</v>
      </c>
      <c r="DX22" s="2961">
        <v>1735.8679999999999</v>
      </c>
      <c r="DY22" s="2961">
        <v>1756.8</v>
      </c>
      <c r="DZ22" s="2961">
        <v>1778.2</v>
      </c>
      <c r="EA22" s="2961">
        <v>1823.6</v>
      </c>
      <c r="EB22" s="2961">
        <v>1863.3</v>
      </c>
      <c r="EC22" s="2961">
        <v>1777.4069999999999</v>
      </c>
      <c r="ED22" s="2961">
        <v>1936.1579999999999</v>
      </c>
      <c r="EE22" s="2961">
        <v>1783.1</v>
      </c>
      <c r="EF22" s="2961">
        <v>1826.7139999999999</v>
      </c>
      <c r="EG22" s="2961">
        <v>1802.921</v>
      </c>
      <c r="EH22" s="2961">
        <v>2058.0140000000001</v>
      </c>
      <c r="EI22" s="2961">
        <v>1840.4</v>
      </c>
      <c r="EJ22" s="2961">
        <v>1876.7748510900001</v>
      </c>
      <c r="EK22" s="2961">
        <v>2145.3510000000001</v>
      </c>
      <c r="EL22" s="2961">
        <v>1888.6757088499999</v>
      </c>
      <c r="EM22" s="2961">
        <v>1936.9884865000001</v>
      </c>
      <c r="EN22" s="2961">
        <v>2030.9</v>
      </c>
      <c r="EO22" s="2961">
        <v>1944.5847732499999</v>
      </c>
    </row>
    <row r="23" spans="1:145">
      <c r="A23" s="2892"/>
      <c r="B23" s="2893"/>
      <c r="C23" s="2893"/>
      <c r="D23" s="2894"/>
      <c r="E23" s="2895"/>
      <c r="F23" s="2894"/>
      <c r="G23" s="2894"/>
      <c r="H23" s="2894"/>
      <c r="I23" s="2894"/>
      <c r="J23" s="2894"/>
      <c r="K23" s="2894"/>
      <c r="L23" s="2894"/>
      <c r="M23" s="2894"/>
      <c r="N23" s="2894"/>
      <c r="O23" s="2894"/>
      <c r="P23" s="2894"/>
      <c r="Q23" s="2894"/>
      <c r="R23" s="2956"/>
      <c r="S23" s="2956"/>
      <c r="T23" s="2956"/>
      <c r="U23" s="2956"/>
      <c r="V23" s="2956"/>
      <c r="W23" s="2956"/>
      <c r="X23" s="2956"/>
      <c r="Y23" s="2956"/>
      <c r="Z23" s="2956"/>
      <c r="AA23" s="2956"/>
      <c r="AB23" s="2956"/>
      <c r="AC23" s="2956"/>
      <c r="AD23" s="2956"/>
      <c r="AE23" s="2956"/>
      <c r="AF23" s="2957"/>
      <c r="AG23" s="2957"/>
      <c r="AH23" s="2957"/>
      <c r="AI23" s="2957"/>
      <c r="AJ23" s="2957"/>
      <c r="AK23" s="2957"/>
      <c r="AL23" s="2957"/>
      <c r="AM23" s="2957"/>
      <c r="AN23" s="2957"/>
      <c r="AO23" s="2957"/>
      <c r="AP23" s="2957"/>
      <c r="AQ23" s="2957"/>
      <c r="AR23" s="2957"/>
      <c r="AS23" s="2957"/>
      <c r="AT23" s="2957"/>
      <c r="AU23" s="2957"/>
      <c r="AV23" s="2957"/>
      <c r="AW23" s="2957"/>
      <c r="AX23" s="2957"/>
      <c r="AY23" s="2957"/>
      <c r="AZ23" s="2957"/>
      <c r="BA23" s="2957"/>
      <c r="BB23" s="2957"/>
      <c r="BC23" s="2957"/>
      <c r="BD23" s="2957"/>
      <c r="BE23" s="2957"/>
      <c r="BF23" s="2957"/>
      <c r="BG23" s="2957"/>
      <c r="BH23" s="2957"/>
      <c r="BI23" s="2957"/>
      <c r="BJ23" s="2957"/>
      <c r="BK23" s="2957"/>
      <c r="BL23" s="2957"/>
      <c r="BM23" s="2958"/>
      <c r="BN23" s="2959"/>
      <c r="BO23" s="2957"/>
      <c r="BP23" s="2957"/>
      <c r="BQ23" s="2957"/>
      <c r="BR23" s="2957"/>
      <c r="BS23" s="2957"/>
      <c r="BT23" s="2957"/>
      <c r="BU23" s="2957"/>
      <c r="BV23" s="2957"/>
      <c r="BW23" s="2957"/>
      <c r="BX23" s="2957"/>
      <c r="BY23" s="2957"/>
      <c r="BZ23" s="2957"/>
      <c r="CA23" s="2957"/>
      <c r="CB23" s="2957"/>
      <c r="CC23" s="2957"/>
      <c r="CD23" s="2957"/>
      <c r="CE23" s="2957"/>
      <c r="CF23" s="2957"/>
      <c r="CG23" s="2957"/>
      <c r="CH23" s="2957"/>
      <c r="CI23" s="2957"/>
      <c r="CJ23" s="2957"/>
      <c r="CK23" s="2960"/>
      <c r="CL23" s="2958"/>
      <c r="CM23" s="2958"/>
      <c r="CN23" s="2957"/>
      <c r="CO23" s="2957"/>
      <c r="CP23" s="2957"/>
      <c r="CQ23" s="2957"/>
      <c r="CR23" s="2957"/>
      <c r="CS23" s="2957"/>
      <c r="CT23" s="2957"/>
      <c r="CU23" s="2957"/>
      <c r="CV23" s="2957"/>
      <c r="CW23" s="2960"/>
      <c r="CX23" s="2958"/>
      <c r="CY23" s="2958"/>
      <c r="CZ23" s="2957"/>
      <c r="DA23" s="2960"/>
      <c r="DB23" s="2958"/>
      <c r="DC23" s="2963"/>
      <c r="DD23" s="2945"/>
      <c r="DE23" s="2945"/>
      <c r="DF23" s="2905"/>
      <c r="DG23" s="2905"/>
      <c r="DH23" s="2904"/>
      <c r="DI23" s="2904"/>
      <c r="DJ23" s="2904"/>
      <c r="DK23" s="2904"/>
      <c r="DL23" s="2904"/>
      <c r="DM23" s="2904"/>
      <c r="DN23" s="2904"/>
      <c r="DO23" s="2904"/>
      <c r="DP23" s="2904"/>
      <c r="DQ23" s="2904"/>
      <c r="DR23" s="2904"/>
      <c r="DS23" s="2904"/>
      <c r="DT23" s="2904"/>
      <c r="DU23" s="2904"/>
      <c r="DV23" s="2904"/>
      <c r="DW23" s="2904"/>
      <c r="DX23" s="2904"/>
      <c r="DY23" s="2904"/>
      <c r="DZ23" s="2904"/>
      <c r="EA23" s="2904"/>
      <c r="EB23" s="2904"/>
      <c r="EC23" s="2904"/>
      <c r="ED23" s="2904"/>
      <c r="EE23" s="2904"/>
      <c r="EF23" s="2904"/>
      <c r="EG23" s="2904"/>
      <c r="EH23" s="2904"/>
      <c r="EI23" s="2904"/>
      <c r="EJ23" s="2904"/>
      <c r="EK23" s="2904"/>
      <c r="EL23" s="2904"/>
      <c r="EM23" s="2904"/>
      <c r="EN23" s="2904"/>
      <c r="EO23" s="2904"/>
    </row>
    <row r="24" spans="1:145">
      <c r="A24" s="2964" t="s">
        <v>3685</v>
      </c>
      <c r="B24" s="2893"/>
      <c r="C24" s="2893"/>
      <c r="D24" s="2894"/>
      <c r="E24" s="2895"/>
      <c r="F24" s="2894"/>
      <c r="G24" s="2894"/>
      <c r="H24" s="2894"/>
      <c r="I24" s="2894"/>
      <c r="J24" s="2894"/>
      <c r="K24" s="2894"/>
      <c r="L24" s="2894"/>
      <c r="M24" s="2894"/>
      <c r="N24" s="2894"/>
      <c r="O24" s="2894"/>
      <c r="P24" s="2894"/>
      <c r="Q24" s="2894"/>
      <c r="R24" s="2956"/>
      <c r="S24" s="2956"/>
      <c r="T24" s="2956"/>
      <c r="U24" s="2956"/>
      <c r="V24" s="2956"/>
      <c r="W24" s="2956"/>
      <c r="X24" s="2956"/>
      <c r="Y24" s="2956"/>
      <c r="Z24" s="2956"/>
      <c r="AA24" s="2956"/>
      <c r="AB24" s="2956"/>
      <c r="AC24" s="2956"/>
      <c r="AD24" s="2956"/>
      <c r="AE24" s="2956"/>
      <c r="AF24" s="2957"/>
      <c r="AG24" s="2957"/>
      <c r="AH24" s="2957"/>
      <c r="AI24" s="2957"/>
      <c r="AJ24" s="2957"/>
      <c r="AK24" s="2957"/>
      <c r="AL24" s="2957"/>
      <c r="AM24" s="2957"/>
      <c r="AN24" s="2957"/>
      <c r="AO24" s="2957"/>
      <c r="AP24" s="2957"/>
      <c r="AQ24" s="2957"/>
      <c r="AR24" s="2957"/>
      <c r="AS24" s="2957"/>
      <c r="AT24" s="2957"/>
      <c r="AU24" s="2957"/>
      <c r="AV24" s="2957"/>
      <c r="AW24" s="2957"/>
      <c r="AX24" s="2957"/>
      <c r="AY24" s="2957"/>
      <c r="AZ24" s="2957"/>
      <c r="BA24" s="2957"/>
      <c r="BB24" s="2957"/>
      <c r="BC24" s="2957"/>
      <c r="BD24" s="2957"/>
      <c r="BE24" s="2957"/>
      <c r="BF24" s="2957"/>
      <c r="BG24" s="2957"/>
      <c r="BH24" s="2957"/>
      <c r="BI24" s="2957"/>
      <c r="BJ24" s="2957"/>
      <c r="BK24" s="2957"/>
      <c r="BL24" s="2957"/>
      <c r="BM24" s="2958"/>
      <c r="BN24" s="2959"/>
      <c r="BO24" s="2957"/>
      <c r="BP24" s="2957"/>
      <c r="BQ24" s="2957"/>
      <c r="BR24" s="2957"/>
      <c r="BS24" s="2957"/>
      <c r="BT24" s="2957"/>
      <c r="BU24" s="2957"/>
      <c r="BV24" s="2957"/>
      <c r="BW24" s="2957"/>
      <c r="BX24" s="2957"/>
      <c r="BY24" s="2957"/>
      <c r="BZ24" s="2957"/>
      <c r="CA24" s="2957"/>
      <c r="CB24" s="2957"/>
      <c r="CC24" s="2957"/>
      <c r="CD24" s="2957"/>
      <c r="CE24" s="2957"/>
      <c r="CF24" s="2957"/>
      <c r="CG24" s="2957"/>
      <c r="CH24" s="2957"/>
      <c r="CI24" s="2957"/>
      <c r="CJ24" s="2957"/>
      <c r="CK24" s="2960"/>
      <c r="CL24" s="2958"/>
      <c r="CM24" s="2958"/>
      <c r="CN24" s="2957"/>
      <c r="CO24" s="2957"/>
      <c r="CP24" s="2957"/>
      <c r="CQ24" s="2957"/>
      <c r="CR24" s="2957"/>
      <c r="CS24" s="2957"/>
      <c r="CT24" s="2957"/>
      <c r="CU24" s="2957"/>
      <c r="CV24" s="2957"/>
      <c r="CW24" s="2960"/>
      <c r="CX24" s="2958"/>
      <c r="CY24" s="2958"/>
      <c r="CZ24" s="2957"/>
      <c r="DA24" s="2960"/>
      <c r="DB24" s="2958"/>
      <c r="DC24" s="2963"/>
      <c r="DD24" s="2904"/>
      <c r="DE24" s="2904"/>
      <c r="DF24" s="2905"/>
      <c r="DG24" s="2905"/>
      <c r="DH24" s="2904"/>
      <c r="DI24" s="2904"/>
      <c r="DJ24" s="2904"/>
      <c r="DK24" s="2904"/>
      <c r="DL24" s="2904"/>
      <c r="DM24" s="2904"/>
      <c r="DN24" s="2904"/>
      <c r="DO24" s="2904"/>
      <c r="DP24" s="2904"/>
      <c r="DQ24" s="2904"/>
      <c r="DR24" s="2904"/>
      <c r="DS24" s="2904"/>
      <c r="DT24" s="2904"/>
      <c r="DU24" s="2904"/>
      <c r="DV24" s="2904"/>
      <c r="DW24" s="2904"/>
      <c r="DX24" s="2904"/>
      <c r="DY24" s="2904"/>
      <c r="DZ24" s="2904"/>
      <c r="EA24" s="2904"/>
      <c r="EB24" s="2904"/>
      <c r="EC24" s="2904"/>
      <c r="ED24" s="2904"/>
      <c r="EE24" s="2904"/>
      <c r="EF24" s="2904"/>
      <c r="EG24" s="2904"/>
      <c r="EH24" s="2904"/>
      <c r="EI24" s="2904"/>
      <c r="EJ24" s="2904"/>
      <c r="EK24" s="2904"/>
      <c r="EL24" s="2904"/>
      <c r="EM24" s="2904"/>
      <c r="EN24" s="2904"/>
      <c r="EO24" s="2904"/>
    </row>
    <row r="25" spans="1:145">
      <c r="A25" s="2964"/>
      <c r="B25" s="2893"/>
      <c r="C25" s="2893"/>
      <c r="D25" s="2894"/>
      <c r="E25" s="2895"/>
      <c r="F25" s="2894"/>
      <c r="G25" s="2894"/>
      <c r="H25" s="2894"/>
      <c r="I25" s="2894"/>
      <c r="J25" s="2894"/>
      <c r="K25" s="2894"/>
      <c r="L25" s="2894"/>
      <c r="M25" s="2894"/>
      <c r="N25" s="2894"/>
      <c r="O25" s="2894"/>
      <c r="P25" s="2894"/>
      <c r="Q25" s="2894"/>
      <c r="R25" s="2956"/>
      <c r="S25" s="2956"/>
      <c r="T25" s="2956"/>
      <c r="U25" s="2956"/>
      <c r="V25" s="2956"/>
      <c r="W25" s="2956"/>
      <c r="X25" s="2956"/>
      <c r="Y25" s="2956"/>
      <c r="Z25" s="2956"/>
      <c r="AA25" s="2956"/>
      <c r="AB25" s="2956"/>
      <c r="AC25" s="2956"/>
      <c r="AD25" s="2956"/>
      <c r="AE25" s="2956"/>
      <c r="AF25" s="2957"/>
      <c r="AG25" s="2957"/>
      <c r="AH25" s="2957"/>
      <c r="AI25" s="2957"/>
      <c r="AJ25" s="2957"/>
      <c r="AK25" s="2957"/>
      <c r="AL25" s="2957"/>
      <c r="AM25" s="2957"/>
      <c r="AN25" s="2957"/>
      <c r="AO25" s="2957"/>
      <c r="AP25" s="2957"/>
      <c r="AQ25" s="2957"/>
      <c r="AR25" s="2957"/>
      <c r="AS25" s="2957"/>
      <c r="AT25" s="2957"/>
      <c r="AU25" s="2957"/>
      <c r="AV25" s="2957"/>
      <c r="AW25" s="2957"/>
      <c r="AX25" s="2957"/>
      <c r="AY25" s="2957"/>
      <c r="AZ25" s="2957"/>
      <c r="BA25" s="2957"/>
      <c r="BB25" s="2957"/>
      <c r="BC25" s="2957"/>
      <c r="BD25" s="2957"/>
      <c r="BE25" s="2957"/>
      <c r="BF25" s="2957"/>
      <c r="BG25" s="2957"/>
      <c r="BH25" s="2957"/>
      <c r="BI25" s="2957"/>
      <c r="BJ25" s="2957"/>
      <c r="BK25" s="2957"/>
      <c r="BL25" s="2957"/>
      <c r="BM25" s="2958"/>
      <c r="BN25" s="2959"/>
      <c r="BO25" s="2957"/>
      <c r="BP25" s="2957"/>
      <c r="BQ25" s="2957"/>
      <c r="BR25" s="2957"/>
      <c r="BS25" s="2957"/>
      <c r="BT25" s="2957"/>
      <c r="BU25" s="2957"/>
      <c r="BV25" s="2957"/>
      <c r="BW25" s="2957"/>
      <c r="BX25" s="2957"/>
      <c r="BY25" s="2957"/>
      <c r="BZ25" s="2957"/>
      <c r="CA25" s="2957"/>
      <c r="CB25" s="2957"/>
      <c r="CC25" s="2957"/>
      <c r="CD25" s="2957"/>
      <c r="CE25" s="2957"/>
      <c r="CF25" s="2957"/>
      <c r="CG25" s="2957"/>
      <c r="CH25" s="2957"/>
      <c r="CI25" s="2957"/>
      <c r="CJ25" s="2957"/>
      <c r="CK25" s="2960"/>
      <c r="CL25" s="2958"/>
      <c r="CM25" s="2958"/>
      <c r="CN25" s="2957"/>
      <c r="CO25" s="2957"/>
      <c r="CP25" s="2957"/>
      <c r="CQ25" s="2957"/>
      <c r="CR25" s="2957"/>
      <c r="CS25" s="2957"/>
      <c r="CT25" s="2957"/>
      <c r="CU25" s="2957"/>
      <c r="CV25" s="2957"/>
      <c r="CW25" s="2960"/>
      <c r="CX25" s="2958"/>
      <c r="CY25" s="2958"/>
      <c r="CZ25" s="2957"/>
      <c r="DA25" s="2960"/>
      <c r="DB25" s="2958"/>
      <c r="DC25" s="2963"/>
      <c r="DD25" s="2904"/>
      <c r="DE25" s="2904"/>
      <c r="DF25" s="2905"/>
      <c r="DG25" s="2905"/>
      <c r="DH25" s="2904"/>
      <c r="DI25" s="2904"/>
      <c r="DJ25" s="2904"/>
      <c r="DK25" s="2904"/>
      <c r="DL25" s="2904"/>
      <c r="DM25" s="2904"/>
      <c r="DN25" s="2904"/>
      <c r="DO25" s="2904"/>
      <c r="DP25" s="2904"/>
      <c r="DQ25" s="2904"/>
      <c r="DR25" s="2904"/>
      <c r="DS25" s="2904"/>
      <c r="DT25" s="2904"/>
      <c r="DU25" s="2904"/>
      <c r="DV25" s="2904"/>
      <c r="DW25" s="2904"/>
      <c r="DX25" s="2904"/>
      <c r="DY25" s="2904"/>
      <c r="DZ25" s="2904"/>
      <c r="EA25" s="2904"/>
      <c r="EB25" s="2904"/>
      <c r="EC25" s="2904"/>
      <c r="ED25" s="2904"/>
      <c r="EE25" s="2904"/>
      <c r="EF25" s="2904"/>
      <c r="EG25" s="2904"/>
      <c r="EH25" s="2904"/>
      <c r="EI25" s="2904"/>
      <c r="EJ25" s="2904"/>
      <c r="EK25" s="2904"/>
      <c r="EL25" s="2904"/>
      <c r="EM25" s="2904"/>
      <c r="EN25" s="2904"/>
      <c r="EO25" s="2904"/>
    </row>
    <row r="26" spans="1:145" ht="38.25">
      <c r="A26" s="2965" t="s">
        <v>3686</v>
      </c>
      <c r="B26" s="2893"/>
      <c r="C26" s="2893"/>
      <c r="D26" s="2894"/>
      <c r="E26" s="2895"/>
      <c r="F26" s="2894"/>
      <c r="G26" s="2894"/>
      <c r="H26" s="2894"/>
      <c r="I26" s="2894"/>
      <c r="J26" s="2894"/>
      <c r="K26" s="2894"/>
      <c r="L26" s="2894"/>
      <c r="M26" s="2894"/>
      <c r="N26" s="2894"/>
      <c r="O26" s="2894"/>
      <c r="P26" s="2894"/>
      <c r="Q26" s="2894"/>
      <c r="R26" s="2956"/>
      <c r="S26" s="2956"/>
      <c r="T26" s="2956"/>
      <c r="U26" s="2956"/>
      <c r="V26" s="2956"/>
      <c r="W26" s="2956"/>
      <c r="X26" s="2956"/>
      <c r="Y26" s="2956"/>
      <c r="Z26" s="2956"/>
      <c r="AA26" s="2956"/>
      <c r="AB26" s="2956"/>
      <c r="AC26" s="2956"/>
      <c r="AD26" s="2956"/>
      <c r="AE26" s="2956"/>
      <c r="AF26" s="2957"/>
      <c r="AG26" s="2957"/>
      <c r="AH26" s="2957"/>
      <c r="AI26" s="2957"/>
      <c r="AJ26" s="2957"/>
      <c r="AK26" s="2957"/>
      <c r="AL26" s="2957"/>
      <c r="AM26" s="2957"/>
      <c r="AN26" s="2957"/>
      <c r="AO26" s="2957"/>
      <c r="AP26" s="2957"/>
      <c r="AQ26" s="2957"/>
      <c r="AR26" s="2957"/>
      <c r="AS26" s="2957"/>
      <c r="AT26" s="2957"/>
      <c r="AU26" s="2957"/>
      <c r="AV26" s="2957"/>
      <c r="AW26" s="2957"/>
      <c r="AX26" s="2957"/>
      <c r="AY26" s="2957"/>
      <c r="AZ26" s="2957"/>
      <c r="BA26" s="2957"/>
      <c r="BB26" s="2957"/>
      <c r="BC26" s="2957"/>
      <c r="BD26" s="2957"/>
      <c r="BE26" s="2957"/>
      <c r="BF26" s="2957"/>
      <c r="BG26" s="2957"/>
      <c r="BH26" s="2957"/>
      <c r="BI26" s="2957"/>
      <c r="BJ26" s="2957"/>
      <c r="BK26" s="2957"/>
      <c r="BL26" s="2957"/>
      <c r="BM26" s="2958"/>
      <c r="BN26" s="2959"/>
      <c r="BO26" s="2957"/>
      <c r="BP26" s="2957"/>
      <c r="BQ26" s="2957"/>
      <c r="BR26" s="2957"/>
      <c r="BS26" s="2957"/>
      <c r="BT26" s="2957"/>
      <c r="BU26" s="2957"/>
      <c r="BV26" s="2957"/>
      <c r="BW26" s="2957"/>
      <c r="BX26" s="2957"/>
      <c r="BY26" s="2957"/>
      <c r="BZ26" s="2957"/>
      <c r="CA26" s="2957"/>
      <c r="CB26" s="2957"/>
      <c r="CC26" s="2957"/>
      <c r="CD26" s="2957"/>
      <c r="CE26" s="2957"/>
      <c r="CF26" s="2957"/>
      <c r="CG26" s="2957"/>
      <c r="CH26" s="2957"/>
      <c r="CI26" s="2957"/>
      <c r="CJ26" s="2957"/>
      <c r="CK26" s="2960"/>
      <c r="CL26" s="2958"/>
      <c r="CM26" s="2958"/>
      <c r="CN26" s="2957"/>
      <c r="CO26" s="2957"/>
      <c r="CP26" s="2957"/>
      <c r="CQ26" s="2957"/>
      <c r="CR26" s="2957"/>
      <c r="CS26" s="2957"/>
      <c r="CT26" s="2957"/>
      <c r="CU26" s="2957"/>
      <c r="CV26" s="2957"/>
      <c r="CW26" s="2960"/>
      <c r="CX26" s="2958"/>
      <c r="CY26" s="2958"/>
      <c r="CZ26" s="2957"/>
      <c r="DA26" s="2966">
        <v>1413.1</v>
      </c>
      <c r="DB26" s="2967">
        <v>1465.2</v>
      </c>
      <c r="DC26" s="2968">
        <v>1426</v>
      </c>
      <c r="DD26" s="2969">
        <v>1469.3</v>
      </c>
      <c r="DE26" s="2969">
        <v>1621.6</v>
      </c>
      <c r="DF26" s="2970">
        <v>1612.8</v>
      </c>
      <c r="DG26" s="2970">
        <v>1439.5</v>
      </c>
      <c r="DH26" s="2969">
        <v>1463</v>
      </c>
      <c r="DI26" s="2969">
        <v>1483.8</v>
      </c>
      <c r="DJ26" s="2969">
        <v>1530.8</v>
      </c>
      <c r="DK26" s="2969">
        <v>1523.1</v>
      </c>
      <c r="DL26" s="2969">
        <v>1514.2167139999999</v>
      </c>
      <c r="DM26" s="2969">
        <v>1559.9</v>
      </c>
      <c r="DN26" s="2969">
        <v>1683.3</v>
      </c>
      <c r="DO26" s="2969">
        <v>1552.7</v>
      </c>
      <c r="DP26" s="2969">
        <v>1579.7</v>
      </c>
      <c r="DQ26" s="2969">
        <v>1529.0036110000001</v>
      </c>
      <c r="DR26" s="2969">
        <v>1730.2</v>
      </c>
      <c r="DS26" s="2969">
        <v>1478.7</v>
      </c>
      <c r="DT26" s="2969">
        <v>1705.9</v>
      </c>
      <c r="DU26" s="2969">
        <v>1516.2</v>
      </c>
      <c r="DV26" s="2969">
        <v>1548.4</v>
      </c>
      <c r="DW26" s="2969">
        <v>1795.2570000000001</v>
      </c>
      <c r="DX26" s="2969">
        <v>1611.2</v>
      </c>
      <c r="DY26" s="2969">
        <v>1625</v>
      </c>
      <c r="DZ26" s="2969">
        <v>1646</v>
      </c>
      <c r="EA26" s="2969">
        <v>1697</v>
      </c>
      <c r="EB26" s="2969">
        <v>1738.8</v>
      </c>
      <c r="EC26" s="2969">
        <v>1653.548</v>
      </c>
      <c r="ED26" s="2969">
        <v>1868</v>
      </c>
      <c r="EE26" s="2969">
        <v>1644.9</v>
      </c>
      <c r="EF26" s="2969">
        <v>1705.598</v>
      </c>
      <c r="EG26" s="2969">
        <v>1670.386</v>
      </c>
      <c r="EH26" s="2969">
        <v>1975.72</v>
      </c>
      <c r="EI26" s="2969">
        <v>1696.6</v>
      </c>
      <c r="EJ26" s="2969">
        <v>1733</v>
      </c>
      <c r="EK26" s="2969">
        <v>2010.8</v>
      </c>
      <c r="EL26" s="2969">
        <f>1699633837.25/1000000</f>
        <v>1699.6338372499999</v>
      </c>
      <c r="EM26" s="2969">
        <v>1785</v>
      </c>
      <c r="EN26" s="2969">
        <v>1875.2</v>
      </c>
      <c r="EO26" s="2969">
        <v>1785.2</v>
      </c>
    </row>
    <row r="27" spans="1:145">
      <c r="A27" s="2965"/>
      <c r="B27" s="2893"/>
      <c r="C27" s="2893"/>
      <c r="D27" s="2894"/>
      <c r="E27" s="2895"/>
      <c r="F27" s="2894"/>
      <c r="G27" s="2894"/>
      <c r="H27" s="2894"/>
      <c r="I27" s="2894"/>
      <c r="J27" s="2894"/>
      <c r="K27" s="2894"/>
      <c r="L27" s="2894"/>
      <c r="M27" s="2894"/>
      <c r="N27" s="2894"/>
      <c r="O27" s="2894"/>
      <c r="P27" s="2894"/>
      <c r="Q27" s="2894"/>
      <c r="R27" s="2956"/>
      <c r="S27" s="2956"/>
      <c r="T27" s="2956"/>
      <c r="U27" s="2956"/>
      <c r="V27" s="2956"/>
      <c r="W27" s="2956"/>
      <c r="X27" s="2956"/>
      <c r="Y27" s="2956"/>
      <c r="Z27" s="2956"/>
      <c r="AA27" s="2956"/>
      <c r="AB27" s="2956"/>
      <c r="AC27" s="2956"/>
      <c r="AD27" s="2956"/>
      <c r="AE27" s="2956"/>
      <c r="AF27" s="2957"/>
      <c r="AG27" s="2957"/>
      <c r="AH27" s="2957"/>
      <c r="AI27" s="2957"/>
      <c r="AJ27" s="2957"/>
      <c r="AK27" s="2957"/>
      <c r="AL27" s="2957"/>
      <c r="AM27" s="2957"/>
      <c r="AN27" s="2957"/>
      <c r="AO27" s="2957"/>
      <c r="AP27" s="2957"/>
      <c r="AQ27" s="2957"/>
      <c r="AR27" s="2957"/>
      <c r="AS27" s="2957"/>
      <c r="AT27" s="2957"/>
      <c r="AU27" s="2957"/>
      <c r="AV27" s="2957"/>
      <c r="AW27" s="2957"/>
      <c r="AX27" s="2957"/>
      <c r="AY27" s="2957"/>
      <c r="AZ27" s="2957"/>
      <c r="BA27" s="2957"/>
      <c r="BB27" s="2957"/>
      <c r="BC27" s="2957"/>
      <c r="BD27" s="2957"/>
      <c r="BE27" s="2957"/>
      <c r="BF27" s="2957"/>
      <c r="BG27" s="2957"/>
      <c r="BH27" s="2957"/>
      <c r="BI27" s="2957"/>
      <c r="BJ27" s="2957"/>
      <c r="BK27" s="2957"/>
      <c r="BL27" s="2957"/>
      <c r="BM27" s="2958"/>
      <c r="BN27" s="2959"/>
      <c r="BO27" s="2957"/>
      <c r="BP27" s="2957"/>
      <c r="BQ27" s="2957"/>
      <c r="BR27" s="2957"/>
      <c r="BS27" s="2957"/>
      <c r="BT27" s="2957"/>
      <c r="BU27" s="2957"/>
      <c r="BV27" s="2957"/>
      <c r="BW27" s="2957"/>
      <c r="BX27" s="2957"/>
      <c r="BY27" s="2957"/>
      <c r="BZ27" s="2957"/>
      <c r="CA27" s="2957"/>
      <c r="CB27" s="2957"/>
      <c r="CC27" s="2957"/>
      <c r="CD27" s="2957"/>
      <c r="CE27" s="2957"/>
      <c r="CF27" s="2957"/>
      <c r="CG27" s="2957"/>
      <c r="CH27" s="2957"/>
      <c r="CI27" s="2957"/>
      <c r="CJ27" s="2957"/>
      <c r="CK27" s="2960"/>
      <c r="CL27" s="2958"/>
      <c r="CM27" s="2958"/>
      <c r="CN27" s="2957"/>
      <c r="CO27" s="2957"/>
      <c r="CP27" s="2957"/>
      <c r="CQ27" s="2957"/>
      <c r="CR27" s="2957"/>
      <c r="CS27" s="2957"/>
      <c r="CT27" s="2957"/>
      <c r="CU27" s="2957"/>
      <c r="CV27" s="2957"/>
      <c r="CW27" s="2960"/>
      <c r="CX27" s="2958"/>
      <c r="CY27" s="2958"/>
      <c r="CZ27" s="2957"/>
      <c r="DA27" s="2966"/>
      <c r="DB27" s="2967"/>
      <c r="DC27" s="2963"/>
      <c r="DD27" s="2971"/>
      <c r="DE27" s="2971"/>
      <c r="DF27" s="2905"/>
      <c r="DG27" s="2905"/>
      <c r="DH27" s="2904"/>
      <c r="DI27" s="2904"/>
      <c r="DJ27" s="2904"/>
      <c r="DK27" s="2904"/>
      <c r="DL27" s="2904"/>
      <c r="DM27" s="2904"/>
      <c r="DN27" s="2904"/>
      <c r="DO27" s="2904"/>
      <c r="DP27" s="2904"/>
      <c r="DQ27" s="2904"/>
      <c r="DR27" s="2904"/>
      <c r="DS27" s="2904"/>
      <c r="DT27" s="2904"/>
      <c r="DU27" s="2904"/>
      <c r="DV27" s="2904"/>
      <c r="DW27" s="2904"/>
      <c r="DX27" s="2904"/>
      <c r="DY27" s="2904"/>
      <c r="DZ27" s="2904"/>
      <c r="EA27" s="2904"/>
      <c r="EB27" s="2904"/>
      <c r="EC27" s="2904"/>
      <c r="ED27" s="2904"/>
      <c r="EE27" s="2904"/>
      <c r="EF27" s="2904"/>
      <c r="EG27" s="2904"/>
      <c r="EH27" s="2904"/>
      <c r="EI27" s="2904"/>
      <c r="EJ27" s="2904"/>
      <c r="EK27" s="2904"/>
      <c r="EL27" s="2904"/>
      <c r="EM27" s="2904"/>
      <c r="EN27" s="2904"/>
      <c r="EO27" s="2904"/>
    </row>
    <row r="28" spans="1:145" ht="38.25">
      <c r="A28" s="2965" t="s">
        <v>3687</v>
      </c>
      <c r="B28" s="2893"/>
      <c r="C28" s="2893"/>
      <c r="D28" s="2894"/>
      <c r="E28" s="2895"/>
      <c r="F28" s="2894"/>
      <c r="G28" s="2894"/>
      <c r="H28" s="2894"/>
      <c r="I28" s="2894"/>
      <c r="J28" s="2894"/>
      <c r="K28" s="2894"/>
      <c r="L28" s="2894"/>
      <c r="M28" s="2894"/>
      <c r="N28" s="2894"/>
      <c r="O28" s="2894"/>
      <c r="P28" s="2894"/>
      <c r="Q28" s="2894"/>
      <c r="R28" s="2956"/>
      <c r="S28" s="2956"/>
      <c r="T28" s="2956"/>
      <c r="U28" s="2956"/>
      <c r="V28" s="2956"/>
      <c r="W28" s="2956"/>
      <c r="X28" s="2956"/>
      <c r="Y28" s="2956"/>
      <c r="Z28" s="2956"/>
      <c r="AA28" s="2956"/>
      <c r="AB28" s="2956"/>
      <c r="AC28" s="2956"/>
      <c r="AD28" s="2956"/>
      <c r="AE28" s="2956"/>
      <c r="AF28" s="2957"/>
      <c r="AG28" s="2957"/>
      <c r="AH28" s="2957"/>
      <c r="AI28" s="2957"/>
      <c r="AJ28" s="2957"/>
      <c r="AK28" s="2957"/>
      <c r="AL28" s="2957"/>
      <c r="AM28" s="2957"/>
      <c r="AN28" s="2957"/>
      <c r="AO28" s="2957"/>
      <c r="AP28" s="2957"/>
      <c r="AQ28" s="2957"/>
      <c r="AR28" s="2957"/>
      <c r="AS28" s="2957"/>
      <c r="AT28" s="2957"/>
      <c r="AU28" s="2957"/>
      <c r="AV28" s="2957"/>
      <c r="AW28" s="2957"/>
      <c r="AX28" s="2957"/>
      <c r="AY28" s="2957"/>
      <c r="AZ28" s="2957"/>
      <c r="BA28" s="2957"/>
      <c r="BB28" s="2957"/>
      <c r="BC28" s="2957"/>
      <c r="BD28" s="2957"/>
      <c r="BE28" s="2957"/>
      <c r="BF28" s="2957"/>
      <c r="BG28" s="2957"/>
      <c r="BH28" s="2957"/>
      <c r="BI28" s="2957"/>
      <c r="BJ28" s="2957"/>
      <c r="BK28" s="2957"/>
      <c r="BL28" s="2957"/>
      <c r="BM28" s="2958"/>
      <c r="BN28" s="2959"/>
      <c r="BO28" s="2957"/>
      <c r="BP28" s="2957"/>
      <c r="BQ28" s="2957"/>
      <c r="BR28" s="2957"/>
      <c r="BS28" s="2957"/>
      <c r="BT28" s="2957"/>
      <c r="BU28" s="2957"/>
      <c r="BV28" s="2957"/>
      <c r="BW28" s="2957"/>
      <c r="BX28" s="2957"/>
      <c r="BY28" s="2957"/>
      <c r="BZ28" s="2957"/>
      <c r="CA28" s="2957"/>
      <c r="CB28" s="2957"/>
      <c r="CC28" s="2957"/>
      <c r="CD28" s="2957"/>
      <c r="CE28" s="2957"/>
      <c r="CF28" s="2957"/>
      <c r="CG28" s="2957"/>
      <c r="CH28" s="2957"/>
      <c r="CI28" s="2957"/>
      <c r="CJ28" s="2957"/>
      <c r="CK28" s="2960"/>
      <c r="CL28" s="2958"/>
      <c r="CM28" s="2958"/>
      <c r="CN28" s="2957"/>
      <c r="CO28" s="2957"/>
      <c r="CP28" s="2957"/>
      <c r="CQ28" s="2957"/>
      <c r="CR28" s="2957"/>
      <c r="CS28" s="2957"/>
      <c r="CT28" s="2957"/>
      <c r="CU28" s="2957"/>
      <c r="CV28" s="2957"/>
      <c r="CW28" s="2960"/>
      <c r="CX28" s="2958"/>
      <c r="CY28" s="2958"/>
      <c r="CZ28" s="2957"/>
      <c r="DA28" s="2966">
        <v>191.5</v>
      </c>
      <c r="DB28" s="2967">
        <v>232.8</v>
      </c>
      <c r="DC28" s="2968">
        <v>231.4</v>
      </c>
      <c r="DD28" s="2971">
        <v>161.30000000000001</v>
      </c>
      <c r="DE28" s="2971"/>
      <c r="DF28" s="2905"/>
      <c r="DG28" s="2905">
        <v>171.5</v>
      </c>
      <c r="DH28" s="2904"/>
      <c r="DI28" s="2904"/>
      <c r="DJ28" s="2904">
        <v>179.9</v>
      </c>
      <c r="DK28" s="2904"/>
      <c r="DL28" s="2904"/>
      <c r="DM28" s="2904">
        <v>168.2</v>
      </c>
      <c r="DN28" s="2904"/>
      <c r="DO28" s="2904"/>
      <c r="DP28" s="2904">
        <v>91.9</v>
      </c>
      <c r="DQ28" s="2904"/>
      <c r="DR28" s="2904"/>
      <c r="DS28" s="2904">
        <v>95.3</v>
      </c>
      <c r="DT28" s="2904"/>
      <c r="DU28" s="2904"/>
      <c r="DV28" s="2972">
        <v>101.2</v>
      </c>
      <c r="DW28" s="2904"/>
      <c r="DX28" s="2904"/>
      <c r="DY28" s="2904">
        <v>107.2</v>
      </c>
      <c r="DZ28" s="2904"/>
      <c r="EA28" s="2904"/>
      <c r="EB28" s="2904">
        <v>102.1</v>
      </c>
      <c r="EC28" s="2904"/>
      <c r="ED28" s="2904"/>
      <c r="EE28" s="2972">
        <v>95</v>
      </c>
      <c r="EF28" s="2904"/>
      <c r="EG28" s="2904"/>
      <c r="EH28" s="2972">
        <v>78.242999999999995</v>
      </c>
      <c r="EI28" s="2904"/>
      <c r="EJ28" s="2904"/>
      <c r="EK28" s="2972">
        <v>83.507603654000008</v>
      </c>
      <c r="EL28" s="2904"/>
      <c r="EM28" s="2904"/>
      <c r="EN28" s="2972">
        <v>87.3</v>
      </c>
      <c r="EO28" s="2904"/>
    </row>
    <row r="29" spans="1:145">
      <c r="A29" s="2892"/>
      <c r="B29" s="2893"/>
      <c r="C29" s="2893"/>
      <c r="D29" s="2894"/>
      <c r="E29" s="2895"/>
      <c r="F29" s="2894"/>
      <c r="G29" s="2894"/>
      <c r="H29" s="2894"/>
      <c r="I29" s="2894"/>
      <c r="J29" s="2894"/>
      <c r="K29" s="2894"/>
      <c r="L29" s="2894"/>
      <c r="M29" s="2894"/>
      <c r="N29" s="2894"/>
      <c r="O29" s="2894"/>
      <c r="P29" s="2894"/>
      <c r="Q29" s="2894"/>
      <c r="R29" s="2956"/>
      <c r="S29" s="2956"/>
      <c r="T29" s="2956"/>
      <c r="U29" s="2956"/>
      <c r="V29" s="2956"/>
      <c r="W29" s="2956"/>
      <c r="X29" s="2956"/>
      <c r="Y29" s="2956"/>
      <c r="Z29" s="2956"/>
      <c r="AA29" s="2956"/>
      <c r="AB29" s="2956"/>
      <c r="AC29" s="2956"/>
      <c r="AD29" s="2956"/>
      <c r="AE29" s="2956"/>
      <c r="AF29" s="2957"/>
      <c r="AG29" s="2957"/>
      <c r="AH29" s="2957"/>
      <c r="AI29" s="2957"/>
      <c r="AJ29" s="2957"/>
      <c r="AK29" s="2957"/>
      <c r="AL29" s="2957"/>
      <c r="AM29" s="2957"/>
      <c r="AN29" s="2957"/>
      <c r="AO29" s="2957"/>
      <c r="AP29" s="2957"/>
      <c r="AQ29" s="2957"/>
      <c r="AR29" s="2957"/>
      <c r="AS29" s="2957"/>
      <c r="AT29" s="2957"/>
      <c r="AU29" s="2957"/>
      <c r="AV29" s="2957"/>
      <c r="AW29" s="2957"/>
      <c r="AX29" s="2957"/>
      <c r="AY29" s="2957"/>
      <c r="AZ29" s="2957"/>
      <c r="BA29" s="2957"/>
      <c r="BB29" s="2957"/>
      <c r="BC29" s="2957"/>
      <c r="BD29" s="2957"/>
      <c r="BE29" s="2957"/>
      <c r="BF29" s="2957"/>
      <c r="BG29" s="2957"/>
      <c r="BH29" s="2957"/>
      <c r="BI29" s="2957"/>
      <c r="BJ29" s="2957"/>
      <c r="BK29" s="2957"/>
      <c r="BL29" s="2957"/>
      <c r="BM29" s="2958"/>
      <c r="BN29" s="2959"/>
      <c r="BO29" s="2957"/>
      <c r="BP29" s="2957"/>
      <c r="BQ29" s="2957"/>
      <c r="BR29" s="2957"/>
      <c r="BS29" s="2957"/>
      <c r="BT29" s="2957"/>
      <c r="BU29" s="2957"/>
      <c r="BV29" s="2957"/>
      <c r="BW29" s="2957"/>
      <c r="BX29" s="2957"/>
      <c r="BY29" s="2957"/>
      <c r="BZ29" s="2957"/>
      <c r="CA29" s="2957"/>
      <c r="CB29" s="2957"/>
      <c r="CC29" s="2957"/>
      <c r="CD29" s="2957"/>
      <c r="CE29" s="2957"/>
      <c r="CF29" s="2957"/>
      <c r="CG29" s="2957"/>
      <c r="CH29" s="2957"/>
      <c r="CI29" s="2957"/>
      <c r="CJ29" s="2957"/>
      <c r="CK29" s="2960"/>
      <c r="CL29" s="2958"/>
      <c r="CM29" s="2958"/>
      <c r="CN29" s="2957"/>
      <c r="CO29" s="2957"/>
      <c r="CP29" s="2957"/>
      <c r="CQ29" s="2957"/>
      <c r="CR29" s="2957"/>
      <c r="CS29" s="2957"/>
      <c r="CT29" s="2957"/>
      <c r="CU29" s="2957"/>
      <c r="CV29" s="2957"/>
      <c r="CW29" s="2960"/>
      <c r="CX29" s="2958"/>
      <c r="CY29" s="2958"/>
      <c r="CZ29" s="2957"/>
      <c r="DA29" s="2960"/>
      <c r="DB29" s="2958"/>
      <c r="DC29" s="2963"/>
      <c r="DD29" s="2971"/>
      <c r="DE29" s="2971"/>
      <c r="DF29" s="2905"/>
      <c r="DG29" s="2905"/>
      <c r="DH29" s="2904"/>
      <c r="DI29" s="2904"/>
      <c r="DJ29" s="2904"/>
      <c r="DK29" s="2904"/>
      <c r="DL29" s="2904"/>
      <c r="DM29" s="2904"/>
      <c r="DN29" s="2904"/>
      <c r="DO29" s="2904"/>
      <c r="DP29" s="2904"/>
      <c r="DQ29" s="2904"/>
      <c r="DR29" s="2904"/>
      <c r="DS29" s="2904"/>
      <c r="DT29" s="2904"/>
      <c r="DU29" s="2904"/>
      <c r="DV29" s="2904"/>
      <c r="DW29" s="2904"/>
      <c r="DX29" s="2904"/>
      <c r="DY29" s="2904"/>
      <c r="DZ29" s="2904"/>
      <c r="EA29" s="2904"/>
      <c r="EB29" s="2904"/>
      <c r="EC29" s="2904"/>
      <c r="ED29" s="2904"/>
      <c r="EE29" s="2904"/>
      <c r="EF29" s="2904"/>
      <c r="EG29" s="2904"/>
      <c r="EH29" s="2904"/>
      <c r="EI29" s="2904"/>
      <c r="EJ29" s="2904"/>
      <c r="EK29" s="2904"/>
      <c r="EL29" s="2904"/>
      <c r="EM29" s="2904"/>
      <c r="EN29" s="2904"/>
      <c r="EO29" s="2904"/>
    </row>
    <row r="30" spans="1:145">
      <c r="A30" s="2892"/>
      <c r="B30" s="2893"/>
      <c r="C30" s="2893"/>
      <c r="D30" s="2894"/>
      <c r="E30" s="2895"/>
      <c r="F30" s="2894"/>
      <c r="G30" s="2894"/>
      <c r="H30" s="2894"/>
      <c r="I30" s="2894"/>
      <c r="J30" s="2894"/>
      <c r="K30" s="2894"/>
      <c r="L30" s="2894"/>
      <c r="M30" s="2894"/>
      <c r="N30" s="2894"/>
      <c r="O30" s="2894"/>
      <c r="P30" s="2894"/>
      <c r="Q30" s="2894"/>
      <c r="R30" s="2956"/>
      <c r="S30" s="2956"/>
      <c r="T30" s="2956"/>
      <c r="U30" s="2956"/>
      <c r="V30" s="2956"/>
      <c r="W30" s="2956"/>
      <c r="X30" s="2956"/>
      <c r="Y30" s="2956"/>
      <c r="Z30" s="2956"/>
      <c r="AA30" s="2956"/>
      <c r="AB30" s="2956"/>
      <c r="AC30" s="2956"/>
      <c r="AD30" s="2956"/>
      <c r="AE30" s="2956"/>
      <c r="AF30" s="2957"/>
      <c r="AG30" s="2957"/>
      <c r="AH30" s="2957"/>
      <c r="AI30" s="2957"/>
      <c r="AJ30" s="2957"/>
      <c r="AK30" s="2957"/>
      <c r="AL30" s="2957"/>
      <c r="AM30" s="2957"/>
      <c r="AN30" s="2957"/>
      <c r="AO30" s="2957"/>
      <c r="AP30" s="2957"/>
      <c r="AQ30" s="2957"/>
      <c r="AR30" s="2957"/>
      <c r="AS30" s="2957"/>
      <c r="AT30" s="2957"/>
      <c r="AU30" s="2957"/>
      <c r="AV30" s="2957"/>
      <c r="AW30" s="2957"/>
      <c r="AX30" s="2957"/>
      <c r="AY30" s="2957"/>
      <c r="AZ30" s="2957"/>
      <c r="BA30" s="2957"/>
      <c r="BB30" s="2957"/>
      <c r="BC30" s="2957"/>
      <c r="BD30" s="2957"/>
      <c r="BE30" s="2957"/>
      <c r="BF30" s="2957"/>
      <c r="BG30" s="2957"/>
      <c r="BH30" s="2957"/>
      <c r="BI30" s="2957"/>
      <c r="BJ30" s="2957"/>
      <c r="BK30" s="2957"/>
      <c r="BL30" s="2957"/>
      <c r="BM30" s="2958"/>
      <c r="BN30" s="2959"/>
      <c r="BO30" s="2957"/>
      <c r="BP30" s="2957"/>
      <c r="BQ30" s="2957"/>
      <c r="BR30" s="2957"/>
      <c r="BS30" s="2957"/>
      <c r="BT30" s="2957"/>
      <c r="BU30" s="2957"/>
      <c r="BV30" s="2957"/>
      <c r="BW30" s="2957"/>
      <c r="BX30" s="2957"/>
      <c r="BY30" s="2957"/>
      <c r="BZ30" s="2957"/>
      <c r="CA30" s="2957"/>
      <c r="CB30" s="2957"/>
      <c r="CC30" s="2957"/>
      <c r="CD30" s="2957"/>
      <c r="CE30" s="2957"/>
      <c r="CF30" s="2957"/>
      <c r="CG30" s="2957"/>
      <c r="CH30" s="2957"/>
      <c r="CI30" s="2957"/>
      <c r="CJ30" s="2957"/>
      <c r="CK30" s="2960"/>
      <c r="CL30" s="2958"/>
      <c r="CM30" s="2958"/>
      <c r="CN30" s="2957"/>
      <c r="CO30" s="2957"/>
      <c r="CP30" s="2957"/>
      <c r="CQ30" s="2957"/>
      <c r="CR30" s="2957"/>
      <c r="CS30" s="2957"/>
      <c r="CT30" s="2957"/>
      <c r="CU30" s="2957"/>
      <c r="CV30" s="2957"/>
      <c r="CW30" s="2960"/>
      <c r="CX30" s="2958"/>
      <c r="CY30" s="2958"/>
      <c r="CZ30" s="2957"/>
      <c r="DA30" s="2960"/>
      <c r="DB30" s="2958"/>
      <c r="DC30" s="2963"/>
      <c r="DD30" s="2971"/>
      <c r="DE30" s="2971"/>
      <c r="DF30" s="2905"/>
      <c r="DG30" s="2905"/>
      <c r="DH30" s="2904"/>
      <c r="DI30" s="2904"/>
      <c r="DJ30" s="2904"/>
      <c r="DK30" s="2904"/>
      <c r="DL30" s="2904"/>
      <c r="DM30" s="2904"/>
      <c r="DN30" s="2904"/>
      <c r="DO30" s="2904"/>
      <c r="DP30" s="2904"/>
      <c r="DQ30" s="2904"/>
      <c r="DR30" s="2904"/>
      <c r="DS30" s="2904"/>
      <c r="DT30" s="2904"/>
      <c r="DU30" s="2904"/>
      <c r="DV30" s="2904"/>
      <c r="DW30" s="2904"/>
      <c r="DX30" s="2904"/>
      <c r="DY30" s="2904"/>
      <c r="DZ30" s="2904"/>
      <c r="EA30" s="2904"/>
      <c r="EB30" s="2904"/>
      <c r="EC30" s="2904"/>
      <c r="ED30" s="2904"/>
      <c r="EE30" s="2904"/>
      <c r="EF30" s="2904"/>
      <c r="EG30" s="2904"/>
      <c r="EH30" s="2904"/>
      <c r="EI30" s="2904"/>
      <c r="EJ30" s="2904"/>
      <c r="EK30" s="2904"/>
      <c r="EL30" s="2904"/>
      <c r="EM30" s="2904"/>
      <c r="EN30" s="2904"/>
      <c r="EO30" s="2904"/>
    </row>
    <row r="31" spans="1:145" ht="13.5" thickBot="1">
      <c r="A31" s="2973"/>
      <c r="B31" s="2974"/>
      <c r="C31" s="2974"/>
      <c r="D31" s="2974"/>
      <c r="E31" s="2975"/>
      <c r="F31" s="2974"/>
      <c r="G31" s="2974"/>
      <c r="H31" s="2974"/>
      <c r="I31" s="2974"/>
      <c r="J31" s="2974"/>
      <c r="K31" s="2974"/>
      <c r="L31" s="2974"/>
      <c r="M31" s="2974"/>
      <c r="N31" s="2974"/>
      <c r="O31" s="2974"/>
      <c r="P31" s="2974"/>
      <c r="Q31" s="2974"/>
      <c r="R31" s="2974"/>
      <c r="S31" s="2974"/>
      <c r="T31" s="2974"/>
      <c r="U31" s="2974"/>
      <c r="V31" s="2974"/>
      <c r="W31" s="2974"/>
      <c r="X31" s="2974"/>
      <c r="Y31" s="2974"/>
      <c r="Z31" s="2974"/>
      <c r="AA31" s="2974"/>
      <c r="AB31" s="2974"/>
      <c r="AC31" s="2974"/>
      <c r="AD31" s="2974"/>
      <c r="AE31" s="2974"/>
      <c r="AF31" s="2974"/>
      <c r="AG31" s="2974"/>
      <c r="AH31" s="2974"/>
      <c r="AI31" s="2974"/>
      <c r="AJ31" s="2974"/>
      <c r="AK31" s="2974"/>
      <c r="AL31" s="2974"/>
      <c r="AM31" s="2974"/>
      <c r="AN31" s="2974"/>
      <c r="AO31" s="2974"/>
      <c r="AP31" s="2974"/>
      <c r="AQ31" s="2974"/>
      <c r="AR31" s="2974"/>
      <c r="AS31" s="2974"/>
      <c r="AT31" s="2974"/>
      <c r="AU31" s="2974"/>
      <c r="AV31" s="2974"/>
      <c r="AW31" s="2974"/>
      <c r="AX31" s="2974"/>
      <c r="AY31" s="2974"/>
      <c r="AZ31" s="2974"/>
      <c r="BA31" s="2974"/>
      <c r="BB31" s="2974"/>
      <c r="BC31" s="2974"/>
      <c r="BD31" s="2974"/>
      <c r="BE31" s="2974"/>
      <c r="BF31" s="2974"/>
      <c r="BG31" s="2974"/>
      <c r="BH31" s="2974"/>
      <c r="BI31" s="2974"/>
      <c r="BJ31" s="2974"/>
      <c r="BK31" s="2974"/>
      <c r="BL31" s="2974"/>
      <c r="BM31" s="2976"/>
      <c r="BN31" s="2977"/>
      <c r="BO31" s="2974"/>
      <c r="BP31" s="2974"/>
      <c r="BQ31" s="2974"/>
      <c r="BR31" s="2974"/>
      <c r="BS31" s="2974"/>
      <c r="BT31" s="2974"/>
      <c r="BU31" s="2974"/>
      <c r="BV31" s="2974"/>
      <c r="BW31" s="2974"/>
      <c r="BX31" s="2974"/>
      <c r="BY31" s="2974"/>
      <c r="BZ31" s="2974"/>
      <c r="CA31" s="2974"/>
      <c r="CB31" s="2974"/>
      <c r="CC31" s="2974"/>
      <c r="CD31" s="2974"/>
      <c r="CE31" s="2974"/>
      <c r="CF31" s="2974"/>
      <c r="CG31" s="2974"/>
      <c r="CH31" s="2974"/>
      <c r="CI31" s="2974"/>
      <c r="CJ31" s="2974"/>
      <c r="CK31" s="2978"/>
      <c r="CL31" s="2976"/>
      <c r="CM31" s="2976"/>
      <c r="CN31" s="2974"/>
      <c r="CO31" s="2974"/>
      <c r="CP31" s="2974"/>
      <c r="CQ31" s="2974"/>
      <c r="CR31" s="2974"/>
      <c r="CS31" s="2974"/>
      <c r="CT31" s="2974"/>
      <c r="CU31" s="2974"/>
      <c r="CV31" s="2974"/>
      <c r="CW31" s="2978"/>
      <c r="CX31" s="2976"/>
      <c r="CY31" s="2976"/>
      <c r="CZ31" s="2974"/>
      <c r="DA31" s="2978"/>
      <c r="DB31" s="2976"/>
      <c r="DC31" s="2979"/>
      <c r="DD31" s="2980"/>
      <c r="DE31" s="2980"/>
      <c r="DF31" s="2981"/>
      <c r="DG31" s="2981"/>
      <c r="DH31" s="2980"/>
      <c r="DI31" s="2980"/>
      <c r="DJ31" s="2980"/>
      <c r="DK31" s="2980"/>
      <c r="DL31" s="2980"/>
      <c r="DM31" s="2980"/>
      <c r="DN31" s="2980"/>
      <c r="DO31" s="2980"/>
      <c r="DP31" s="2980"/>
      <c r="DQ31" s="2980"/>
      <c r="DR31" s="2980"/>
      <c r="DS31" s="2980"/>
      <c r="DT31" s="2980"/>
      <c r="DU31" s="2980"/>
      <c r="DV31" s="2980"/>
      <c r="DW31" s="2980"/>
      <c r="DX31" s="2980"/>
      <c r="DY31" s="2980"/>
      <c r="DZ31" s="2980"/>
      <c r="EA31" s="2980"/>
      <c r="EB31" s="2980"/>
      <c r="EC31" s="2980"/>
      <c r="ED31" s="2980"/>
      <c r="EE31" s="2980"/>
      <c r="EF31" s="2980"/>
      <c r="EG31" s="2980"/>
      <c r="EH31" s="2980"/>
      <c r="EI31" s="2980"/>
      <c r="EJ31" s="2980"/>
      <c r="EK31" s="2980"/>
      <c r="EL31" s="2980"/>
      <c r="EM31" s="2980"/>
      <c r="EN31" s="2980"/>
      <c r="EO31" s="2980"/>
    </row>
    <row r="32" spans="1:145" ht="4.5" customHeight="1"/>
    <row r="33" spans="1:146">
      <c r="A33" s="2982" t="s">
        <v>3688</v>
      </c>
    </row>
    <row r="34" spans="1:146">
      <c r="A34" s="2982" t="s">
        <v>3689</v>
      </c>
    </row>
    <row r="35" spans="1:146">
      <c r="A35" s="2982" t="s">
        <v>3690</v>
      </c>
    </row>
    <row r="36" spans="1:146">
      <c r="A36" s="2861" t="s">
        <v>3691</v>
      </c>
    </row>
    <row r="37" spans="1:146">
      <c r="A37" s="2983" t="s">
        <v>655</v>
      </c>
    </row>
    <row r="39" spans="1:146" customFormat="1" ht="23.25">
      <c r="A39" s="2984" t="s">
        <v>3692</v>
      </c>
      <c r="DC39" s="2985"/>
      <c r="DD39" s="2985"/>
      <c r="DE39" s="2985"/>
      <c r="DF39" s="2985"/>
      <c r="DG39" s="2985"/>
      <c r="DH39" s="2985"/>
      <c r="DI39" s="2985"/>
      <c r="DJ39" s="2985"/>
      <c r="DK39" s="2985"/>
      <c r="DL39" s="2985"/>
      <c r="DM39" s="2985"/>
      <c r="DN39" s="2985"/>
      <c r="DO39" s="2985"/>
      <c r="DP39" s="2985"/>
      <c r="DQ39" s="2985"/>
      <c r="DR39" s="2985"/>
      <c r="DS39" s="2985"/>
      <c r="DT39" s="2985"/>
      <c r="DU39" s="2985"/>
      <c r="DV39" s="2985"/>
      <c r="DW39" s="2985"/>
      <c r="DX39" s="2985"/>
      <c r="DY39" s="2985"/>
      <c r="DZ39" s="2985"/>
      <c r="EA39" s="2985"/>
      <c r="EB39" s="2985"/>
      <c r="EC39" s="2985"/>
      <c r="ED39" s="2985"/>
      <c r="EE39" s="2985"/>
      <c r="EF39" s="2985"/>
      <c r="EG39" s="2985"/>
      <c r="EH39" s="2985"/>
      <c r="EI39" s="2985"/>
      <c r="EJ39" s="2985"/>
      <c r="EK39" s="2985"/>
      <c r="EL39" s="2985"/>
      <c r="EM39" s="2985"/>
      <c r="EN39" s="2985"/>
      <c r="EO39" s="2985"/>
    </row>
    <row r="40" spans="1:146" customFormat="1" ht="15.75" thickBot="1">
      <c r="DC40" s="2985"/>
      <c r="DD40" s="2985"/>
      <c r="DE40" s="2985"/>
      <c r="DF40" s="2985"/>
      <c r="DG40" s="2985"/>
      <c r="DH40" s="2985"/>
      <c r="DI40" s="2985"/>
      <c r="DJ40" s="2985"/>
      <c r="DK40" s="2985"/>
      <c r="DL40" s="2985"/>
      <c r="DM40" s="2985"/>
      <c r="DN40" s="2985"/>
      <c r="DO40" s="2985"/>
      <c r="DP40" s="2985"/>
      <c r="DQ40" s="2985"/>
      <c r="DR40" s="2985"/>
      <c r="DS40" s="2985"/>
      <c r="DT40" s="2985"/>
      <c r="DU40" s="2985"/>
      <c r="DV40" s="2985"/>
      <c r="DW40" s="2985"/>
      <c r="DX40" s="2985"/>
      <c r="DY40" s="2985"/>
      <c r="DZ40" s="2985"/>
      <c r="EA40" s="2985"/>
      <c r="EB40" s="2985"/>
      <c r="EC40" s="2985"/>
      <c r="ED40" s="2985"/>
      <c r="EE40" s="2985"/>
      <c r="EF40" s="2985"/>
      <c r="EG40" s="2985"/>
      <c r="EH40" s="2985"/>
      <c r="EI40" s="2985"/>
      <c r="EJ40" s="2985"/>
      <c r="EK40" s="2985"/>
      <c r="EL40" s="2985"/>
      <c r="EM40" s="2985"/>
      <c r="EN40" s="2985"/>
      <c r="EO40" s="2985"/>
    </row>
    <row r="41" spans="1:146" s="2990" customFormat="1">
      <c r="A41" s="2986"/>
      <c r="B41" s="2987"/>
      <c r="C41" s="2987"/>
      <c r="D41" s="2987"/>
      <c r="E41" s="2987"/>
      <c r="F41" s="2987"/>
      <c r="G41" s="2987"/>
      <c r="H41" s="2987"/>
      <c r="I41" s="2987"/>
      <c r="J41" s="2987"/>
      <c r="K41" s="2987"/>
      <c r="L41" s="2987"/>
      <c r="M41" s="2987"/>
      <c r="N41" s="2987"/>
      <c r="O41" s="2987"/>
      <c r="P41" s="2987"/>
      <c r="Q41" s="2987"/>
      <c r="R41" s="2987"/>
      <c r="S41" s="2987"/>
      <c r="T41" s="2987"/>
      <c r="U41" s="2987"/>
      <c r="V41" s="2987"/>
      <c r="W41" s="2987"/>
      <c r="X41" s="2987"/>
      <c r="Y41" s="2987"/>
      <c r="Z41" s="2987"/>
      <c r="AA41" s="2987"/>
      <c r="AB41" s="2987"/>
      <c r="AC41" s="2987"/>
      <c r="AD41" s="2987"/>
      <c r="AE41" s="2987"/>
      <c r="AF41" s="2987"/>
      <c r="AG41" s="2987"/>
      <c r="AH41" s="2987"/>
      <c r="AI41" s="2987"/>
      <c r="AJ41" s="2987"/>
      <c r="AK41" s="2987"/>
      <c r="AL41" s="2987"/>
      <c r="AM41" s="2987"/>
      <c r="AN41" s="2987"/>
      <c r="AO41" s="2987"/>
      <c r="AP41" s="2987"/>
      <c r="AQ41" s="2987"/>
      <c r="AR41" s="2987"/>
      <c r="AS41" s="2987"/>
      <c r="AT41" s="2987"/>
      <c r="AU41" s="2987"/>
      <c r="AV41" s="2987"/>
      <c r="AW41" s="2987"/>
      <c r="AX41" s="2987"/>
      <c r="AY41" s="2987"/>
      <c r="AZ41" s="2987"/>
      <c r="BA41" s="2987"/>
      <c r="BB41" s="2987"/>
      <c r="BC41" s="2987"/>
      <c r="BD41" s="2987"/>
      <c r="BE41" s="2987"/>
      <c r="BF41" s="2987"/>
      <c r="BG41" s="2987"/>
      <c r="BH41" s="2987"/>
      <c r="BI41" s="2987"/>
      <c r="BJ41" s="2987"/>
      <c r="BK41" s="2987"/>
      <c r="BL41" s="2987"/>
      <c r="BM41" s="2987"/>
      <c r="BN41" s="2987"/>
      <c r="BO41" s="2987"/>
      <c r="BP41" s="2987"/>
      <c r="BQ41" s="2987"/>
      <c r="BR41" s="2987"/>
      <c r="BS41" s="2987"/>
      <c r="BT41" s="2987"/>
      <c r="BU41" s="2987"/>
      <c r="BV41" s="2987"/>
      <c r="BW41" s="2987"/>
      <c r="BX41" s="2987"/>
      <c r="BY41" s="2987"/>
      <c r="BZ41" s="2988"/>
      <c r="CA41" s="2986"/>
      <c r="CB41" s="2869">
        <v>38687</v>
      </c>
      <c r="CC41" s="2866"/>
      <c r="CD41" s="2866"/>
      <c r="CE41" s="2866"/>
      <c r="CF41" s="2866"/>
      <c r="CG41" s="2866"/>
      <c r="CH41" s="2866">
        <v>38869</v>
      </c>
      <c r="CI41" s="2866"/>
      <c r="CJ41" s="2866"/>
      <c r="CK41" s="2866"/>
      <c r="CL41" s="2866"/>
      <c r="CM41" s="2866"/>
      <c r="CN41" s="2866">
        <v>39052</v>
      </c>
      <c r="CO41" s="2866"/>
      <c r="CP41" s="2866"/>
      <c r="CQ41" s="2866"/>
      <c r="CR41" s="2866"/>
      <c r="CS41" s="2866"/>
      <c r="CT41" s="2866">
        <v>39234</v>
      </c>
      <c r="CU41" s="2866"/>
      <c r="CV41" s="2866"/>
      <c r="CW41" s="2866"/>
      <c r="CX41" s="2866"/>
      <c r="CY41" s="2866"/>
      <c r="CZ41" s="2866">
        <v>39417</v>
      </c>
      <c r="DA41" s="2866">
        <v>39600</v>
      </c>
      <c r="DB41" s="2866">
        <v>39783</v>
      </c>
      <c r="DC41" s="2867">
        <v>39965</v>
      </c>
      <c r="DD41" s="2989">
        <v>40149</v>
      </c>
      <c r="DE41" s="2989">
        <f>DE3</f>
        <v>40179</v>
      </c>
      <c r="DF41" s="2989">
        <f>DF3</f>
        <v>40210</v>
      </c>
      <c r="DG41" s="2989">
        <f>DG3</f>
        <v>40238</v>
      </c>
      <c r="DH41" s="2989">
        <f>DH3</f>
        <v>40269</v>
      </c>
      <c r="DI41" s="2989">
        <v>40299</v>
      </c>
      <c r="DJ41" s="2989">
        <v>40330</v>
      </c>
      <c r="DK41" s="2989">
        <f t="shared" ref="DK41:DV41" si="5">DK3</f>
        <v>40360</v>
      </c>
      <c r="DL41" s="2989">
        <f t="shared" si="5"/>
        <v>40391</v>
      </c>
      <c r="DM41" s="2989">
        <f t="shared" si="5"/>
        <v>40422</v>
      </c>
      <c r="DN41" s="2989">
        <f t="shared" si="5"/>
        <v>40461</v>
      </c>
      <c r="DO41" s="2989">
        <f t="shared" si="5"/>
        <v>40493</v>
      </c>
      <c r="DP41" s="2989">
        <f t="shared" si="5"/>
        <v>40524</v>
      </c>
      <c r="DQ41" s="2989">
        <f t="shared" si="5"/>
        <v>40544</v>
      </c>
      <c r="DR41" s="2989">
        <f t="shared" si="5"/>
        <v>40576</v>
      </c>
      <c r="DS41" s="2989">
        <f t="shared" si="5"/>
        <v>40605</v>
      </c>
      <c r="DT41" s="2989">
        <f t="shared" si="5"/>
        <v>40637</v>
      </c>
      <c r="DU41" s="2989">
        <f t="shared" si="5"/>
        <v>40668</v>
      </c>
      <c r="DV41" s="2989">
        <f t="shared" si="5"/>
        <v>40700</v>
      </c>
      <c r="DW41" s="2989">
        <f>DW3</f>
        <v>40731</v>
      </c>
      <c r="DX41" s="2989">
        <f>DX3</f>
        <v>40763</v>
      </c>
      <c r="DY41" s="2989">
        <f>DY3</f>
        <v>40795</v>
      </c>
      <c r="DZ41" s="2989">
        <f>DZ3</f>
        <v>40826</v>
      </c>
      <c r="EA41" s="2989">
        <f>EA3</f>
        <v>40858</v>
      </c>
      <c r="EB41" s="2989">
        <v>40878</v>
      </c>
      <c r="EC41" s="2989">
        <f t="shared" ref="EC41:EN41" si="6">EC3</f>
        <v>40910</v>
      </c>
      <c r="ED41" s="2989">
        <f t="shared" si="6"/>
        <v>40941</v>
      </c>
      <c r="EE41" s="2989">
        <f t="shared" si="6"/>
        <v>40971</v>
      </c>
      <c r="EF41" s="2989">
        <f t="shared" si="6"/>
        <v>41003</v>
      </c>
      <c r="EG41" s="2989">
        <f t="shared" si="6"/>
        <v>41034</v>
      </c>
      <c r="EH41" s="2989">
        <f t="shared" si="6"/>
        <v>41066</v>
      </c>
      <c r="EI41" s="2989">
        <f t="shared" si="6"/>
        <v>41097</v>
      </c>
      <c r="EJ41" s="2989">
        <f t="shared" si="6"/>
        <v>41129</v>
      </c>
      <c r="EK41" s="2989">
        <f t="shared" si="6"/>
        <v>41161</v>
      </c>
      <c r="EL41" s="2989">
        <f t="shared" si="6"/>
        <v>41192</v>
      </c>
      <c r="EM41" s="2989">
        <f t="shared" si="6"/>
        <v>41224</v>
      </c>
      <c r="EN41" s="2989">
        <f t="shared" si="6"/>
        <v>41255</v>
      </c>
      <c r="EO41" s="2989">
        <f>EO3</f>
        <v>41275</v>
      </c>
    </row>
    <row r="42" spans="1:146" s="2990" customFormat="1" ht="15" customHeight="1" thickBot="1">
      <c r="A42" s="2991"/>
      <c r="B42" s="2992"/>
      <c r="C42" s="2992"/>
      <c r="D42" s="2992"/>
      <c r="E42" s="2992"/>
      <c r="F42" s="2992"/>
      <c r="G42" s="2992"/>
      <c r="H42" s="2992"/>
      <c r="I42" s="2992"/>
      <c r="J42" s="2992"/>
      <c r="K42" s="2992"/>
      <c r="L42" s="2992"/>
      <c r="M42" s="2992"/>
      <c r="N42" s="2992"/>
      <c r="O42" s="2992"/>
      <c r="P42" s="2992"/>
      <c r="Q42" s="2992"/>
      <c r="R42" s="2992"/>
      <c r="S42" s="2992"/>
      <c r="T42" s="2992"/>
      <c r="U42" s="2992"/>
      <c r="V42" s="2992"/>
      <c r="W42" s="2992"/>
      <c r="X42" s="2992"/>
      <c r="Y42" s="2992"/>
      <c r="Z42" s="2992"/>
      <c r="AA42" s="2992"/>
      <c r="AB42" s="2992"/>
      <c r="AC42" s="2992"/>
      <c r="AD42" s="2992"/>
      <c r="AE42" s="2992"/>
      <c r="AF42" s="2992"/>
      <c r="AG42" s="2992"/>
      <c r="AH42" s="2992"/>
      <c r="AI42" s="2992"/>
      <c r="AJ42" s="2992"/>
      <c r="AK42" s="2992"/>
      <c r="AL42" s="2992"/>
      <c r="AM42" s="2992"/>
      <c r="AN42" s="2992"/>
      <c r="AO42" s="2992"/>
      <c r="AP42" s="2992"/>
      <c r="AQ42" s="2992"/>
      <c r="AR42" s="2992"/>
      <c r="AS42" s="2992"/>
      <c r="AT42" s="2992"/>
      <c r="AU42" s="2992"/>
      <c r="AV42" s="2992"/>
      <c r="AW42" s="2992"/>
      <c r="AX42" s="2992"/>
      <c r="AY42" s="2992"/>
      <c r="AZ42" s="2992"/>
      <c r="BA42" s="2992"/>
      <c r="BB42" s="2992"/>
      <c r="BC42" s="2992"/>
      <c r="BD42" s="2992"/>
      <c r="BE42" s="2992"/>
      <c r="BF42" s="2992"/>
      <c r="BG42" s="2992"/>
      <c r="BH42" s="2992"/>
      <c r="BI42" s="2992"/>
      <c r="BJ42" s="2992"/>
      <c r="BK42" s="2992"/>
      <c r="BL42" s="2992"/>
      <c r="BM42" s="2992"/>
      <c r="BN42" s="2992"/>
      <c r="BO42" s="2992"/>
      <c r="BP42" s="2992"/>
      <c r="BQ42" s="2992"/>
      <c r="BR42" s="2992"/>
      <c r="BS42" s="2992"/>
      <c r="BT42" s="2992"/>
      <c r="BU42" s="2992"/>
      <c r="BV42" s="2992"/>
      <c r="BW42" s="2992"/>
      <c r="BX42" s="2992"/>
      <c r="BY42" s="2992"/>
      <c r="BZ42" s="2993"/>
      <c r="CA42" s="2991"/>
      <c r="CB42" s="2994" t="s">
        <v>3663</v>
      </c>
      <c r="CC42" s="2995"/>
      <c r="CD42" s="2995"/>
      <c r="CE42" s="2995"/>
      <c r="CF42" s="2995"/>
      <c r="CG42" s="2995"/>
      <c r="CH42" s="2995"/>
      <c r="CI42" s="2995"/>
      <c r="CJ42" s="2995"/>
      <c r="CK42" s="2995"/>
      <c r="CL42" s="2995"/>
      <c r="CM42" s="2995"/>
      <c r="CN42" s="2995"/>
      <c r="CO42" s="2995"/>
      <c r="CP42" s="2995"/>
      <c r="CQ42" s="2995"/>
      <c r="CR42" s="2995"/>
      <c r="CS42" s="2995"/>
      <c r="CT42" s="2995"/>
      <c r="CU42" s="2995"/>
      <c r="CV42" s="2995"/>
      <c r="CW42" s="2995"/>
      <c r="CX42" s="2995"/>
      <c r="CY42" s="2995"/>
      <c r="CZ42" s="2995"/>
      <c r="DA42" s="2995"/>
      <c r="DB42" s="2995"/>
      <c r="DC42" s="2995"/>
      <c r="DD42" s="2996"/>
      <c r="DE42" s="2996"/>
      <c r="DF42" s="2996"/>
      <c r="DG42" s="2996"/>
      <c r="DH42" s="2996"/>
      <c r="DI42" s="2996"/>
      <c r="DJ42" s="2996"/>
      <c r="DK42" s="2996"/>
      <c r="DL42" s="2996"/>
      <c r="DM42" s="2996"/>
      <c r="DN42" s="2996"/>
      <c r="DO42" s="2996"/>
      <c r="DP42" s="2996"/>
      <c r="DQ42" s="2996"/>
      <c r="DR42" s="2996"/>
      <c r="DS42" s="2996"/>
      <c r="DT42" s="2996"/>
      <c r="DU42" s="2996"/>
      <c r="DV42" s="2996"/>
      <c r="DW42" s="2996"/>
      <c r="DX42" s="2996"/>
      <c r="DY42" s="2996"/>
      <c r="DZ42" s="2996"/>
      <c r="EA42" s="2996"/>
      <c r="EB42" s="2996"/>
      <c r="EC42" s="2996"/>
      <c r="ED42" s="2996"/>
      <c r="EE42" s="2996"/>
      <c r="EF42" s="2996"/>
      <c r="EG42" s="2996"/>
      <c r="EH42" s="2996"/>
      <c r="EI42" s="2996"/>
      <c r="EJ42" s="2996"/>
      <c r="EK42" s="2996"/>
      <c r="EL42" s="2996"/>
      <c r="EM42" s="2996"/>
      <c r="EN42" s="2996"/>
      <c r="EO42" s="2996"/>
    </row>
    <row r="43" spans="1:146" s="2990" customFormat="1">
      <c r="A43" s="2997"/>
      <c r="B43" s="2998"/>
      <c r="C43" s="2998"/>
      <c r="D43" s="2998"/>
      <c r="E43" s="2998"/>
      <c r="F43" s="2998"/>
      <c r="G43" s="2998"/>
      <c r="H43" s="2998"/>
      <c r="I43" s="2998"/>
      <c r="J43" s="2998"/>
      <c r="K43" s="2998"/>
      <c r="L43" s="2998"/>
      <c r="M43" s="2998"/>
      <c r="N43" s="2998"/>
      <c r="O43" s="2998"/>
      <c r="P43" s="2998"/>
      <c r="Q43" s="2998"/>
      <c r="R43" s="2998"/>
      <c r="S43" s="2998"/>
      <c r="T43" s="2998"/>
      <c r="U43" s="2998"/>
      <c r="V43" s="2998"/>
      <c r="W43" s="2998"/>
      <c r="X43" s="2998"/>
      <c r="Y43" s="2998"/>
      <c r="Z43" s="2998"/>
      <c r="AA43" s="2998"/>
      <c r="AB43" s="2998"/>
      <c r="AC43" s="2998"/>
      <c r="AD43" s="2998"/>
      <c r="AE43" s="2998"/>
      <c r="AF43" s="2998"/>
      <c r="AG43" s="2998"/>
      <c r="AH43" s="2998"/>
      <c r="AI43" s="2998"/>
      <c r="AJ43" s="2998"/>
      <c r="AK43" s="2998"/>
      <c r="AL43" s="2998"/>
      <c r="AM43" s="2998"/>
      <c r="AN43" s="2998"/>
      <c r="AO43" s="2998"/>
      <c r="AP43" s="2998"/>
      <c r="AQ43" s="2998"/>
      <c r="AR43" s="2998"/>
      <c r="AS43" s="2998"/>
      <c r="AT43" s="2998"/>
      <c r="AU43" s="2998"/>
      <c r="AV43" s="2998"/>
      <c r="AW43" s="2998"/>
      <c r="AX43" s="2998"/>
      <c r="AY43" s="2998"/>
      <c r="AZ43" s="2998"/>
      <c r="BA43" s="2998"/>
      <c r="BB43" s="2998"/>
      <c r="BC43" s="2998"/>
      <c r="BD43" s="2998"/>
      <c r="BE43" s="2998"/>
      <c r="BF43" s="2998"/>
      <c r="BG43" s="2998"/>
      <c r="BH43" s="2998"/>
      <c r="BI43" s="2998"/>
      <c r="BJ43" s="2998"/>
      <c r="BK43" s="2998"/>
      <c r="BL43" s="2998"/>
      <c r="BM43" s="2998"/>
      <c r="BN43" s="2998"/>
      <c r="BO43" s="2998"/>
      <c r="BP43" s="2998"/>
      <c r="BQ43" s="2998"/>
      <c r="BR43" s="2998"/>
      <c r="BS43" s="2998"/>
      <c r="BT43" s="2998"/>
      <c r="BU43" s="2998"/>
      <c r="BV43" s="2998"/>
      <c r="BW43" s="2998"/>
      <c r="BX43" s="2998"/>
      <c r="BY43" s="2998"/>
      <c r="BZ43" s="2999"/>
      <c r="CA43" s="3000"/>
      <c r="CB43" s="3001"/>
      <c r="CC43" s="3002"/>
      <c r="CD43" s="3003"/>
      <c r="CE43" s="3003"/>
      <c r="CF43" s="3003"/>
      <c r="CG43" s="3004"/>
      <c r="CH43" s="3005"/>
      <c r="CI43" s="3006"/>
      <c r="CJ43" s="3006"/>
      <c r="CK43" s="3006"/>
      <c r="CL43" s="3006"/>
      <c r="CM43" s="3006"/>
      <c r="CN43" s="3005"/>
      <c r="CO43" s="3006"/>
      <c r="CP43" s="3006"/>
      <c r="CQ43" s="3006"/>
      <c r="CR43" s="3006"/>
      <c r="CS43" s="3006"/>
      <c r="CT43" s="3005"/>
      <c r="CU43" s="3005"/>
      <c r="CV43" s="3005"/>
      <c r="CW43" s="3005"/>
      <c r="CX43" s="3005"/>
      <c r="CY43" s="3005"/>
      <c r="CZ43" s="3005"/>
      <c r="DA43" s="3006"/>
      <c r="DB43" s="3006"/>
      <c r="DC43" s="3007"/>
      <c r="DD43" s="3002"/>
      <c r="DE43" s="3002"/>
      <c r="DF43" s="3003"/>
      <c r="DG43" s="3003"/>
      <c r="DH43" s="3002"/>
      <c r="DI43" s="3002"/>
      <c r="DJ43" s="3002"/>
      <c r="DK43" s="3002"/>
      <c r="DL43" s="3002"/>
      <c r="DM43" s="3002"/>
      <c r="DN43" s="3002"/>
      <c r="DO43" s="3002"/>
      <c r="DP43" s="3002"/>
      <c r="DQ43" s="3002"/>
      <c r="DR43" s="3002"/>
      <c r="DS43" s="3002"/>
      <c r="DT43" s="3002"/>
      <c r="DU43" s="3002"/>
      <c r="DV43" s="3002"/>
      <c r="DW43" s="3002"/>
      <c r="DX43" s="3002"/>
      <c r="DY43" s="3002"/>
      <c r="DZ43" s="3002"/>
      <c r="EA43" s="3002"/>
      <c r="EB43" s="3002"/>
      <c r="EC43" s="3002"/>
      <c r="ED43" s="3002"/>
      <c r="EE43" s="3002"/>
      <c r="EF43" s="3002"/>
      <c r="EG43" s="3002"/>
      <c r="EH43" s="3002"/>
      <c r="EI43" s="3002"/>
      <c r="EJ43" s="3002"/>
      <c r="EK43" s="3002"/>
      <c r="EL43" s="3002"/>
      <c r="EM43" s="3002"/>
      <c r="EN43" s="3002"/>
      <c r="EO43" s="3002"/>
    </row>
    <row r="44" spans="1:146" s="2990" customFormat="1">
      <c r="A44" s="3553" t="s">
        <v>3693</v>
      </c>
      <c r="B44" s="3554"/>
      <c r="C44" s="3554"/>
      <c r="D44" s="3554"/>
      <c r="E44" s="3554"/>
      <c r="F44" s="3554"/>
      <c r="G44" s="3554"/>
      <c r="H44" s="3554"/>
      <c r="I44" s="3554"/>
      <c r="J44" s="3554"/>
      <c r="K44" s="3554"/>
      <c r="L44" s="3554"/>
      <c r="M44" s="3554"/>
      <c r="N44" s="3554"/>
      <c r="O44" s="3554"/>
      <c r="P44" s="3554"/>
      <c r="Q44" s="3554"/>
      <c r="R44" s="3554"/>
      <c r="S44" s="3554"/>
      <c r="T44" s="3554"/>
      <c r="U44" s="3554"/>
      <c r="V44" s="3554"/>
      <c r="W44" s="3554"/>
      <c r="X44" s="3554"/>
      <c r="Y44" s="3554"/>
      <c r="Z44" s="3554"/>
      <c r="AA44" s="3554"/>
      <c r="AB44" s="3554"/>
      <c r="AC44" s="3554"/>
      <c r="AD44" s="3554"/>
      <c r="AE44" s="3554"/>
      <c r="AF44" s="3554"/>
      <c r="AG44" s="3554"/>
      <c r="AH44" s="3554"/>
      <c r="AI44" s="3554"/>
      <c r="AJ44" s="3554"/>
      <c r="AK44" s="3554"/>
      <c r="AL44" s="3554"/>
      <c r="AM44" s="3554"/>
      <c r="AN44" s="3554"/>
      <c r="AO44" s="3554"/>
      <c r="AP44" s="3554"/>
      <c r="AQ44" s="3554"/>
      <c r="AR44" s="3554"/>
      <c r="AS44" s="3554"/>
      <c r="AT44" s="3554"/>
      <c r="AU44" s="3554"/>
      <c r="AV44" s="3554"/>
      <c r="AW44" s="3554"/>
      <c r="AX44" s="3554"/>
      <c r="AY44" s="3554"/>
      <c r="AZ44" s="3554"/>
      <c r="BA44" s="3554"/>
      <c r="BB44" s="3554"/>
      <c r="BC44" s="3554"/>
      <c r="BD44" s="3554"/>
      <c r="BE44" s="3554"/>
      <c r="BF44" s="3554"/>
      <c r="BG44" s="3554"/>
      <c r="BH44" s="3554"/>
      <c r="BI44" s="3554"/>
      <c r="BJ44" s="3554"/>
      <c r="BK44" s="3554"/>
      <c r="BL44" s="3554"/>
      <c r="BM44" s="3554"/>
      <c r="BN44" s="3554"/>
      <c r="BO44" s="3554"/>
      <c r="BP44" s="3554"/>
      <c r="BQ44" s="3554"/>
      <c r="BR44" s="3554"/>
      <c r="BS44" s="3554"/>
      <c r="BT44" s="3554"/>
      <c r="BU44" s="3554"/>
      <c r="BV44" s="3554"/>
      <c r="BW44" s="3554"/>
      <c r="BX44" s="3554"/>
      <c r="BY44" s="3554"/>
      <c r="BZ44" s="3555"/>
      <c r="CA44" s="3000"/>
      <c r="CB44" s="3008">
        <v>27954</v>
      </c>
      <c r="CC44" s="3009"/>
      <c r="CD44" s="3010"/>
      <c r="CE44" s="3010"/>
      <c r="CF44" s="3010"/>
      <c r="CG44" s="3011"/>
      <c r="CH44" s="3012">
        <v>33253</v>
      </c>
      <c r="CI44" s="3013"/>
      <c r="CJ44" s="3013"/>
      <c r="CK44" s="3013"/>
      <c r="CL44" s="3013"/>
      <c r="CM44" s="3013"/>
      <c r="CN44" s="3012">
        <v>38447</v>
      </c>
      <c r="CO44" s="3013"/>
      <c r="CP44" s="3013"/>
      <c r="CQ44" s="3013"/>
      <c r="CR44" s="3013"/>
      <c r="CS44" s="3013"/>
      <c r="CT44" s="3012">
        <v>46407</v>
      </c>
      <c r="CU44" s="3012"/>
      <c r="CV44" s="3012"/>
      <c r="CW44" s="3012"/>
      <c r="CX44" s="3012"/>
      <c r="CY44" s="3012"/>
      <c r="CZ44" s="3012">
        <v>47616</v>
      </c>
      <c r="DA44" s="3013">
        <v>52735</v>
      </c>
      <c r="DB44" s="3013">
        <v>63285</v>
      </c>
      <c r="DC44" s="3014">
        <v>82611</v>
      </c>
      <c r="DD44" s="3009">
        <v>108414</v>
      </c>
      <c r="DE44" s="3010">
        <v>113824</v>
      </c>
      <c r="DF44" s="3010">
        <v>115014</v>
      </c>
      <c r="DG44" s="3010">
        <v>119813</v>
      </c>
      <c r="DH44" s="3009">
        <v>124021</v>
      </c>
      <c r="DI44" s="3009">
        <v>127967</v>
      </c>
      <c r="DJ44" s="3009">
        <v>131648</v>
      </c>
      <c r="DK44" s="3009">
        <v>134834</v>
      </c>
      <c r="DL44" s="3009">
        <v>140627</v>
      </c>
      <c r="DM44" s="3009">
        <v>147863</v>
      </c>
      <c r="DN44" s="3009">
        <v>151561</v>
      </c>
      <c r="DO44" s="3009">
        <v>136625</v>
      </c>
      <c r="DP44" s="3009">
        <v>133508</v>
      </c>
      <c r="DQ44" s="3009">
        <v>147974</v>
      </c>
      <c r="DR44" s="3009">
        <v>153383</v>
      </c>
      <c r="DS44" s="3009">
        <v>158791</v>
      </c>
      <c r="DT44" s="3009">
        <v>163092</v>
      </c>
      <c r="DU44" s="3009">
        <v>168040</v>
      </c>
      <c r="DV44" s="3009">
        <v>176553</v>
      </c>
      <c r="DW44" s="3009">
        <v>220606</v>
      </c>
      <c r="DX44" s="3009">
        <v>226932</v>
      </c>
      <c r="DY44" s="3015">
        <v>235725</v>
      </c>
      <c r="DZ44" s="3015">
        <v>211643</v>
      </c>
      <c r="EA44" s="3015">
        <v>203087</v>
      </c>
      <c r="EB44" s="3015">
        <v>206408</v>
      </c>
      <c r="EC44" s="3015">
        <v>218504</v>
      </c>
      <c r="ED44" s="3015">
        <v>224119</v>
      </c>
      <c r="EE44" s="3015">
        <v>228136</v>
      </c>
      <c r="EF44" s="3015">
        <v>226594</v>
      </c>
      <c r="EG44" s="3015">
        <v>231147</v>
      </c>
      <c r="EH44" s="3015">
        <v>235129</v>
      </c>
      <c r="EI44" s="3015">
        <v>239464</v>
      </c>
      <c r="EJ44" s="3015">
        <v>218381</v>
      </c>
      <c r="EK44" s="3015">
        <v>220362</v>
      </c>
      <c r="EL44" s="3015">
        <v>197884</v>
      </c>
      <c r="EM44" s="3015">
        <v>196323</v>
      </c>
      <c r="EN44" s="3015">
        <v>200345</v>
      </c>
      <c r="EO44" s="3015">
        <v>204835</v>
      </c>
    </row>
    <row r="45" spans="1:146" s="2990" customFormat="1" ht="13.5" thickBot="1">
      <c r="A45" s="2997"/>
      <c r="B45" s="2998"/>
      <c r="C45" s="2998"/>
      <c r="D45" s="2998"/>
      <c r="E45" s="2998"/>
      <c r="F45" s="2998"/>
      <c r="G45" s="2998"/>
      <c r="H45" s="2998"/>
      <c r="I45" s="2998"/>
      <c r="J45" s="2998"/>
      <c r="K45" s="2998"/>
      <c r="L45" s="2998"/>
      <c r="M45" s="2998"/>
      <c r="N45" s="2998"/>
      <c r="O45" s="2998"/>
      <c r="P45" s="2998"/>
      <c r="Q45" s="2998"/>
      <c r="R45" s="2998"/>
      <c r="S45" s="2998"/>
      <c r="T45" s="2998"/>
      <c r="U45" s="2998"/>
      <c r="V45" s="2998"/>
      <c r="W45" s="2998"/>
      <c r="X45" s="2998"/>
      <c r="Y45" s="2998"/>
      <c r="Z45" s="2998"/>
      <c r="AA45" s="2998"/>
      <c r="AB45" s="2998"/>
      <c r="AC45" s="2998"/>
      <c r="AD45" s="2998"/>
      <c r="AE45" s="2998"/>
      <c r="AF45" s="2998"/>
      <c r="AG45" s="2998"/>
      <c r="AH45" s="2998"/>
      <c r="AI45" s="2998"/>
      <c r="AJ45" s="2998"/>
      <c r="AK45" s="2998"/>
      <c r="AL45" s="2998"/>
      <c r="AM45" s="2998"/>
      <c r="AN45" s="2998"/>
      <c r="AO45" s="2998"/>
      <c r="AP45" s="2998"/>
      <c r="AQ45" s="2998"/>
      <c r="AR45" s="2998"/>
      <c r="AS45" s="2998"/>
      <c r="AT45" s="2998"/>
      <c r="AU45" s="2998"/>
      <c r="AV45" s="2998"/>
      <c r="AW45" s="2998"/>
      <c r="AX45" s="2998"/>
      <c r="AY45" s="2998"/>
      <c r="AZ45" s="2998"/>
      <c r="BA45" s="2998"/>
      <c r="BB45" s="2998"/>
      <c r="BC45" s="2998"/>
      <c r="BD45" s="2998"/>
      <c r="BE45" s="2998"/>
      <c r="BF45" s="2998"/>
      <c r="BG45" s="2998"/>
      <c r="BH45" s="2998"/>
      <c r="BI45" s="2998"/>
      <c r="BJ45" s="2998"/>
      <c r="BK45" s="2998"/>
      <c r="BL45" s="2998"/>
      <c r="BM45" s="2998"/>
      <c r="BN45" s="2998"/>
      <c r="BO45" s="2998"/>
      <c r="BP45" s="2998"/>
      <c r="BQ45" s="2998"/>
      <c r="BR45" s="2998"/>
      <c r="BS45" s="2998"/>
      <c r="BT45" s="2998"/>
      <c r="BU45" s="2998"/>
      <c r="BV45" s="2998"/>
      <c r="BW45" s="2998"/>
      <c r="BX45" s="2998"/>
      <c r="BY45" s="2998"/>
      <c r="BZ45" s="2999"/>
      <c r="CA45" s="3000"/>
      <c r="CB45" s="3016"/>
      <c r="CC45" s="3017"/>
      <c r="CD45" s="3018"/>
      <c r="CE45" s="3018"/>
      <c r="CF45" s="3018"/>
      <c r="CG45" s="3019"/>
      <c r="CH45" s="3020"/>
      <c r="CI45" s="2878"/>
      <c r="CJ45" s="2878"/>
      <c r="CK45" s="2878"/>
      <c r="CL45" s="2878"/>
      <c r="CM45" s="2878"/>
      <c r="CN45" s="3020"/>
      <c r="CO45" s="2878"/>
      <c r="CP45" s="2878"/>
      <c r="CQ45" s="2878"/>
      <c r="CR45" s="2878"/>
      <c r="CS45" s="2878"/>
      <c r="CT45" s="3020"/>
      <c r="CU45" s="3020"/>
      <c r="CV45" s="3020"/>
      <c r="CW45" s="3020"/>
      <c r="CX45" s="3020"/>
      <c r="CY45" s="3020"/>
      <c r="CZ45" s="3020"/>
      <c r="DA45" s="2878"/>
      <c r="DB45" s="2878"/>
      <c r="DC45" s="3021"/>
      <c r="DD45" s="3017"/>
      <c r="DE45" s="3017"/>
      <c r="DF45" s="3018"/>
      <c r="DG45" s="3018"/>
      <c r="DH45" s="3017"/>
      <c r="DI45" s="3017"/>
      <c r="DJ45" s="3017"/>
      <c r="DK45" s="3017"/>
      <c r="DL45" s="3017"/>
      <c r="DM45" s="3017"/>
      <c r="DN45" s="3017"/>
      <c r="DO45" s="3017"/>
      <c r="DP45" s="3017"/>
      <c r="DQ45" s="3017"/>
      <c r="DR45" s="3017"/>
      <c r="DS45" s="3017"/>
      <c r="DT45" s="3017"/>
      <c r="DU45" s="3017"/>
      <c r="DV45" s="3017"/>
      <c r="DW45" s="3017"/>
      <c r="DX45" s="3017"/>
      <c r="DY45" s="3017"/>
      <c r="DZ45" s="3017"/>
      <c r="EA45" s="3017"/>
      <c r="EB45" s="3017"/>
      <c r="EC45" s="3017"/>
      <c r="ED45" s="3017"/>
      <c r="EE45" s="3017"/>
      <c r="EF45" s="3017"/>
      <c r="EG45" s="3017"/>
      <c r="EH45" s="3017"/>
      <c r="EI45" s="3017"/>
      <c r="EJ45" s="3017"/>
      <c r="EK45" s="3017"/>
      <c r="EL45" s="3017"/>
      <c r="EM45" s="3017"/>
      <c r="EN45" s="3017"/>
      <c r="EO45" s="3017"/>
    </row>
    <row r="46" spans="1:146" s="2990" customFormat="1" ht="15" customHeight="1" thickBot="1">
      <c r="A46" s="2991"/>
      <c r="B46" s="2992"/>
      <c r="C46" s="2992"/>
      <c r="D46" s="2992"/>
      <c r="E46" s="2992"/>
      <c r="F46" s="2992"/>
      <c r="G46" s="2992"/>
      <c r="H46" s="2992"/>
      <c r="I46" s="2992"/>
      <c r="J46" s="2992"/>
      <c r="K46" s="2992"/>
      <c r="L46" s="2992"/>
      <c r="M46" s="2992"/>
      <c r="N46" s="2992"/>
      <c r="O46" s="2992"/>
      <c r="P46" s="2992"/>
      <c r="Q46" s="2992"/>
      <c r="R46" s="2992"/>
      <c r="S46" s="2992"/>
      <c r="T46" s="2992"/>
      <c r="U46" s="2992"/>
      <c r="V46" s="2992"/>
      <c r="W46" s="2992"/>
      <c r="X46" s="2992"/>
      <c r="Y46" s="2992"/>
      <c r="Z46" s="2992"/>
      <c r="AA46" s="2992"/>
      <c r="AB46" s="2992"/>
      <c r="AC46" s="2992"/>
      <c r="AD46" s="2992"/>
      <c r="AE46" s="2992"/>
      <c r="AF46" s="2992"/>
      <c r="AG46" s="2992"/>
      <c r="AH46" s="2992"/>
      <c r="AI46" s="2992"/>
      <c r="AJ46" s="2992"/>
      <c r="AK46" s="2992"/>
      <c r="AL46" s="2992"/>
      <c r="AM46" s="2992"/>
      <c r="AN46" s="2992"/>
      <c r="AO46" s="2992"/>
      <c r="AP46" s="2992"/>
      <c r="AQ46" s="2992"/>
      <c r="AR46" s="2992"/>
      <c r="AS46" s="2992"/>
      <c r="AT46" s="2992"/>
      <c r="AU46" s="2992"/>
      <c r="AV46" s="2992"/>
      <c r="AW46" s="2992"/>
      <c r="AX46" s="2992"/>
      <c r="AY46" s="2992"/>
      <c r="AZ46" s="2992"/>
      <c r="BA46" s="2992"/>
      <c r="BB46" s="2992"/>
      <c r="BC46" s="2992"/>
      <c r="BD46" s="2992"/>
      <c r="BE46" s="2992"/>
      <c r="BF46" s="2992"/>
      <c r="BG46" s="2992"/>
      <c r="BH46" s="2992"/>
      <c r="BI46" s="2992"/>
      <c r="BJ46" s="2992"/>
      <c r="BK46" s="2992"/>
      <c r="BL46" s="2992"/>
      <c r="BM46" s="2992"/>
      <c r="BN46" s="2992"/>
      <c r="BO46" s="2992"/>
      <c r="BP46" s="2992"/>
      <c r="BQ46" s="2992"/>
      <c r="BR46" s="2992"/>
      <c r="BS46" s="2992"/>
      <c r="BT46" s="2992"/>
      <c r="BU46" s="2992"/>
      <c r="BV46" s="2992"/>
      <c r="BW46" s="2992"/>
      <c r="BX46" s="2992"/>
      <c r="BY46" s="2992"/>
      <c r="BZ46" s="2993"/>
      <c r="CA46" s="3022"/>
      <c r="CB46" s="3559" t="s">
        <v>3694</v>
      </c>
      <c r="CC46" s="3560"/>
      <c r="CD46" s="3560"/>
      <c r="CE46" s="3560"/>
      <c r="CF46" s="3560"/>
      <c r="CG46" s="3560"/>
      <c r="CH46" s="3560"/>
      <c r="CI46" s="3560"/>
      <c r="CJ46" s="3560"/>
      <c r="CK46" s="3560"/>
      <c r="CL46" s="3560"/>
      <c r="CM46" s="3560"/>
      <c r="CN46" s="3560"/>
      <c r="CO46" s="3560"/>
      <c r="CP46" s="3560"/>
      <c r="CQ46" s="3560"/>
      <c r="CR46" s="3560"/>
      <c r="CS46" s="3560"/>
      <c r="CT46" s="3560"/>
      <c r="CU46" s="3560"/>
      <c r="CV46" s="3560"/>
      <c r="CW46" s="3560"/>
      <c r="CX46" s="3560"/>
      <c r="CY46" s="3560"/>
      <c r="CZ46" s="3560"/>
      <c r="DA46" s="3560"/>
      <c r="DB46" s="3560"/>
      <c r="DC46" s="3560"/>
      <c r="DD46" s="3560"/>
      <c r="DE46" s="3560"/>
      <c r="DF46" s="3560"/>
      <c r="DG46" s="3560"/>
      <c r="DH46" s="3560"/>
      <c r="DI46" s="3560"/>
      <c r="DJ46" s="3561"/>
      <c r="DK46" s="3023"/>
      <c r="DL46" s="3023"/>
      <c r="DM46" s="3023"/>
      <c r="DN46" s="3023"/>
      <c r="DO46" s="3023"/>
      <c r="DP46" s="3023"/>
      <c r="DQ46" s="3023"/>
      <c r="DR46" s="3023"/>
      <c r="DS46" s="3023"/>
      <c r="DT46" s="3023"/>
      <c r="DU46" s="3023"/>
      <c r="DV46" s="3024"/>
      <c r="DW46" s="3024"/>
      <c r="DX46" s="3024"/>
      <c r="DY46" s="3024"/>
      <c r="DZ46" s="3024"/>
      <c r="EA46" s="3024"/>
      <c r="EB46" s="3024"/>
      <c r="EC46" s="3024"/>
      <c r="ED46" s="3024"/>
      <c r="EE46" s="3024"/>
      <c r="EF46" s="3024"/>
      <c r="EG46" s="3024"/>
      <c r="EH46" s="3024"/>
      <c r="EI46" s="3024"/>
      <c r="EJ46" s="3024"/>
      <c r="EK46" s="3024"/>
      <c r="EL46" s="3024"/>
      <c r="EM46" s="3024"/>
      <c r="EN46" s="3024"/>
      <c r="EO46" s="3024"/>
    </row>
    <row r="47" spans="1:146" s="2990" customFormat="1">
      <c r="A47" s="3553" t="s">
        <v>3666</v>
      </c>
      <c r="B47" s="3554"/>
      <c r="C47" s="3554"/>
      <c r="D47" s="3554"/>
      <c r="E47" s="3554"/>
      <c r="F47" s="3554"/>
      <c r="G47" s="3554"/>
      <c r="H47" s="3554"/>
      <c r="I47" s="3554"/>
      <c r="J47" s="3554"/>
      <c r="K47" s="3554"/>
      <c r="L47" s="3554"/>
      <c r="M47" s="3554"/>
      <c r="N47" s="3554"/>
      <c r="O47" s="3554"/>
      <c r="P47" s="3554"/>
      <c r="Q47" s="3554"/>
      <c r="R47" s="3554"/>
      <c r="S47" s="3554"/>
      <c r="T47" s="3554"/>
      <c r="U47" s="3554"/>
      <c r="V47" s="3554"/>
      <c r="W47" s="3554"/>
      <c r="X47" s="3554"/>
      <c r="Y47" s="3554"/>
      <c r="Z47" s="3554"/>
      <c r="AA47" s="3554"/>
      <c r="AB47" s="3554"/>
      <c r="AC47" s="3554"/>
      <c r="AD47" s="3554"/>
      <c r="AE47" s="3554"/>
      <c r="AF47" s="3554"/>
      <c r="AG47" s="3554"/>
      <c r="AH47" s="3554"/>
      <c r="AI47" s="3554"/>
      <c r="AJ47" s="3554"/>
      <c r="AK47" s="3554"/>
      <c r="AL47" s="3554"/>
      <c r="AM47" s="3554"/>
      <c r="AN47" s="3554"/>
      <c r="AO47" s="3554"/>
      <c r="AP47" s="3554"/>
      <c r="AQ47" s="3554"/>
      <c r="AR47" s="3554"/>
      <c r="AS47" s="3554"/>
      <c r="AT47" s="3554"/>
      <c r="AU47" s="3554"/>
      <c r="AV47" s="3554"/>
      <c r="AW47" s="3554"/>
      <c r="AX47" s="3554"/>
      <c r="AY47" s="3554"/>
      <c r="AZ47" s="3554"/>
      <c r="BA47" s="3554"/>
      <c r="BB47" s="3554"/>
      <c r="BC47" s="3554"/>
      <c r="BD47" s="3554"/>
      <c r="BE47" s="3554"/>
      <c r="BF47" s="3554"/>
      <c r="BG47" s="3554"/>
      <c r="BH47" s="3554"/>
      <c r="BI47" s="3554"/>
      <c r="BJ47" s="3554"/>
      <c r="BK47" s="3554"/>
      <c r="BL47" s="3554"/>
      <c r="BM47" s="3554"/>
      <c r="BN47" s="3554"/>
      <c r="BO47" s="3554"/>
      <c r="BP47" s="3554"/>
      <c r="BQ47" s="3554"/>
      <c r="BR47" s="3554"/>
      <c r="BS47" s="3554"/>
      <c r="BT47" s="3554"/>
      <c r="BU47" s="3554"/>
      <c r="BV47" s="3554"/>
      <c r="BW47" s="3554"/>
      <c r="BX47" s="3554"/>
      <c r="BY47" s="3554"/>
      <c r="BZ47" s="3555"/>
      <c r="CA47" s="3000"/>
      <c r="CB47" s="3025">
        <v>44268</v>
      </c>
      <c r="CC47" s="3026"/>
      <c r="CD47" s="3027"/>
      <c r="CE47" s="3027"/>
      <c r="CF47" s="3027"/>
      <c r="CG47" s="3028"/>
      <c r="CH47" s="3029">
        <v>57316</v>
      </c>
      <c r="CI47" s="3030"/>
      <c r="CJ47" s="3030"/>
      <c r="CK47" s="3030"/>
      <c r="CL47" s="3030"/>
      <c r="CM47" s="3030"/>
      <c r="CN47" s="3029">
        <v>99170</v>
      </c>
      <c r="CO47" s="3030"/>
      <c r="CP47" s="3030"/>
      <c r="CQ47" s="3030"/>
      <c r="CR47" s="3030"/>
      <c r="CS47" s="3030"/>
      <c r="CT47" s="3029">
        <v>78843</v>
      </c>
      <c r="CU47" s="3029"/>
      <c r="CV47" s="3029"/>
      <c r="CW47" s="3029"/>
      <c r="CX47" s="3029"/>
      <c r="CY47" s="3029"/>
      <c r="CZ47" s="3029">
        <v>164038</v>
      </c>
      <c r="DA47" s="3030">
        <v>117558</v>
      </c>
      <c r="DB47" s="3030">
        <v>198205</v>
      </c>
      <c r="DC47" s="3031">
        <v>146117</v>
      </c>
      <c r="DD47" s="3026">
        <v>252554</v>
      </c>
      <c r="DE47" s="3026">
        <v>166714</v>
      </c>
      <c r="DF47" s="3027">
        <v>167270</v>
      </c>
      <c r="DG47" s="3032">
        <v>199697</v>
      </c>
      <c r="DH47" s="3026">
        <v>203395</v>
      </c>
      <c r="DI47" s="3026">
        <v>194980</v>
      </c>
      <c r="DJ47" s="3026">
        <v>197452</v>
      </c>
      <c r="DK47" s="3026">
        <v>207142</v>
      </c>
      <c r="DL47" s="3026">
        <v>209248</v>
      </c>
      <c r="DM47" s="3026">
        <v>213171</v>
      </c>
      <c r="DN47" s="3026">
        <v>126290</v>
      </c>
      <c r="DO47" s="3026">
        <v>132032</v>
      </c>
      <c r="DP47" s="3026">
        <v>171088</v>
      </c>
      <c r="DQ47" s="3026">
        <v>127701</v>
      </c>
      <c r="DR47" s="3026">
        <v>129925</v>
      </c>
      <c r="DS47" s="3026">
        <v>171990</v>
      </c>
      <c r="DT47" s="3026">
        <v>176464</v>
      </c>
      <c r="DU47" s="3026">
        <v>198861</v>
      </c>
      <c r="DV47" s="3026">
        <v>192964</v>
      </c>
      <c r="DW47" s="3026">
        <v>200457</v>
      </c>
      <c r="DX47" s="3026">
        <v>220696</v>
      </c>
      <c r="DY47" s="3026">
        <v>221700</v>
      </c>
      <c r="DZ47" s="3026">
        <v>235884</v>
      </c>
      <c r="EA47" s="3026">
        <v>236831</v>
      </c>
      <c r="EB47" s="3026">
        <v>330274</v>
      </c>
      <c r="EC47" s="3026">
        <v>238413</v>
      </c>
      <c r="ED47" s="3026">
        <v>238093</v>
      </c>
      <c r="EE47" s="3026">
        <v>261162</v>
      </c>
      <c r="EF47" s="3026">
        <v>277292</v>
      </c>
      <c r="EG47" s="3026">
        <v>283585</v>
      </c>
      <c r="EH47" s="3026">
        <v>266059</v>
      </c>
      <c r="EI47" s="3026">
        <v>290958</v>
      </c>
      <c r="EJ47" s="3026">
        <v>283367</v>
      </c>
      <c r="EK47" s="3026">
        <v>264927</v>
      </c>
      <c r="EL47" s="3026">
        <v>315412</v>
      </c>
      <c r="EM47" s="3026">
        <v>295863</v>
      </c>
      <c r="EN47" s="3026">
        <v>392058</v>
      </c>
      <c r="EO47" s="3026">
        <v>351065</v>
      </c>
    </row>
    <row r="48" spans="1:146" s="2990" customFormat="1">
      <c r="A48" s="3553" t="s">
        <v>3695</v>
      </c>
      <c r="B48" s="3554"/>
      <c r="C48" s="3554"/>
      <c r="D48" s="3554"/>
      <c r="E48" s="3554"/>
      <c r="F48" s="3554"/>
      <c r="G48" s="3554"/>
      <c r="H48" s="3554"/>
      <c r="I48" s="3554"/>
      <c r="J48" s="3554"/>
      <c r="K48" s="3554"/>
      <c r="L48" s="3554"/>
      <c r="M48" s="3554"/>
      <c r="N48" s="3554"/>
      <c r="O48" s="3554"/>
      <c r="P48" s="3554"/>
      <c r="Q48" s="3554"/>
      <c r="R48" s="3554"/>
      <c r="S48" s="3554"/>
      <c r="T48" s="3554"/>
      <c r="U48" s="3554"/>
      <c r="V48" s="3554"/>
      <c r="W48" s="3554"/>
      <c r="X48" s="3554"/>
      <c r="Y48" s="3554"/>
      <c r="Z48" s="3554"/>
      <c r="AA48" s="3554"/>
      <c r="AB48" s="3554"/>
      <c r="AC48" s="3554"/>
      <c r="AD48" s="3554"/>
      <c r="AE48" s="3554"/>
      <c r="AF48" s="3554"/>
      <c r="AG48" s="3554"/>
      <c r="AH48" s="3554"/>
      <c r="AI48" s="3554"/>
      <c r="AJ48" s="3554"/>
      <c r="AK48" s="3554"/>
      <c r="AL48" s="3554"/>
      <c r="AM48" s="3554"/>
      <c r="AN48" s="3554"/>
      <c r="AO48" s="3554"/>
      <c r="AP48" s="3554"/>
      <c r="AQ48" s="3554"/>
      <c r="AR48" s="3554"/>
      <c r="AS48" s="3554"/>
      <c r="AT48" s="3554"/>
      <c r="AU48" s="3554"/>
      <c r="AV48" s="3554"/>
      <c r="AW48" s="3554"/>
      <c r="AX48" s="3554"/>
      <c r="AY48" s="3554"/>
      <c r="AZ48" s="3554"/>
      <c r="BA48" s="3554"/>
      <c r="BB48" s="3554"/>
      <c r="BC48" s="3554"/>
      <c r="BD48" s="3554"/>
      <c r="BE48" s="3554"/>
      <c r="BF48" s="3554"/>
      <c r="BG48" s="3554"/>
      <c r="BH48" s="3554"/>
      <c r="BI48" s="3554"/>
      <c r="BJ48" s="3554"/>
      <c r="BK48" s="3554"/>
      <c r="BL48" s="3554"/>
      <c r="BM48" s="3554"/>
      <c r="BN48" s="3554"/>
      <c r="BO48" s="3554"/>
      <c r="BP48" s="3554"/>
      <c r="BQ48" s="3554"/>
      <c r="BR48" s="3554"/>
      <c r="BS48" s="3554"/>
      <c r="BT48" s="3554"/>
      <c r="BU48" s="3554"/>
      <c r="BV48" s="3554"/>
      <c r="BW48" s="3554"/>
      <c r="BX48" s="3554"/>
      <c r="BY48" s="3554"/>
      <c r="BZ48" s="3555"/>
      <c r="CA48" s="3000"/>
      <c r="CB48" s="3008">
        <v>4403.19100764</v>
      </c>
      <c r="CC48" s="3009"/>
      <c r="CD48" s="3010"/>
      <c r="CE48" s="3010"/>
      <c r="CF48" s="3010"/>
      <c r="CG48" s="3011"/>
      <c r="CH48" s="3012">
        <v>7226.26139762</v>
      </c>
      <c r="CI48" s="3013"/>
      <c r="CJ48" s="3013"/>
      <c r="CK48" s="3013"/>
      <c r="CL48" s="3013"/>
      <c r="CM48" s="3013"/>
      <c r="CN48" s="3012">
        <v>13488.793783540001</v>
      </c>
      <c r="CO48" s="3013"/>
      <c r="CP48" s="3013"/>
      <c r="CQ48" s="3013"/>
      <c r="CR48" s="3013"/>
      <c r="CS48" s="3013"/>
      <c r="CT48" s="3012">
        <v>10195.16952576</v>
      </c>
      <c r="CU48" s="3012"/>
      <c r="CV48" s="3012"/>
      <c r="CW48" s="3012"/>
      <c r="CX48" s="3012"/>
      <c r="CY48" s="3012"/>
      <c r="CZ48" s="3012">
        <v>14441.811963459999</v>
      </c>
      <c r="DA48" s="3013">
        <v>20927.161527</v>
      </c>
      <c r="DB48" s="3013">
        <v>28806.268514900003</v>
      </c>
      <c r="DC48" s="3014">
        <v>80989.023405200016</v>
      </c>
      <c r="DD48" s="3009">
        <v>37607</v>
      </c>
      <c r="DE48" s="3009">
        <v>41799</v>
      </c>
      <c r="DF48" s="3010">
        <v>34729.598684999997</v>
      </c>
      <c r="DG48" s="3010">
        <f>44384414586/1000000</f>
        <v>44384.414585999999</v>
      </c>
      <c r="DH48" s="3009">
        <v>32487.242348</v>
      </c>
      <c r="DI48" s="3009">
        <v>51983.523416180004</v>
      </c>
      <c r="DJ48" s="3009">
        <v>37169.898000000001</v>
      </c>
      <c r="DK48" s="3009">
        <v>57441.458771999998</v>
      </c>
      <c r="DL48" s="3009">
        <v>61483.024408999998</v>
      </c>
      <c r="DM48" s="3009">
        <v>55956.151937000002</v>
      </c>
      <c r="DN48" s="3009">
        <v>44380.566784000002</v>
      </c>
      <c r="DO48" s="3009">
        <v>42493.410649999998</v>
      </c>
      <c r="DP48" s="3009">
        <v>44038</v>
      </c>
      <c r="DQ48" s="3009">
        <v>34639.181123000002</v>
      </c>
      <c r="DR48" s="3009">
        <v>48955.571042000003</v>
      </c>
      <c r="DS48" s="3009">
        <v>34653.421648000003</v>
      </c>
      <c r="DT48" s="3009">
        <v>38151.771278</v>
      </c>
      <c r="DU48" s="3009">
        <v>35189.657571999996</v>
      </c>
      <c r="DV48" s="3009">
        <f>60236597862.67/1000000</f>
        <v>60236.597862670002</v>
      </c>
      <c r="DW48" s="3009">
        <v>52111.454497999999</v>
      </c>
      <c r="DX48" s="3009">
        <v>76305.325259999998</v>
      </c>
      <c r="DY48" s="3009">
        <v>49589.197045000001</v>
      </c>
      <c r="DZ48" s="3009">
        <v>47313.410499999998</v>
      </c>
      <c r="EA48" s="3009">
        <v>38486.255805000001</v>
      </c>
      <c r="EB48" s="3009">
        <v>60451</v>
      </c>
      <c r="EC48" s="3009">
        <v>43475.962768999998</v>
      </c>
      <c r="ED48" s="3009">
        <v>53599.680598999999</v>
      </c>
      <c r="EE48" s="3009">
        <v>50754</v>
      </c>
      <c r="EF48" s="3009">
        <v>44273.632428999998</v>
      </c>
      <c r="EG48" s="3009">
        <v>56415.093000000001</v>
      </c>
      <c r="EH48" s="3009">
        <v>69886.773830000006</v>
      </c>
      <c r="EI48" s="3009">
        <v>95686.427930000005</v>
      </c>
      <c r="EJ48" s="3009">
        <v>99053.420203000001</v>
      </c>
      <c r="EK48" s="3009">
        <v>109788.97238200001</v>
      </c>
      <c r="EL48" s="3009">
        <v>94589.501147999996</v>
      </c>
      <c r="EM48" s="3009">
        <v>111014.214874</v>
      </c>
      <c r="EN48" s="3009">
        <v>135896.03765000001</v>
      </c>
      <c r="EO48" s="3009">
        <v>91072.939985999998</v>
      </c>
      <c r="EP48" s="3033"/>
    </row>
    <row r="49" spans="1:145" s="2990" customFormat="1">
      <c r="A49" s="2997"/>
      <c r="B49" s="2998"/>
      <c r="C49" s="2998"/>
      <c r="D49" s="2998"/>
      <c r="E49" s="2998"/>
      <c r="F49" s="2998"/>
      <c r="G49" s="2998"/>
      <c r="H49" s="2998"/>
      <c r="I49" s="2998"/>
      <c r="J49" s="2998"/>
      <c r="K49" s="2998"/>
      <c r="L49" s="2998"/>
      <c r="M49" s="2998"/>
      <c r="N49" s="2998"/>
      <c r="O49" s="2998"/>
      <c r="P49" s="2998"/>
      <c r="Q49" s="2998"/>
      <c r="R49" s="2998"/>
      <c r="S49" s="2998"/>
      <c r="T49" s="2998"/>
      <c r="U49" s="2998"/>
      <c r="V49" s="2998"/>
      <c r="W49" s="2998"/>
      <c r="X49" s="2998"/>
      <c r="Y49" s="2998"/>
      <c r="Z49" s="2998"/>
      <c r="AA49" s="2998"/>
      <c r="AB49" s="2998"/>
      <c r="AC49" s="2998"/>
      <c r="AD49" s="2998"/>
      <c r="AE49" s="2998"/>
      <c r="AF49" s="2998"/>
      <c r="AG49" s="2998"/>
      <c r="AH49" s="2998"/>
      <c r="AI49" s="2998"/>
      <c r="AJ49" s="2998"/>
      <c r="AK49" s="2998"/>
      <c r="AL49" s="2998"/>
      <c r="AM49" s="2998"/>
      <c r="AN49" s="2998"/>
      <c r="AO49" s="2998"/>
      <c r="AP49" s="2998"/>
      <c r="AQ49" s="2998"/>
      <c r="AR49" s="2998"/>
      <c r="AS49" s="2998"/>
      <c r="AT49" s="2998"/>
      <c r="AU49" s="2998"/>
      <c r="AV49" s="2998"/>
      <c r="AW49" s="2998"/>
      <c r="AX49" s="2998"/>
      <c r="AY49" s="2998"/>
      <c r="AZ49" s="2998"/>
      <c r="BA49" s="2998"/>
      <c r="BB49" s="2998"/>
      <c r="BC49" s="2998"/>
      <c r="BD49" s="2998"/>
      <c r="BE49" s="2998"/>
      <c r="BF49" s="2998"/>
      <c r="BG49" s="2998"/>
      <c r="BH49" s="2998"/>
      <c r="BI49" s="2998"/>
      <c r="BJ49" s="2998"/>
      <c r="BK49" s="2998"/>
      <c r="BL49" s="2998"/>
      <c r="BM49" s="2998"/>
      <c r="BN49" s="2998"/>
      <c r="BO49" s="2998"/>
      <c r="BP49" s="2998"/>
      <c r="BQ49" s="2998"/>
      <c r="BR49" s="2998"/>
      <c r="BS49" s="2998"/>
      <c r="BT49" s="2998"/>
      <c r="BU49" s="2998"/>
      <c r="BV49" s="2998"/>
      <c r="BW49" s="2998"/>
      <c r="BX49" s="2998"/>
      <c r="BY49" s="2998"/>
      <c r="BZ49" s="2999"/>
      <c r="CA49" s="3000"/>
      <c r="CB49" s="3008"/>
      <c r="CC49" s="3009"/>
      <c r="CD49" s="3010"/>
      <c r="CE49" s="3010"/>
      <c r="CF49" s="3010"/>
      <c r="CG49" s="3011"/>
      <c r="CH49" s="3012"/>
      <c r="CI49" s="3013"/>
      <c r="CJ49" s="3013"/>
      <c r="CK49" s="3013"/>
      <c r="CL49" s="3013"/>
      <c r="CM49" s="3013"/>
      <c r="CN49" s="3012"/>
      <c r="CO49" s="3013"/>
      <c r="CP49" s="3013"/>
      <c r="CQ49" s="3013"/>
      <c r="CR49" s="3013"/>
      <c r="CS49" s="3013"/>
      <c r="CT49" s="3012"/>
      <c r="CU49" s="3012"/>
      <c r="CV49" s="3012"/>
      <c r="CW49" s="3012"/>
      <c r="CX49" s="3012"/>
      <c r="CY49" s="3012"/>
      <c r="CZ49" s="3012"/>
      <c r="DA49" s="3013"/>
      <c r="DB49" s="3013"/>
      <c r="DC49" s="3014"/>
      <c r="DD49" s="3009"/>
      <c r="DE49" s="3009"/>
      <c r="DF49" s="3034"/>
      <c r="DG49" s="3034"/>
      <c r="DH49" s="3009"/>
      <c r="DI49" s="3009"/>
      <c r="DJ49" s="3009"/>
      <c r="DK49" s="3009"/>
      <c r="DL49" s="3009"/>
      <c r="DM49" s="3009"/>
      <c r="DN49" s="3009"/>
      <c r="DO49" s="3009"/>
      <c r="DP49" s="3009"/>
      <c r="DQ49" s="3009"/>
      <c r="DR49" s="3009"/>
      <c r="DS49" s="3009"/>
      <c r="DT49" s="3009"/>
      <c r="DU49" s="3009"/>
      <c r="DV49" s="3009"/>
      <c r="DW49" s="3009"/>
      <c r="DX49" s="3009"/>
      <c r="DY49" s="3009"/>
      <c r="DZ49" s="3009"/>
      <c r="EA49" s="3009"/>
      <c r="EB49" s="3009"/>
      <c r="EC49" s="3009"/>
      <c r="ED49" s="3009"/>
      <c r="EE49" s="3009"/>
      <c r="EF49" s="3009"/>
      <c r="EG49" s="3009"/>
      <c r="EH49" s="3009"/>
      <c r="EI49" s="3009"/>
      <c r="EJ49" s="3009"/>
      <c r="EK49" s="3009"/>
      <c r="EL49" s="3009"/>
      <c r="EM49" s="3009"/>
      <c r="EN49" s="3009"/>
      <c r="EO49" s="3009"/>
    </row>
    <row r="50" spans="1:145" s="2990" customFormat="1" ht="13.5" thickBot="1">
      <c r="A50" s="3035" t="s">
        <v>3696</v>
      </c>
      <c r="B50" s="3036"/>
      <c r="C50" s="3036"/>
      <c r="D50" s="3036"/>
      <c r="E50" s="3036"/>
      <c r="F50" s="3036"/>
      <c r="G50" s="3036"/>
      <c r="H50" s="3036"/>
      <c r="I50" s="3036"/>
      <c r="J50" s="3036"/>
      <c r="K50" s="3036"/>
      <c r="L50" s="3036"/>
      <c r="M50" s="3036"/>
      <c r="N50" s="3036"/>
      <c r="O50" s="3036"/>
      <c r="P50" s="3036"/>
      <c r="Q50" s="3036"/>
      <c r="R50" s="3036"/>
      <c r="S50" s="3036"/>
      <c r="T50" s="3036"/>
      <c r="U50" s="3036"/>
      <c r="V50" s="3036"/>
      <c r="W50" s="3036"/>
      <c r="X50" s="3036"/>
      <c r="Y50" s="3036"/>
      <c r="Z50" s="3036"/>
      <c r="AA50" s="3036"/>
      <c r="AB50" s="3036"/>
      <c r="AC50" s="3036"/>
      <c r="AD50" s="3036"/>
      <c r="AE50" s="3036"/>
      <c r="AF50" s="3036"/>
      <c r="AG50" s="3036"/>
      <c r="AH50" s="3036"/>
      <c r="AI50" s="3036"/>
      <c r="AJ50" s="3036"/>
      <c r="AK50" s="3036"/>
      <c r="AL50" s="3036"/>
      <c r="AM50" s="3036"/>
      <c r="AN50" s="3036"/>
      <c r="AO50" s="3036"/>
      <c r="AP50" s="3036"/>
      <c r="AQ50" s="3036"/>
      <c r="AR50" s="3036"/>
      <c r="AS50" s="3036"/>
      <c r="AT50" s="3036"/>
      <c r="AU50" s="3036"/>
      <c r="AV50" s="3036"/>
      <c r="AW50" s="3036"/>
      <c r="AX50" s="3036"/>
      <c r="AY50" s="3036"/>
      <c r="AZ50" s="3036"/>
      <c r="BA50" s="3036"/>
      <c r="BB50" s="3036"/>
      <c r="BC50" s="3036"/>
      <c r="BD50" s="3036"/>
      <c r="BE50" s="3036"/>
      <c r="BF50" s="3036"/>
      <c r="BG50" s="3036"/>
      <c r="BH50" s="3036"/>
      <c r="BI50" s="3036"/>
      <c r="BJ50" s="3036"/>
      <c r="BK50" s="3036"/>
      <c r="BL50" s="3036"/>
      <c r="BM50" s="3036"/>
      <c r="BN50" s="3036"/>
      <c r="BO50" s="3036"/>
      <c r="BP50" s="3036"/>
      <c r="BQ50" s="3036"/>
      <c r="BR50" s="3036"/>
      <c r="BS50" s="3036"/>
      <c r="BT50" s="3036"/>
      <c r="BU50" s="3036"/>
      <c r="BV50" s="3036"/>
      <c r="BW50" s="3036"/>
      <c r="BX50" s="3036"/>
      <c r="BY50" s="3036"/>
      <c r="BZ50" s="3037"/>
      <c r="CA50" s="3038"/>
      <c r="CB50" s="3039"/>
      <c r="CC50" s="3040"/>
      <c r="CD50" s="3041"/>
      <c r="CE50" s="3041"/>
      <c r="CF50" s="3041"/>
      <c r="CG50" s="3042"/>
      <c r="CH50" s="3020">
        <v>4817</v>
      </c>
      <c r="CI50" s="3020"/>
      <c r="CJ50" s="3020"/>
      <c r="CK50" s="3020"/>
      <c r="CL50" s="3020"/>
      <c r="CM50" s="3020"/>
      <c r="CN50" s="3020">
        <v>6915</v>
      </c>
      <c r="CO50" s="3020"/>
      <c r="CP50" s="3020"/>
      <c r="CQ50" s="3020"/>
      <c r="CR50" s="3020"/>
      <c r="CS50" s="3020"/>
      <c r="CT50" s="3020">
        <v>8701</v>
      </c>
      <c r="CU50" s="3020"/>
      <c r="CV50" s="3020"/>
      <c r="CW50" s="3020"/>
      <c r="CX50" s="3020"/>
      <c r="CY50" s="3020"/>
      <c r="CZ50" s="3020">
        <v>9738</v>
      </c>
      <c r="DA50" s="3020">
        <v>15311</v>
      </c>
      <c r="DB50" s="3020">
        <v>23316</v>
      </c>
      <c r="DC50" s="3043">
        <v>44522.688331780009</v>
      </c>
      <c r="DD50" s="3044">
        <v>39849</v>
      </c>
      <c r="DE50" s="3044">
        <v>41799</v>
      </c>
      <c r="DF50" s="3018">
        <v>38264.069831000001</v>
      </c>
      <c r="DG50" s="3018">
        <v>40304.184749653301</v>
      </c>
      <c r="DH50" s="3044">
        <v>38349.949149239997</v>
      </c>
      <c r="DI50" s="3044">
        <v>41076.664002628</v>
      </c>
      <c r="DJ50" s="3044">
        <v>40425.5</v>
      </c>
      <c r="DK50" s="3044">
        <v>42856.382418000001</v>
      </c>
      <c r="DL50" s="3044">
        <v>43756.425402000001</v>
      </c>
      <c r="DM50" s="3044">
        <v>45112.523892999998</v>
      </c>
      <c r="DN50" s="3044">
        <v>45039</v>
      </c>
      <c r="DO50" s="3044">
        <v>44807.881134000003</v>
      </c>
      <c r="DP50" s="3044">
        <v>44743.593999999997</v>
      </c>
      <c r="DQ50" s="3044">
        <v>34639</v>
      </c>
      <c r="DR50" s="3044">
        <v>41797.376082000002</v>
      </c>
      <c r="DS50" s="3044">
        <v>39416.057000000001</v>
      </c>
      <c r="DT50" s="3044">
        <v>39099.986273000002</v>
      </c>
      <c r="DU50" s="3044">
        <v>38317.920527000002</v>
      </c>
      <c r="DV50" s="3044">
        <f>41971033415.8727/1000000</f>
        <v>41971.033415872706</v>
      </c>
      <c r="DW50" s="3044">
        <v>43419.664999000001</v>
      </c>
      <c r="DX50" s="3044">
        <v>47530.372532000001</v>
      </c>
      <c r="DY50" s="3044">
        <v>47759.130811000003</v>
      </c>
      <c r="DZ50" s="3044">
        <v>47714.558779999999</v>
      </c>
      <c r="EA50" s="3044">
        <v>46875.622000000003</v>
      </c>
      <c r="EB50" s="3044">
        <v>48007</v>
      </c>
      <c r="EC50" s="3044">
        <v>43475.962</v>
      </c>
      <c r="ED50" s="3044">
        <v>48537.821684000002</v>
      </c>
      <c r="EE50" s="3044">
        <v>49277</v>
      </c>
      <c r="EF50" s="3044">
        <v>48025.854202000002</v>
      </c>
      <c r="EG50" s="3044">
        <v>49703.701975999997</v>
      </c>
      <c r="EH50" s="3044">
        <v>53067.547285000001</v>
      </c>
      <c r="EI50" s="3044">
        <v>59155.958806000002</v>
      </c>
      <c r="EJ50" s="3044">
        <v>64143.141479999998</v>
      </c>
      <c r="EK50" s="3044">
        <v>69214.900469</v>
      </c>
      <c r="EL50" s="3044">
        <v>71752.360537</v>
      </c>
      <c r="EM50" s="3044">
        <v>75321.620022000003</v>
      </c>
      <c r="EN50" s="3044">
        <v>80369.488157999993</v>
      </c>
      <c r="EO50" s="3044">
        <v>91072.939985999998</v>
      </c>
    </row>
    <row r="51" spans="1:145" customFormat="1" ht="8.25" customHeight="1">
      <c r="CH51" s="2985"/>
      <c r="CI51" s="2985"/>
      <c r="CJ51" s="2985"/>
      <c r="CK51" s="2985"/>
      <c r="CL51" s="2985"/>
      <c r="CM51" s="2985"/>
      <c r="CN51" s="2985"/>
      <c r="CO51" s="2985"/>
      <c r="CP51" s="2985"/>
      <c r="CQ51" s="2985"/>
      <c r="CR51" s="2985"/>
      <c r="CS51" s="2985"/>
      <c r="CT51" s="2985"/>
      <c r="CU51" s="2985"/>
      <c r="CV51" s="2985"/>
      <c r="CW51" s="2985"/>
      <c r="CX51" s="2985"/>
      <c r="CY51" s="2985"/>
      <c r="CZ51" s="2985"/>
      <c r="DA51" s="2985"/>
      <c r="DB51" s="2985"/>
      <c r="DC51" s="2985"/>
      <c r="DD51" s="2985"/>
      <c r="DE51" s="2985"/>
      <c r="DF51" s="2985"/>
      <c r="DG51" s="2985"/>
      <c r="DH51" s="2985"/>
      <c r="DI51" s="2985"/>
      <c r="DJ51" s="2985"/>
      <c r="DK51" s="2985"/>
      <c r="DL51" s="2985"/>
      <c r="DM51" s="2985"/>
      <c r="DN51" s="2985"/>
      <c r="DO51" s="2985"/>
      <c r="DP51" s="2985"/>
      <c r="DQ51" s="2985"/>
      <c r="DR51" s="2985"/>
      <c r="DS51" s="2985"/>
      <c r="DT51" s="2985"/>
      <c r="DU51" s="2985"/>
      <c r="DV51" s="2985"/>
      <c r="DW51" s="2985"/>
      <c r="DX51" s="2985"/>
      <c r="DY51" s="2985"/>
      <c r="DZ51" s="2985"/>
      <c r="EA51" s="2985"/>
      <c r="EB51" s="2985"/>
      <c r="EC51" s="2985"/>
      <c r="ED51" s="2985"/>
      <c r="EE51" s="2985"/>
      <c r="EF51" s="2985"/>
      <c r="EG51" s="2985"/>
      <c r="EH51" s="2985"/>
      <c r="EI51" s="2985"/>
      <c r="EJ51" s="2985"/>
      <c r="EK51" s="2985"/>
      <c r="EL51" s="2985"/>
      <c r="EM51" s="2985"/>
      <c r="EN51" s="2985"/>
      <c r="EO51" s="2985"/>
    </row>
    <row r="52" spans="1:145" customFormat="1" ht="15">
      <c r="A52" s="2861" t="s">
        <v>3697</v>
      </c>
      <c r="DC52" s="2985"/>
      <c r="DD52" s="2985"/>
      <c r="DE52" s="2985"/>
      <c r="DF52" s="2985"/>
      <c r="DG52" s="3045"/>
      <c r="DH52" s="3045"/>
      <c r="DI52" s="3045"/>
      <c r="DJ52" s="2985"/>
      <c r="DK52" s="2985"/>
      <c r="DL52" s="2985"/>
      <c r="DM52" s="2985"/>
      <c r="DN52" s="2985"/>
      <c r="DO52" s="2985"/>
      <c r="DP52" s="2985"/>
      <c r="DQ52" s="2985"/>
      <c r="DR52" s="2985"/>
      <c r="DS52" s="2985"/>
      <c r="DT52" s="2985"/>
      <c r="DU52" s="2985"/>
      <c r="DV52" s="2985"/>
      <c r="DW52" s="2985"/>
      <c r="DX52" s="2985"/>
      <c r="DY52" s="2985"/>
      <c r="DZ52" s="2985"/>
      <c r="EA52" s="2985"/>
      <c r="EB52" s="2985"/>
      <c r="EC52" s="2985"/>
      <c r="ED52" s="2985"/>
      <c r="EE52" s="2985"/>
      <c r="EF52" s="2985"/>
      <c r="EG52" s="2985"/>
      <c r="EH52" s="2985"/>
      <c r="EI52" s="2985"/>
      <c r="EJ52" s="2985"/>
      <c r="EK52" s="2985"/>
      <c r="EL52" s="2985"/>
      <c r="EM52" s="2985"/>
      <c r="EN52" s="2985"/>
      <c r="EO52" s="2985"/>
    </row>
    <row r="53" spans="1:145">
      <c r="A53" s="2983" t="s">
        <v>2755</v>
      </c>
    </row>
  </sheetData>
  <mergeCells count="6">
    <mergeCell ref="A48:BZ48"/>
    <mergeCell ref="BN8:DJ8"/>
    <mergeCell ref="BN14:DJ14"/>
    <mergeCell ref="A44:BZ44"/>
    <mergeCell ref="CB46:DJ46"/>
    <mergeCell ref="A47:BZ47"/>
  </mergeCells>
  <printOptions horizontalCentered="1" verticalCentered="1"/>
  <pageMargins left="0" right="0" top="0" bottom="0" header="0" footer="0"/>
  <pageSetup scale="31"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workbookViewId="0">
      <pane xSplit="1" ySplit="5" topLeftCell="B105" activePane="bottomRight" state="frozen"/>
      <selection pane="topRight" activeCell="B1" sqref="B1"/>
      <selection pane="bottomLeft" activeCell="A6" sqref="A6"/>
      <selection pane="bottomRight" activeCell="H89" sqref="H89:I93"/>
    </sheetView>
  </sheetViews>
  <sheetFormatPr defaultRowHeight="12.75"/>
  <cols>
    <col min="1" max="1" width="17.140625" style="765" customWidth="1"/>
    <col min="2" max="2" width="12.85546875" style="765" customWidth="1"/>
    <col min="3" max="3" width="12.28515625" style="765" customWidth="1"/>
    <col min="4" max="4" width="9.140625" style="765"/>
    <col min="5" max="5" width="12.5703125" style="765" customWidth="1"/>
    <col min="6" max="6" width="12.42578125" style="765" customWidth="1"/>
    <col min="7" max="7" width="9.140625" style="765"/>
    <col min="8" max="8" width="10.140625" style="765" customWidth="1"/>
    <col min="9" max="9" width="23.42578125" style="765" customWidth="1"/>
    <col min="10" max="256" width="9.140625" style="765"/>
    <col min="257" max="257" width="17.140625" style="765" customWidth="1"/>
    <col min="258" max="258" width="12.85546875" style="765" customWidth="1"/>
    <col min="259" max="259" width="12.28515625" style="765" customWidth="1"/>
    <col min="260" max="260" width="9.140625" style="765"/>
    <col min="261" max="261" width="12.5703125" style="765" customWidth="1"/>
    <col min="262" max="262" width="12.42578125" style="765" customWidth="1"/>
    <col min="263" max="263" width="9.140625" style="765"/>
    <col min="264" max="264" width="10.140625" style="765" customWidth="1"/>
    <col min="265" max="265" width="23.42578125" style="765" customWidth="1"/>
    <col min="266" max="512" width="9.140625" style="765"/>
    <col min="513" max="513" width="17.140625" style="765" customWidth="1"/>
    <col min="514" max="514" width="12.85546875" style="765" customWidth="1"/>
    <col min="515" max="515" width="12.28515625" style="765" customWidth="1"/>
    <col min="516" max="516" width="9.140625" style="765"/>
    <col min="517" max="517" width="12.5703125" style="765" customWidth="1"/>
    <col min="518" max="518" width="12.42578125" style="765" customWidth="1"/>
    <col min="519" max="519" width="9.140625" style="765"/>
    <col min="520" max="520" width="10.140625" style="765" customWidth="1"/>
    <col min="521" max="521" width="23.42578125" style="765" customWidth="1"/>
    <col min="522" max="768" width="9.140625" style="765"/>
    <col min="769" max="769" width="17.140625" style="765" customWidth="1"/>
    <col min="770" max="770" width="12.85546875" style="765" customWidth="1"/>
    <col min="771" max="771" width="12.28515625" style="765" customWidth="1"/>
    <col min="772" max="772" width="9.140625" style="765"/>
    <col min="773" max="773" width="12.5703125" style="765" customWidth="1"/>
    <col min="774" max="774" width="12.42578125" style="765" customWidth="1"/>
    <col min="775" max="775" width="9.140625" style="765"/>
    <col min="776" max="776" width="10.140625" style="765" customWidth="1"/>
    <col min="777" max="777" width="23.42578125" style="765" customWidth="1"/>
    <col min="778" max="1024" width="9.140625" style="765"/>
    <col min="1025" max="1025" width="17.140625" style="765" customWidth="1"/>
    <col min="1026" max="1026" width="12.85546875" style="765" customWidth="1"/>
    <col min="1027" max="1027" width="12.28515625" style="765" customWidth="1"/>
    <col min="1028" max="1028" width="9.140625" style="765"/>
    <col min="1029" max="1029" width="12.5703125" style="765" customWidth="1"/>
    <col min="1030" max="1030" width="12.42578125" style="765" customWidth="1"/>
    <col min="1031" max="1031" width="9.140625" style="765"/>
    <col min="1032" max="1032" width="10.140625" style="765" customWidth="1"/>
    <col min="1033" max="1033" width="23.42578125" style="765" customWidth="1"/>
    <col min="1034" max="1280" width="9.140625" style="765"/>
    <col min="1281" max="1281" width="17.140625" style="765" customWidth="1"/>
    <col min="1282" max="1282" width="12.85546875" style="765" customWidth="1"/>
    <col min="1283" max="1283" width="12.28515625" style="765" customWidth="1"/>
    <col min="1284" max="1284" width="9.140625" style="765"/>
    <col min="1285" max="1285" width="12.5703125" style="765" customWidth="1"/>
    <col min="1286" max="1286" width="12.42578125" style="765" customWidth="1"/>
    <col min="1287" max="1287" width="9.140625" style="765"/>
    <col min="1288" max="1288" width="10.140625" style="765" customWidth="1"/>
    <col min="1289" max="1289" width="23.42578125" style="765" customWidth="1"/>
    <col min="1290" max="1536" width="9.140625" style="765"/>
    <col min="1537" max="1537" width="17.140625" style="765" customWidth="1"/>
    <col min="1538" max="1538" width="12.85546875" style="765" customWidth="1"/>
    <col min="1539" max="1539" width="12.28515625" style="765" customWidth="1"/>
    <col min="1540" max="1540" width="9.140625" style="765"/>
    <col min="1541" max="1541" width="12.5703125" style="765" customWidth="1"/>
    <col min="1542" max="1542" width="12.42578125" style="765" customWidth="1"/>
    <col min="1543" max="1543" width="9.140625" style="765"/>
    <col min="1544" max="1544" width="10.140625" style="765" customWidth="1"/>
    <col min="1545" max="1545" width="23.42578125" style="765" customWidth="1"/>
    <col min="1546" max="1792" width="9.140625" style="765"/>
    <col min="1793" max="1793" width="17.140625" style="765" customWidth="1"/>
    <col min="1794" max="1794" width="12.85546875" style="765" customWidth="1"/>
    <col min="1795" max="1795" width="12.28515625" style="765" customWidth="1"/>
    <col min="1796" max="1796" width="9.140625" style="765"/>
    <col min="1797" max="1797" width="12.5703125" style="765" customWidth="1"/>
    <col min="1798" max="1798" width="12.42578125" style="765" customWidth="1"/>
    <col min="1799" max="1799" width="9.140625" style="765"/>
    <col min="1800" max="1800" width="10.140625" style="765" customWidth="1"/>
    <col min="1801" max="1801" width="23.42578125" style="765" customWidth="1"/>
    <col min="1802" max="2048" width="9.140625" style="765"/>
    <col min="2049" max="2049" width="17.140625" style="765" customWidth="1"/>
    <col min="2050" max="2050" width="12.85546875" style="765" customWidth="1"/>
    <col min="2051" max="2051" width="12.28515625" style="765" customWidth="1"/>
    <col min="2052" max="2052" width="9.140625" style="765"/>
    <col min="2053" max="2053" width="12.5703125" style="765" customWidth="1"/>
    <col min="2054" max="2054" width="12.42578125" style="765" customWidth="1"/>
    <col min="2055" max="2055" width="9.140625" style="765"/>
    <col min="2056" max="2056" width="10.140625" style="765" customWidth="1"/>
    <col min="2057" max="2057" width="23.42578125" style="765" customWidth="1"/>
    <col min="2058" max="2304" width="9.140625" style="765"/>
    <col min="2305" max="2305" width="17.140625" style="765" customWidth="1"/>
    <col min="2306" max="2306" width="12.85546875" style="765" customWidth="1"/>
    <col min="2307" max="2307" width="12.28515625" style="765" customWidth="1"/>
    <col min="2308" max="2308" width="9.140625" style="765"/>
    <col min="2309" max="2309" width="12.5703125" style="765" customWidth="1"/>
    <col min="2310" max="2310" width="12.42578125" style="765" customWidth="1"/>
    <col min="2311" max="2311" width="9.140625" style="765"/>
    <col min="2312" max="2312" width="10.140625" style="765" customWidth="1"/>
    <col min="2313" max="2313" width="23.42578125" style="765" customWidth="1"/>
    <col min="2314" max="2560" width="9.140625" style="765"/>
    <col min="2561" max="2561" width="17.140625" style="765" customWidth="1"/>
    <col min="2562" max="2562" width="12.85546875" style="765" customWidth="1"/>
    <col min="2563" max="2563" width="12.28515625" style="765" customWidth="1"/>
    <col min="2564" max="2564" width="9.140625" style="765"/>
    <col min="2565" max="2565" width="12.5703125" style="765" customWidth="1"/>
    <col min="2566" max="2566" width="12.42578125" style="765" customWidth="1"/>
    <col min="2567" max="2567" width="9.140625" style="765"/>
    <col min="2568" max="2568" width="10.140625" style="765" customWidth="1"/>
    <col min="2569" max="2569" width="23.42578125" style="765" customWidth="1"/>
    <col min="2570" max="2816" width="9.140625" style="765"/>
    <col min="2817" max="2817" width="17.140625" style="765" customWidth="1"/>
    <col min="2818" max="2818" width="12.85546875" style="765" customWidth="1"/>
    <col min="2819" max="2819" width="12.28515625" style="765" customWidth="1"/>
    <col min="2820" max="2820" width="9.140625" style="765"/>
    <col min="2821" max="2821" width="12.5703125" style="765" customWidth="1"/>
    <col min="2822" max="2822" width="12.42578125" style="765" customWidth="1"/>
    <col min="2823" max="2823" width="9.140625" style="765"/>
    <col min="2824" max="2824" width="10.140625" style="765" customWidth="1"/>
    <col min="2825" max="2825" width="23.42578125" style="765" customWidth="1"/>
    <col min="2826" max="3072" width="9.140625" style="765"/>
    <col min="3073" max="3073" width="17.140625" style="765" customWidth="1"/>
    <col min="3074" max="3074" width="12.85546875" style="765" customWidth="1"/>
    <col min="3075" max="3075" width="12.28515625" style="765" customWidth="1"/>
    <col min="3076" max="3076" width="9.140625" style="765"/>
    <col min="3077" max="3077" width="12.5703125" style="765" customWidth="1"/>
    <col min="3078" max="3078" width="12.42578125" style="765" customWidth="1"/>
    <col min="3079" max="3079" width="9.140625" style="765"/>
    <col min="3080" max="3080" width="10.140625" style="765" customWidth="1"/>
    <col min="3081" max="3081" width="23.42578125" style="765" customWidth="1"/>
    <col min="3082" max="3328" width="9.140625" style="765"/>
    <col min="3329" max="3329" width="17.140625" style="765" customWidth="1"/>
    <col min="3330" max="3330" width="12.85546875" style="765" customWidth="1"/>
    <col min="3331" max="3331" width="12.28515625" style="765" customWidth="1"/>
    <col min="3332" max="3332" width="9.140625" style="765"/>
    <col min="3333" max="3333" width="12.5703125" style="765" customWidth="1"/>
    <col min="3334" max="3334" width="12.42578125" style="765" customWidth="1"/>
    <col min="3335" max="3335" width="9.140625" style="765"/>
    <col min="3336" max="3336" width="10.140625" style="765" customWidth="1"/>
    <col min="3337" max="3337" width="23.42578125" style="765" customWidth="1"/>
    <col min="3338" max="3584" width="9.140625" style="765"/>
    <col min="3585" max="3585" width="17.140625" style="765" customWidth="1"/>
    <col min="3586" max="3586" width="12.85546875" style="765" customWidth="1"/>
    <col min="3587" max="3587" width="12.28515625" style="765" customWidth="1"/>
    <col min="3588" max="3588" width="9.140625" style="765"/>
    <col min="3589" max="3589" width="12.5703125" style="765" customWidth="1"/>
    <col min="3590" max="3590" width="12.42578125" style="765" customWidth="1"/>
    <col min="3591" max="3591" width="9.140625" style="765"/>
    <col min="3592" max="3592" width="10.140625" style="765" customWidth="1"/>
    <col min="3593" max="3593" width="23.42578125" style="765" customWidth="1"/>
    <col min="3594" max="3840" width="9.140625" style="765"/>
    <col min="3841" max="3841" width="17.140625" style="765" customWidth="1"/>
    <col min="3842" max="3842" width="12.85546875" style="765" customWidth="1"/>
    <col min="3843" max="3843" width="12.28515625" style="765" customWidth="1"/>
    <col min="3844" max="3844" width="9.140625" style="765"/>
    <col min="3845" max="3845" width="12.5703125" style="765" customWidth="1"/>
    <col min="3846" max="3846" width="12.42578125" style="765" customWidth="1"/>
    <col min="3847" max="3847" width="9.140625" style="765"/>
    <col min="3848" max="3848" width="10.140625" style="765" customWidth="1"/>
    <col min="3849" max="3849" width="23.42578125" style="765" customWidth="1"/>
    <col min="3850" max="4096" width="9.140625" style="765"/>
    <col min="4097" max="4097" width="17.140625" style="765" customWidth="1"/>
    <col min="4098" max="4098" width="12.85546875" style="765" customWidth="1"/>
    <col min="4099" max="4099" width="12.28515625" style="765" customWidth="1"/>
    <col min="4100" max="4100" width="9.140625" style="765"/>
    <col min="4101" max="4101" width="12.5703125" style="765" customWidth="1"/>
    <col min="4102" max="4102" width="12.42578125" style="765" customWidth="1"/>
    <col min="4103" max="4103" width="9.140625" style="765"/>
    <col min="4104" max="4104" width="10.140625" style="765" customWidth="1"/>
    <col min="4105" max="4105" width="23.42578125" style="765" customWidth="1"/>
    <col min="4106" max="4352" width="9.140625" style="765"/>
    <col min="4353" max="4353" width="17.140625" style="765" customWidth="1"/>
    <col min="4354" max="4354" width="12.85546875" style="765" customWidth="1"/>
    <col min="4355" max="4355" width="12.28515625" style="765" customWidth="1"/>
    <col min="4356" max="4356" width="9.140625" style="765"/>
    <col min="4357" max="4357" width="12.5703125" style="765" customWidth="1"/>
    <col min="4358" max="4358" width="12.42578125" style="765" customWidth="1"/>
    <col min="4359" max="4359" width="9.140625" style="765"/>
    <col min="4360" max="4360" width="10.140625" style="765" customWidth="1"/>
    <col min="4361" max="4361" width="23.42578125" style="765" customWidth="1"/>
    <col min="4362" max="4608" width="9.140625" style="765"/>
    <col min="4609" max="4609" width="17.140625" style="765" customWidth="1"/>
    <col min="4610" max="4610" width="12.85546875" style="765" customWidth="1"/>
    <col min="4611" max="4611" width="12.28515625" style="765" customWidth="1"/>
    <col min="4612" max="4612" width="9.140625" style="765"/>
    <col min="4613" max="4613" width="12.5703125" style="765" customWidth="1"/>
    <col min="4614" max="4614" width="12.42578125" style="765" customWidth="1"/>
    <col min="4615" max="4615" width="9.140625" style="765"/>
    <col min="4616" max="4616" width="10.140625" style="765" customWidth="1"/>
    <col min="4617" max="4617" width="23.42578125" style="765" customWidth="1"/>
    <col min="4618" max="4864" width="9.140625" style="765"/>
    <col min="4865" max="4865" width="17.140625" style="765" customWidth="1"/>
    <col min="4866" max="4866" width="12.85546875" style="765" customWidth="1"/>
    <col min="4867" max="4867" width="12.28515625" style="765" customWidth="1"/>
    <col min="4868" max="4868" width="9.140625" style="765"/>
    <col min="4869" max="4869" width="12.5703125" style="765" customWidth="1"/>
    <col min="4870" max="4870" width="12.42578125" style="765" customWidth="1"/>
    <col min="4871" max="4871" width="9.140625" style="765"/>
    <col min="4872" max="4872" width="10.140625" style="765" customWidth="1"/>
    <col min="4873" max="4873" width="23.42578125" style="765" customWidth="1"/>
    <col min="4874" max="5120" width="9.140625" style="765"/>
    <col min="5121" max="5121" width="17.140625" style="765" customWidth="1"/>
    <col min="5122" max="5122" width="12.85546875" style="765" customWidth="1"/>
    <col min="5123" max="5123" width="12.28515625" style="765" customWidth="1"/>
    <col min="5124" max="5124" width="9.140625" style="765"/>
    <col min="5125" max="5125" width="12.5703125" style="765" customWidth="1"/>
    <col min="5126" max="5126" width="12.42578125" style="765" customWidth="1"/>
    <col min="5127" max="5127" width="9.140625" style="765"/>
    <col min="5128" max="5128" width="10.140625" style="765" customWidth="1"/>
    <col min="5129" max="5129" width="23.42578125" style="765" customWidth="1"/>
    <col min="5130" max="5376" width="9.140625" style="765"/>
    <col min="5377" max="5377" width="17.140625" style="765" customWidth="1"/>
    <col min="5378" max="5378" width="12.85546875" style="765" customWidth="1"/>
    <col min="5379" max="5379" width="12.28515625" style="765" customWidth="1"/>
    <col min="5380" max="5380" width="9.140625" style="765"/>
    <col min="5381" max="5381" width="12.5703125" style="765" customWidth="1"/>
    <col min="5382" max="5382" width="12.42578125" style="765" customWidth="1"/>
    <col min="5383" max="5383" width="9.140625" style="765"/>
    <col min="5384" max="5384" width="10.140625" style="765" customWidth="1"/>
    <col min="5385" max="5385" width="23.42578125" style="765" customWidth="1"/>
    <col min="5386" max="5632" width="9.140625" style="765"/>
    <col min="5633" max="5633" width="17.140625" style="765" customWidth="1"/>
    <col min="5634" max="5634" width="12.85546875" style="765" customWidth="1"/>
    <col min="5635" max="5635" width="12.28515625" style="765" customWidth="1"/>
    <col min="5636" max="5636" width="9.140625" style="765"/>
    <col min="5637" max="5637" width="12.5703125" style="765" customWidth="1"/>
    <col min="5638" max="5638" width="12.42578125" style="765" customWidth="1"/>
    <col min="5639" max="5639" width="9.140625" style="765"/>
    <col min="5640" max="5640" width="10.140625" style="765" customWidth="1"/>
    <col min="5641" max="5641" width="23.42578125" style="765" customWidth="1"/>
    <col min="5642" max="5888" width="9.140625" style="765"/>
    <col min="5889" max="5889" width="17.140625" style="765" customWidth="1"/>
    <col min="5890" max="5890" width="12.85546875" style="765" customWidth="1"/>
    <col min="5891" max="5891" width="12.28515625" style="765" customWidth="1"/>
    <col min="5892" max="5892" width="9.140625" style="765"/>
    <col min="5893" max="5893" width="12.5703125" style="765" customWidth="1"/>
    <col min="5894" max="5894" width="12.42578125" style="765" customWidth="1"/>
    <col min="5895" max="5895" width="9.140625" style="765"/>
    <col min="5896" max="5896" width="10.140625" style="765" customWidth="1"/>
    <col min="5897" max="5897" width="23.42578125" style="765" customWidth="1"/>
    <col min="5898" max="6144" width="9.140625" style="765"/>
    <col min="6145" max="6145" width="17.140625" style="765" customWidth="1"/>
    <col min="6146" max="6146" width="12.85546875" style="765" customWidth="1"/>
    <col min="6147" max="6147" width="12.28515625" style="765" customWidth="1"/>
    <col min="6148" max="6148" width="9.140625" style="765"/>
    <col min="6149" max="6149" width="12.5703125" style="765" customWidth="1"/>
    <col min="6150" max="6150" width="12.42578125" style="765" customWidth="1"/>
    <col min="6151" max="6151" width="9.140625" style="765"/>
    <col min="6152" max="6152" width="10.140625" style="765" customWidth="1"/>
    <col min="6153" max="6153" width="23.42578125" style="765" customWidth="1"/>
    <col min="6154" max="6400" width="9.140625" style="765"/>
    <col min="6401" max="6401" width="17.140625" style="765" customWidth="1"/>
    <col min="6402" max="6402" width="12.85546875" style="765" customWidth="1"/>
    <col min="6403" max="6403" width="12.28515625" style="765" customWidth="1"/>
    <col min="6404" max="6404" width="9.140625" style="765"/>
    <col min="6405" max="6405" width="12.5703125" style="765" customWidth="1"/>
    <col min="6406" max="6406" width="12.42578125" style="765" customWidth="1"/>
    <col min="6407" max="6407" width="9.140625" style="765"/>
    <col min="6408" max="6408" width="10.140625" style="765" customWidth="1"/>
    <col min="6409" max="6409" width="23.42578125" style="765" customWidth="1"/>
    <col min="6410" max="6656" width="9.140625" style="765"/>
    <col min="6657" max="6657" width="17.140625" style="765" customWidth="1"/>
    <col min="6658" max="6658" width="12.85546875" style="765" customWidth="1"/>
    <col min="6659" max="6659" width="12.28515625" style="765" customWidth="1"/>
    <col min="6660" max="6660" width="9.140625" style="765"/>
    <col min="6661" max="6661" width="12.5703125" style="765" customWidth="1"/>
    <col min="6662" max="6662" width="12.42578125" style="765" customWidth="1"/>
    <col min="6663" max="6663" width="9.140625" style="765"/>
    <col min="6664" max="6664" width="10.140625" style="765" customWidth="1"/>
    <col min="6665" max="6665" width="23.42578125" style="765" customWidth="1"/>
    <col min="6666" max="6912" width="9.140625" style="765"/>
    <col min="6913" max="6913" width="17.140625" style="765" customWidth="1"/>
    <col min="6914" max="6914" width="12.85546875" style="765" customWidth="1"/>
    <col min="6915" max="6915" width="12.28515625" style="765" customWidth="1"/>
    <col min="6916" max="6916" width="9.140625" style="765"/>
    <col min="6917" max="6917" width="12.5703125" style="765" customWidth="1"/>
    <col min="6918" max="6918" width="12.42578125" style="765" customWidth="1"/>
    <col min="6919" max="6919" width="9.140625" style="765"/>
    <col min="6920" max="6920" width="10.140625" style="765" customWidth="1"/>
    <col min="6921" max="6921" width="23.42578125" style="765" customWidth="1"/>
    <col min="6922" max="7168" width="9.140625" style="765"/>
    <col min="7169" max="7169" width="17.140625" style="765" customWidth="1"/>
    <col min="7170" max="7170" width="12.85546875" style="765" customWidth="1"/>
    <col min="7171" max="7171" width="12.28515625" style="765" customWidth="1"/>
    <col min="7172" max="7172" width="9.140625" style="765"/>
    <col min="7173" max="7173" width="12.5703125" style="765" customWidth="1"/>
    <col min="7174" max="7174" width="12.42578125" style="765" customWidth="1"/>
    <col min="7175" max="7175" width="9.140625" style="765"/>
    <col min="7176" max="7176" width="10.140625" style="765" customWidth="1"/>
    <col min="7177" max="7177" width="23.42578125" style="765" customWidth="1"/>
    <col min="7178" max="7424" width="9.140625" style="765"/>
    <col min="7425" max="7425" width="17.140625" style="765" customWidth="1"/>
    <col min="7426" max="7426" width="12.85546875" style="765" customWidth="1"/>
    <col min="7427" max="7427" width="12.28515625" style="765" customWidth="1"/>
    <col min="7428" max="7428" width="9.140625" style="765"/>
    <col min="7429" max="7429" width="12.5703125" style="765" customWidth="1"/>
    <col min="7430" max="7430" width="12.42578125" style="765" customWidth="1"/>
    <col min="7431" max="7431" width="9.140625" style="765"/>
    <col min="7432" max="7432" width="10.140625" style="765" customWidth="1"/>
    <col min="7433" max="7433" width="23.42578125" style="765" customWidth="1"/>
    <col min="7434" max="7680" width="9.140625" style="765"/>
    <col min="7681" max="7681" width="17.140625" style="765" customWidth="1"/>
    <col min="7682" max="7682" width="12.85546875" style="765" customWidth="1"/>
    <col min="7683" max="7683" width="12.28515625" style="765" customWidth="1"/>
    <col min="7684" max="7684" width="9.140625" style="765"/>
    <col min="7685" max="7685" width="12.5703125" style="765" customWidth="1"/>
    <col min="7686" max="7686" width="12.42578125" style="765" customWidth="1"/>
    <col min="7687" max="7687" width="9.140625" style="765"/>
    <col min="7688" max="7688" width="10.140625" style="765" customWidth="1"/>
    <col min="7689" max="7689" width="23.42578125" style="765" customWidth="1"/>
    <col min="7690" max="7936" width="9.140625" style="765"/>
    <col min="7937" max="7937" width="17.140625" style="765" customWidth="1"/>
    <col min="7938" max="7938" width="12.85546875" style="765" customWidth="1"/>
    <col min="7939" max="7939" width="12.28515625" style="765" customWidth="1"/>
    <col min="7940" max="7940" width="9.140625" style="765"/>
    <col min="7941" max="7941" width="12.5703125" style="765" customWidth="1"/>
    <col min="7942" max="7942" width="12.42578125" style="765" customWidth="1"/>
    <col min="7943" max="7943" width="9.140625" style="765"/>
    <col min="7944" max="7944" width="10.140625" style="765" customWidth="1"/>
    <col min="7945" max="7945" width="23.42578125" style="765" customWidth="1"/>
    <col min="7946" max="8192" width="9.140625" style="765"/>
    <col min="8193" max="8193" width="17.140625" style="765" customWidth="1"/>
    <col min="8194" max="8194" width="12.85546875" style="765" customWidth="1"/>
    <col min="8195" max="8195" width="12.28515625" style="765" customWidth="1"/>
    <col min="8196" max="8196" width="9.140625" style="765"/>
    <col min="8197" max="8197" width="12.5703125" style="765" customWidth="1"/>
    <col min="8198" max="8198" width="12.42578125" style="765" customWidth="1"/>
    <col min="8199" max="8199" width="9.140625" style="765"/>
    <col min="8200" max="8200" width="10.140625" style="765" customWidth="1"/>
    <col min="8201" max="8201" width="23.42578125" style="765" customWidth="1"/>
    <col min="8202" max="8448" width="9.140625" style="765"/>
    <col min="8449" max="8449" width="17.140625" style="765" customWidth="1"/>
    <col min="8450" max="8450" width="12.85546875" style="765" customWidth="1"/>
    <col min="8451" max="8451" width="12.28515625" style="765" customWidth="1"/>
    <col min="8452" max="8452" width="9.140625" style="765"/>
    <col min="8453" max="8453" width="12.5703125" style="765" customWidth="1"/>
    <col min="8454" max="8454" width="12.42578125" style="765" customWidth="1"/>
    <col min="8455" max="8455" width="9.140625" style="765"/>
    <col min="8456" max="8456" width="10.140625" style="765" customWidth="1"/>
    <col min="8457" max="8457" width="23.42578125" style="765" customWidth="1"/>
    <col min="8458" max="8704" width="9.140625" style="765"/>
    <col min="8705" max="8705" width="17.140625" style="765" customWidth="1"/>
    <col min="8706" max="8706" width="12.85546875" style="765" customWidth="1"/>
    <col min="8707" max="8707" width="12.28515625" style="765" customWidth="1"/>
    <col min="8708" max="8708" width="9.140625" style="765"/>
    <col min="8709" max="8709" width="12.5703125" style="765" customWidth="1"/>
    <col min="8710" max="8710" width="12.42578125" style="765" customWidth="1"/>
    <col min="8711" max="8711" width="9.140625" style="765"/>
    <col min="8712" max="8712" width="10.140625" style="765" customWidth="1"/>
    <col min="8713" max="8713" width="23.42578125" style="765" customWidth="1"/>
    <col min="8714" max="8960" width="9.140625" style="765"/>
    <col min="8961" max="8961" width="17.140625" style="765" customWidth="1"/>
    <col min="8962" max="8962" width="12.85546875" style="765" customWidth="1"/>
    <col min="8963" max="8963" width="12.28515625" style="765" customWidth="1"/>
    <col min="8964" max="8964" width="9.140625" style="765"/>
    <col min="8965" max="8965" width="12.5703125" style="765" customWidth="1"/>
    <col min="8966" max="8966" width="12.42578125" style="765" customWidth="1"/>
    <col min="8967" max="8967" width="9.140625" style="765"/>
    <col min="8968" max="8968" width="10.140625" style="765" customWidth="1"/>
    <col min="8969" max="8969" width="23.42578125" style="765" customWidth="1"/>
    <col min="8970" max="9216" width="9.140625" style="765"/>
    <col min="9217" max="9217" width="17.140625" style="765" customWidth="1"/>
    <col min="9218" max="9218" width="12.85546875" style="765" customWidth="1"/>
    <col min="9219" max="9219" width="12.28515625" style="765" customWidth="1"/>
    <col min="9220" max="9220" width="9.140625" style="765"/>
    <col min="9221" max="9221" width="12.5703125" style="765" customWidth="1"/>
    <col min="9222" max="9222" width="12.42578125" style="765" customWidth="1"/>
    <col min="9223" max="9223" width="9.140625" style="765"/>
    <col min="9224" max="9224" width="10.140625" style="765" customWidth="1"/>
    <col min="9225" max="9225" width="23.42578125" style="765" customWidth="1"/>
    <col min="9226" max="9472" width="9.140625" style="765"/>
    <col min="9473" max="9473" width="17.140625" style="765" customWidth="1"/>
    <col min="9474" max="9474" width="12.85546875" style="765" customWidth="1"/>
    <col min="9475" max="9475" width="12.28515625" style="765" customWidth="1"/>
    <col min="9476" max="9476" width="9.140625" style="765"/>
    <col min="9477" max="9477" width="12.5703125" style="765" customWidth="1"/>
    <col min="9478" max="9478" width="12.42578125" style="765" customWidth="1"/>
    <col min="9479" max="9479" width="9.140625" style="765"/>
    <col min="9480" max="9480" width="10.140625" style="765" customWidth="1"/>
    <col min="9481" max="9481" width="23.42578125" style="765" customWidth="1"/>
    <col min="9482" max="9728" width="9.140625" style="765"/>
    <col min="9729" max="9729" width="17.140625" style="765" customWidth="1"/>
    <col min="9730" max="9730" width="12.85546875" style="765" customWidth="1"/>
    <col min="9731" max="9731" width="12.28515625" style="765" customWidth="1"/>
    <col min="9732" max="9732" width="9.140625" style="765"/>
    <col min="9733" max="9733" width="12.5703125" style="765" customWidth="1"/>
    <col min="9734" max="9734" width="12.42578125" style="765" customWidth="1"/>
    <col min="9735" max="9735" width="9.140625" style="765"/>
    <col min="9736" max="9736" width="10.140625" style="765" customWidth="1"/>
    <col min="9737" max="9737" width="23.42578125" style="765" customWidth="1"/>
    <col min="9738" max="9984" width="9.140625" style="765"/>
    <col min="9985" max="9985" width="17.140625" style="765" customWidth="1"/>
    <col min="9986" max="9986" width="12.85546875" style="765" customWidth="1"/>
    <col min="9987" max="9987" width="12.28515625" style="765" customWidth="1"/>
    <col min="9988" max="9988" width="9.140625" style="765"/>
    <col min="9989" max="9989" width="12.5703125" style="765" customWidth="1"/>
    <col min="9990" max="9990" width="12.42578125" style="765" customWidth="1"/>
    <col min="9991" max="9991" width="9.140625" style="765"/>
    <col min="9992" max="9992" width="10.140625" style="765" customWidth="1"/>
    <col min="9993" max="9993" width="23.42578125" style="765" customWidth="1"/>
    <col min="9994" max="10240" width="9.140625" style="765"/>
    <col min="10241" max="10241" width="17.140625" style="765" customWidth="1"/>
    <col min="10242" max="10242" width="12.85546875" style="765" customWidth="1"/>
    <col min="10243" max="10243" width="12.28515625" style="765" customWidth="1"/>
    <col min="10244" max="10244" width="9.140625" style="765"/>
    <col min="10245" max="10245" width="12.5703125" style="765" customWidth="1"/>
    <col min="10246" max="10246" width="12.42578125" style="765" customWidth="1"/>
    <col min="10247" max="10247" width="9.140625" style="765"/>
    <col min="10248" max="10248" width="10.140625" style="765" customWidth="1"/>
    <col min="10249" max="10249" width="23.42578125" style="765" customWidth="1"/>
    <col min="10250" max="10496" width="9.140625" style="765"/>
    <col min="10497" max="10497" width="17.140625" style="765" customWidth="1"/>
    <col min="10498" max="10498" width="12.85546875" style="765" customWidth="1"/>
    <col min="10499" max="10499" width="12.28515625" style="765" customWidth="1"/>
    <col min="10500" max="10500" width="9.140625" style="765"/>
    <col min="10501" max="10501" width="12.5703125" style="765" customWidth="1"/>
    <col min="10502" max="10502" width="12.42578125" style="765" customWidth="1"/>
    <col min="10503" max="10503" width="9.140625" style="765"/>
    <col min="10504" max="10504" width="10.140625" style="765" customWidth="1"/>
    <col min="10505" max="10505" width="23.42578125" style="765" customWidth="1"/>
    <col min="10506" max="10752" width="9.140625" style="765"/>
    <col min="10753" max="10753" width="17.140625" style="765" customWidth="1"/>
    <col min="10754" max="10754" width="12.85546875" style="765" customWidth="1"/>
    <col min="10755" max="10755" width="12.28515625" style="765" customWidth="1"/>
    <col min="10756" max="10756" width="9.140625" style="765"/>
    <col min="10757" max="10757" width="12.5703125" style="765" customWidth="1"/>
    <col min="10758" max="10758" width="12.42578125" style="765" customWidth="1"/>
    <col min="10759" max="10759" width="9.140625" style="765"/>
    <col min="10760" max="10760" width="10.140625" style="765" customWidth="1"/>
    <col min="10761" max="10761" width="23.42578125" style="765" customWidth="1"/>
    <col min="10762" max="11008" width="9.140625" style="765"/>
    <col min="11009" max="11009" width="17.140625" style="765" customWidth="1"/>
    <col min="11010" max="11010" width="12.85546875" style="765" customWidth="1"/>
    <col min="11011" max="11011" width="12.28515625" style="765" customWidth="1"/>
    <col min="11012" max="11012" width="9.140625" style="765"/>
    <col min="11013" max="11013" width="12.5703125" style="765" customWidth="1"/>
    <col min="11014" max="11014" width="12.42578125" style="765" customWidth="1"/>
    <col min="11015" max="11015" width="9.140625" style="765"/>
    <col min="11016" max="11016" width="10.140625" style="765" customWidth="1"/>
    <col min="11017" max="11017" width="23.42578125" style="765" customWidth="1"/>
    <col min="11018" max="11264" width="9.140625" style="765"/>
    <col min="11265" max="11265" width="17.140625" style="765" customWidth="1"/>
    <col min="11266" max="11266" width="12.85546875" style="765" customWidth="1"/>
    <col min="11267" max="11267" width="12.28515625" style="765" customWidth="1"/>
    <col min="11268" max="11268" width="9.140625" style="765"/>
    <col min="11269" max="11269" width="12.5703125" style="765" customWidth="1"/>
    <col min="11270" max="11270" width="12.42578125" style="765" customWidth="1"/>
    <col min="11271" max="11271" width="9.140625" style="765"/>
    <col min="11272" max="11272" width="10.140625" style="765" customWidth="1"/>
    <col min="11273" max="11273" width="23.42578125" style="765" customWidth="1"/>
    <col min="11274" max="11520" width="9.140625" style="765"/>
    <col min="11521" max="11521" width="17.140625" style="765" customWidth="1"/>
    <col min="11522" max="11522" width="12.85546875" style="765" customWidth="1"/>
    <col min="11523" max="11523" width="12.28515625" style="765" customWidth="1"/>
    <col min="11524" max="11524" width="9.140625" style="765"/>
    <col min="11525" max="11525" width="12.5703125" style="765" customWidth="1"/>
    <col min="11526" max="11526" width="12.42578125" style="765" customWidth="1"/>
    <col min="11527" max="11527" width="9.140625" style="765"/>
    <col min="11528" max="11528" width="10.140625" style="765" customWidth="1"/>
    <col min="11529" max="11529" width="23.42578125" style="765" customWidth="1"/>
    <col min="11530" max="11776" width="9.140625" style="765"/>
    <col min="11777" max="11777" width="17.140625" style="765" customWidth="1"/>
    <col min="11778" max="11778" width="12.85546875" style="765" customWidth="1"/>
    <col min="11779" max="11779" width="12.28515625" style="765" customWidth="1"/>
    <col min="11780" max="11780" width="9.140625" style="765"/>
    <col min="11781" max="11781" width="12.5703125" style="765" customWidth="1"/>
    <col min="11782" max="11782" width="12.42578125" style="765" customWidth="1"/>
    <col min="11783" max="11783" width="9.140625" style="765"/>
    <col min="11784" max="11784" width="10.140625" style="765" customWidth="1"/>
    <col min="11785" max="11785" width="23.42578125" style="765" customWidth="1"/>
    <col min="11786" max="12032" width="9.140625" style="765"/>
    <col min="12033" max="12033" width="17.140625" style="765" customWidth="1"/>
    <col min="12034" max="12034" width="12.85546875" style="765" customWidth="1"/>
    <col min="12035" max="12035" width="12.28515625" style="765" customWidth="1"/>
    <col min="12036" max="12036" width="9.140625" style="765"/>
    <col min="12037" max="12037" width="12.5703125" style="765" customWidth="1"/>
    <col min="12038" max="12038" width="12.42578125" style="765" customWidth="1"/>
    <col min="12039" max="12039" width="9.140625" style="765"/>
    <col min="12040" max="12040" width="10.140625" style="765" customWidth="1"/>
    <col min="12041" max="12041" width="23.42578125" style="765" customWidth="1"/>
    <col min="12042" max="12288" width="9.140625" style="765"/>
    <col min="12289" max="12289" width="17.140625" style="765" customWidth="1"/>
    <col min="12290" max="12290" width="12.85546875" style="765" customWidth="1"/>
    <col min="12291" max="12291" width="12.28515625" style="765" customWidth="1"/>
    <col min="12292" max="12292" width="9.140625" style="765"/>
    <col min="12293" max="12293" width="12.5703125" style="765" customWidth="1"/>
    <col min="12294" max="12294" width="12.42578125" style="765" customWidth="1"/>
    <col min="12295" max="12295" width="9.140625" style="765"/>
    <col min="12296" max="12296" width="10.140625" style="765" customWidth="1"/>
    <col min="12297" max="12297" width="23.42578125" style="765" customWidth="1"/>
    <col min="12298" max="12544" width="9.140625" style="765"/>
    <col min="12545" max="12545" width="17.140625" style="765" customWidth="1"/>
    <col min="12546" max="12546" width="12.85546875" style="765" customWidth="1"/>
    <col min="12547" max="12547" width="12.28515625" style="765" customWidth="1"/>
    <col min="12548" max="12548" width="9.140625" style="765"/>
    <col min="12549" max="12549" width="12.5703125" style="765" customWidth="1"/>
    <col min="12550" max="12550" width="12.42578125" style="765" customWidth="1"/>
    <col min="12551" max="12551" width="9.140625" style="765"/>
    <col min="12552" max="12552" width="10.140625" style="765" customWidth="1"/>
    <col min="12553" max="12553" width="23.42578125" style="765" customWidth="1"/>
    <col min="12554" max="12800" width="9.140625" style="765"/>
    <col min="12801" max="12801" width="17.140625" style="765" customWidth="1"/>
    <col min="12802" max="12802" width="12.85546875" style="765" customWidth="1"/>
    <col min="12803" max="12803" width="12.28515625" style="765" customWidth="1"/>
    <col min="12804" max="12804" width="9.140625" style="765"/>
    <col min="12805" max="12805" width="12.5703125" style="765" customWidth="1"/>
    <col min="12806" max="12806" width="12.42578125" style="765" customWidth="1"/>
    <col min="12807" max="12807" width="9.140625" style="765"/>
    <col min="12808" max="12808" width="10.140625" style="765" customWidth="1"/>
    <col min="12809" max="12809" width="23.42578125" style="765" customWidth="1"/>
    <col min="12810" max="13056" width="9.140625" style="765"/>
    <col min="13057" max="13057" width="17.140625" style="765" customWidth="1"/>
    <col min="13058" max="13058" width="12.85546875" style="765" customWidth="1"/>
    <col min="13059" max="13059" width="12.28515625" style="765" customWidth="1"/>
    <col min="13060" max="13060" width="9.140625" style="765"/>
    <col min="13061" max="13061" width="12.5703125" style="765" customWidth="1"/>
    <col min="13062" max="13062" width="12.42578125" style="765" customWidth="1"/>
    <col min="13063" max="13063" width="9.140625" style="765"/>
    <col min="13064" max="13064" width="10.140625" style="765" customWidth="1"/>
    <col min="13065" max="13065" width="23.42578125" style="765" customWidth="1"/>
    <col min="13066" max="13312" width="9.140625" style="765"/>
    <col min="13313" max="13313" width="17.140625" style="765" customWidth="1"/>
    <col min="13314" max="13314" width="12.85546875" style="765" customWidth="1"/>
    <col min="13315" max="13315" width="12.28515625" style="765" customWidth="1"/>
    <col min="13316" max="13316" width="9.140625" style="765"/>
    <col min="13317" max="13317" width="12.5703125" style="765" customWidth="1"/>
    <col min="13318" max="13318" width="12.42578125" style="765" customWidth="1"/>
    <col min="13319" max="13319" width="9.140625" style="765"/>
    <col min="13320" max="13320" width="10.140625" style="765" customWidth="1"/>
    <col min="13321" max="13321" width="23.42578125" style="765" customWidth="1"/>
    <col min="13322" max="13568" width="9.140625" style="765"/>
    <col min="13569" max="13569" width="17.140625" style="765" customWidth="1"/>
    <col min="13570" max="13570" width="12.85546875" style="765" customWidth="1"/>
    <col min="13571" max="13571" width="12.28515625" style="765" customWidth="1"/>
    <col min="13572" max="13572" width="9.140625" style="765"/>
    <col min="13573" max="13573" width="12.5703125" style="765" customWidth="1"/>
    <col min="13574" max="13574" width="12.42578125" style="765" customWidth="1"/>
    <col min="13575" max="13575" width="9.140625" style="765"/>
    <col min="13576" max="13576" width="10.140625" style="765" customWidth="1"/>
    <col min="13577" max="13577" width="23.42578125" style="765" customWidth="1"/>
    <col min="13578" max="13824" width="9.140625" style="765"/>
    <col min="13825" max="13825" width="17.140625" style="765" customWidth="1"/>
    <col min="13826" max="13826" width="12.85546875" style="765" customWidth="1"/>
    <col min="13827" max="13827" width="12.28515625" style="765" customWidth="1"/>
    <col min="13828" max="13828" width="9.140625" style="765"/>
    <col min="13829" max="13829" width="12.5703125" style="765" customWidth="1"/>
    <col min="13830" max="13830" width="12.42578125" style="765" customWidth="1"/>
    <col min="13831" max="13831" width="9.140625" style="765"/>
    <col min="13832" max="13832" width="10.140625" style="765" customWidth="1"/>
    <col min="13833" max="13833" width="23.42578125" style="765" customWidth="1"/>
    <col min="13834" max="14080" width="9.140625" style="765"/>
    <col min="14081" max="14081" width="17.140625" style="765" customWidth="1"/>
    <col min="14082" max="14082" width="12.85546875" style="765" customWidth="1"/>
    <col min="14083" max="14083" width="12.28515625" style="765" customWidth="1"/>
    <col min="14084" max="14084" width="9.140625" style="765"/>
    <col min="14085" max="14085" width="12.5703125" style="765" customWidth="1"/>
    <col min="14086" max="14086" width="12.42578125" style="765" customWidth="1"/>
    <col min="14087" max="14087" width="9.140625" style="765"/>
    <col min="14088" max="14088" width="10.140625" style="765" customWidth="1"/>
    <col min="14089" max="14089" width="23.42578125" style="765" customWidth="1"/>
    <col min="14090" max="14336" width="9.140625" style="765"/>
    <col min="14337" max="14337" width="17.140625" style="765" customWidth="1"/>
    <col min="14338" max="14338" width="12.85546875" style="765" customWidth="1"/>
    <col min="14339" max="14339" width="12.28515625" style="765" customWidth="1"/>
    <col min="14340" max="14340" width="9.140625" style="765"/>
    <col min="14341" max="14341" width="12.5703125" style="765" customWidth="1"/>
    <col min="14342" max="14342" width="12.42578125" style="765" customWidth="1"/>
    <col min="14343" max="14343" width="9.140625" style="765"/>
    <col min="14344" max="14344" width="10.140625" style="765" customWidth="1"/>
    <col min="14345" max="14345" width="23.42578125" style="765" customWidth="1"/>
    <col min="14346" max="14592" width="9.140625" style="765"/>
    <col min="14593" max="14593" width="17.140625" style="765" customWidth="1"/>
    <col min="14594" max="14594" width="12.85546875" style="765" customWidth="1"/>
    <col min="14595" max="14595" width="12.28515625" style="765" customWidth="1"/>
    <col min="14596" max="14596" width="9.140625" style="765"/>
    <col min="14597" max="14597" width="12.5703125" style="765" customWidth="1"/>
    <col min="14598" max="14598" width="12.42578125" style="765" customWidth="1"/>
    <col min="14599" max="14599" width="9.140625" style="765"/>
    <col min="14600" max="14600" width="10.140625" style="765" customWidth="1"/>
    <col min="14601" max="14601" width="23.42578125" style="765" customWidth="1"/>
    <col min="14602" max="14848" width="9.140625" style="765"/>
    <col min="14849" max="14849" width="17.140625" style="765" customWidth="1"/>
    <col min="14850" max="14850" width="12.85546875" style="765" customWidth="1"/>
    <col min="14851" max="14851" width="12.28515625" style="765" customWidth="1"/>
    <col min="14852" max="14852" width="9.140625" style="765"/>
    <col min="14853" max="14853" width="12.5703125" style="765" customWidth="1"/>
    <col min="14854" max="14854" width="12.42578125" style="765" customWidth="1"/>
    <col min="14855" max="14855" width="9.140625" style="765"/>
    <col min="14856" max="14856" width="10.140625" style="765" customWidth="1"/>
    <col min="14857" max="14857" width="23.42578125" style="765" customWidth="1"/>
    <col min="14858" max="15104" width="9.140625" style="765"/>
    <col min="15105" max="15105" width="17.140625" style="765" customWidth="1"/>
    <col min="15106" max="15106" width="12.85546875" style="765" customWidth="1"/>
    <col min="15107" max="15107" width="12.28515625" style="765" customWidth="1"/>
    <col min="15108" max="15108" width="9.140625" style="765"/>
    <col min="15109" max="15109" width="12.5703125" style="765" customWidth="1"/>
    <col min="15110" max="15110" width="12.42578125" style="765" customWidth="1"/>
    <col min="15111" max="15111" width="9.140625" style="765"/>
    <col min="15112" max="15112" width="10.140625" style="765" customWidth="1"/>
    <col min="15113" max="15113" width="23.42578125" style="765" customWidth="1"/>
    <col min="15114" max="15360" width="9.140625" style="765"/>
    <col min="15361" max="15361" width="17.140625" style="765" customWidth="1"/>
    <col min="15362" max="15362" width="12.85546875" style="765" customWidth="1"/>
    <col min="15363" max="15363" width="12.28515625" style="765" customWidth="1"/>
    <col min="15364" max="15364" width="9.140625" style="765"/>
    <col min="15365" max="15365" width="12.5703125" style="765" customWidth="1"/>
    <col min="15366" max="15366" width="12.42578125" style="765" customWidth="1"/>
    <col min="15367" max="15367" width="9.140625" style="765"/>
    <col min="15368" max="15368" width="10.140625" style="765" customWidth="1"/>
    <col min="15369" max="15369" width="23.42578125" style="765" customWidth="1"/>
    <col min="15370" max="15616" width="9.140625" style="765"/>
    <col min="15617" max="15617" width="17.140625" style="765" customWidth="1"/>
    <col min="15618" max="15618" width="12.85546875" style="765" customWidth="1"/>
    <col min="15619" max="15619" width="12.28515625" style="765" customWidth="1"/>
    <col min="15620" max="15620" width="9.140625" style="765"/>
    <col min="15621" max="15621" width="12.5703125" style="765" customWidth="1"/>
    <col min="15622" max="15622" width="12.42578125" style="765" customWidth="1"/>
    <col min="15623" max="15623" width="9.140625" style="765"/>
    <col min="15624" max="15624" width="10.140625" style="765" customWidth="1"/>
    <col min="15625" max="15625" width="23.42578125" style="765" customWidth="1"/>
    <col min="15626" max="15872" width="9.140625" style="765"/>
    <col min="15873" max="15873" width="17.140625" style="765" customWidth="1"/>
    <col min="15874" max="15874" width="12.85546875" style="765" customWidth="1"/>
    <col min="15875" max="15875" width="12.28515625" style="765" customWidth="1"/>
    <col min="15876" max="15876" width="9.140625" style="765"/>
    <col min="15877" max="15877" width="12.5703125" style="765" customWidth="1"/>
    <col min="15878" max="15878" width="12.42578125" style="765" customWidth="1"/>
    <col min="15879" max="15879" width="9.140625" style="765"/>
    <col min="15880" max="15880" width="10.140625" style="765" customWidth="1"/>
    <col min="15881" max="15881" width="23.42578125" style="765" customWidth="1"/>
    <col min="15882" max="16128" width="9.140625" style="765"/>
    <col min="16129" max="16129" width="17.140625" style="765" customWidth="1"/>
    <col min="16130" max="16130" width="12.85546875" style="765" customWidth="1"/>
    <col min="16131" max="16131" width="12.28515625" style="765" customWidth="1"/>
    <col min="16132" max="16132" width="9.140625" style="765"/>
    <col min="16133" max="16133" width="12.5703125" style="765" customWidth="1"/>
    <col min="16134" max="16134" width="12.42578125" style="765" customWidth="1"/>
    <col min="16135" max="16135" width="9.140625" style="765"/>
    <col min="16136" max="16136" width="10.140625" style="765" customWidth="1"/>
    <col min="16137" max="16137" width="23.42578125" style="765" customWidth="1"/>
    <col min="16138" max="16384" width="9.140625" style="765"/>
  </cols>
  <sheetData>
    <row r="1" spans="1:7" ht="13.5">
      <c r="A1" s="3046" t="s">
        <v>3698</v>
      </c>
      <c r="B1" s="1059"/>
      <c r="C1" s="1059"/>
      <c r="D1" s="1059"/>
      <c r="E1" s="1059"/>
      <c r="F1" s="1059"/>
    </row>
    <row r="2" spans="1:7" ht="13.5">
      <c r="A2" s="3046" t="s">
        <v>3699</v>
      </c>
      <c r="B2" s="3047"/>
      <c r="C2" s="1059"/>
      <c r="D2" s="1059"/>
      <c r="E2" s="1059"/>
      <c r="F2" s="1059"/>
    </row>
    <row r="3" spans="1:7" ht="5.25" customHeight="1" thickBot="1"/>
    <row r="4" spans="1:7" s="1059" customFormat="1" ht="14.25" thickTop="1" thickBot="1">
      <c r="A4" s="3048"/>
      <c r="B4" s="3049"/>
      <c r="C4" s="3050"/>
      <c r="D4" s="3050"/>
      <c r="E4" s="3562" t="s">
        <v>1352</v>
      </c>
      <c r="F4" s="3563"/>
      <c r="G4" s="2284"/>
    </row>
    <row r="5" spans="1:7" s="3055" customFormat="1" ht="43.5" customHeight="1" thickBot="1">
      <c r="A5" s="3051"/>
      <c r="B5" s="3052" t="s">
        <v>3666</v>
      </c>
      <c r="C5" s="3053" t="s">
        <v>3700</v>
      </c>
      <c r="D5" s="3053" t="s">
        <v>3701</v>
      </c>
      <c r="E5" s="3053" t="s">
        <v>3666</v>
      </c>
      <c r="F5" s="3054" t="s">
        <v>3700</v>
      </c>
    </row>
    <row r="6" spans="1:7" s="3055" customFormat="1" ht="13.5" hidden="1" thickTop="1">
      <c r="A6" s="3056"/>
      <c r="B6" s="3057"/>
      <c r="C6" s="3058"/>
      <c r="D6" s="3058"/>
      <c r="E6" s="3058"/>
      <c r="F6" s="3059"/>
    </row>
    <row r="7" spans="1:7" ht="13.5" hidden="1" thickTop="1">
      <c r="A7" s="3060" t="s">
        <v>3702</v>
      </c>
      <c r="B7" s="3061">
        <v>650</v>
      </c>
      <c r="C7" s="3062">
        <v>16988</v>
      </c>
      <c r="D7" s="3063">
        <v>9</v>
      </c>
      <c r="E7" s="3063">
        <v>72</v>
      </c>
      <c r="F7" s="3064">
        <v>1888</v>
      </c>
    </row>
    <row r="8" spans="1:7" ht="13.5" hidden="1" thickTop="1">
      <c r="A8" s="3065">
        <v>36951</v>
      </c>
      <c r="B8" s="3066">
        <v>1817</v>
      </c>
      <c r="C8" s="3062">
        <v>29985</v>
      </c>
      <c r="D8" s="3063">
        <v>20</v>
      </c>
      <c r="E8" s="3063">
        <v>91</v>
      </c>
      <c r="F8" s="3064">
        <v>1499</v>
      </c>
    </row>
    <row r="9" spans="1:7" ht="13.5" hidden="1" thickTop="1">
      <c r="A9" s="3065">
        <v>37043</v>
      </c>
      <c r="B9" s="3066">
        <v>2643</v>
      </c>
      <c r="C9" s="3062">
        <v>34352</v>
      </c>
      <c r="D9" s="3063">
        <v>21</v>
      </c>
      <c r="E9" s="3063">
        <v>126</v>
      </c>
      <c r="F9" s="3064">
        <v>1636</v>
      </c>
    </row>
    <row r="10" spans="1:7" ht="13.5" hidden="1" thickTop="1">
      <c r="A10" s="3065">
        <v>37135</v>
      </c>
      <c r="B10" s="3066">
        <v>2963</v>
      </c>
      <c r="C10" s="3062">
        <v>26963</v>
      </c>
      <c r="D10" s="3063">
        <v>20</v>
      </c>
      <c r="E10" s="3063">
        <v>148</v>
      </c>
      <c r="F10" s="3064">
        <v>1348</v>
      </c>
    </row>
    <row r="11" spans="1:7" ht="13.5" hidden="1" thickTop="1">
      <c r="A11" s="3065">
        <v>37226</v>
      </c>
      <c r="B11" s="3066">
        <v>3204</v>
      </c>
      <c r="C11" s="3062">
        <v>31996</v>
      </c>
      <c r="D11" s="3063">
        <v>19</v>
      </c>
      <c r="E11" s="3063">
        <v>169</v>
      </c>
      <c r="F11" s="3064">
        <v>1684</v>
      </c>
    </row>
    <row r="12" spans="1:7" ht="13.5" hidden="1" thickTop="1">
      <c r="A12" s="3065">
        <v>37316</v>
      </c>
      <c r="B12" s="3066">
        <v>3136</v>
      </c>
      <c r="C12" s="3062">
        <v>28414</v>
      </c>
      <c r="D12" s="3063">
        <v>20</v>
      </c>
      <c r="E12" s="3063">
        <v>157</v>
      </c>
      <c r="F12" s="3064">
        <v>1421</v>
      </c>
    </row>
    <row r="13" spans="1:7" ht="13.5" hidden="1" thickTop="1">
      <c r="A13" s="3065">
        <v>37408</v>
      </c>
      <c r="B13" s="3066">
        <v>3383</v>
      </c>
      <c r="C13" s="3062">
        <v>33598</v>
      </c>
      <c r="D13" s="3063">
        <v>20</v>
      </c>
      <c r="E13" s="3063">
        <v>169</v>
      </c>
      <c r="F13" s="3064">
        <v>1680</v>
      </c>
    </row>
    <row r="14" spans="1:7" ht="13.5" hidden="1" thickTop="1">
      <c r="A14" s="3065">
        <v>37501</v>
      </c>
      <c r="B14" s="3066">
        <v>3847</v>
      </c>
      <c r="C14" s="3062">
        <v>28286</v>
      </c>
      <c r="D14" s="3063">
        <v>20</v>
      </c>
      <c r="E14" s="3063">
        <v>192</v>
      </c>
      <c r="F14" s="3064">
        <v>1414</v>
      </c>
    </row>
    <row r="15" spans="1:7" ht="13.5" hidden="1" thickTop="1">
      <c r="A15" s="3065">
        <v>37591</v>
      </c>
      <c r="B15" s="3066">
        <v>4141</v>
      </c>
      <c r="C15" s="3062">
        <v>36884</v>
      </c>
      <c r="D15" s="3063">
        <v>20</v>
      </c>
      <c r="E15" s="3063">
        <v>207</v>
      </c>
      <c r="F15" s="3064">
        <v>1844</v>
      </c>
    </row>
    <row r="16" spans="1:7" ht="13.5" hidden="1" thickTop="1">
      <c r="A16" s="3065">
        <v>37681</v>
      </c>
      <c r="B16" s="3066">
        <v>4150</v>
      </c>
      <c r="C16" s="3062">
        <v>31049</v>
      </c>
      <c r="D16" s="3063">
        <v>20</v>
      </c>
      <c r="E16" s="3063">
        <v>208</v>
      </c>
      <c r="F16" s="3064">
        <v>1553</v>
      </c>
    </row>
    <row r="17" spans="1:6" ht="13.5" hidden="1" thickTop="1">
      <c r="A17" s="3065">
        <v>37775</v>
      </c>
      <c r="B17" s="3067">
        <v>4546</v>
      </c>
      <c r="C17" s="3062">
        <v>35654</v>
      </c>
      <c r="D17" s="3063">
        <v>21</v>
      </c>
      <c r="E17" s="3063">
        <v>216</v>
      </c>
      <c r="F17" s="3068">
        <v>1698</v>
      </c>
    </row>
    <row r="18" spans="1:6" ht="13.5" hidden="1" thickTop="1">
      <c r="A18" s="3065">
        <v>37867</v>
      </c>
      <c r="B18" s="3067">
        <v>4962</v>
      </c>
      <c r="C18" s="3062">
        <v>27936.5</v>
      </c>
      <c r="D18" s="3063">
        <v>21</v>
      </c>
      <c r="E18" s="3063">
        <v>236</v>
      </c>
      <c r="F18" s="3068">
        <v>1330.3</v>
      </c>
    </row>
    <row r="19" spans="1:6" ht="13.5" hidden="1" thickTop="1">
      <c r="A19" s="3065">
        <v>37958</v>
      </c>
      <c r="B19" s="3069">
        <v>5979</v>
      </c>
      <c r="C19" s="3062">
        <v>40777</v>
      </c>
      <c r="D19" s="3063">
        <v>22</v>
      </c>
      <c r="E19" s="3063">
        <v>272</v>
      </c>
      <c r="F19" s="3068">
        <v>1854</v>
      </c>
    </row>
    <row r="20" spans="1:6" ht="13.5" hidden="1" thickTop="1">
      <c r="A20" s="3065">
        <v>38047</v>
      </c>
      <c r="B20" s="3069">
        <v>5840</v>
      </c>
      <c r="C20" s="3062">
        <v>37112</v>
      </c>
      <c r="D20" s="3063">
        <v>22</v>
      </c>
      <c r="E20" s="3063">
        <v>265</v>
      </c>
      <c r="F20" s="3068">
        <v>1687</v>
      </c>
    </row>
    <row r="21" spans="1:6" ht="13.5" hidden="1" thickTop="1">
      <c r="A21" s="3065">
        <v>38139</v>
      </c>
      <c r="B21" s="3069">
        <v>5977</v>
      </c>
      <c r="C21" s="3062">
        <v>46412</v>
      </c>
      <c r="D21" s="3063">
        <v>22</v>
      </c>
      <c r="E21" s="3063">
        <v>272</v>
      </c>
      <c r="F21" s="3068">
        <v>2110</v>
      </c>
    </row>
    <row r="22" spans="1:6" ht="13.5" hidden="1" thickTop="1">
      <c r="A22" s="3065">
        <v>38169</v>
      </c>
      <c r="B22" s="3069">
        <v>5899</v>
      </c>
      <c r="C22" s="3062">
        <v>41696</v>
      </c>
      <c r="D22" s="3063">
        <v>22</v>
      </c>
      <c r="E22" s="3063">
        <v>268</v>
      </c>
      <c r="F22" s="3068">
        <v>1895</v>
      </c>
    </row>
    <row r="23" spans="1:6" ht="13.5" hidden="1" thickTop="1">
      <c r="A23" s="3065">
        <v>38200</v>
      </c>
      <c r="B23" s="3069">
        <v>6117</v>
      </c>
      <c r="C23" s="3062">
        <v>49630</v>
      </c>
      <c r="D23" s="3063">
        <v>22</v>
      </c>
      <c r="E23" s="3063">
        <v>278</v>
      </c>
      <c r="F23" s="3068">
        <v>2256</v>
      </c>
    </row>
    <row r="24" spans="1:6" ht="13.5" hidden="1" thickTop="1">
      <c r="A24" s="3065">
        <v>38231</v>
      </c>
      <c r="B24" s="3069">
        <v>6236</v>
      </c>
      <c r="C24" s="3062">
        <v>49188</v>
      </c>
      <c r="D24" s="3063">
        <v>22</v>
      </c>
      <c r="E24" s="3063">
        <v>283</v>
      </c>
      <c r="F24" s="3068">
        <v>2236</v>
      </c>
    </row>
    <row r="25" spans="1:6" ht="13.5" hidden="1" thickTop="1">
      <c r="A25" s="3065">
        <v>38261</v>
      </c>
      <c r="B25" s="3069">
        <v>6132</v>
      </c>
      <c r="C25" s="3062">
        <v>42592</v>
      </c>
      <c r="D25" s="3063">
        <v>21</v>
      </c>
      <c r="E25" s="3063">
        <v>292</v>
      </c>
      <c r="F25" s="3068">
        <v>2028</v>
      </c>
    </row>
    <row r="26" spans="1:6" ht="13.5" hidden="1" thickTop="1">
      <c r="A26" s="3065">
        <v>38292</v>
      </c>
      <c r="B26" s="3069">
        <v>6297</v>
      </c>
      <c r="C26" s="3062">
        <v>43083</v>
      </c>
      <c r="D26" s="3063">
        <v>20</v>
      </c>
      <c r="E26" s="3063">
        <v>315</v>
      </c>
      <c r="F26" s="3068">
        <v>2154</v>
      </c>
    </row>
    <row r="27" spans="1:6" ht="13.5" hidden="1" thickTop="1">
      <c r="A27" s="3065">
        <v>38322</v>
      </c>
      <c r="B27" s="3069">
        <v>7804</v>
      </c>
      <c r="C27" s="3062">
        <v>57500</v>
      </c>
      <c r="D27" s="3063">
        <v>23</v>
      </c>
      <c r="E27" s="3063">
        <v>339</v>
      </c>
      <c r="F27" s="3068">
        <v>2500</v>
      </c>
    </row>
    <row r="28" spans="1:6" ht="13.5" hidden="1" thickTop="1">
      <c r="A28" s="3065">
        <v>38353</v>
      </c>
      <c r="B28" s="3069">
        <v>6000</v>
      </c>
      <c r="C28" s="3062">
        <v>38189</v>
      </c>
      <c r="D28" s="3063">
        <v>19</v>
      </c>
      <c r="E28" s="3063">
        <v>316</v>
      </c>
      <c r="F28" s="3068">
        <v>2010</v>
      </c>
    </row>
    <row r="29" spans="1:6" ht="13.5" hidden="1" thickTop="1">
      <c r="A29" s="3065">
        <v>38384</v>
      </c>
      <c r="B29" s="3069">
        <v>5934</v>
      </c>
      <c r="C29" s="3062">
        <v>44972</v>
      </c>
      <c r="D29" s="3063">
        <v>18</v>
      </c>
      <c r="E29" s="3063">
        <v>330</v>
      </c>
      <c r="F29" s="3068">
        <v>2499</v>
      </c>
    </row>
    <row r="30" spans="1:6" ht="13.5" hidden="1" thickTop="1">
      <c r="A30" s="3065">
        <v>38412</v>
      </c>
      <c r="B30" s="3069">
        <v>6785</v>
      </c>
      <c r="C30" s="3062">
        <v>41299</v>
      </c>
      <c r="D30" s="3063">
        <v>20</v>
      </c>
      <c r="E30" s="3063">
        <v>339</v>
      </c>
      <c r="F30" s="3068">
        <v>2065</v>
      </c>
    </row>
    <row r="31" spans="1:6" ht="13.5" hidden="1" thickTop="1">
      <c r="A31" s="3065">
        <v>38443</v>
      </c>
      <c r="B31" s="3069">
        <v>6853</v>
      </c>
      <c r="C31" s="3062">
        <v>47121</v>
      </c>
      <c r="D31" s="3063">
        <v>21</v>
      </c>
      <c r="E31" s="3063">
        <v>326</v>
      </c>
      <c r="F31" s="3068">
        <v>2244</v>
      </c>
    </row>
    <row r="32" spans="1:6" ht="13.5" hidden="1" thickTop="1">
      <c r="A32" s="3065">
        <v>38473</v>
      </c>
      <c r="B32" s="3069">
        <v>7289</v>
      </c>
      <c r="C32" s="3062">
        <v>44364</v>
      </c>
      <c r="D32" s="3063">
        <v>22</v>
      </c>
      <c r="E32" s="3063">
        <v>331</v>
      </c>
      <c r="F32" s="3068">
        <v>2017</v>
      </c>
    </row>
    <row r="33" spans="1:8" ht="13.5" hidden="1" thickTop="1">
      <c r="A33" s="3065">
        <v>38504</v>
      </c>
      <c r="B33" s="3069">
        <v>7639</v>
      </c>
      <c r="C33" s="3062">
        <v>53122</v>
      </c>
      <c r="D33" s="3063">
        <v>22</v>
      </c>
      <c r="E33" s="3063">
        <v>347</v>
      </c>
      <c r="F33" s="3068">
        <v>2415</v>
      </c>
    </row>
    <row r="34" spans="1:8" ht="13.5" hidden="1" thickTop="1">
      <c r="A34" s="3065">
        <v>38534</v>
      </c>
      <c r="B34" s="3069">
        <v>6984</v>
      </c>
      <c r="C34" s="3062">
        <v>46017</v>
      </c>
      <c r="D34" s="3063">
        <v>21</v>
      </c>
      <c r="E34" s="3063">
        <v>333</v>
      </c>
      <c r="F34" s="3068">
        <v>2191</v>
      </c>
      <c r="H34" s="1059"/>
    </row>
    <row r="35" spans="1:8" ht="13.5" hidden="1" thickTop="1">
      <c r="A35" s="3065">
        <v>38565</v>
      </c>
      <c r="B35" s="3069">
        <v>8029</v>
      </c>
      <c r="C35" s="3062">
        <v>48508</v>
      </c>
      <c r="D35" s="3063">
        <v>23</v>
      </c>
      <c r="E35" s="3063">
        <v>349</v>
      </c>
      <c r="F35" s="3068">
        <v>2109</v>
      </c>
    </row>
    <row r="36" spans="1:8" ht="13.5" hidden="1" thickTop="1">
      <c r="A36" s="3065">
        <v>38596</v>
      </c>
      <c r="B36" s="3069">
        <v>7582</v>
      </c>
      <c r="C36" s="3062">
        <v>44096</v>
      </c>
      <c r="D36" s="3063">
        <v>21</v>
      </c>
      <c r="E36" s="3063">
        <v>361</v>
      </c>
      <c r="F36" s="3068">
        <v>2100</v>
      </c>
    </row>
    <row r="37" spans="1:8" ht="13.5" hidden="1" thickTop="1">
      <c r="A37" s="3065">
        <v>38626</v>
      </c>
      <c r="B37" s="3069">
        <v>7833</v>
      </c>
      <c r="C37" s="3062">
        <v>47226</v>
      </c>
      <c r="D37" s="3063">
        <v>21</v>
      </c>
      <c r="E37" s="3063">
        <v>373</v>
      </c>
      <c r="F37" s="3068">
        <v>2249</v>
      </c>
    </row>
    <row r="38" spans="1:8" ht="13.5" hidden="1" thickTop="1">
      <c r="A38" s="3065">
        <v>38657</v>
      </c>
      <c r="B38" s="3069">
        <v>7349</v>
      </c>
      <c r="C38" s="3062">
        <v>35419</v>
      </c>
      <c r="D38" s="3063">
        <v>19</v>
      </c>
      <c r="E38" s="3063">
        <v>387</v>
      </c>
      <c r="F38" s="3068">
        <v>1864</v>
      </c>
    </row>
    <row r="39" spans="1:8" ht="13.5" hidden="1" thickTop="1">
      <c r="A39" s="3065">
        <v>38687</v>
      </c>
      <c r="B39" s="3069">
        <v>9067</v>
      </c>
      <c r="C39" s="3062">
        <v>63802</v>
      </c>
      <c r="D39" s="3063">
        <v>22</v>
      </c>
      <c r="E39" s="3063">
        <v>412</v>
      </c>
      <c r="F39" s="3068">
        <v>2900</v>
      </c>
    </row>
    <row r="40" spans="1:8" ht="13.5" hidden="1" thickTop="1">
      <c r="A40" s="3065">
        <v>38718</v>
      </c>
      <c r="B40" s="3069">
        <v>7704</v>
      </c>
      <c r="C40" s="3062">
        <v>51168</v>
      </c>
      <c r="D40" s="3063">
        <v>21</v>
      </c>
      <c r="E40" s="3063">
        <v>367</v>
      </c>
      <c r="F40" s="3068">
        <v>2437</v>
      </c>
    </row>
    <row r="41" spans="1:8" ht="13.5" hidden="1" thickTop="1">
      <c r="A41" s="3065">
        <v>38749</v>
      </c>
      <c r="B41" s="3069">
        <v>7104</v>
      </c>
      <c r="C41" s="3062">
        <v>36099</v>
      </c>
      <c r="D41" s="3063">
        <v>19</v>
      </c>
      <c r="E41" s="3063">
        <v>374</v>
      </c>
      <c r="F41" s="3068">
        <v>1900</v>
      </c>
    </row>
    <row r="42" spans="1:8" ht="13.5" hidden="1" thickTop="1">
      <c r="A42" s="3065">
        <v>38777</v>
      </c>
      <c r="B42" s="3069">
        <v>8427</v>
      </c>
      <c r="C42" s="3062">
        <v>50220</v>
      </c>
      <c r="D42" s="3063">
        <v>22</v>
      </c>
      <c r="E42" s="3063">
        <v>383</v>
      </c>
      <c r="F42" s="3068">
        <v>2283</v>
      </c>
    </row>
    <row r="43" spans="1:8" ht="13.5" hidden="1" thickTop="1">
      <c r="A43" s="3065">
        <v>38808</v>
      </c>
      <c r="B43" s="3069">
        <v>7692</v>
      </c>
      <c r="C43" s="3062">
        <v>44237</v>
      </c>
      <c r="D43" s="3063">
        <v>20</v>
      </c>
      <c r="E43" s="3063">
        <v>385</v>
      </c>
      <c r="F43" s="3068">
        <v>2212</v>
      </c>
    </row>
    <row r="44" spans="1:8" ht="13.5" hidden="1" thickTop="1">
      <c r="A44" s="3065">
        <v>38838</v>
      </c>
      <c r="B44" s="3069">
        <v>9086</v>
      </c>
      <c r="C44" s="3062">
        <v>46113</v>
      </c>
      <c r="D44" s="3063">
        <v>22</v>
      </c>
      <c r="E44" s="3063">
        <v>413</v>
      </c>
      <c r="F44" s="3068">
        <v>2096</v>
      </c>
    </row>
    <row r="45" spans="1:8" ht="13.5" hidden="1" thickTop="1">
      <c r="A45" s="3065">
        <v>38869</v>
      </c>
      <c r="B45" s="3069">
        <v>8943</v>
      </c>
      <c r="C45" s="3062">
        <v>58024</v>
      </c>
      <c r="D45" s="3063">
        <v>22</v>
      </c>
      <c r="E45" s="3063">
        <v>407</v>
      </c>
      <c r="F45" s="3068">
        <v>2638</v>
      </c>
    </row>
    <row r="46" spans="1:8" ht="13.5" hidden="1" thickTop="1">
      <c r="A46" s="3065">
        <v>38899</v>
      </c>
      <c r="B46" s="3069">
        <v>8449</v>
      </c>
      <c r="C46" s="3062">
        <v>45797</v>
      </c>
      <c r="D46" s="3063">
        <v>21</v>
      </c>
      <c r="E46" s="3063">
        <v>402</v>
      </c>
      <c r="F46" s="3068">
        <v>2181</v>
      </c>
    </row>
    <row r="47" spans="1:8" ht="13.5" hidden="1" thickTop="1">
      <c r="A47" s="3065">
        <v>38930</v>
      </c>
      <c r="B47" s="3069">
        <v>9188</v>
      </c>
      <c r="C47" s="3062">
        <v>58410</v>
      </c>
      <c r="D47" s="3063">
        <v>21</v>
      </c>
      <c r="E47" s="3063">
        <v>438</v>
      </c>
      <c r="F47" s="3068">
        <v>2781</v>
      </c>
    </row>
    <row r="48" spans="1:8" ht="13.5" hidden="1" thickTop="1">
      <c r="A48" s="3065">
        <v>38961</v>
      </c>
      <c r="B48" s="3069">
        <v>9031</v>
      </c>
      <c r="C48" s="3062">
        <v>87413</v>
      </c>
      <c r="D48" s="3063">
        <v>21</v>
      </c>
      <c r="E48" s="3063">
        <v>430</v>
      </c>
      <c r="F48" s="3068">
        <v>4163</v>
      </c>
    </row>
    <row r="49" spans="1:6" ht="13.5" hidden="1" thickTop="1">
      <c r="A49" s="3065">
        <v>38991</v>
      </c>
      <c r="B49" s="3069">
        <v>9971</v>
      </c>
      <c r="C49" s="3062">
        <v>79308</v>
      </c>
      <c r="D49" s="3063">
        <v>21</v>
      </c>
      <c r="E49" s="3063">
        <v>475</v>
      </c>
      <c r="F49" s="3068">
        <v>3777</v>
      </c>
    </row>
    <row r="50" spans="1:6" ht="13.5" hidden="1" thickTop="1">
      <c r="A50" s="3065">
        <v>39022</v>
      </c>
      <c r="B50" s="3069">
        <v>9691</v>
      </c>
      <c r="C50" s="3062">
        <v>82813</v>
      </c>
      <c r="D50" s="3063">
        <v>21</v>
      </c>
      <c r="E50" s="3063">
        <v>462</v>
      </c>
      <c r="F50" s="3068">
        <v>3944</v>
      </c>
    </row>
    <row r="51" spans="1:6" ht="13.5" hidden="1" thickTop="1">
      <c r="A51" s="3065">
        <v>39052</v>
      </c>
      <c r="B51" s="3069">
        <v>10637</v>
      </c>
      <c r="C51" s="3062">
        <v>97758</v>
      </c>
      <c r="D51" s="3063">
        <v>20</v>
      </c>
      <c r="E51" s="3063">
        <v>532</v>
      </c>
      <c r="F51" s="3068">
        <v>4888</v>
      </c>
    </row>
    <row r="52" spans="1:6" ht="13.5" hidden="1" thickTop="1">
      <c r="A52" s="3065">
        <v>39083</v>
      </c>
      <c r="B52" s="3069">
        <v>10020</v>
      </c>
      <c r="C52" s="3062">
        <v>103090</v>
      </c>
      <c r="D52" s="3063">
        <v>21</v>
      </c>
      <c r="E52" s="3063">
        <v>477</v>
      </c>
      <c r="F52" s="3068">
        <v>4909</v>
      </c>
    </row>
    <row r="53" spans="1:6" ht="13.5" hidden="1" thickTop="1">
      <c r="A53" s="3065">
        <v>39114</v>
      </c>
      <c r="B53" s="3069">
        <v>9015</v>
      </c>
      <c r="C53" s="3062">
        <v>91641</v>
      </c>
      <c r="D53" s="3063">
        <v>18</v>
      </c>
      <c r="E53" s="3063">
        <v>501</v>
      </c>
      <c r="F53" s="3068">
        <v>5091</v>
      </c>
    </row>
    <row r="54" spans="1:6" ht="13.5" hidden="1" thickTop="1">
      <c r="A54" s="3065">
        <v>39142</v>
      </c>
      <c r="B54" s="3069">
        <v>10367</v>
      </c>
      <c r="C54" s="3062">
        <v>109476</v>
      </c>
      <c r="D54" s="3063">
        <v>20</v>
      </c>
      <c r="E54" s="3063">
        <v>518</v>
      </c>
      <c r="F54" s="3068">
        <v>5474</v>
      </c>
    </row>
    <row r="55" spans="1:6" ht="13.5" hidden="1" thickTop="1">
      <c r="A55" s="3065">
        <v>39173</v>
      </c>
      <c r="B55" s="3069">
        <v>10365</v>
      </c>
      <c r="C55" s="3062">
        <v>93885</v>
      </c>
      <c r="D55" s="3063">
        <v>21</v>
      </c>
      <c r="E55" s="3063">
        <v>494</v>
      </c>
      <c r="F55" s="3068">
        <v>4471</v>
      </c>
    </row>
    <row r="56" spans="1:6" ht="13.5" hidden="1" thickTop="1">
      <c r="A56" s="3065">
        <v>39203</v>
      </c>
      <c r="B56" s="3069">
        <v>10843</v>
      </c>
      <c r="C56" s="3062">
        <v>71934</v>
      </c>
      <c r="D56" s="3063">
        <v>22</v>
      </c>
      <c r="E56" s="3063">
        <v>493</v>
      </c>
      <c r="F56" s="3068">
        <v>3270</v>
      </c>
    </row>
    <row r="57" spans="1:6" ht="13.5" hidden="1" thickTop="1">
      <c r="A57" s="3065">
        <v>39234</v>
      </c>
      <c r="B57" s="3069">
        <v>10052</v>
      </c>
      <c r="C57" s="3062">
        <v>88028</v>
      </c>
      <c r="D57" s="3063">
        <v>21</v>
      </c>
      <c r="E57" s="3063">
        <v>479</v>
      </c>
      <c r="F57" s="3068">
        <v>4192</v>
      </c>
    </row>
    <row r="58" spans="1:6" ht="13.5" hidden="1" thickTop="1">
      <c r="A58" s="3065">
        <v>39264</v>
      </c>
      <c r="B58" s="3069">
        <v>11268</v>
      </c>
      <c r="C58" s="3062">
        <v>91865</v>
      </c>
      <c r="D58" s="3063">
        <v>22</v>
      </c>
      <c r="E58" s="3063">
        <v>512</v>
      </c>
      <c r="F58" s="3068">
        <v>4176</v>
      </c>
    </row>
    <row r="59" spans="1:6" ht="13.5" hidden="1" thickTop="1">
      <c r="A59" s="3065">
        <v>39295</v>
      </c>
      <c r="B59" s="3069">
        <v>11648</v>
      </c>
      <c r="C59" s="3062">
        <v>81357</v>
      </c>
      <c r="D59" s="3063">
        <v>23</v>
      </c>
      <c r="E59" s="3063">
        <v>506</v>
      </c>
      <c r="F59" s="3068">
        <v>3537</v>
      </c>
    </row>
    <row r="60" spans="1:6" ht="13.5" hidden="1" thickTop="1">
      <c r="A60" s="3065">
        <v>39326</v>
      </c>
      <c r="B60" s="3069">
        <v>10374</v>
      </c>
      <c r="C60" s="3062">
        <v>61402</v>
      </c>
      <c r="D60" s="3063">
        <v>20</v>
      </c>
      <c r="E60" s="3063">
        <v>519</v>
      </c>
      <c r="F60" s="3068">
        <v>3070</v>
      </c>
    </row>
    <row r="61" spans="1:6" ht="13.5" hidden="1" thickTop="1">
      <c r="A61" s="3065">
        <v>39356</v>
      </c>
      <c r="B61" s="3069">
        <v>13390</v>
      </c>
      <c r="C61" s="3062">
        <v>62734</v>
      </c>
      <c r="D61" s="3063">
        <v>23</v>
      </c>
      <c r="E61" s="3063">
        <v>582</v>
      </c>
      <c r="F61" s="3068">
        <v>2728</v>
      </c>
    </row>
    <row r="62" spans="1:6" ht="13.5" hidden="1" thickTop="1">
      <c r="A62" s="3065">
        <v>39387</v>
      </c>
      <c r="B62" s="3069">
        <v>11663</v>
      </c>
      <c r="C62" s="3062">
        <v>53834</v>
      </c>
      <c r="D62" s="3063">
        <v>19</v>
      </c>
      <c r="E62" s="3063">
        <v>614</v>
      </c>
      <c r="F62" s="3068">
        <v>2833</v>
      </c>
    </row>
    <row r="63" spans="1:6" ht="13.5" thickTop="1">
      <c r="A63" s="3065">
        <v>39417</v>
      </c>
      <c r="B63" s="3070">
        <v>13844</v>
      </c>
      <c r="C63" s="1066">
        <v>80625</v>
      </c>
      <c r="D63" s="3071">
        <v>20</v>
      </c>
      <c r="E63" s="3071">
        <v>692</v>
      </c>
      <c r="F63" s="3072">
        <v>4031</v>
      </c>
    </row>
    <row r="64" spans="1:6" hidden="1">
      <c r="A64" s="3065">
        <v>39448</v>
      </c>
      <c r="B64" s="3070">
        <v>12071</v>
      </c>
      <c r="C64" s="1066">
        <v>63864</v>
      </c>
      <c r="D64" s="3071">
        <v>20</v>
      </c>
      <c r="E64" s="3071">
        <v>603</v>
      </c>
      <c r="F64" s="3072">
        <v>3193</v>
      </c>
    </row>
    <row r="65" spans="1:6" hidden="1">
      <c r="A65" s="3065">
        <v>39479</v>
      </c>
      <c r="B65" s="3070">
        <v>12360</v>
      </c>
      <c r="C65" s="1066">
        <v>73681</v>
      </c>
      <c r="D65" s="3071">
        <v>19</v>
      </c>
      <c r="E65" s="3071">
        <v>651</v>
      </c>
      <c r="F65" s="3072">
        <v>3878</v>
      </c>
    </row>
    <row r="66" spans="1:6" hidden="1">
      <c r="A66" s="3065">
        <v>39508</v>
      </c>
      <c r="B66" s="3070">
        <v>12726</v>
      </c>
      <c r="C66" s="1066">
        <v>88155</v>
      </c>
      <c r="D66" s="3071">
        <v>19</v>
      </c>
      <c r="E66" s="3071">
        <v>670</v>
      </c>
      <c r="F66" s="3072">
        <v>4639</v>
      </c>
    </row>
    <row r="67" spans="1:6" hidden="1">
      <c r="A67" s="3065">
        <v>39539</v>
      </c>
      <c r="B67" s="3070">
        <v>13390</v>
      </c>
      <c r="C67" s="1066">
        <v>71240</v>
      </c>
      <c r="D67" s="3071">
        <v>21</v>
      </c>
      <c r="E67" s="3071">
        <v>638</v>
      </c>
      <c r="F67" s="3072">
        <v>3392</v>
      </c>
    </row>
    <row r="68" spans="1:6" hidden="1">
      <c r="A68" s="3065">
        <v>39576</v>
      </c>
      <c r="B68" s="3070">
        <v>12688</v>
      </c>
      <c r="C68" s="1066">
        <v>62465</v>
      </c>
      <c r="D68" s="3071">
        <v>21</v>
      </c>
      <c r="E68" s="3071">
        <v>604</v>
      </c>
      <c r="F68" s="3072">
        <v>2975</v>
      </c>
    </row>
    <row r="69" spans="1:6" hidden="1">
      <c r="A69" s="3065">
        <v>39607</v>
      </c>
      <c r="B69" s="3070">
        <v>13917</v>
      </c>
      <c r="C69" s="1066">
        <v>91628</v>
      </c>
      <c r="D69" s="3071">
        <v>21</v>
      </c>
      <c r="E69" s="3071">
        <v>663</v>
      </c>
      <c r="F69" s="3072">
        <v>4363</v>
      </c>
    </row>
    <row r="70" spans="1:6" hidden="1">
      <c r="A70" s="3065">
        <v>39637</v>
      </c>
      <c r="B70" s="3070">
        <v>15550</v>
      </c>
      <c r="C70" s="1066">
        <v>83595</v>
      </c>
      <c r="D70" s="3071">
        <v>23</v>
      </c>
      <c r="E70" s="3071">
        <v>676</v>
      </c>
      <c r="F70" s="3072">
        <v>3635</v>
      </c>
    </row>
    <row r="71" spans="1:6" hidden="1">
      <c r="A71" s="3065">
        <v>39668</v>
      </c>
      <c r="B71" s="3070">
        <v>13348</v>
      </c>
      <c r="C71" s="1066">
        <v>63368</v>
      </c>
      <c r="D71" s="3071">
        <v>20</v>
      </c>
      <c r="E71" s="3071">
        <v>667</v>
      </c>
      <c r="F71" s="3072">
        <v>3168</v>
      </c>
    </row>
    <row r="72" spans="1:6" hidden="1">
      <c r="A72" s="3065">
        <v>39699</v>
      </c>
      <c r="B72" s="3070">
        <v>16673</v>
      </c>
      <c r="C72" s="1066">
        <v>104597</v>
      </c>
      <c r="D72" s="3071">
        <v>21</v>
      </c>
      <c r="E72" s="3071">
        <v>794</v>
      </c>
      <c r="F72" s="3072">
        <v>4981</v>
      </c>
    </row>
    <row r="73" spans="1:6" hidden="1">
      <c r="A73" s="3065">
        <v>39729</v>
      </c>
      <c r="B73" s="3070">
        <v>16729</v>
      </c>
      <c r="C73" s="1066">
        <v>113187</v>
      </c>
      <c r="D73" s="3071">
        <v>21</v>
      </c>
      <c r="E73" s="3071">
        <v>797</v>
      </c>
      <c r="F73" s="3072">
        <v>5390</v>
      </c>
    </row>
    <row r="74" spans="1:6" hidden="1">
      <c r="A74" s="3065">
        <v>39760</v>
      </c>
      <c r="B74" s="3073">
        <v>14755</v>
      </c>
      <c r="C74" s="1066">
        <v>95317</v>
      </c>
      <c r="D74" s="3071">
        <v>20</v>
      </c>
      <c r="E74" s="3071">
        <v>738</v>
      </c>
      <c r="F74" s="3072">
        <v>4766</v>
      </c>
    </row>
    <row r="75" spans="1:6">
      <c r="A75" s="3065">
        <v>39790</v>
      </c>
      <c r="B75" s="3073">
        <v>21172</v>
      </c>
      <c r="C75" s="1066">
        <v>102521</v>
      </c>
      <c r="D75" s="3071">
        <v>22</v>
      </c>
      <c r="E75" s="3071">
        <v>962</v>
      </c>
      <c r="F75" s="3072">
        <v>4660</v>
      </c>
    </row>
    <row r="76" spans="1:6">
      <c r="A76" s="3065">
        <v>39821</v>
      </c>
      <c r="B76" s="3074">
        <v>20814</v>
      </c>
      <c r="C76" s="1078">
        <v>107226</v>
      </c>
      <c r="D76" s="1078">
        <v>19</v>
      </c>
      <c r="E76" s="1078">
        <v>1055</v>
      </c>
      <c r="F76" s="3075">
        <v>5643</v>
      </c>
    </row>
    <row r="77" spans="1:6">
      <c r="A77" s="3065">
        <v>39852</v>
      </c>
      <c r="B77" s="3074">
        <v>19170</v>
      </c>
      <c r="C77" s="1078">
        <v>95966</v>
      </c>
      <c r="D77" s="1078">
        <v>19</v>
      </c>
      <c r="E77" s="1078">
        <v>1009</v>
      </c>
      <c r="F77" s="3075">
        <v>5051</v>
      </c>
    </row>
    <row r="78" spans="1:6">
      <c r="A78" s="3065">
        <v>39880</v>
      </c>
      <c r="B78" s="3074">
        <v>22610</v>
      </c>
      <c r="C78" s="1078">
        <v>104075</v>
      </c>
      <c r="D78" s="1078">
        <v>20</v>
      </c>
      <c r="E78" s="1078">
        <v>1131</v>
      </c>
      <c r="F78" s="3075">
        <v>5204</v>
      </c>
    </row>
    <row r="79" spans="1:6">
      <c r="A79" s="3065">
        <v>39911</v>
      </c>
      <c r="B79" s="3074">
        <v>21688</v>
      </c>
      <c r="C79" s="1078">
        <v>102877</v>
      </c>
      <c r="D79" s="1078">
        <v>22</v>
      </c>
      <c r="E79" s="1078">
        <v>986</v>
      </c>
      <c r="F79" s="3075">
        <v>4676</v>
      </c>
    </row>
    <row r="80" spans="1:6">
      <c r="A80" s="3065">
        <v>39934</v>
      </c>
      <c r="B80" s="3074">
        <v>19880</v>
      </c>
      <c r="C80" s="1078">
        <v>106297</v>
      </c>
      <c r="D80" s="1078">
        <v>20</v>
      </c>
      <c r="E80" s="1078">
        <v>994</v>
      </c>
      <c r="F80" s="3075">
        <v>5315</v>
      </c>
    </row>
    <row r="81" spans="1:6">
      <c r="A81" s="3065">
        <v>39965</v>
      </c>
      <c r="B81" s="3074">
        <v>24532</v>
      </c>
      <c r="C81" s="1078">
        <v>202110</v>
      </c>
      <c r="D81" s="1078">
        <v>22</v>
      </c>
      <c r="E81" s="1078">
        <v>1115</v>
      </c>
      <c r="F81" s="3075">
        <v>9187</v>
      </c>
    </row>
    <row r="82" spans="1:6">
      <c r="A82" s="3065">
        <v>39995</v>
      </c>
      <c r="B82" s="3074">
        <v>23484</v>
      </c>
      <c r="C82" s="1078">
        <v>123124</v>
      </c>
      <c r="D82" s="1078">
        <v>23</v>
      </c>
      <c r="E82" s="1078">
        <v>1021</v>
      </c>
      <c r="F82" s="3075">
        <v>5353</v>
      </c>
    </row>
    <row r="83" spans="1:6">
      <c r="A83" s="3065">
        <v>40026</v>
      </c>
      <c r="B83" s="3074">
        <v>21561</v>
      </c>
      <c r="C83" s="1078">
        <v>112974</v>
      </c>
      <c r="D83" s="1078">
        <v>20</v>
      </c>
      <c r="E83" s="1078">
        <v>1078</v>
      </c>
      <c r="F83" s="3075">
        <v>5649</v>
      </c>
    </row>
    <row r="84" spans="1:6">
      <c r="A84" s="3065">
        <v>40057</v>
      </c>
      <c r="B84" s="3074">
        <v>24177</v>
      </c>
      <c r="C84" s="1078">
        <v>143559</v>
      </c>
      <c r="D84" s="1078">
        <v>21</v>
      </c>
      <c r="E84" s="1078">
        <v>1151</v>
      </c>
      <c r="F84" s="3075">
        <v>6836</v>
      </c>
    </row>
    <row r="85" spans="1:6">
      <c r="A85" s="3065">
        <v>40087</v>
      </c>
      <c r="B85" s="3074">
        <v>24487</v>
      </c>
      <c r="C85" s="1078">
        <v>131482</v>
      </c>
      <c r="D85" s="1078">
        <v>22</v>
      </c>
      <c r="E85" s="1078">
        <v>1113</v>
      </c>
      <c r="F85" s="3075">
        <v>5976</v>
      </c>
    </row>
    <row r="86" spans="1:6">
      <c r="A86" s="3065">
        <v>40118</v>
      </c>
      <c r="B86" s="3074">
        <v>24472</v>
      </c>
      <c r="C86" s="1078">
        <v>124156</v>
      </c>
      <c r="D86" s="1078">
        <v>20</v>
      </c>
      <c r="E86" s="1078">
        <v>1224</v>
      </c>
      <c r="F86" s="3075">
        <v>6208</v>
      </c>
    </row>
    <row r="87" spans="1:6">
      <c r="A87" s="3065">
        <v>40148</v>
      </c>
      <c r="B87" s="3074">
        <v>34101</v>
      </c>
      <c r="C87" s="1078">
        <v>200679</v>
      </c>
      <c r="D87" s="1078">
        <v>22</v>
      </c>
      <c r="E87" s="1078">
        <v>1550</v>
      </c>
      <c r="F87" s="3075">
        <v>9122</v>
      </c>
    </row>
    <row r="88" spans="1:6">
      <c r="A88" s="3065">
        <v>40179</v>
      </c>
      <c r="B88" s="3074">
        <v>23220</v>
      </c>
      <c r="C88" s="1078">
        <v>146156</v>
      </c>
      <c r="D88" s="1078">
        <v>20</v>
      </c>
      <c r="E88" s="1078">
        <v>1661</v>
      </c>
      <c r="F88" s="3075">
        <v>6643</v>
      </c>
    </row>
    <row r="89" spans="1:6">
      <c r="A89" s="3065">
        <v>40210</v>
      </c>
      <c r="B89" s="3074">
        <v>23636</v>
      </c>
      <c r="C89" s="1078">
        <v>122529</v>
      </c>
      <c r="D89" s="1078">
        <v>18</v>
      </c>
      <c r="E89" s="1078">
        <v>1313</v>
      </c>
      <c r="F89" s="3075">
        <v>6807</v>
      </c>
    </row>
    <row r="90" spans="1:6">
      <c r="A90" s="3065">
        <v>40238</v>
      </c>
      <c r="B90" s="3074">
        <v>31374</v>
      </c>
      <c r="C90" s="1078">
        <v>147960</v>
      </c>
      <c r="D90" s="1078">
        <v>21</v>
      </c>
      <c r="E90" s="1078">
        <v>1494</v>
      </c>
      <c r="F90" s="3075">
        <v>7046</v>
      </c>
    </row>
    <row r="91" spans="1:6">
      <c r="A91" s="3065">
        <v>40269</v>
      </c>
      <c r="B91" s="3074">
        <v>28196</v>
      </c>
      <c r="C91" s="1078">
        <v>155766</v>
      </c>
      <c r="D91" s="1078">
        <v>22</v>
      </c>
      <c r="E91" s="1078">
        <v>1282</v>
      </c>
      <c r="F91" s="3075">
        <v>7080</v>
      </c>
    </row>
    <row r="92" spans="1:6">
      <c r="A92" s="3065">
        <v>40299</v>
      </c>
      <c r="B92" s="3074">
        <v>26950</v>
      </c>
      <c r="C92" s="1078">
        <v>128348</v>
      </c>
      <c r="D92" s="1078">
        <v>20</v>
      </c>
      <c r="E92" s="1078">
        <v>1348</v>
      </c>
      <c r="F92" s="3075">
        <v>6417</v>
      </c>
    </row>
    <row r="93" spans="1:6">
      <c r="A93" s="3065">
        <v>40330</v>
      </c>
      <c r="B93" s="3074">
        <v>32021</v>
      </c>
      <c r="C93" s="1078">
        <v>157459</v>
      </c>
      <c r="D93" s="1078">
        <v>22</v>
      </c>
      <c r="E93" s="1078">
        <v>1456</v>
      </c>
      <c r="F93" s="3075">
        <v>7157</v>
      </c>
    </row>
    <row r="94" spans="1:6">
      <c r="A94" s="3065">
        <v>40360</v>
      </c>
      <c r="B94" s="3074">
        <v>29038</v>
      </c>
      <c r="C94" s="1078">
        <v>131775</v>
      </c>
      <c r="D94" s="1078">
        <v>22</v>
      </c>
      <c r="E94" s="1078">
        <v>1320</v>
      </c>
      <c r="F94" s="3075">
        <v>5990</v>
      </c>
    </row>
    <row r="95" spans="1:6">
      <c r="A95" s="3065">
        <v>40391</v>
      </c>
      <c r="B95" s="3076">
        <v>30325</v>
      </c>
      <c r="C95" s="1078">
        <v>128293</v>
      </c>
      <c r="D95" s="1078">
        <v>22</v>
      </c>
      <c r="E95" s="1078">
        <v>1378</v>
      </c>
      <c r="F95" s="3077">
        <v>5831</v>
      </c>
    </row>
    <row r="96" spans="1:6">
      <c r="A96" s="3065">
        <v>40422</v>
      </c>
      <c r="B96" s="3076">
        <v>31858</v>
      </c>
      <c r="C96" s="1078">
        <v>148964</v>
      </c>
      <c r="D96" s="1078">
        <v>21</v>
      </c>
      <c r="E96" s="1078">
        <v>1517</v>
      </c>
      <c r="F96" s="3077">
        <v>7094</v>
      </c>
    </row>
    <row r="97" spans="1:6">
      <c r="A97" s="3065">
        <v>40452</v>
      </c>
      <c r="B97" s="3076">
        <v>29896</v>
      </c>
      <c r="C97" s="1078">
        <v>147274</v>
      </c>
      <c r="D97" s="1078">
        <v>21</v>
      </c>
      <c r="E97" s="1078">
        <v>1424</v>
      </c>
      <c r="F97" s="3077">
        <v>7013</v>
      </c>
    </row>
    <row r="98" spans="1:6">
      <c r="A98" s="3065">
        <v>40483</v>
      </c>
      <c r="B98" s="3076">
        <v>34491</v>
      </c>
      <c r="C98" s="1078">
        <f>152572015288.4/1000000</f>
        <v>152572.0152884</v>
      </c>
      <c r="D98" s="1078">
        <v>20</v>
      </c>
      <c r="E98" s="1078">
        <f>B98/D98</f>
        <v>1724.55</v>
      </c>
      <c r="F98" s="3077">
        <f>C98/D98</f>
        <v>7628.6007644199999</v>
      </c>
    </row>
    <row r="99" spans="1:6">
      <c r="A99" s="3065">
        <v>40522</v>
      </c>
      <c r="B99" s="3076">
        <v>45307</v>
      </c>
      <c r="C99" s="1078">
        <v>220826</v>
      </c>
      <c r="D99" s="1078">
        <v>23</v>
      </c>
      <c r="E99" s="1078">
        <v>1970</v>
      </c>
      <c r="F99" s="3075">
        <v>9601</v>
      </c>
    </row>
    <row r="100" spans="1:6">
      <c r="A100" s="3065">
        <v>40553</v>
      </c>
      <c r="B100" s="3076">
        <v>30565</v>
      </c>
      <c r="C100" s="1078">
        <v>153705.071</v>
      </c>
      <c r="D100" s="1078">
        <v>19</v>
      </c>
      <c r="E100" s="1078">
        <v>1609</v>
      </c>
      <c r="F100" s="3075">
        <v>8090</v>
      </c>
    </row>
    <row r="101" spans="1:6">
      <c r="A101" s="3065">
        <v>40584</v>
      </c>
      <c r="B101" s="3076">
        <v>30735</v>
      </c>
      <c r="C101" s="1078">
        <v>142370</v>
      </c>
      <c r="D101" s="1078">
        <v>18</v>
      </c>
      <c r="E101" s="1078">
        <v>1708</v>
      </c>
      <c r="F101" s="3075">
        <v>7909</v>
      </c>
    </row>
    <row r="102" spans="1:6">
      <c r="A102" s="3065">
        <v>40612</v>
      </c>
      <c r="B102" s="3076">
        <v>38636</v>
      </c>
      <c r="C102" s="1078">
        <v>168058</v>
      </c>
      <c r="D102" s="1078">
        <v>22</v>
      </c>
      <c r="E102" s="1078">
        <v>1756</v>
      </c>
      <c r="F102" s="3075">
        <v>7639</v>
      </c>
    </row>
    <row r="103" spans="1:6">
      <c r="A103" s="3065">
        <v>40643</v>
      </c>
      <c r="B103" s="3076">
        <v>33065</v>
      </c>
      <c r="C103" s="1078">
        <v>187887</v>
      </c>
      <c r="D103" s="1078">
        <v>20</v>
      </c>
      <c r="E103" s="1078">
        <v>1653</v>
      </c>
      <c r="F103" s="3075">
        <v>9394</v>
      </c>
    </row>
    <row r="104" spans="1:6">
      <c r="A104" s="3065">
        <v>40673</v>
      </c>
      <c r="B104" s="3076">
        <v>38149</v>
      </c>
      <c r="C104" s="1078">
        <v>169093</v>
      </c>
      <c r="D104" s="1078">
        <v>22</v>
      </c>
      <c r="E104" s="1078">
        <v>1734</v>
      </c>
      <c r="F104" s="3075">
        <v>7686</v>
      </c>
    </row>
    <row r="105" spans="1:6">
      <c r="A105" s="3065">
        <v>40704</v>
      </c>
      <c r="B105" s="3076">
        <v>39231</v>
      </c>
      <c r="C105" s="1078">
        <v>158713</v>
      </c>
      <c r="D105" s="1078">
        <v>22</v>
      </c>
      <c r="E105" s="1078">
        <v>1783</v>
      </c>
      <c r="F105" s="3075">
        <v>7214</v>
      </c>
    </row>
    <row r="106" spans="1:6">
      <c r="A106" s="3065">
        <v>40734</v>
      </c>
      <c r="B106" s="3076">
        <v>35465</v>
      </c>
      <c r="C106" s="1078">
        <v>156666</v>
      </c>
      <c r="D106" s="1078">
        <v>21</v>
      </c>
      <c r="E106" s="1078">
        <v>1689</v>
      </c>
      <c r="F106" s="3075">
        <v>7460</v>
      </c>
    </row>
    <row r="107" spans="1:6">
      <c r="A107" s="3065">
        <v>40756</v>
      </c>
      <c r="B107" s="3076">
        <v>37355</v>
      </c>
      <c r="C107" s="1078">
        <v>195303</v>
      </c>
      <c r="D107" s="1078">
        <v>22</v>
      </c>
      <c r="E107" s="1078">
        <v>1698</v>
      </c>
      <c r="F107" s="3075">
        <v>8877</v>
      </c>
    </row>
    <row r="108" spans="1:6">
      <c r="A108" s="3065">
        <v>40796</v>
      </c>
      <c r="B108" s="3076">
        <v>37949</v>
      </c>
      <c r="C108" s="1078">
        <v>168911</v>
      </c>
      <c r="D108" s="1078">
        <v>21</v>
      </c>
      <c r="E108" s="1078">
        <v>1807</v>
      </c>
      <c r="F108" s="3075">
        <v>8043</v>
      </c>
    </row>
    <row r="109" spans="1:6">
      <c r="A109" s="3065">
        <v>40826</v>
      </c>
      <c r="B109" s="3076">
        <v>35347</v>
      </c>
      <c r="C109" s="1078">
        <v>173163</v>
      </c>
      <c r="D109" s="1078">
        <v>20</v>
      </c>
      <c r="E109" s="1078">
        <v>1767</v>
      </c>
      <c r="F109" s="3075">
        <v>8658</v>
      </c>
    </row>
    <row r="110" spans="1:6">
      <c r="A110" s="3065">
        <v>40857</v>
      </c>
      <c r="B110" s="3076">
        <v>35318</v>
      </c>
      <c r="C110" s="1078">
        <v>189167</v>
      </c>
      <c r="D110" s="1078">
        <v>20</v>
      </c>
      <c r="E110" s="1078">
        <v>1766</v>
      </c>
      <c r="F110" s="3075">
        <v>9458</v>
      </c>
    </row>
    <row r="111" spans="1:6">
      <c r="A111" s="3065">
        <v>40887</v>
      </c>
      <c r="B111" s="3076">
        <v>47397</v>
      </c>
      <c r="C111" s="1078">
        <v>245244</v>
      </c>
      <c r="D111" s="1078">
        <v>22</v>
      </c>
      <c r="E111" s="1078">
        <v>2154</v>
      </c>
      <c r="F111" s="3075">
        <v>11147</v>
      </c>
    </row>
    <row r="112" spans="1:6">
      <c r="A112" s="3065">
        <v>40918</v>
      </c>
      <c r="B112" s="3076">
        <v>28635</v>
      </c>
      <c r="C112" s="1078">
        <v>129253</v>
      </c>
      <c r="D112" s="1078">
        <v>20</v>
      </c>
      <c r="E112" s="1078">
        <v>1432</v>
      </c>
      <c r="F112" s="3075">
        <v>6463</v>
      </c>
    </row>
    <row r="113" spans="1:7">
      <c r="A113" s="3065">
        <v>40949</v>
      </c>
      <c r="B113" s="3076">
        <v>35146</v>
      </c>
      <c r="C113" s="1078">
        <v>156697</v>
      </c>
      <c r="D113" s="1078">
        <v>18</v>
      </c>
      <c r="E113" s="1078">
        <v>1953</v>
      </c>
      <c r="F113" s="3075">
        <v>8705</v>
      </c>
    </row>
    <row r="114" spans="1:7">
      <c r="A114" s="3065">
        <v>40978</v>
      </c>
      <c r="B114" s="3076">
        <v>38191</v>
      </c>
      <c r="C114" s="1078">
        <v>141038</v>
      </c>
      <c r="D114" s="1078">
        <v>20</v>
      </c>
      <c r="E114" s="1078">
        <v>1910</v>
      </c>
      <c r="F114" s="3075">
        <v>7052</v>
      </c>
    </row>
    <row r="115" spans="1:7">
      <c r="A115" s="3065">
        <v>41009</v>
      </c>
      <c r="B115" s="3076">
        <v>40768</v>
      </c>
      <c r="C115" s="1078">
        <v>167377</v>
      </c>
      <c r="D115" s="1078">
        <v>21</v>
      </c>
      <c r="E115" s="1078">
        <v>1941</v>
      </c>
      <c r="F115" s="3075">
        <v>7970</v>
      </c>
    </row>
    <row r="116" spans="1:7">
      <c r="A116" s="3065">
        <v>41030</v>
      </c>
      <c r="B116" s="3076">
        <v>39880</v>
      </c>
      <c r="C116" s="1078">
        <v>154833</v>
      </c>
      <c r="D116" s="1078">
        <v>22</v>
      </c>
      <c r="E116" s="1078">
        <v>1813</v>
      </c>
      <c r="F116" s="3075">
        <v>7038</v>
      </c>
    </row>
    <row r="117" spans="1:7">
      <c r="A117" s="3065">
        <v>41061</v>
      </c>
      <c r="B117" s="3076">
        <v>38969</v>
      </c>
      <c r="C117" s="1078">
        <v>198870</v>
      </c>
      <c r="D117" s="1078">
        <v>21</v>
      </c>
      <c r="E117" s="1078">
        <v>1856</v>
      </c>
      <c r="F117" s="3075">
        <v>9470</v>
      </c>
    </row>
    <row r="118" spans="1:7">
      <c r="A118" s="3065">
        <v>41091</v>
      </c>
      <c r="B118" s="3076">
        <v>44750</v>
      </c>
      <c r="C118" s="1078">
        <v>170474</v>
      </c>
      <c r="D118" s="1078">
        <v>22</v>
      </c>
      <c r="E118" s="1078">
        <v>2034</v>
      </c>
      <c r="F118" s="3075">
        <v>7749</v>
      </c>
    </row>
    <row r="119" spans="1:7">
      <c r="A119" s="3065">
        <v>41122</v>
      </c>
      <c r="B119" s="3074">
        <v>37355</v>
      </c>
      <c r="C119" s="1078">
        <v>195303</v>
      </c>
      <c r="D119" s="1078">
        <v>21</v>
      </c>
      <c r="E119" s="1078">
        <v>1779</v>
      </c>
      <c r="F119" s="3077">
        <v>9300</v>
      </c>
    </row>
    <row r="120" spans="1:7">
      <c r="A120" s="3065">
        <v>41153</v>
      </c>
      <c r="B120" s="3078">
        <v>35953</v>
      </c>
      <c r="C120" s="1078">
        <v>141745</v>
      </c>
      <c r="D120" s="1078">
        <v>19</v>
      </c>
      <c r="E120" s="1078">
        <v>1892</v>
      </c>
      <c r="F120" s="3077">
        <v>7460</v>
      </c>
    </row>
    <row r="121" spans="1:7">
      <c r="A121" s="3065">
        <v>41183</v>
      </c>
      <c r="B121" s="3078">
        <v>46809</v>
      </c>
      <c r="C121" s="1078">
        <v>163355</v>
      </c>
      <c r="D121" s="1078">
        <v>23</v>
      </c>
      <c r="E121" s="1078">
        <v>2035</v>
      </c>
      <c r="F121" s="3077">
        <v>7102</v>
      </c>
    </row>
    <row r="122" spans="1:7">
      <c r="A122" s="3065">
        <v>41214</v>
      </c>
      <c r="B122" s="3078">
        <v>40944</v>
      </c>
      <c r="C122" s="1078">
        <v>195912</v>
      </c>
      <c r="D122" s="1078">
        <v>20</v>
      </c>
      <c r="E122" s="1078">
        <v>2047</v>
      </c>
      <c r="F122" s="3077">
        <v>9796</v>
      </c>
    </row>
    <row r="123" spans="1:7">
      <c r="A123" s="3065">
        <v>41244</v>
      </c>
      <c r="B123" s="3078">
        <v>51809</v>
      </c>
      <c r="C123" s="1078">
        <v>236716</v>
      </c>
      <c r="D123" s="1078">
        <v>20</v>
      </c>
      <c r="E123" s="1078">
        <v>2590</v>
      </c>
      <c r="F123" s="3077">
        <v>11836</v>
      </c>
    </row>
    <row r="124" spans="1:7">
      <c r="A124" s="3065">
        <v>41275</v>
      </c>
      <c r="B124" s="3078">
        <v>41346</v>
      </c>
      <c r="C124" s="1078">
        <v>188703</v>
      </c>
      <c r="D124" s="1078">
        <v>21</v>
      </c>
      <c r="E124" s="1078">
        <v>1969</v>
      </c>
      <c r="F124" s="3077">
        <v>8986</v>
      </c>
    </row>
    <row r="125" spans="1:7" ht="13.5" thickBot="1">
      <c r="A125" s="3065">
        <v>41306</v>
      </c>
      <c r="B125" s="3079">
        <v>38760</v>
      </c>
      <c r="C125" s="3079">
        <v>157540</v>
      </c>
      <c r="D125" s="3079">
        <v>19</v>
      </c>
      <c r="E125" s="3079">
        <v>2040</v>
      </c>
      <c r="F125" s="3080">
        <v>8292</v>
      </c>
    </row>
    <row r="126" spans="1:7" ht="26.25" customHeight="1" thickTop="1">
      <c r="A126" s="3564" t="s">
        <v>3703</v>
      </c>
      <c r="B126" s="3565"/>
      <c r="C126" s="3565"/>
      <c r="D126" s="3565"/>
      <c r="E126" s="3565"/>
      <c r="F126" s="3565"/>
      <c r="G126" s="3069"/>
    </row>
    <row r="127" spans="1:7">
      <c r="A127" s="1073" t="s">
        <v>3704</v>
      </c>
    </row>
    <row r="128" spans="1:7">
      <c r="A128" s="1073" t="s">
        <v>1360</v>
      </c>
    </row>
    <row r="130" spans="2:7">
      <c r="C130" s="3069"/>
      <c r="D130" s="3069"/>
      <c r="E130" s="3081"/>
      <c r="F130" s="3081"/>
      <c r="G130" s="3069"/>
    </row>
    <row r="131" spans="2:7">
      <c r="B131" s="3082"/>
      <c r="C131" s="3069"/>
      <c r="D131" s="3081"/>
      <c r="E131" s="3069"/>
      <c r="F131" s="3069"/>
      <c r="G131" s="3069"/>
    </row>
    <row r="132" spans="2:7">
      <c r="B132" s="778"/>
      <c r="C132" s="3069"/>
      <c r="D132" s="3081"/>
      <c r="E132" s="3081"/>
      <c r="F132" s="3069"/>
    </row>
    <row r="133" spans="2:7">
      <c r="B133" s="3069"/>
      <c r="C133" s="3069"/>
      <c r="D133" s="3081"/>
      <c r="E133" s="3081"/>
      <c r="F133" s="3069"/>
    </row>
  </sheetData>
  <mergeCells count="2">
    <mergeCell ref="E4:F4"/>
    <mergeCell ref="A126:F126"/>
  </mergeCells>
  <printOptions horizontalCentered="1"/>
  <pageMargins left="0.5" right="0" top="0.81496062999999996" bottom="0.31496062992126" header="0" footer="0"/>
  <pageSetup paperSize="9" scale="95"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workbookViewId="0">
      <selection activeCell="I18" sqref="I18"/>
    </sheetView>
  </sheetViews>
  <sheetFormatPr defaultRowHeight="15"/>
  <cols>
    <col min="1" max="1" width="9.140625" style="3084"/>
    <col min="2" max="2" width="14.140625" style="3084" customWidth="1"/>
    <col min="3" max="3" width="14.85546875" style="3084" customWidth="1"/>
    <col min="4" max="4" width="16" style="3084" customWidth="1"/>
    <col min="5" max="5" width="13.5703125" style="3084" customWidth="1"/>
    <col min="6" max="6" width="18.7109375" style="3084" customWidth="1"/>
    <col min="7" max="7" width="9.140625" style="3084"/>
    <col min="8" max="257" width="9.140625" style="990"/>
    <col min="258" max="258" width="14.140625" style="990" customWidth="1"/>
    <col min="259" max="259" width="14.85546875" style="990" customWidth="1"/>
    <col min="260" max="260" width="16" style="990" customWidth="1"/>
    <col min="261" max="261" width="13.5703125" style="990" customWidth="1"/>
    <col min="262" max="262" width="18.7109375" style="990" customWidth="1"/>
    <col min="263" max="513" width="9.140625" style="990"/>
    <col min="514" max="514" width="14.140625" style="990" customWidth="1"/>
    <col min="515" max="515" width="14.85546875" style="990" customWidth="1"/>
    <col min="516" max="516" width="16" style="990" customWidth="1"/>
    <col min="517" max="517" width="13.5703125" style="990" customWidth="1"/>
    <col min="518" max="518" width="18.7109375" style="990" customWidth="1"/>
    <col min="519" max="769" width="9.140625" style="990"/>
    <col min="770" max="770" width="14.140625" style="990" customWidth="1"/>
    <col min="771" max="771" width="14.85546875" style="990" customWidth="1"/>
    <col min="772" max="772" width="16" style="990" customWidth="1"/>
    <col min="773" max="773" width="13.5703125" style="990" customWidth="1"/>
    <col min="774" max="774" width="18.7109375" style="990" customWidth="1"/>
    <col min="775" max="1025" width="9.140625" style="990"/>
    <col min="1026" max="1026" width="14.140625" style="990" customWidth="1"/>
    <col min="1027" max="1027" width="14.85546875" style="990" customWidth="1"/>
    <col min="1028" max="1028" width="16" style="990" customWidth="1"/>
    <col min="1029" max="1029" width="13.5703125" style="990" customWidth="1"/>
    <col min="1030" max="1030" width="18.7109375" style="990" customWidth="1"/>
    <col min="1031" max="1281" width="9.140625" style="990"/>
    <col min="1282" max="1282" width="14.140625" style="990" customWidth="1"/>
    <col min="1283" max="1283" width="14.85546875" style="990" customWidth="1"/>
    <col min="1284" max="1284" width="16" style="990" customWidth="1"/>
    <col min="1285" max="1285" width="13.5703125" style="990" customWidth="1"/>
    <col min="1286" max="1286" width="18.7109375" style="990" customWidth="1"/>
    <col min="1287" max="1537" width="9.140625" style="990"/>
    <col min="1538" max="1538" width="14.140625" style="990" customWidth="1"/>
    <col min="1539" max="1539" width="14.85546875" style="990" customWidth="1"/>
    <col min="1540" max="1540" width="16" style="990" customWidth="1"/>
    <col min="1541" max="1541" width="13.5703125" style="990" customWidth="1"/>
    <col min="1542" max="1542" width="18.7109375" style="990" customWidth="1"/>
    <col min="1543" max="1793" width="9.140625" style="990"/>
    <col min="1794" max="1794" width="14.140625" style="990" customWidth="1"/>
    <col min="1795" max="1795" width="14.85546875" style="990" customWidth="1"/>
    <col min="1796" max="1796" width="16" style="990" customWidth="1"/>
    <col min="1797" max="1797" width="13.5703125" style="990" customWidth="1"/>
    <col min="1798" max="1798" width="18.7109375" style="990" customWidth="1"/>
    <col min="1799" max="2049" width="9.140625" style="990"/>
    <col min="2050" max="2050" width="14.140625" style="990" customWidth="1"/>
    <col min="2051" max="2051" width="14.85546875" style="990" customWidth="1"/>
    <col min="2052" max="2052" width="16" style="990" customWidth="1"/>
    <col min="2053" max="2053" width="13.5703125" style="990" customWidth="1"/>
    <col min="2054" max="2054" width="18.7109375" style="990" customWidth="1"/>
    <col min="2055" max="2305" width="9.140625" style="990"/>
    <col min="2306" max="2306" width="14.140625" style="990" customWidth="1"/>
    <col min="2307" max="2307" width="14.85546875" style="990" customWidth="1"/>
    <col min="2308" max="2308" width="16" style="990" customWidth="1"/>
    <col min="2309" max="2309" width="13.5703125" style="990" customWidth="1"/>
    <col min="2310" max="2310" width="18.7109375" style="990" customWidth="1"/>
    <col min="2311" max="2561" width="9.140625" style="990"/>
    <col min="2562" max="2562" width="14.140625" style="990" customWidth="1"/>
    <col min="2563" max="2563" width="14.85546875" style="990" customWidth="1"/>
    <col min="2564" max="2564" width="16" style="990" customWidth="1"/>
    <col min="2565" max="2565" width="13.5703125" style="990" customWidth="1"/>
    <col min="2566" max="2566" width="18.7109375" style="990" customWidth="1"/>
    <col min="2567" max="2817" width="9.140625" style="990"/>
    <col min="2818" max="2818" width="14.140625" style="990" customWidth="1"/>
    <col min="2819" max="2819" width="14.85546875" style="990" customWidth="1"/>
    <col min="2820" max="2820" width="16" style="990" customWidth="1"/>
    <col min="2821" max="2821" width="13.5703125" style="990" customWidth="1"/>
    <col min="2822" max="2822" width="18.7109375" style="990" customWidth="1"/>
    <col min="2823" max="3073" width="9.140625" style="990"/>
    <col min="3074" max="3074" width="14.140625" style="990" customWidth="1"/>
    <col min="3075" max="3075" width="14.85546875" style="990" customWidth="1"/>
    <col min="3076" max="3076" width="16" style="990" customWidth="1"/>
    <col min="3077" max="3077" width="13.5703125" style="990" customWidth="1"/>
    <col min="3078" max="3078" width="18.7109375" style="990" customWidth="1"/>
    <col min="3079" max="3329" width="9.140625" style="990"/>
    <col min="3330" max="3330" width="14.140625" style="990" customWidth="1"/>
    <col min="3331" max="3331" width="14.85546875" style="990" customWidth="1"/>
    <col min="3332" max="3332" width="16" style="990" customWidth="1"/>
    <col min="3333" max="3333" width="13.5703125" style="990" customWidth="1"/>
    <col min="3334" max="3334" width="18.7109375" style="990" customWidth="1"/>
    <col min="3335" max="3585" width="9.140625" style="990"/>
    <col min="3586" max="3586" width="14.140625" style="990" customWidth="1"/>
    <col min="3587" max="3587" width="14.85546875" style="990" customWidth="1"/>
    <col min="3588" max="3588" width="16" style="990" customWidth="1"/>
    <col min="3589" max="3589" width="13.5703125" style="990" customWidth="1"/>
    <col min="3590" max="3590" width="18.7109375" style="990" customWidth="1"/>
    <col min="3591" max="3841" width="9.140625" style="990"/>
    <col min="3842" max="3842" width="14.140625" style="990" customWidth="1"/>
    <col min="3843" max="3843" width="14.85546875" style="990" customWidth="1"/>
    <col min="3844" max="3844" width="16" style="990" customWidth="1"/>
    <col min="3845" max="3845" width="13.5703125" style="990" customWidth="1"/>
    <col min="3846" max="3846" width="18.7109375" style="990" customWidth="1"/>
    <col min="3847" max="4097" width="9.140625" style="990"/>
    <col min="4098" max="4098" width="14.140625" style="990" customWidth="1"/>
    <col min="4099" max="4099" width="14.85546875" style="990" customWidth="1"/>
    <col min="4100" max="4100" width="16" style="990" customWidth="1"/>
    <col min="4101" max="4101" width="13.5703125" style="990" customWidth="1"/>
    <col min="4102" max="4102" width="18.7109375" style="990" customWidth="1"/>
    <col min="4103" max="4353" width="9.140625" style="990"/>
    <col min="4354" max="4354" width="14.140625" style="990" customWidth="1"/>
    <col min="4355" max="4355" width="14.85546875" style="990" customWidth="1"/>
    <col min="4356" max="4356" width="16" style="990" customWidth="1"/>
    <col min="4357" max="4357" width="13.5703125" style="990" customWidth="1"/>
    <col min="4358" max="4358" width="18.7109375" style="990" customWidth="1"/>
    <col min="4359" max="4609" width="9.140625" style="990"/>
    <col min="4610" max="4610" width="14.140625" style="990" customWidth="1"/>
    <col min="4611" max="4611" width="14.85546875" style="990" customWidth="1"/>
    <col min="4612" max="4612" width="16" style="990" customWidth="1"/>
    <col min="4613" max="4613" width="13.5703125" style="990" customWidth="1"/>
    <col min="4614" max="4614" width="18.7109375" style="990" customWidth="1"/>
    <col min="4615" max="4865" width="9.140625" style="990"/>
    <col min="4866" max="4866" width="14.140625" style="990" customWidth="1"/>
    <col min="4867" max="4867" width="14.85546875" style="990" customWidth="1"/>
    <col min="4868" max="4868" width="16" style="990" customWidth="1"/>
    <col min="4869" max="4869" width="13.5703125" style="990" customWidth="1"/>
    <col min="4870" max="4870" width="18.7109375" style="990" customWidth="1"/>
    <col min="4871" max="5121" width="9.140625" style="990"/>
    <col min="5122" max="5122" width="14.140625" style="990" customWidth="1"/>
    <col min="5123" max="5123" width="14.85546875" style="990" customWidth="1"/>
    <col min="5124" max="5124" width="16" style="990" customWidth="1"/>
    <col min="5125" max="5125" width="13.5703125" style="990" customWidth="1"/>
    <col min="5126" max="5126" width="18.7109375" style="990" customWidth="1"/>
    <col min="5127" max="5377" width="9.140625" style="990"/>
    <col min="5378" max="5378" width="14.140625" style="990" customWidth="1"/>
    <col min="5379" max="5379" width="14.85546875" style="990" customWidth="1"/>
    <col min="5380" max="5380" width="16" style="990" customWidth="1"/>
    <col min="5381" max="5381" width="13.5703125" style="990" customWidth="1"/>
    <col min="5382" max="5382" width="18.7109375" style="990" customWidth="1"/>
    <col min="5383" max="5633" width="9.140625" style="990"/>
    <col min="5634" max="5634" width="14.140625" style="990" customWidth="1"/>
    <col min="5635" max="5635" width="14.85546875" style="990" customWidth="1"/>
    <col min="5636" max="5636" width="16" style="990" customWidth="1"/>
    <col min="5637" max="5637" width="13.5703125" style="990" customWidth="1"/>
    <col min="5638" max="5638" width="18.7109375" style="990" customWidth="1"/>
    <col min="5639" max="5889" width="9.140625" style="990"/>
    <col min="5890" max="5890" width="14.140625" style="990" customWidth="1"/>
    <col min="5891" max="5891" width="14.85546875" style="990" customWidth="1"/>
    <col min="5892" max="5892" width="16" style="990" customWidth="1"/>
    <col min="5893" max="5893" width="13.5703125" style="990" customWidth="1"/>
    <col min="5894" max="5894" width="18.7109375" style="990" customWidth="1"/>
    <col min="5895" max="6145" width="9.140625" style="990"/>
    <col min="6146" max="6146" width="14.140625" style="990" customWidth="1"/>
    <col min="6147" max="6147" width="14.85546875" style="990" customWidth="1"/>
    <col min="6148" max="6148" width="16" style="990" customWidth="1"/>
    <col min="6149" max="6149" width="13.5703125" style="990" customWidth="1"/>
    <col min="6150" max="6150" width="18.7109375" style="990" customWidth="1"/>
    <col min="6151" max="6401" width="9.140625" style="990"/>
    <col min="6402" max="6402" width="14.140625" style="990" customWidth="1"/>
    <col min="6403" max="6403" width="14.85546875" style="990" customWidth="1"/>
    <col min="6404" max="6404" width="16" style="990" customWidth="1"/>
    <col min="6405" max="6405" width="13.5703125" style="990" customWidth="1"/>
    <col min="6406" max="6406" width="18.7109375" style="990" customWidth="1"/>
    <col min="6407" max="6657" width="9.140625" style="990"/>
    <col min="6658" max="6658" width="14.140625" style="990" customWidth="1"/>
    <col min="6659" max="6659" width="14.85546875" style="990" customWidth="1"/>
    <col min="6660" max="6660" width="16" style="990" customWidth="1"/>
    <col min="6661" max="6661" width="13.5703125" style="990" customWidth="1"/>
    <col min="6662" max="6662" width="18.7109375" style="990" customWidth="1"/>
    <col min="6663" max="6913" width="9.140625" style="990"/>
    <col min="6914" max="6914" width="14.140625" style="990" customWidth="1"/>
    <col min="6915" max="6915" width="14.85546875" style="990" customWidth="1"/>
    <col min="6916" max="6916" width="16" style="990" customWidth="1"/>
    <col min="6917" max="6917" width="13.5703125" style="990" customWidth="1"/>
    <col min="6918" max="6918" width="18.7109375" style="990" customWidth="1"/>
    <col min="6919" max="7169" width="9.140625" style="990"/>
    <col min="7170" max="7170" width="14.140625" style="990" customWidth="1"/>
    <col min="7171" max="7171" width="14.85546875" style="990" customWidth="1"/>
    <col min="7172" max="7172" width="16" style="990" customWidth="1"/>
    <col min="7173" max="7173" width="13.5703125" style="990" customWidth="1"/>
    <col min="7174" max="7174" width="18.7109375" style="990" customWidth="1"/>
    <col min="7175" max="7425" width="9.140625" style="990"/>
    <col min="7426" max="7426" width="14.140625" style="990" customWidth="1"/>
    <col min="7427" max="7427" width="14.85546875" style="990" customWidth="1"/>
    <col min="7428" max="7428" width="16" style="990" customWidth="1"/>
    <col min="7429" max="7429" width="13.5703125" style="990" customWidth="1"/>
    <col min="7430" max="7430" width="18.7109375" style="990" customWidth="1"/>
    <col min="7431" max="7681" width="9.140625" style="990"/>
    <col min="7682" max="7682" width="14.140625" style="990" customWidth="1"/>
    <col min="7683" max="7683" width="14.85546875" style="990" customWidth="1"/>
    <col min="7684" max="7684" width="16" style="990" customWidth="1"/>
    <col min="7685" max="7685" width="13.5703125" style="990" customWidth="1"/>
    <col min="7686" max="7686" width="18.7109375" style="990" customWidth="1"/>
    <col min="7687" max="7937" width="9.140625" style="990"/>
    <col min="7938" max="7938" width="14.140625" style="990" customWidth="1"/>
    <col min="7939" max="7939" width="14.85546875" style="990" customWidth="1"/>
    <col min="7940" max="7940" width="16" style="990" customWidth="1"/>
    <col min="7941" max="7941" width="13.5703125" style="990" customWidth="1"/>
    <col min="7942" max="7942" width="18.7109375" style="990" customWidth="1"/>
    <col min="7943" max="8193" width="9.140625" style="990"/>
    <col min="8194" max="8194" width="14.140625" style="990" customWidth="1"/>
    <col min="8195" max="8195" width="14.85546875" style="990" customWidth="1"/>
    <col min="8196" max="8196" width="16" style="990" customWidth="1"/>
    <col min="8197" max="8197" width="13.5703125" style="990" customWidth="1"/>
    <col min="8198" max="8198" width="18.7109375" style="990" customWidth="1"/>
    <col min="8199" max="8449" width="9.140625" style="990"/>
    <col min="8450" max="8450" width="14.140625" style="990" customWidth="1"/>
    <col min="8451" max="8451" width="14.85546875" style="990" customWidth="1"/>
    <col min="8452" max="8452" width="16" style="990" customWidth="1"/>
    <col min="8453" max="8453" width="13.5703125" style="990" customWidth="1"/>
    <col min="8454" max="8454" width="18.7109375" style="990" customWidth="1"/>
    <col min="8455" max="8705" width="9.140625" style="990"/>
    <col min="8706" max="8706" width="14.140625" style="990" customWidth="1"/>
    <col min="8707" max="8707" width="14.85546875" style="990" customWidth="1"/>
    <col min="8708" max="8708" width="16" style="990" customWidth="1"/>
    <col min="8709" max="8709" width="13.5703125" style="990" customWidth="1"/>
    <col min="8710" max="8710" width="18.7109375" style="990" customWidth="1"/>
    <col min="8711" max="8961" width="9.140625" style="990"/>
    <col min="8962" max="8962" width="14.140625" style="990" customWidth="1"/>
    <col min="8963" max="8963" width="14.85546875" style="990" customWidth="1"/>
    <col min="8964" max="8964" width="16" style="990" customWidth="1"/>
    <col min="8965" max="8965" width="13.5703125" style="990" customWidth="1"/>
    <col min="8966" max="8966" width="18.7109375" style="990" customWidth="1"/>
    <col min="8967" max="9217" width="9.140625" style="990"/>
    <col min="9218" max="9218" width="14.140625" style="990" customWidth="1"/>
    <col min="9219" max="9219" width="14.85546875" style="990" customWidth="1"/>
    <col min="9220" max="9220" width="16" style="990" customWidth="1"/>
    <col min="9221" max="9221" width="13.5703125" style="990" customWidth="1"/>
    <col min="9222" max="9222" width="18.7109375" style="990" customWidth="1"/>
    <col min="9223" max="9473" width="9.140625" style="990"/>
    <col min="9474" max="9474" width="14.140625" style="990" customWidth="1"/>
    <col min="9475" max="9475" width="14.85546875" style="990" customWidth="1"/>
    <col min="9476" max="9476" width="16" style="990" customWidth="1"/>
    <col min="9477" max="9477" width="13.5703125" style="990" customWidth="1"/>
    <col min="9478" max="9478" width="18.7109375" style="990" customWidth="1"/>
    <col min="9479" max="9729" width="9.140625" style="990"/>
    <col min="9730" max="9730" width="14.140625" style="990" customWidth="1"/>
    <col min="9731" max="9731" width="14.85546875" style="990" customWidth="1"/>
    <col min="9732" max="9732" width="16" style="990" customWidth="1"/>
    <col min="9733" max="9733" width="13.5703125" style="990" customWidth="1"/>
    <col min="9734" max="9734" width="18.7109375" style="990" customWidth="1"/>
    <col min="9735" max="9985" width="9.140625" style="990"/>
    <col min="9986" max="9986" width="14.140625" style="990" customWidth="1"/>
    <col min="9987" max="9987" width="14.85546875" style="990" customWidth="1"/>
    <col min="9988" max="9988" width="16" style="990" customWidth="1"/>
    <col min="9989" max="9989" width="13.5703125" style="990" customWidth="1"/>
    <col min="9990" max="9990" width="18.7109375" style="990" customWidth="1"/>
    <col min="9991" max="10241" width="9.140625" style="990"/>
    <col min="10242" max="10242" width="14.140625" style="990" customWidth="1"/>
    <col min="10243" max="10243" width="14.85546875" style="990" customWidth="1"/>
    <col min="10244" max="10244" width="16" style="990" customWidth="1"/>
    <col min="10245" max="10245" width="13.5703125" style="990" customWidth="1"/>
    <col min="10246" max="10246" width="18.7109375" style="990" customWidth="1"/>
    <col min="10247" max="10497" width="9.140625" style="990"/>
    <col min="10498" max="10498" width="14.140625" style="990" customWidth="1"/>
    <col min="10499" max="10499" width="14.85546875" style="990" customWidth="1"/>
    <col min="10500" max="10500" width="16" style="990" customWidth="1"/>
    <col min="10501" max="10501" width="13.5703125" style="990" customWidth="1"/>
    <col min="10502" max="10502" width="18.7109375" style="990" customWidth="1"/>
    <col min="10503" max="10753" width="9.140625" style="990"/>
    <col min="10754" max="10754" width="14.140625" style="990" customWidth="1"/>
    <col min="10755" max="10755" width="14.85546875" style="990" customWidth="1"/>
    <col min="10756" max="10756" width="16" style="990" customWidth="1"/>
    <col min="10757" max="10757" width="13.5703125" style="990" customWidth="1"/>
    <col min="10758" max="10758" width="18.7109375" style="990" customWidth="1"/>
    <col min="10759" max="11009" width="9.140625" style="990"/>
    <col min="11010" max="11010" width="14.140625" style="990" customWidth="1"/>
    <col min="11011" max="11011" width="14.85546875" style="990" customWidth="1"/>
    <col min="11012" max="11012" width="16" style="990" customWidth="1"/>
    <col min="11013" max="11013" width="13.5703125" style="990" customWidth="1"/>
    <col min="11014" max="11014" width="18.7109375" style="990" customWidth="1"/>
    <col min="11015" max="11265" width="9.140625" style="990"/>
    <col min="11266" max="11266" width="14.140625" style="990" customWidth="1"/>
    <col min="11267" max="11267" width="14.85546875" style="990" customWidth="1"/>
    <col min="11268" max="11268" width="16" style="990" customWidth="1"/>
    <col min="11269" max="11269" width="13.5703125" style="990" customWidth="1"/>
    <col min="11270" max="11270" width="18.7109375" style="990" customWidth="1"/>
    <col min="11271" max="11521" width="9.140625" style="990"/>
    <col min="11522" max="11522" width="14.140625" style="990" customWidth="1"/>
    <col min="11523" max="11523" width="14.85546875" style="990" customWidth="1"/>
    <col min="11524" max="11524" width="16" style="990" customWidth="1"/>
    <col min="11525" max="11525" width="13.5703125" style="990" customWidth="1"/>
    <col min="11526" max="11526" width="18.7109375" style="990" customWidth="1"/>
    <col min="11527" max="11777" width="9.140625" style="990"/>
    <col min="11778" max="11778" width="14.140625" style="990" customWidth="1"/>
    <col min="11779" max="11779" width="14.85546875" style="990" customWidth="1"/>
    <col min="11780" max="11780" width="16" style="990" customWidth="1"/>
    <col min="11781" max="11781" width="13.5703125" style="990" customWidth="1"/>
    <col min="11782" max="11782" width="18.7109375" style="990" customWidth="1"/>
    <col min="11783" max="12033" width="9.140625" style="990"/>
    <col min="12034" max="12034" width="14.140625" style="990" customWidth="1"/>
    <col min="12035" max="12035" width="14.85546875" style="990" customWidth="1"/>
    <col min="12036" max="12036" width="16" style="990" customWidth="1"/>
    <col min="12037" max="12037" width="13.5703125" style="990" customWidth="1"/>
    <col min="12038" max="12038" width="18.7109375" style="990" customWidth="1"/>
    <col min="12039" max="12289" width="9.140625" style="990"/>
    <col min="12290" max="12290" width="14.140625" style="990" customWidth="1"/>
    <col min="12291" max="12291" width="14.85546875" style="990" customWidth="1"/>
    <col min="12292" max="12292" width="16" style="990" customWidth="1"/>
    <col min="12293" max="12293" width="13.5703125" style="990" customWidth="1"/>
    <col min="12294" max="12294" width="18.7109375" style="990" customWidth="1"/>
    <col min="12295" max="12545" width="9.140625" style="990"/>
    <col min="12546" max="12546" width="14.140625" style="990" customWidth="1"/>
    <col min="12547" max="12547" width="14.85546875" style="990" customWidth="1"/>
    <col min="12548" max="12548" width="16" style="990" customWidth="1"/>
    <col min="12549" max="12549" width="13.5703125" style="990" customWidth="1"/>
    <col min="12550" max="12550" width="18.7109375" style="990" customWidth="1"/>
    <col min="12551" max="12801" width="9.140625" style="990"/>
    <col min="12802" max="12802" width="14.140625" style="990" customWidth="1"/>
    <col min="12803" max="12803" width="14.85546875" style="990" customWidth="1"/>
    <col min="12804" max="12804" width="16" style="990" customWidth="1"/>
    <col min="12805" max="12805" width="13.5703125" style="990" customWidth="1"/>
    <col min="12806" max="12806" width="18.7109375" style="990" customWidth="1"/>
    <col min="12807" max="13057" width="9.140625" style="990"/>
    <col min="13058" max="13058" width="14.140625" style="990" customWidth="1"/>
    <col min="13059" max="13059" width="14.85546875" style="990" customWidth="1"/>
    <col min="13060" max="13060" width="16" style="990" customWidth="1"/>
    <col min="13061" max="13061" width="13.5703125" style="990" customWidth="1"/>
    <col min="13062" max="13062" width="18.7109375" style="990" customWidth="1"/>
    <col min="13063" max="13313" width="9.140625" style="990"/>
    <col min="13314" max="13314" width="14.140625" style="990" customWidth="1"/>
    <col min="13315" max="13315" width="14.85546875" style="990" customWidth="1"/>
    <col min="13316" max="13316" width="16" style="990" customWidth="1"/>
    <col min="13317" max="13317" width="13.5703125" style="990" customWidth="1"/>
    <col min="13318" max="13318" width="18.7109375" style="990" customWidth="1"/>
    <col min="13319" max="13569" width="9.140625" style="990"/>
    <col min="13570" max="13570" width="14.140625" style="990" customWidth="1"/>
    <col min="13571" max="13571" width="14.85546875" style="990" customWidth="1"/>
    <col min="13572" max="13572" width="16" style="990" customWidth="1"/>
    <col min="13573" max="13573" width="13.5703125" style="990" customWidth="1"/>
    <col min="13574" max="13574" width="18.7109375" style="990" customWidth="1"/>
    <col min="13575" max="13825" width="9.140625" style="990"/>
    <col min="13826" max="13826" width="14.140625" style="990" customWidth="1"/>
    <col min="13827" max="13827" width="14.85546875" style="990" customWidth="1"/>
    <col min="13828" max="13828" width="16" style="990" customWidth="1"/>
    <col min="13829" max="13829" width="13.5703125" style="990" customWidth="1"/>
    <col min="13830" max="13830" width="18.7109375" style="990" customWidth="1"/>
    <col min="13831" max="14081" width="9.140625" style="990"/>
    <col min="14082" max="14082" width="14.140625" style="990" customWidth="1"/>
    <col min="14083" max="14083" width="14.85546875" style="990" customWidth="1"/>
    <col min="14084" max="14084" width="16" style="990" customWidth="1"/>
    <col min="14085" max="14085" width="13.5703125" style="990" customWidth="1"/>
    <col min="14086" max="14086" width="18.7109375" style="990" customWidth="1"/>
    <col min="14087" max="14337" width="9.140625" style="990"/>
    <col min="14338" max="14338" width="14.140625" style="990" customWidth="1"/>
    <col min="14339" max="14339" width="14.85546875" style="990" customWidth="1"/>
    <col min="14340" max="14340" width="16" style="990" customWidth="1"/>
    <col min="14341" max="14341" width="13.5703125" style="990" customWidth="1"/>
    <col min="14342" max="14342" width="18.7109375" style="990" customWidth="1"/>
    <col min="14343" max="14593" width="9.140625" style="990"/>
    <col min="14594" max="14594" width="14.140625" style="990" customWidth="1"/>
    <col min="14595" max="14595" width="14.85546875" style="990" customWidth="1"/>
    <col min="14596" max="14596" width="16" style="990" customWidth="1"/>
    <col min="14597" max="14597" width="13.5703125" style="990" customWidth="1"/>
    <col min="14598" max="14598" width="18.7109375" style="990" customWidth="1"/>
    <col min="14599" max="14849" width="9.140625" style="990"/>
    <col min="14850" max="14850" width="14.140625" style="990" customWidth="1"/>
    <col min="14851" max="14851" width="14.85546875" style="990" customWidth="1"/>
    <col min="14852" max="14852" width="16" style="990" customWidth="1"/>
    <col min="14853" max="14853" width="13.5703125" style="990" customWidth="1"/>
    <col min="14854" max="14854" width="18.7109375" style="990" customWidth="1"/>
    <col min="14855" max="15105" width="9.140625" style="990"/>
    <col min="15106" max="15106" width="14.140625" style="990" customWidth="1"/>
    <col min="15107" max="15107" width="14.85546875" style="990" customWidth="1"/>
    <col min="15108" max="15108" width="16" style="990" customWidth="1"/>
    <col min="15109" max="15109" width="13.5703125" style="990" customWidth="1"/>
    <col min="15110" max="15110" width="18.7109375" style="990" customWidth="1"/>
    <col min="15111" max="15361" width="9.140625" style="990"/>
    <col min="15362" max="15362" width="14.140625" style="990" customWidth="1"/>
    <col min="15363" max="15363" width="14.85546875" style="990" customWidth="1"/>
    <col min="15364" max="15364" width="16" style="990" customWidth="1"/>
    <col min="15365" max="15365" width="13.5703125" style="990" customWidth="1"/>
    <col min="15366" max="15366" width="18.7109375" style="990" customWidth="1"/>
    <col min="15367" max="15617" width="9.140625" style="990"/>
    <col min="15618" max="15618" width="14.140625" style="990" customWidth="1"/>
    <col min="15619" max="15619" width="14.85546875" style="990" customWidth="1"/>
    <col min="15620" max="15620" width="16" style="990" customWidth="1"/>
    <col min="15621" max="15621" width="13.5703125" style="990" customWidth="1"/>
    <col min="15622" max="15622" width="18.7109375" style="990" customWidth="1"/>
    <col min="15623" max="15873" width="9.140625" style="990"/>
    <col min="15874" max="15874" width="14.140625" style="990" customWidth="1"/>
    <col min="15875" max="15875" width="14.85546875" style="990" customWidth="1"/>
    <col min="15876" max="15876" width="16" style="990" customWidth="1"/>
    <col min="15877" max="15877" width="13.5703125" style="990" customWidth="1"/>
    <col min="15878" max="15878" width="18.7109375" style="990" customWidth="1"/>
    <col min="15879" max="16129" width="9.140625" style="990"/>
    <col min="16130" max="16130" width="14.140625" style="990" customWidth="1"/>
    <col min="16131" max="16131" width="14.85546875" style="990" customWidth="1"/>
    <col min="16132" max="16132" width="16" style="990" customWidth="1"/>
    <col min="16133" max="16133" width="13.5703125" style="990" customWidth="1"/>
    <col min="16134" max="16134" width="18.7109375" style="990" customWidth="1"/>
    <col min="16135" max="16384" width="9.140625" style="990"/>
  </cols>
  <sheetData>
    <row r="1" spans="1:7">
      <c r="A1" s="3083" t="s">
        <v>3705</v>
      </c>
    </row>
    <row r="2" spans="1:7">
      <c r="A2" s="3083" t="s">
        <v>3706</v>
      </c>
    </row>
    <row r="3" spans="1:7">
      <c r="D3" s="3085"/>
      <c r="F3" s="3085" t="s">
        <v>3707</v>
      </c>
    </row>
    <row r="4" spans="1:7" s="3088" customFormat="1" ht="15" customHeight="1">
      <c r="A4" s="3086"/>
      <c r="B4" s="3086" t="s">
        <v>3708</v>
      </c>
      <c r="C4" s="3086" t="s">
        <v>3709</v>
      </c>
      <c r="D4" s="3086" t="s">
        <v>2738</v>
      </c>
      <c r="E4" s="3086" t="s">
        <v>3710</v>
      </c>
      <c r="F4" s="3086" t="s">
        <v>3711</v>
      </c>
      <c r="G4" s="3087"/>
    </row>
    <row r="5" spans="1:7" s="3088" customFormat="1" ht="15" customHeight="1">
      <c r="A5" s="3089">
        <v>40179</v>
      </c>
      <c r="B5" s="3090">
        <v>5914</v>
      </c>
      <c r="C5" s="3090" t="s">
        <v>770</v>
      </c>
      <c r="D5" s="3091">
        <v>1734</v>
      </c>
      <c r="E5" s="3092" t="s">
        <v>770</v>
      </c>
      <c r="F5" s="3093" t="s">
        <v>770</v>
      </c>
      <c r="G5" s="3087"/>
    </row>
    <row r="6" spans="1:7" ht="15" customHeight="1">
      <c r="A6" s="3094">
        <v>40210</v>
      </c>
      <c r="B6" s="3092">
        <v>36283</v>
      </c>
      <c r="C6" s="3092" t="s">
        <v>770</v>
      </c>
      <c r="D6" s="3095" t="s">
        <v>770</v>
      </c>
      <c r="E6" s="3092" t="s">
        <v>770</v>
      </c>
      <c r="F6" s="3093" t="s">
        <v>770</v>
      </c>
      <c r="G6" s="3087"/>
    </row>
    <row r="7" spans="1:7" ht="15" customHeight="1">
      <c r="A7" s="3094">
        <v>40238</v>
      </c>
      <c r="B7" s="3092">
        <v>5631262</v>
      </c>
      <c r="C7" s="3092">
        <v>2527</v>
      </c>
      <c r="D7" s="3095">
        <v>25135</v>
      </c>
      <c r="E7" s="3092" t="s">
        <v>770</v>
      </c>
      <c r="F7" s="3093" t="s">
        <v>770</v>
      </c>
      <c r="G7" s="3087"/>
    </row>
    <row r="8" spans="1:7" ht="15" customHeight="1">
      <c r="A8" s="3094">
        <v>40269</v>
      </c>
      <c r="B8" s="3092">
        <v>261209</v>
      </c>
      <c r="C8" s="3092">
        <v>141027</v>
      </c>
      <c r="D8" s="3095">
        <v>285999</v>
      </c>
      <c r="E8" s="3092" t="s">
        <v>770</v>
      </c>
      <c r="F8" s="3093" t="s">
        <v>770</v>
      </c>
      <c r="G8" s="3087"/>
    </row>
    <row r="9" spans="1:7" ht="15" customHeight="1">
      <c r="A9" s="3094">
        <v>40299</v>
      </c>
      <c r="B9" s="3092">
        <v>317114</v>
      </c>
      <c r="C9" s="3092">
        <v>1834</v>
      </c>
      <c r="D9" s="3095">
        <v>680</v>
      </c>
      <c r="E9" s="3092" t="s">
        <v>770</v>
      </c>
      <c r="F9" s="3093" t="s">
        <v>770</v>
      </c>
      <c r="G9" s="3087"/>
    </row>
    <row r="10" spans="1:7" ht="15" customHeight="1">
      <c r="A10" s="3094">
        <v>40330</v>
      </c>
      <c r="B10" s="3092">
        <v>17493394</v>
      </c>
      <c r="C10" s="3092">
        <v>109726</v>
      </c>
      <c r="D10" s="3095">
        <v>737439</v>
      </c>
      <c r="E10" s="3092" t="s">
        <v>770</v>
      </c>
      <c r="F10" s="3093" t="s">
        <v>770</v>
      </c>
      <c r="G10" s="3087"/>
    </row>
    <row r="11" spans="1:7" ht="15" customHeight="1">
      <c r="A11" s="3094">
        <v>40360</v>
      </c>
      <c r="B11" s="3092">
        <v>2123979</v>
      </c>
      <c r="C11" s="3092">
        <v>866</v>
      </c>
      <c r="D11" s="3095">
        <v>953488</v>
      </c>
      <c r="E11" s="3092" t="s">
        <v>770</v>
      </c>
      <c r="F11" s="3093" t="s">
        <v>770</v>
      </c>
      <c r="G11" s="3087"/>
    </row>
    <row r="12" spans="1:7" ht="15" customHeight="1">
      <c r="A12" s="3094">
        <v>40391</v>
      </c>
      <c r="B12" s="3092">
        <v>595552</v>
      </c>
      <c r="C12" s="3092" t="s">
        <v>770</v>
      </c>
      <c r="D12" s="3095">
        <v>9358</v>
      </c>
      <c r="E12" s="3092" t="s">
        <v>770</v>
      </c>
      <c r="F12" s="3093" t="s">
        <v>770</v>
      </c>
      <c r="G12" s="3087"/>
    </row>
    <row r="13" spans="1:7" ht="15" customHeight="1">
      <c r="A13" s="3094">
        <v>40422</v>
      </c>
      <c r="B13" s="3092">
        <v>11209868</v>
      </c>
      <c r="C13" s="3092">
        <v>132114</v>
      </c>
      <c r="D13" s="3095">
        <v>402628</v>
      </c>
      <c r="E13" s="3092" t="s">
        <v>770</v>
      </c>
      <c r="F13" s="3093" t="s">
        <v>770</v>
      </c>
      <c r="G13" s="3087"/>
    </row>
    <row r="14" spans="1:7" ht="15" customHeight="1">
      <c r="A14" s="3094">
        <v>40452</v>
      </c>
      <c r="B14" s="3092">
        <v>1114121</v>
      </c>
      <c r="C14" s="3092">
        <v>159410</v>
      </c>
      <c r="D14" s="3095">
        <v>4540</v>
      </c>
      <c r="E14" s="3092" t="s">
        <v>770</v>
      </c>
      <c r="F14" s="3093" t="s">
        <v>770</v>
      </c>
      <c r="G14" s="3087"/>
    </row>
    <row r="15" spans="1:7" ht="15" customHeight="1">
      <c r="A15" s="3094">
        <v>40483</v>
      </c>
      <c r="B15" s="3092">
        <v>798847</v>
      </c>
      <c r="C15" s="3092">
        <v>105</v>
      </c>
      <c r="D15" s="3095">
        <v>43355</v>
      </c>
      <c r="E15" s="3092" t="s">
        <v>770</v>
      </c>
      <c r="F15" s="3093" t="s">
        <v>770</v>
      </c>
      <c r="G15" s="3087"/>
    </row>
    <row r="16" spans="1:7" ht="15" customHeight="1">
      <c r="A16" s="3094">
        <v>40522</v>
      </c>
      <c r="B16" s="3092">
        <v>12250666</v>
      </c>
      <c r="C16" s="3092">
        <v>228749</v>
      </c>
      <c r="D16" s="3095">
        <v>442063</v>
      </c>
      <c r="E16" s="3092" t="s">
        <v>770</v>
      </c>
      <c r="F16" s="3093" t="s">
        <v>770</v>
      </c>
      <c r="G16" s="3087"/>
    </row>
    <row r="17" spans="1:7" ht="15" customHeight="1">
      <c r="A17" s="3094" t="s">
        <v>3712</v>
      </c>
      <c r="B17" s="3092">
        <v>42710761.229999997</v>
      </c>
      <c r="C17" s="3092">
        <v>20051764.09</v>
      </c>
      <c r="D17" s="3095">
        <v>85130197.120000005</v>
      </c>
      <c r="E17" s="3092" t="s">
        <v>770</v>
      </c>
      <c r="F17" s="3093" t="s">
        <v>770</v>
      </c>
      <c r="G17" s="3087"/>
    </row>
    <row r="18" spans="1:7" ht="15" customHeight="1">
      <c r="A18" s="3094">
        <v>40575</v>
      </c>
      <c r="B18" s="3092">
        <v>123920650</v>
      </c>
      <c r="C18" s="3092">
        <v>32240708</v>
      </c>
      <c r="D18" s="3095">
        <v>123847523</v>
      </c>
      <c r="E18" s="3092" t="s">
        <v>770</v>
      </c>
      <c r="F18" s="3093" t="s">
        <v>770</v>
      </c>
      <c r="G18" s="3087"/>
    </row>
    <row r="19" spans="1:7" ht="15" customHeight="1">
      <c r="A19" s="3094">
        <v>40603</v>
      </c>
      <c r="B19" s="3092">
        <v>99294349</v>
      </c>
      <c r="C19" s="3092">
        <v>25082461</v>
      </c>
      <c r="D19" s="3095">
        <v>222570228</v>
      </c>
      <c r="E19" s="3092" t="s">
        <v>770</v>
      </c>
      <c r="F19" s="3093" t="s">
        <v>770</v>
      </c>
      <c r="G19" s="3087"/>
    </row>
    <row r="20" spans="1:7" ht="15" customHeight="1">
      <c r="A20" s="3096">
        <v>40634</v>
      </c>
      <c r="B20" s="3097">
        <v>29858403</v>
      </c>
      <c r="C20" s="3097">
        <v>3530757</v>
      </c>
      <c r="D20" s="3098">
        <v>88100029</v>
      </c>
      <c r="E20" s="3092" t="s">
        <v>770</v>
      </c>
      <c r="F20" s="3093" t="s">
        <v>770</v>
      </c>
      <c r="G20" s="3087"/>
    </row>
    <row r="21" spans="1:7" ht="15" customHeight="1">
      <c r="A21" s="3094">
        <v>40664</v>
      </c>
      <c r="B21" s="3092">
        <v>97627671</v>
      </c>
      <c r="C21" s="3092">
        <v>7238224</v>
      </c>
      <c r="D21" s="3095">
        <v>63187907</v>
      </c>
      <c r="E21" s="3092" t="s">
        <v>770</v>
      </c>
      <c r="F21" s="3093" t="s">
        <v>770</v>
      </c>
      <c r="G21" s="3087"/>
    </row>
    <row r="22" spans="1:7" ht="15" customHeight="1">
      <c r="A22" s="3099">
        <v>40695</v>
      </c>
      <c r="B22" s="3097">
        <v>243294149</v>
      </c>
      <c r="C22" s="3097">
        <v>6541718</v>
      </c>
      <c r="D22" s="3098">
        <v>175521436</v>
      </c>
      <c r="E22" s="3092" t="s">
        <v>770</v>
      </c>
      <c r="F22" s="3093" t="s">
        <v>770</v>
      </c>
      <c r="G22" s="3087"/>
    </row>
    <row r="23" spans="1:7" ht="15" customHeight="1">
      <c r="A23" s="3099">
        <v>40725</v>
      </c>
      <c r="B23" s="3100">
        <v>95678196</v>
      </c>
      <c r="C23" s="3100">
        <v>41123886</v>
      </c>
      <c r="D23" s="3101">
        <v>87007348</v>
      </c>
      <c r="E23" s="3092" t="s">
        <v>770</v>
      </c>
      <c r="F23" s="3093" t="s">
        <v>770</v>
      </c>
      <c r="G23" s="3087"/>
    </row>
    <row r="24" spans="1:7" ht="15" customHeight="1">
      <c r="A24" s="3099">
        <v>40756</v>
      </c>
      <c r="B24" s="3092">
        <v>56293259</v>
      </c>
      <c r="C24" s="3092">
        <v>10259906</v>
      </c>
      <c r="D24" s="3095">
        <v>5818117</v>
      </c>
      <c r="E24" s="3092" t="s">
        <v>770</v>
      </c>
      <c r="F24" s="3093" t="s">
        <v>770</v>
      </c>
      <c r="G24" s="3087"/>
    </row>
    <row r="25" spans="1:7" ht="15" customHeight="1">
      <c r="A25" s="3094">
        <v>40787</v>
      </c>
      <c r="B25" s="3092">
        <v>154997328</v>
      </c>
      <c r="C25" s="3092">
        <v>49993959</v>
      </c>
      <c r="D25" s="3095">
        <v>65697275</v>
      </c>
      <c r="E25" s="3092" t="s">
        <v>770</v>
      </c>
      <c r="F25" s="3093" t="s">
        <v>770</v>
      </c>
      <c r="G25" s="3087"/>
    </row>
    <row r="26" spans="1:7" ht="15" customHeight="1">
      <c r="A26" s="3096">
        <v>40817</v>
      </c>
      <c r="B26" s="3097">
        <v>118639609</v>
      </c>
      <c r="C26" s="3097">
        <v>147606114</v>
      </c>
      <c r="D26" s="3098">
        <v>12133244</v>
      </c>
      <c r="E26" s="3092" t="s">
        <v>770</v>
      </c>
      <c r="F26" s="3093" t="s">
        <v>770</v>
      </c>
      <c r="G26" s="3087"/>
    </row>
    <row r="27" spans="1:7" ht="15" customHeight="1">
      <c r="A27" s="3099">
        <v>40848</v>
      </c>
      <c r="B27" s="3100">
        <v>110148458</v>
      </c>
      <c r="C27" s="3100">
        <v>118824093</v>
      </c>
      <c r="D27" s="3101">
        <v>54402021</v>
      </c>
      <c r="E27" s="3092" t="s">
        <v>770</v>
      </c>
      <c r="F27" s="3093" t="s">
        <v>770</v>
      </c>
      <c r="G27" s="3087"/>
    </row>
    <row r="28" spans="1:7" ht="15" customHeight="1">
      <c r="A28" s="3099">
        <v>40878</v>
      </c>
      <c r="B28" s="3100">
        <v>218896482.87</v>
      </c>
      <c r="C28" s="3100">
        <v>109118764.59</v>
      </c>
      <c r="D28" s="3101">
        <v>101581718.31</v>
      </c>
      <c r="E28" s="3092" t="s">
        <v>770</v>
      </c>
      <c r="F28" s="3093" t="s">
        <v>770</v>
      </c>
      <c r="G28" s="3087"/>
    </row>
    <row r="29" spans="1:7" ht="15" customHeight="1">
      <c r="A29" s="3099">
        <v>40909</v>
      </c>
      <c r="B29" s="3100">
        <v>67205197</v>
      </c>
      <c r="C29" s="3100">
        <v>86124266</v>
      </c>
      <c r="D29" s="3101">
        <v>130921956</v>
      </c>
      <c r="E29" s="3092" t="s">
        <v>770</v>
      </c>
      <c r="F29" s="3093" t="s">
        <v>770</v>
      </c>
      <c r="G29" s="3087"/>
    </row>
    <row r="30" spans="1:7" ht="15" customHeight="1">
      <c r="A30" s="3099">
        <v>40940</v>
      </c>
      <c r="B30" s="3100">
        <v>63186761</v>
      </c>
      <c r="C30" s="3100">
        <v>18290075</v>
      </c>
      <c r="D30" s="3101">
        <v>156104652</v>
      </c>
      <c r="E30" s="3092" t="s">
        <v>770</v>
      </c>
      <c r="F30" s="3093" t="s">
        <v>770</v>
      </c>
      <c r="G30" s="3087"/>
    </row>
    <row r="31" spans="1:7" ht="15" customHeight="1">
      <c r="A31" s="3099" t="s">
        <v>3713</v>
      </c>
      <c r="B31" s="3100">
        <v>77590526</v>
      </c>
      <c r="C31" s="3100">
        <v>4777455</v>
      </c>
      <c r="D31" s="3101">
        <v>193807221</v>
      </c>
      <c r="E31" s="3101">
        <v>202000</v>
      </c>
      <c r="F31" s="3102">
        <v>102000</v>
      </c>
      <c r="G31" s="3087"/>
    </row>
    <row r="32" spans="1:7" ht="15" customHeight="1">
      <c r="A32" s="3099">
        <v>41000</v>
      </c>
      <c r="B32" s="3100">
        <v>89966108</v>
      </c>
      <c r="C32" s="3100">
        <v>4694300</v>
      </c>
      <c r="D32" s="3101">
        <v>22166126</v>
      </c>
      <c r="E32" s="3100" t="s">
        <v>770</v>
      </c>
      <c r="F32" s="3102">
        <v>20000</v>
      </c>
      <c r="G32" s="3087"/>
    </row>
    <row r="33" spans="1:11" ht="15" customHeight="1">
      <c r="A33" s="3099">
        <v>41030</v>
      </c>
      <c r="B33" s="3100">
        <v>57865612</v>
      </c>
      <c r="C33" s="3100">
        <v>4537372</v>
      </c>
      <c r="D33" s="3101">
        <v>32092133</v>
      </c>
      <c r="E33" s="3100" t="s">
        <v>770</v>
      </c>
      <c r="F33" s="3102" t="s">
        <v>770</v>
      </c>
      <c r="G33" s="3087"/>
      <c r="I33" s="1033"/>
    </row>
    <row r="34" spans="1:11" ht="15" customHeight="1">
      <c r="A34" s="3099">
        <v>41061</v>
      </c>
      <c r="B34" s="3100">
        <v>229005570</v>
      </c>
      <c r="C34" s="3100">
        <v>98201094</v>
      </c>
      <c r="D34" s="3101">
        <v>95352323</v>
      </c>
      <c r="E34" s="3100">
        <v>20000</v>
      </c>
      <c r="F34" s="3102">
        <v>200000</v>
      </c>
      <c r="G34" s="3087"/>
    </row>
    <row r="35" spans="1:11" ht="15" customHeight="1">
      <c r="A35" s="3099">
        <v>41091</v>
      </c>
      <c r="B35" s="3100">
        <v>179729112</v>
      </c>
      <c r="C35" s="3100">
        <v>130501823</v>
      </c>
      <c r="D35" s="3101">
        <v>136179553</v>
      </c>
      <c r="E35" s="3100">
        <v>10000</v>
      </c>
      <c r="F35" s="3102">
        <v>50000</v>
      </c>
      <c r="G35" s="3087"/>
      <c r="K35" s="1033"/>
    </row>
    <row r="36" spans="1:11" ht="15" customHeight="1">
      <c r="A36" s="3094">
        <v>41122</v>
      </c>
      <c r="B36" s="3092">
        <v>56293259</v>
      </c>
      <c r="C36" s="3092">
        <v>10259906</v>
      </c>
      <c r="D36" s="3092">
        <v>5818117</v>
      </c>
      <c r="E36" s="3103"/>
      <c r="F36" s="3093"/>
      <c r="G36" s="3087"/>
    </row>
    <row r="37" spans="1:11" ht="15" customHeight="1">
      <c r="A37" s="3099">
        <v>41153</v>
      </c>
      <c r="B37" s="3104">
        <v>86502356</v>
      </c>
      <c r="C37" s="3104">
        <v>9571051</v>
      </c>
      <c r="D37" s="3104">
        <v>165668582</v>
      </c>
      <c r="E37" s="3104">
        <v>637161</v>
      </c>
      <c r="F37" s="3105">
        <v>18571203</v>
      </c>
      <c r="G37" s="3087"/>
    </row>
    <row r="38" spans="1:11" ht="15" customHeight="1">
      <c r="A38" s="3099">
        <v>41183</v>
      </c>
      <c r="B38" s="3106">
        <v>159774119</v>
      </c>
      <c r="C38" s="3106">
        <v>18762159</v>
      </c>
      <c r="D38" s="3106">
        <v>9251408</v>
      </c>
      <c r="E38" s="3106">
        <v>2809135</v>
      </c>
      <c r="F38" s="3107">
        <v>15861760</v>
      </c>
      <c r="G38" s="3087"/>
    </row>
    <row r="39" spans="1:11" ht="15" customHeight="1">
      <c r="A39" s="3099">
        <v>41214</v>
      </c>
      <c r="B39" s="3092">
        <v>177652454</v>
      </c>
      <c r="C39" s="3092">
        <v>5602096</v>
      </c>
      <c r="D39" s="3092">
        <v>139653634</v>
      </c>
      <c r="E39" s="3092">
        <v>416711</v>
      </c>
      <c r="F39" s="3093">
        <v>7245472</v>
      </c>
      <c r="G39" s="3087"/>
    </row>
    <row r="40" spans="1:11" ht="15" customHeight="1">
      <c r="A40" s="3099">
        <v>41244</v>
      </c>
      <c r="B40" s="3108">
        <v>208473917</v>
      </c>
      <c r="C40" s="3097">
        <v>10945983</v>
      </c>
      <c r="D40" s="3097">
        <v>308800446</v>
      </c>
      <c r="E40" s="3097">
        <v>424096</v>
      </c>
      <c r="F40" s="3109">
        <v>53286689</v>
      </c>
      <c r="G40" s="3087"/>
    </row>
    <row r="41" spans="1:11" ht="15" customHeight="1">
      <c r="A41" s="3110">
        <v>41275</v>
      </c>
      <c r="B41" s="3106">
        <v>187320502</v>
      </c>
      <c r="C41" s="3106">
        <v>14894644</v>
      </c>
      <c r="D41" s="3106">
        <v>181670798</v>
      </c>
      <c r="E41" s="3106">
        <v>402209</v>
      </c>
      <c r="F41" s="3107">
        <v>26155257</v>
      </c>
      <c r="G41" s="3087"/>
    </row>
    <row r="42" spans="1:11" ht="15" customHeight="1">
      <c r="A42" s="3111">
        <v>41306</v>
      </c>
      <c r="B42" s="3112">
        <v>89250999</v>
      </c>
      <c r="C42" s="3113">
        <v>4249208</v>
      </c>
      <c r="D42" s="3113">
        <v>317103778</v>
      </c>
      <c r="E42" s="3113">
        <v>2400000</v>
      </c>
      <c r="F42" s="3114">
        <v>2865133</v>
      </c>
      <c r="G42" s="3087"/>
    </row>
    <row r="43" spans="1:11" ht="15.95" customHeight="1">
      <c r="A43" s="3115" t="s">
        <v>1360</v>
      </c>
      <c r="B43" s="990"/>
      <c r="C43" s="990"/>
      <c r="D43" s="990"/>
      <c r="E43" s="990"/>
      <c r="F43" s="990"/>
      <c r="G43" s="990"/>
    </row>
    <row r="44" spans="1:11" ht="15.95" customHeight="1">
      <c r="A44" s="3116" t="s">
        <v>3714</v>
      </c>
    </row>
    <row r="45" spans="1:11" ht="15.95" customHeight="1">
      <c r="A45" s="3116" t="s">
        <v>3715</v>
      </c>
    </row>
    <row r="46" spans="1:11">
      <c r="A46" s="3116" t="s">
        <v>3716</v>
      </c>
    </row>
    <row r="47" spans="1:11">
      <c r="G47" s="3117"/>
    </row>
  </sheetData>
  <printOptions horizontalCentered="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62</vt:i4>
      </vt:variant>
    </vt:vector>
  </HeadingPairs>
  <TitlesOfParts>
    <vt:vector size="122" baseType="lpstr">
      <vt:lpstr>1 </vt:lpstr>
      <vt:lpstr> 2</vt:lpstr>
      <vt:lpstr>3a</vt:lpstr>
      <vt:lpstr>3b</vt:lpstr>
      <vt:lpstr>4a&amp;4b</vt:lpstr>
      <vt:lpstr>5</vt:lpstr>
      <vt:lpstr>6</vt:lpstr>
      <vt:lpstr>7</vt:lpstr>
      <vt:lpstr>8</vt:lpstr>
      <vt:lpstr>9</vt:lpstr>
      <vt:lpstr>10</vt:lpstr>
      <vt:lpstr>11</vt:lpstr>
      <vt:lpstr>12</vt:lpstr>
      <vt:lpstr>13</vt:lpstr>
      <vt:lpstr>14</vt:lpstr>
      <vt:lpstr> 15</vt:lpstr>
      <vt:lpstr> 16 a-b</vt:lpstr>
      <vt:lpstr>17</vt:lpstr>
      <vt:lpstr>18a-b</vt:lpstr>
      <vt:lpstr>19-20a-b</vt:lpstr>
      <vt:lpstr>20c</vt:lpstr>
      <vt:lpstr>20d</vt:lpstr>
      <vt:lpstr>20e</vt:lpstr>
      <vt:lpstr>21 &amp;22a</vt:lpstr>
      <vt:lpstr> 22 b</vt:lpstr>
      <vt:lpstr> 22 c</vt:lpstr>
      <vt:lpstr>23&amp;24</vt:lpstr>
      <vt:lpstr>25a-b</vt:lpstr>
      <vt:lpstr>26</vt:lpstr>
      <vt:lpstr> 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vt:lpstr>
      <vt:lpstr>39</vt:lpstr>
      <vt:lpstr>40-41</vt:lpstr>
      <vt:lpstr>42-43-44</vt:lpstr>
      <vt:lpstr>45-46</vt:lpstr>
      <vt:lpstr>47</vt:lpstr>
      <vt:lpstr>48a-b</vt:lpstr>
      <vt:lpstr>49a-b</vt:lpstr>
      <vt:lpstr>50a</vt:lpstr>
      <vt:lpstr>50b</vt:lpstr>
      <vt:lpstr>51a-b</vt:lpstr>
      <vt:lpstr>52a</vt:lpstr>
      <vt:lpstr>52b</vt:lpstr>
      <vt:lpstr>Sheet1</vt:lpstr>
      <vt:lpstr>Sheet2</vt:lpstr>
      <vt:lpstr>' 15'!Print_Area</vt:lpstr>
      <vt:lpstr>' 16 a-b'!Print_Area</vt:lpstr>
      <vt:lpstr>' 22 b'!Print_Area</vt:lpstr>
      <vt:lpstr>' 22 c'!Print_Area</vt:lpstr>
      <vt:lpstr>' 27a-b'!Print_Area</vt:lpstr>
      <vt:lpstr>'1 '!Print_Area</vt:lpstr>
      <vt:lpstr>'10'!Print_Area</vt:lpstr>
      <vt:lpstr>'11'!Print_Area</vt:lpstr>
      <vt:lpstr>'12'!Print_Area</vt:lpstr>
      <vt:lpstr>'13'!Print_Area</vt:lpstr>
      <vt:lpstr>'14'!Print_Area</vt:lpstr>
      <vt:lpstr>'17'!Print_Area</vt:lpstr>
      <vt:lpstr>'18a-b'!Print_Area</vt:lpstr>
      <vt:lpstr>'19-20a-b'!Print_Area</vt:lpstr>
      <vt:lpstr>'20c'!Print_Area</vt:lpstr>
      <vt:lpstr>'20d'!Print_Area</vt:lpstr>
      <vt:lpstr>'20e'!Print_Area</vt:lpstr>
      <vt:lpstr>'21 &amp;22a'!Print_Area</vt:lpstr>
      <vt:lpstr>'23&amp;24'!Print_Area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'50a'!Print_Area</vt:lpstr>
      <vt:lpstr>'50b'!Print_Area</vt:lpstr>
      <vt:lpstr>'51a-b'!Print_Area</vt:lpstr>
      <vt:lpstr>'52a'!Print_Area</vt:lpstr>
      <vt:lpstr>'52b'!Print_Area</vt:lpstr>
      <vt:lpstr>'6'!Print_Area</vt:lpstr>
      <vt:lpstr>'7'!Print_Area</vt:lpstr>
      <vt:lpstr>'8'!Print_Area</vt:lpstr>
      <vt:lpstr>'9'!Print_Area</vt:lpstr>
      <vt:lpstr>'12'!Print_Titles</vt:lpstr>
      <vt:lpstr>'13'!Print_Titles</vt:lpstr>
      <vt:lpstr>'32b'!Print_Titles</vt:lpstr>
      <vt:lpstr>'50a'!Print_Titles</vt:lpstr>
      <vt:lpstr>'50b'!Print_Titles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Hemlata Nundoochan</dc:creator>
  <cp:lastModifiedBy>Archana D. Gobin</cp:lastModifiedBy>
  <dcterms:created xsi:type="dcterms:W3CDTF">2013-03-20T06:14:44Z</dcterms:created>
  <dcterms:modified xsi:type="dcterms:W3CDTF">2013-03-22T08:14:24Z</dcterms:modified>
</cp:coreProperties>
</file>